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threadedComments/threadedComment1.xml" ContentType="application/vnd.ms-excel.threadedcomments+xml"/>
  <Override PartName="/xl/comments4.xml" ContentType="application/vnd.openxmlformats-officedocument.spreadsheetml.comments+xml"/>
  <Override PartName="/xl/threadedComments/threadedComment2.xml" ContentType="application/vnd.ms-excel.threadedcomments+xml"/>
  <Override PartName="/xl/comments5.xml" ContentType="application/vnd.openxmlformats-officedocument.spreadsheetml.comments+xml"/>
  <Override PartName="/xl/threadedComments/threadedComment3.xml" ContentType="application/vnd.ms-excel.threadedcomments+xml"/>
  <Override PartName="/xl/drawings/drawing4.xml" ContentType="application/vnd.openxmlformats-officedocument.drawing+xml"/>
  <Override PartName="/xl/comments6.xml" ContentType="application/vnd.openxmlformats-officedocument.spreadsheetml.comments+xml"/>
  <Override PartName="/xl/threadedComments/threadedComment4.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comments7.xml" ContentType="application/vnd.openxmlformats-officedocument.spreadsheetml.comments+xml"/>
  <Override PartName="/xl/threadedComments/threadedComment5.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omments8.xml" ContentType="application/vnd.openxmlformats-officedocument.spreadsheetml.comments+xml"/>
  <Override PartName="/xl/threadedComments/threadedComment6.xml" ContentType="application/vnd.ms-excel.threadedcomments+xml"/>
  <Override PartName="/xl/comments9.xml" ContentType="application/vnd.openxmlformats-officedocument.spreadsheetml.comments+xml"/>
  <Override PartName="/xl/comments10.xml" ContentType="application/vnd.openxmlformats-officedocument.spreadsheetml.comments+xml"/>
  <Override PartName="/xl/threadedComments/threadedComment7.xml" ContentType="application/vnd.ms-excel.threaded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threadedComments/threadedComment8.xml" ContentType="application/vnd.ms-excel.threadedcomments+xml"/>
  <Override PartName="/xl/drawings/drawing7.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2"/>
  <workbookPr defaultThemeVersion="166925"/>
  <mc:AlternateContent xmlns:mc="http://schemas.openxmlformats.org/markup-compatibility/2006">
    <mc:Choice Requires="x15">
      <x15ac:absPath xmlns:x15ac="http://schemas.microsoft.com/office/spreadsheetml/2010/11/ac" url="https://unsw-my.sharepoint.com/personal/z5311195_ad_unsw_edu_au/Documents/ACTL4001 Program/"/>
    </mc:Choice>
  </mc:AlternateContent>
  <xr:revisionPtr revIDLastSave="9516" documentId="11_E60897F41BE170836B02CE998F75CCDC64E183C8" xr6:coauthVersionLast="47" xr6:coauthVersionMax="47" xr10:uidLastSave="{4B373AD0-A0EC-40BD-B4D9-DFFA0A4A46BA}"/>
  <bookViews>
    <workbookView xWindow="-120" yWindow="-120" windowWidth="29040" windowHeight="15720" tabRatio="802" firstSheet="8" activeTab="8" xr2:uid="{00000000-000D-0000-FFFF-FFFF00000000}"/>
  </bookViews>
  <sheets>
    <sheet name="Demographic-Economic" sheetId="14" r:id="rId1"/>
    <sheet name="Inflation-Interest" sheetId="19" r:id="rId2"/>
    <sheet name="SSP Scenarios" sheetId="22" r:id="rId3"/>
    <sheet name="Model" sheetId="23" r:id="rId4"/>
    <sheet name="Economic Projections" sheetId="24" r:id="rId5"/>
    <sheet name="Prediction Results" sheetId="40" state="hidden" r:id="rId6"/>
    <sheet name="Prediction Results (Transposed)" sheetId="44" r:id="rId7"/>
    <sheet name="Voluntary Costs (1)" sheetId="25" state="hidden" r:id="rId8"/>
    <sheet name="Involuntary Costs" sheetId="27" r:id="rId9"/>
    <sheet name="V cost Experiment" sheetId="52" state="hidden" r:id="rId10"/>
    <sheet name="Voluntary Costs" sheetId="55" r:id="rId11"/>
    <sheet name="Total Program Costs" sheetId="46" r:id="rId12"/>
    <sheet name="Program Cost Differences (1)" sheetId="48" state="hidden" r:id="rId13"/>
    <sheet name="Program Cost Differences" sheetId="56" r:id="rId14"/>
    <sheet name="Sensitivity Analysis (1)" sheetId="49" state="hidden" r:id="rId15"/>
    <sheet name="Sensitivitiy Analysis 1" sheetId="50" r:id="rId16"/>
    <sheet name="Sensitivity Analysis 2" sheetId="58" r:id="rId17"/>
    <sheet name="Voluntary Costs (2)" sheetId="47" state="hidden" r:id="rId18"/>
    <sheet name="Voluntary Costs (3)" sheetId="53" state="hidden" r:id="rId19"/>
    <sheet name="Sensitivity Analysis old" sheetId="45" state="hidden" r:id="rId20"/>
    <sheet name="Voluntary_SSP2" sheetId="29" state="hidden" r:id="rId21"/>
    <sheet name="Voluntary_SSP3" sheetId="41" state="hidden" r:id="rId22"/>
    <sheet name="Involuntary_SSP3" sheetId="34" state="hidden" r:id="rId23"/>
    <sheet name="Voluntary_SSP5" sheetId="37" state="hidden" r:id="rId24"/>
    <sheet name="Voluntary_SSP1 Test" sheetId="39" state="hidden" r:id="rId25"/>
    <sheet name="Severity" sheetId="1" state="hidden" r:id="rId26"/>
    <sheet name="Sheet1" sheetId="21" state="hidden" r:id="rId27"/>
    <sheet name="Frequency Modelling &gt;&gt;" sheetId="10" state="hidden" r:id="rId28"/>
    <sheet name="Frequency 2020 Values" sheetId="3" state="hidden" r:id="rId29"/>
    <sheet name="Low Risk Scenarios" sheetId="5" state="hidden" r:id="rId30"/>
    <sheet name="Freq Projections - Low" sheetId="9" state="hidden" r:id="rId31"/>
    <sheet name="Med Risk Scenarios" sheetId="6" state="hidden" r:id="rId32"/>
    <sheet name="Freq Projections - Med" sheetId="8" state="hidden" r:id="rId33"/>
    <sheet name="High Risk Scenarios" sheetId="4" state="hidden" r:id="rId34"/>
    <sheet name="Freq Projections - High" sheetId="7" state="hidden" r:id="rId35"/>
    <sheet name="GDP Projections" sheetId="17" state="hidden" r:id="rId36"/>
    <sheet name="Final Cost Model &gt;&gt;" sheetId="11" state="hidden" r:id="rId37"/>
    <sheet name="Inputs" sheetId="12" state="hidden" r:id="rId38"/>
    <sheet name="jins attempt" sheetId="18" state="hidden" r:id="rId39"/>
    <sheet name="Voluntary Relocation Cost" sheetId="13" state="hidden" r:id="rId40"/>
    <sheet name="Projections - Shaun's Attempt" sheetId="20" state="hidden" r:id="rId41"/>
    <sheet name="Census Projections" sheetId="15" state="hidden" r:id="rId42"/>
    <sheet name="Temp Housing Cost Projections" sheetId="16" state="hidden" r:id="rId43"/>
  </sheets>
  <externalReferences>
    <externalReference r:id="rId44"/>
  </externalReferences>
  <definedNames>
    <definedName name="solver_adj" localSheetId="13" hidden="1">'Program Cost Differences'!$C$27</definedName>
    <definedName name="solver_adj" localSheetId="12" hidden="1">'Program Cost Differences (1)'!$C$27</definedName>
    <definedName name="solver_cvg" localSheetId="13" hidden="1">0.0001</definedName>
    <definedName name="solver_cvg" localSheetId="12" hidden="1">0.0001</definedName>
    <definedName name="solver_drv" localSheetId="13" hidden="1">2</definedName>
    <definedName name="solver_drv" localSheetId="12" hidden="1">2</definedName>
    <definedName name="solver_eng" localSheetId="13" hidden="1">1</definedName>
    <definedName name="solver_eng" localSheetId="12" hidden="1">1</definedName>
    <definedName name="solver_est" localSheetId="13" hidden="1">1</definedName>
    <definedName name="solver_est" localSheetId="12" hidden="1">1</definedName>
    <definedName name="solver_itr" localSheetId="13" hidden="1">2147483647</definedName>
    <definedName name="solver_itr" localSheetId="12" hidden="1">2147483647</definedName>
    <definedName name="solver_lhs1" localSheetId="13" hidden="1">'Program Cost Differences'!$C$27</definedName>
    <definedName name="solver_lhs1" localSheetId="12" hidden="1">'Program Cost Differences (1)'!$C$27</definedName>
    <definedName name="solver_mip" localSheetId="13" hidden="1">2147483647</definedName>
    <definedName name="solver_mip" localSheetId="12" hidden="1">2147483647</definedName>
    <definedName name="solver_mni" localSheetId="13" hidden="1">30</definedName>
    <definedName name="solver_mni" localSheetId="12" hidden="1">30</definedName>
    <definedName name="solver_mrt" localSheetId="13" hidden="1">0.075</definedName>
    <definedName name="solver_mrt" localSheetId="12" hidden="1">0.075</definedName>
    <definedName name="solver_msl" localSheetId="13" hidden="1">2</definedName>
    <definedName name="solver_msl" localSheetId="12" hidden="1">2</definedName>
    <definedName name="solver_neg" localSheetId="13" hidden="1">1</definedName>
    <definedName name="solver_neg" localSheetId="12" hidden="1">1</definedName>
    <definedName name="solver_nod" localSheetId="13" hidden="1">2147483647</definedName>
    <definedName name="solver_nod" localSheetId="12" hidden="1">2147483647</definedName>
    <definedName name="solver_num" localSheetId="13" hidden="1">1</definedName>
    <definedName name="solver_num" localSheetId="12" hidden="1">1</definedName>
    <definedName name="solver_nwt" localSheetId="13" hidden="1">1</definedName>
    <definedName name="solver_nwt" localSheetId="12" hidden="1">1</definedName>
    <definedName name="solver_opt" localSheetId="13" hidden="1">'Program Cost Differences'!$C$25</definedName>
    <definedName name="solver_opt" localSheetId="12" hidden="1">'Program Cost Differences (1)'!$C$25</definedName>
    <definedName name="solver_pre" localSheetId="13" hidden="1">0.000001</definedName>
    <definedName name="solver_pre" localSheetId="12" hidden="1">0.000001</definedName>
    <definedName name="solver_rbv" localSheetId="13" hidden="1">2</definedName>
    <definedName name="solver_rbv" localSheetId="12" hidden="1">2</definedName>
    <definedName name="solver_rel1" localSheetId="13" hidden="1">3</definedName>
    <definedName name="solver_rel1" localSheetId="12" hidden="1">3</definedName>
    <definedName name="solver_rhs1" localSheetId="13" hidden="1">0.000000001</definedName>
    <definedName name="solver_rhs1" localSheetId="12" hidden="1">0.000000001</definedName>
    <definedName name="solver_rlx" localSheetId="13" hidden="1">2</definedName>
    <definedName name="solver_rlx" localSheetId="12" hidden="1">2</definedName>
    <definedName name="solver_rsd" localSheetId="13" hidden="1">0</definedName>
    <definedName name="solver_rsd" localSheetId="12" hidden="1">0</definedName>
    <definedName name="solver_scl" localSheetId="13" hidden="1">2</definedName>
    <definedName name="solver_scl" localSheetId="12" hidden="1">2</definedName>
    <definedName name="solver_sho" localSheetId="13" hidden="1">2</definedName>
    <definedName name="solver_sho" localSheetId="12" hidden="1">2</definedName>
    <definedName name="solver_ssz" localSheetId="13" hidden="1">100</definedName>
    <definedName name="solver_ssz" localSheetId="12" hidden="1">100</definedName>
    <definedName name="solver_tim" localSheetId="13" hidden="1">2147483647</definedName>
    <definedName name="solver_tim" localSheetId="12" hidden="1">2147483647</definedName>
    <definedName name="solver_tol" localSheetId="13" hidden="1">0.01</definedName>
    <definedName name="solver_tol" localSheetId="12" hidden="1">0.01</definedName>
    <definedName name="solver_typ" localSheetId="13" hidden="1">2</definedName>
    <definedName name="solver_typ" localSheetId="12" hidden="1">2</definedName>
    <definedName name="solver_val" localSheetId="13" hidden="1">0</definedName>
    <definedName name="solver_val" localSheetId="12" hidden="1">0</definedName>
    <definedName name="solver_ver" localSheetId="13" hidden="1">3</definedName>
    <definedName name="solver_ver" localSheetId="12" hidden="1">3</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xlnp="http://schemas.microsoft.com/office/spreadsheetml/2019/extlinksprops" uri="{FCE6A71B-6B00-49CD-AB44-F6B1AE7CDE65}">
      <xxlnp:externalLinksPr autoRefresh="1"/>
    </ext>
  </extLst>
</workbook>
</file>

<file path=xl/calcChain.xml><?xml version="1.0" encoding="utf-8"?>
<calcChain xmlns="http://schemas.openxmlformats.org/spreadsheetml/2006/main">
  <c r="H157" i="55" l="1"/>
  <c r="N27" i="46"/>
  <c r="N28" i="46"/>
  <c r="N29" i="46"/>
  <c r="N30" i="46"/>
  <c r="N31" i="46"/>
  <c r="N32" i="46"/>
  <c r="N33" i="46"/>
  <c r="N34" i="46"/>
  <c r="N35" i="46"/>
  <c r="N36" i="46"/>
  <c r="N37" i="46"/>
  <c r="N38" i="46"/>
  <c r="N39" i="46"/>
  <c r="N40" i="46"/>
  <c r="N41" i="46"/>
  <c r="N42" i="46"/>
  <c r="N43" i="46"/>
  <c r="M27" i="46"/>
  <c r="M28" i="46"/>
  <c r="M29" i="46"/>
  <c r="M30" i="46"/>
  <c r="M31" i="46"/>
  <c r="M32" i="46"/>
  <c r="M33" i="46"/>
  <c r="M34" i="46"/>
  <c r="M35" i="46"/>
  <c r="M36" i="46"/>
  <c r="M37" i="46"/>
  <c r="M38" i="46"/>
  <c r="M39" i="46"/>
  <c r="M40" i="46"/>
  <c r="M41" i="46"/>
  <c r="M42" i="46"/>
  <c r="M43" i="46"/>
  <c r="M26" i="46"/>
  <c r="L27" i="46"/>
  <c r="L28" i="46"/>
  <c r="L29" i="46"/>
  <c r="L30" i="46"/>
  <c r="L31" i="46"/>
  <c r="L32" i="46"/>
  <c r="L33" i="46"/>
  <c r="L34" i="46"/>
  <c r="L35" i="46"/>
  <c r="L36" i="46"/>
  <c r="L37" i="46"/>
  <c r="L38" i="46"/>
  <c r="L39" i="46"/>
  <c r="L40" i="46"/>
  <c r="L41" i="46"/>
  <c r="L42" i="46"/>
  <c r="L43" i="46"/>
  <c r="L26" i="46"/>
  <c r="K27" i="46"/>
  <c r="K28" i="46"/>
  <c r="K29" i="46"/>
  <c r="K30" i="46"/>
  <c r="K31" i="46"/>
  <c r="K32" i="46"/>
  <c r="K33" i="46"/>
  <c r="K34" i="46"/>
  <c r="K35" i="46"/>
  <c r="K36" i="46"/>
  <c r="K37" i="46"/>
  <c r="K38" i="46"/>
  <c r="K39" i="46"/>
  <c r="K40" i="46"/>
  <c r="K41" i="46"/>
  <c r="K42" i="46"/>
  <c r="K43" i="46"/>
  <c r="K26" i="46"/>
  <c r="F37" i="46"/>
  <c r="F38" i="46"/>
  <c r="F39" i="46"/>
  <c r="F40" i="46"/>
  <c r="F41" i="46"/>
  <c r="F42" i="46"/>
  <c r="F43" i="46"/>
  <c r="F16" i="46"/>
  <c r="F17" i="46"/>
  <c r="F18" i="46"/>
  <c r="F19" i="46"/>
  <c r="F20" i="46"/>
  <c r="F21" i="46"/>
  <c r="F22" i="46"/>
  <c r="D92" i="50"/>
  <c r="C6" i="55"/>
  <c r="H23" i="50"/>
  <c r="D23" i="50"/>
  <c r="E23" i="50"/>
  <c r="F23" i="50"/>
  <c r="G23" i="50"/>
  <c r="C23" i="50"/>
  <c r="I16" i="56"/>
  <c r="I17" i="56"/>
  <c r="I18" i="56"/>
  <c r="I19" i="56"/>
  <c r="I20" i="56"/>
  <c r="I21" i="56"/>
  <c r="I22" i="56"/>
  <c r="H92" i="50"/>
  <c r="G92" i="50"/>
  <c r="F92" i="50"/>
  <c r="E92" i="50"/>
  <c r="C92" i="50"/>
  <c r="H69" i="50"/>
  <c r="G69" i="50"/>
  <c r="F69" i="50"/>
  <c r="E69" i="50"/>
  <c r="D69" i="50"/>
  <c r="C69" i="50"/>
  <c r="H46" i="50"/>
  <c r="G46" i="50"/>
  <c r="F46" i="50"/>
  <c r="E46" i="50"/>
  <c r="D46" i="50"/>
  <c r="C46" i="50"/>
  <c r="G81" i="55"/>
  <c r="G6" i="55" s="1"/>
  <c r="F5" i="55"/>
  <c r="F43" i="55"/>
  <c r="F6" i="47"/>
  <c r="N26" i="46" l="1"/>
  <c r="K5" i="56"/>
  <c r="E5" i="56"/>
  <c r="E25" i="56" l="1"/>
  <c r="K27" i="56"/>
  <c r="K26" i="56"/>
  <c r="E26" i="56"/>
  <c r="K25" i="56"/>
  <c r="E27" i="56"/>
  <c r="K15" i="56"/>
  <c r="K6" i="56"/>
  <c r="E28" i="56" l="1"/>
  <c r="K7" i="56"/>
  <c r="K16" i="56"/>
  <c r="E6" i="56"/>
  <c r="K28" i="56" l="1"/>
  <c r="K17" i="56"/>
  <c r="K8" i="56"/>
  <c r="E7" i="56"/>
  <c r="E29" i="56"/>
  <c r="E30" i="56" l="1"/>
  <c r="K18" i="56"/>
  <c r="K9" i="56"/>
  <c r="K29" i="56"/>
  <c r="E8" i="56"/>
  <c r="K19" i="56" l="1"/>
  <c r="E31" i="56"/>
  <c r="K30" i="56"/>
  <c r="E9" i="56"/>
  <c r="K10" i="56"/>
  <c r="E32" i="56" l="1"/>
  <c r="K11" i="56"/>
  <c r="K31" i="56"/>
  <c r="K20" i="56"/>
  <c r="E10" i="56"/>
  <c r="E33" i="56" l="1"/>
  <c r="K32" i="56"/>
  <c r="E11" i="56"/>
  <c r="K12" i="56"/>
  <c r="K21" i="56"/>
  <c r="K22" i="56" l="1"/>
  <c r="K13" i="56"/>
  <c r="E12" i="56"/>
  <c r="E34" i="56"/>
  <c r="K33" i="56"/>
  <c r="K14" i="56" l="1"/>
  <c r="E35" i="56"/>
  <c r="E14" i="56"/>
  <c r="E13" i="56"/>
  <c r="E15" i="56"/>
  <c r="K34" i="56"/>
  <c r="E16" i="56"/>
  <c r="K35" i="56" l="1"/>
  <c r="E36" i="56"/>
  <c r="E37" i="56" l="1"/>
  <c r="E17" i="56"/>
  <c r="K36" i="56"/>
  <c r="E38" i="56" l="1"/>
  <c r="E18" i="56"/>
  <c r="K37" i="56"/>
  <c r="E39" i="56" l="1"/>
  <c r="E19" i="56"/>
  <c r="K38" i="56"/>
  <c r="E40" i="56" l="1"/>
  <c r="E20" i="56"/>
  <c r="K39" i="56"/>
  <c r="E41" i="56" l="1"/>
  <c r="E21" i="56"/>
  <c r="K40" i="56"/>
  <c r="E42" i="56" l="1"/>
  <c r="E22" i="56"/>
  <c r="K41" i="56"/>
  <c r="K42" i="56" l="1"/>
  <c r="AC23" i="27" l="1"/>
  <c r="AD23" i="27"/>
  <c r="AE23" i="27"/>
  <c r="AF23" i="27"/>
  <c r="AG23" i="27"/>
  <c r="AB23" i="27"/>
  <c r="M23" i="27"/>
  <c r="N23" i="27"/>
  <c r="O23" i="27"/>
  <c r="P23" i="27"/>
  <c r="Q23" i="27"/>
  <c r="L23" i="27"/>
  <c r="U23" i="27"/>
  <c r="V23" i="27"/>
  <c r="W23" i="27"/>
  <c r="X23" i="27"/>
  <c r="Y23" i="27"/>
  <c r="T23" i="27"/>
  <c r="E23" i="27"/>
  <c r="F23" i="27"/>
  <c r="G23" i="27"/>
  <c r="H23" i="27"/>
  <c r="I23" i="27"/>
  <c r="K26" i="48"/>
  <c r="K27" i="48"/>
  <c r="K28" i="48"/>
  <c r="K29" i="48"/>
  <c r="K30" i="48"/>
  <c r="K31" i="48"/>
  <c r="K32" i="48"/>
  <c r="K33" i="48"/>
  <c r="K34" i="48"/>
  <c r="K35" i="48"/>
  <c r="K36" i="48"/>
  <c r="K37" i="48"/>
  <c r="K38" i="48"/>
  <c r="K39" i="48"/>
  <c r="K40" i="48"/>
  <c r="K41" i="48"/>
  <c r="K42" i="48"/>
  <c r="K25" i="48"/>
  <c r="H195" i="55"/>
  <c r="AN244" i="55"/>
  <c r="AN245" i="55"/>
  <c r="AN246" i="55"/>
  <c r="AN247" i="55"/>
  <c r="AN248" i="55"/>
  <c r="AN249" i="55"/>
  <c r="AN250" i="55"/>
  <c r="AA214" i="55"/>
  <c r="AA215" i="55" s="1"/>
  <c r="AA216" i="55" s="1"/>
  <c r="AA217" i="55" s="1"/>
  <c r="AA218" i="55" s="1"/>
  <c r="AA219" i="55" s="1"/>
  <c r="AA220" i="55" s="1"/>
  <c r="AA221" i="55" s="1"/>
  <c r="AA222" i="55" s="1"/>
  <c r="AA223" i="55" s="1"/>
  <c r="AA224" i="55" s="1"/>
  <c r="AA225" i="55" s="1"/>
  <c r="AA226" i="55" s="1"/>
  <c r="AA227" i="55" s="1"/>
  <c r="AA228" i="55" s="1"/>
  <c r="AA229" i="55" s="1"/>
  <c r="AA230" i="55" s="1"/>
  <c r="AA231" i="55" s="1"/>
  <c r="AB214" i="55"/>
  <c r="AB215" i="55" s="1"/>
  <c r="AB216" i="55" s="1"/>
  <c r="AC214" i="55"/>
  <c r="AC215" i="55" s="1"/>
  <c r="AC216" i="55" s="1"/>
  <c r="AC217" i="55" s="1"/>
  <c r="AC218" i="55" s="1"/>
  <c r="AC219" i="55" s="1"/>
  <c r="AC220" i="55" s="1"/>
  <c r="AC221" i="55" s="1"/>
  <c r="AC222" i="55" s="1"/>
  <c r="AC223" i="55" s="1"/>
  <c r="AC224" i="55" s="1"/>
  <c r="AC225" i="55" s="1"/>
  <c r="AC226" i="55" s="1"/>
  <c r="AC227" i="55" s="1"/>
  <c r="AC228" i="55" s="1"/>
  <c r="AC229" i="55" s="1"/>
  <c r="AC230" i="55" s="1"/>
  <c r="AC231" i="55" s="1"/>
  <c r="Z214" i="55"/>
  <c r="Z215" i="55" s="1"/>
  <c r="Z216" i="55" s="1"/>
  <c r="Z217" i="55" s="1"/>
  <c r="Q214" i="55"/>
  <c r="AK214" i="55"/>
  <c r="AK215" i="55" s="1"/>
  <c r="AK216" i="55" s="1"/>
  <c r="AK217" i="55" s="1"/>
  <c r="AL214" i="55"/>
  <c r="AL215" i="55" s="1"/>
  <c r="AL216" i="55" s="1"/>
  <c r="AM214" i="55"/>
  <c r="AM215" i="55" s="1"/>
  <c r="AM216" i="55" s="1"/>
  <c r="AM217" i="55" s="1"/>
  <c r="AM218" i="55" s="1"/>
  <c r="AM219" i="55" s="1"/>
  <c r="AM220" i="55" s="1"/>
  <c r="AM221" i="55" s="1"/>
  <c r="AM222" i="55" s="1"/>
  <c r="AM223" i="55" s="1"/>
  <c r="AM224" i="55" s="1"/>
  <c r="AM225" i="55" s="1"/>
  <c r="AM226" i="55" s="1"/>
  <c r="AM227" i="55" s="1"/>
  <c r="AM228" i="55" s="1"/>
  <c r="AM229" i="55" s="1"/>
  <c r="AM230" i="55" s="1"/>
  <c r="AM231" i="55" s="1"/>
  <c r="AJ214" i="55"/>
  <c r="AJ215" i="55" s="1"/>
  <c r="AA195" i="55"/>
  <c r="AA196" i="55" s="1"/>
  <c r="AA197" i="55" s="1"/>
  <c r="AA198" i="55" s="1"/>
  <c r="AA199" i="55" s="1"/>
  <c r="AA200" i="55" s="1"/>
  <c r="AA201" i="55" s="1"/>
  <c r="AA202" i="55" s="1"/>
  <c r="AA203" i="55" s="1"/>
  <c r="AA204" i="55" s="1"/>
  <c r="AA205" i="55" s="1"/>
  <c r="AA206" i="55" s="1"/>
  <c r="AA207" i="55" s="1"/>
  <c r="AB195" i="55"/>
  <c r="AB196" i="55" s="1"/>
  <c r="AB197" i="55" s="1"/>
  <c r="AB198" i="55" s="1"/>
  <c r="AB199" i="55" s="1"/>
  <c r="AB200" i="55" s="1"/>
  <c r="AB201" i="55" s="1"/>
  <c r="AB202" i="55" s="1"/>
  <c r="AB203" i="55" s="1"/>
  <c r="AB204" i="55" s="1"/>
  <c r="AB205" i="55" s="1"/>
  <c r="AB206" i="55" s="1"/>
  <c r="AB207" i="55" s="1"/>
  <c r="AB208" i="55" s="1"/>
  <c r="AB209" i="55" s="1"/>
  <c r="AB210" i="55" s="1"/>
  <c r="AB211" i="55" s="1"/>
  <c r="AB212" i="55" s="1"/>
  <c r="AC195" i="55"/>
  <c r="AC196" i="55" s="1"/>
  <c r="AC197" i="55" s="1"/>
  <c r="AC198" i="55" s="1"/>
  <c r="AC199" i="55" s="1"/>
  <c r="AC200" i="55" s="1"/>
  <c r="AC201" i="55" s="1"/>
  <c r="AC202" i="55" s="1"/>
  <c r="AC203" i="55" s="1"/>
  <c r="AC204" i="55" s="1"/>
  <c r="AC205" i="55" s="1"/>
  <c r="AC206" i="55" s="1"/>
  <c r="AC207" i="55" s="1"/>
  <c r="AC208" i="55" s="1"/>
  <c r="AC209" i="55" s="1"/>
  <c r="AC210" i="55" s="1"/>
  <c r="AC211" i="55" s="1"/>
  <c r="AC212" i="55" s="1"/>
  <c r="Z195" i="55"/>
  <c r="Z196" i="55" s="1"/>
  <c r="Q195" i="55"/>
  <c r="AK195" i="55"/>
  <c r="AK196" i="55" s="1"/>
  <c r="AK197" i="55" s="1"/>
  <c r="AK198" i="55" s="1"/>
  <c r="AK199" i="55" s="1"/>
  <c r="AK200" i="55" s="1"/>
  <c r="AK201" i="55" s="1"/>
  <c r="AK202" i="55" s="1"/>
  <c r="AK203" i="55" s="1"/>
  <c r="AK204" i="55" s="1"/>
  <c r="AK205" i="55" s="1"/>
  <c r="AK206" i="55" s="1"/>
  <c r="AK207" i="55" s="1"/>
  <c r="AK208" i="55" s="1"/>
  <c r="AK209" i="55" s="1"/>
  <c r="AK210" i="55" s="1"/>
  <c r="AK211" i="55" s="1"/>
  <c r="AK212" i="55" s="1"/>
  <c r="AL195" i="55"/>
  <c r="AL196" i="55" s="1"/>
  <c r="AL197" i="55" s="1"/>
  <c r="AL198" i="55" s="1"/>
  <c r="AL199" i="55" s="1"/>
  <c r="AL200" i="55" s="1"/>
  <c r="AL201" i="55" s="1"/>
  <c r="AL202" i="55" s="1"/>
  <c r="AL203" i="55" s="1"/>
  <c r="AL204" i="55" s="1"/>
  <c r="AL205" i="55" s="1"/>
  <c r="AL206" i="55" s="1"/>
  <c r="AL207" i="55" s="1"/>
  <c r="AL208" i="55" s="1"/>
  <c r="AL209" i="55" s="1"/>
  <c r="AL210" i="55" s="1"/>
  <c r="AL211" i="55" s="1"/>
  <c r="AL212" i="55" s="1"/>
  <c r="AM195" i="55"/>
  <c r="AM196" i="55" s="1"/>
  <c r="AM197" i="55" s="1"/>
  <c r="AM198" i="55" s="1"/>
  <c r="AM199" i="55" s="1"/>
  <c r="AM200" i="55" s="1"/>
  <c r="AM201" i="55" s="1"/>
  <c r="AM202" i="55" s="1"/>
  <c r="AM203" i="55" s="1"/>
  <c r="AM204" i="55" s="1"/>
  <c r="AM205" i="55" s="1"/>
  <c r="AM206" i="55" s="1"/>
  <c r="AM207" i="55" s="1"/>
  <c r="AM208" i="55" s="1"/>
  <c r="AM209" i="55" s="1"/>
  <c r="AM210" i="55" s="1"/>
  <c r="AM211" i="55" s="1"/>
  <c r="AM212" i="55" s="1"/>
  <c r="AA176" i="55"/>
  <c r="AA177" i="55" s="1"/>
  <c r="AA178" i="55" s="1"/>
  <c r="AA179" i="55" s="1"/>
  <c r="AA180" i="55" s="1"/>
  <c r="AA181" i="55" s="1"/>
  <c r="AA182" i="55" s="1"/>
  <c r="AA183" i="55" s="1"/>
  <c r="AA184" i="55" s="1"/>
  <c r="AA185" i="55" s="1"/>
  <c r="AA186" i="55" s="1"/>
  <c r="AA187" i="55" s="1"/>
  <c r="AA188" i="55" s="1"/>
  <c r="AA189" i="55" s="1"/>
  <c r="AA190" i="55" s="1"/>
  <c r="AA191" i="55" s="1"/>
  <c r="AA192" i="55" s="1"/>
  <c r="AA193" i="55" s="1"/>
  <c r="AB176" i="55"/>
  <c r="AB177" i="55" s="1"/>
  <c r="AB178" i="55" s="1"/>
  <c r="AB179" i="55" s="1"/>
  <c r="AB180" i="55" s="1"/>
  <c r="AB181" i="55" s="1"/>
  <c r="AB182" i="55" s="1"/>
  <c r="AB183" i="55" s="1"/>
  <c r="AB184" i="55" s="1"/>
  <c r="AB185" i="55" s="1"/>
  <c r="AB186" i="55" s="1"/>
  <c r="AB187" i="55" s="1"/>
  <c r="AB188" i="55" s="1"/>
  <c r="AB189" i="55" s="1"/>
  <c r="AB190" i="55" s="1"/>
  <c r="AB191" i="55" s="1"/>
  <c r="AB192" i="55" s="1"/>
  <c r="AB193" i="55" s="1"/>
  <c r="AC176" i="55"/>
  <c r="AC177" i="55" s="1"/>
  <c r="AC178" i="55" s="1"/>
  <c r="AC179" i="55" s="1"/>
  <c r="AC180" i="55" s="1"/>
  <c r="AC181" i="55" s="1"/>
  <c r="AC182" i="55" s="1"/>
  <c r="AC183" i="55" s="1"/>
  <c r="AC184" i="55" s="1"/>
  <c r="AC185" i="55" s="1"/>
  <c r="AC186" i="55" s="1"/>
  <c r="AC187" i="55" s="1"/>
  <c r="AC188" i="55" s="1"/>
  <c r="AC189" i="55" s="1"/>
  <c r="AC190" i="55" s="1"/>
  <c r="AC191" i="55" s="1"/>
  <c r="AC192" i="55" s="1"/>
  <c r="AC193" i="55" s="1"/>
  <c r="AJ195" i="55"/>
  <c r="Z176" i="55"/>
  <c r="Z177" i="55" s="1"/>
  <c r="H176" i="55"/>
  <c r="R195" i="55"/>
  <c r="S195" i="55"/>
  <c r="T195" i="55"/>
  <c r="AK176" i="55"/>
  <c r="AL176" i="55"/>
  <c r="AM176" i="55"/>
  <c r="AJ176" i="55"/>
  <c r="R176" i="55"/>
  <c r="S176" i="55"/>
  <c r="T176" i="55"/>
  <c r="Q176" i="55"/>
  <c r="AK157" i="55"/>
  <c r="AL157" i="55"/>
  <c r="AM157" i="55"/>
  <c r="AJ157" i="55"/>
  <c r="T157" i="55"/>
  <c r="R157" i="55"/>
  <c r="S157" i="55"/>
  <c r="Q157" i="55"/>
  <c r="AA157" i="55"/>
  <c r="AB157" i="55"/>
  <c r="AC157" i="55"/>
  <c r="Z157" i="55"/>
  <c r="O43" i="55"/>
  <c r="H214" i="55"/>
  <c r="H119" i="55"/>
  <c r="X285" i="55"/>
  <c r="AA283" i="55"/>
  <c r="AA281" i="55"/>
  <c r="F281" i="55"/>
  <c r="AA279" i="55"/>
  <c r="X279" i="55"/>
  <c r="X275" i="55"/>
  <c r="F275" i="55"/>
  <c r="AM271" i="55"/>
  <c r="AM288" i="55" s="1"/>
  <c r="AL271" i="55"/>
  <c r="AL288" i="55" s="1"/>
  <c r="AK271" i="55"/>
  <c r="AK288" i="55" s="1"/>
  <c r="AJ271" i="55"/>
  <c r="AJ288" i="55" s="1"/>
  <c r="AI271" i="55"/>
  <c r="AI288" i="55" s="1"/>
  <c r="AH271" i="55"/>
  <c r="AH288" i="55" s="1"/>
  <c r="AC271" i="55"/>
  <c r="AC288" i="55" s="1"/>
  <c r="AB271" i="55"/>
  <c r="AB288" i="55" s="1"/>
  <c r="AA271" i="55"/>
  <c r="AA288" i="55" s="1"/>
  <c r="Z271" i="55"/>
  <c r="Z288" i="55" s="1"/>
  <c r="Y271" i="55"/>
  <c r="Y288" i="55" s="1"/>
  <c r="X271" i="55"/>
  <c r="X288" i="55" s="1"/>
  <c r="T271" i="55"/>
  <c r="T288" i="55" s="1"/>
  <c r="S271" i="55"/>
  <c r="S288" i="55" s="1"/>
  <c r="R271" i="55"/>
  <c r="R288" i="55" s="1"/>
  <c r="Q271" i="55"/>
  <c r="Q288" i="55" s="1"/>
  <c r="P271" i="55"/>
  <c r="P288" i="55" s="1"/>
  <c r="O271" i="55"/>
  <c r="O288" i="55" s="1"/>
  <c r="K271" i="55"/>
  <c r="K288" i="55" s="1"/>
  <c r="J271" i="55"/>
  <c r="J288" i="55" s="1"/>
  <c r="I271" i="55"/>
  <c r="I288" i="55" s="1"/>
  <c r="H271" i="55"/>
  <c r="H288" i="55" s="1"/>
  <c r="G271" i="55"/>
  <c r="G288" i="55" s="1"/>
  <c r="F271" i="55"/>
  <c r="F288" i="55" s="1"/>
  <c r="T214" i="55"/>
  <c r="S214" i="55"/>
  <c r="R214" i="55"/>
  <c r="K214" i="55"/>
  <c r="J214" i="55"/>
  <c r="I214" i="55"/>
  <c r="AM119" i="55"/>
  <c r="AL119" i="55"/>
  <c r="AK119" i="55"/>
  <c r="AJ119" i="55"/>
  <c r="AI119" i="55"/>
  <c r="AH119" i="55"/>
  <c r="AC119" i="55"/>
  <c r="AB119" i="55"/>
  <c r="AA119" i="55"/>
  <c r="Z119" i="55"/>
  <c r="Y119" i="55"/>
  <c r="X119" i="55"/>
  <c r="T119" i="55"/>
  <c r="S119" i="55"/>
  <c r="R119" i="55"/>
  <c r="Q119" i="55"/>
  <c r="P119" i="55"/>
  <c r="O119" i="55"/>
  <c r="K119" i="55"/>
  <c r="J119" i="55"/>
  <c r="I119" i="55"/>
  <c r="G119" i="55"/>
  <c r="F119" i="55"/>
  <c r="I25" i="55"/>
  <c r="I26" i="55" s="1"/>
  <c r="H25" i="55"/>
  <c r="AM24" i="55"/>
  <c r="AL24" i="55"/>
  <c r="AK24" i="55"/>
  <c r="AK25" i="55" s="1"/>
  <c r="AK26" i="55" s="1"/>
  <c r="AJ24" i="55"/>
  <c r="AJ25" i="55" s="1"/>
  <c r="AI24" i="55"/>
  <c r="AH24" i="55"/>
  <c r="AC24" i="55"/>
  <c r="AB24" i="55"/>
  <c r="AB25" i="55" s="1"/>
  <c r="AA24" i="55"/>
  <c r="AA25" i="55" s="1"/>
  <c r="AA26" i="55" s="1"/>
  <c r="Z24" i="55"/>
  <c r="Z25" i="55" s="1"/>
  <c r="Y24" i="55"/>
  <c r="X24" i="55"/>
  <c r="T24" i="55"/>
  <c r="S24" i="55"/>
  <c r="R24" i="55"/>
  <c r="Q24" i="55"/>
  <c r="P24" i="55"/>
  <c r="O24" i="55"/>
  <c r="K24" i="55"/>
  <c r="K25" i="55" s="1"/>
  <c r="J24" i="55"/>
  <c r="J25" i="55" s="1"/>
  <c r="I24" i="55"/>
  <c r="H24" i="55"/>
  <c r="G24" i="55"/>
  <c r="F24" i="55"/>
  <c r="AM5" i="55"/>
  <c r="AL5" i="55"/>
  <c r="AK5" i="55"/>
  <c r="AK43" i="55" s="1"/>
  <c r="AJ5" i="55"/>
  <c r="AJ43" i="55" s="1"/>
  <c r="AI5" i="55"/>
  <c r="AH5" i="55"/>
  <c r="AC5" i="55"/>
  <c r="AB5" i="55"/>
  <c r="AA5" i="55"/>
  <c r="Z5" i="55"/>
  <c r="Z43" i="55" s="1"/>
  <c r="Y5" i="55"/>
  <c r="Y81" i="55" s="1"/>
  <c r="Y100" i="55" s="1"/>
  <c r="X5" i="55"/>
  <c r="T5" i="55"/>
  <c r="S5" i="55"/>
  <c r="R5" i="55"/>
  <c r="R43" i="55" s="1"/>
  <c r="Q5" i="55"/>
  <c r="Q43" i="55" s="1"/>
  <c r="P5" i="55"/>
  <c r="O5" i="55"/>
  <c r="K5" i="55"/>
  <c r="J5" i="55"/>
  <c r="I5" i="55"/>
  <c r="H5" i="55"/>
  <c r="G5" i="55"/>
  <c r="G100" i="55" s="1"/>
  <c r="C4" i="55"/>
  <c r="F81" i="55" s="1"/>
  <c r="F6" i="55" s="1"/>
  <c r="C58" i="14"/>
  <c r="D59" i="14"/>
  <c r="E59" i="14"/>
  <c r="F59" i="14"/>
  <c r="G59" i="14"/>
  <c r="H59" i="14"/>
  <c r="H58" i="14"/>
  <c r="G58" i="14"/>
  <c r="F58" i="14"/>
  <c r="E58" i="14"/>
  <c r="D58" i="14"/>
  <c r="G176" i="53"/>
  <c r="H176" i="53"/>
  <c r="I176" i="53"/>
  <c r="J176" i="53"/>
  <c r="K176" i="53"/>
  <c r="F176" i="53"/>
  <c r="C59" i="14"/>
  <c r="C7" i="53"/>
  <c r="T176" i="53" s="1"/>
  <c r="C56" i="14"/>
  <c r="X176" i="53" s="1"/>
  <c r="F176" i="47"/>
  <c r="G420" i="53"/>
  <c r="Z419" i="53"/>
  <c r="Y419" i="53"/>
  <c r="H419" i="53"/>
  <c r="G419" i="53"/>
  <c r="G417" i="53"/>
  <c r="Z416" i="53"/>
  <c r="Y416" i="53"/>
  <c r="H416" i="53"/>
  <c r="G416" i="53"/>
  <c r="G414" i="53"/>
  <c r="Z413" i="53"/>
  <c r="Y413" i="53"/>
  <c r="H413" i="53"/>
  <c r="G413" i="53"/>
  <c r="G411" i="53"/>
  <c r="Z410" i="53"/>
  <c r="Y410" i="53"/>
  <c r="H410" i="53"/>
  <c r="G410" i="53"/>
  <c r="G408" i="53"/>
  <c r="Z407" i="53"/>
  <c r="Y407" i="53"/>
  <c r="H407" i="53"/>
  <c r="G407" i="53"/>
  <c r="G405" i="53"/>
  <c r="AM404" i="53"/>
  <c r="AM421" i="53" s="1"/>
  <c r="AL404" i="53"/>
  <c r="AL421" i="53" s="1"/>
  <c r="AK404" i="53"/>
  <c r="AK421" i="53" s="1"/>
  <c r="AJ404" i="53"/>
  <c r="AJ421" i="53" s="1"/>
  <c r="AI404" i="53"/>
  <c r="AI421" i="53" s="1"/>
  <c r="AH404" i="53"/>
  <c r="AH421" i="53" s="1"/>
  <c r="AC404" i="53"/>
  <c r="AC421" i="53" s="1"/>
  <c r="AB404" i="53"/>
  <c r="AB421" i="53" s="1"/>
  <c r="AA404" i="53"/>
  <c r="AA421" i="53" s="1"/>
  <c r="Z404" i="53"/>
  <c r="Z421" i="53" s="1"/>
  <c r="Y404" i="53"/>
  <c r="Y421" i="53" s="1"/>
  <c r="X404" i="53"/>
  <c r="X421" i="53" s="1"/>
  <c r="T404" i="53"/>
  <c r="T421" i="53" s="1"/>
  <c r="S404" i="53"/>
  <c r="S421" i="53" s="1"/>
  <c r="R404" i="53"/>
  <c r="R421" i="53" s="1"/>
  <c r="Q404" i="53"/>
  <c r="Q421" i="53" s="1"/>
  <c r="P404" i="53"/>
  <c r="P421" i="53" s="1"/>
  <c r="O404" i="53"/>
  <c r="O421" i="53" s="1"/>
  <c r="K404" i="53"/>
  <c r="K421" i="53" s="1"/>
  <c r="J404" i="53"/>
  <c r="J421" i="53" s="1"/>
  <c r="I404" i="53"/>
  <c r="I421" i="53" s="1"/>
  <c r="H404" i="53"/>
  <c r="H421" i="53" s="1"/>
  <c r="G404" i="53"/>
  <c r="G421" i="53" s="1"/>
  <c r="F404" i="53"/>
  <c r="F421" i="53" s="1"/>
  <c r="T347" i="53"/>
  <c r="S347" i="53"/>
  <c r="R347" i="53"/>
  <c r="Q347" i="53"/>
  <c r="K347" i="53"/>
  <c r="J347" i="53"/>
  <c r="I347" i="53"/>
  <c r="H347" i="53"/>
  <c r="T328" i="53"/>
  <c r="S328" i="53"/>
  <c r="R328" i="53"/>
  <c r="Q328" i="53"/>
  <c r="K328" i="53"/>
  <c r="J328" i="53"/>
  <c r="I328" i="53"/>
  <c r="H328" i="53"/>
  <c r="AM176" i="53"/>
  <c r="AJ176" i="53"/>
  <c r="AI176" i="53"/>
  <c r="AC176" i="53"/>
  <c r="AB176" i="53"/>
  <c r="Z176" i="53"/>
  <c r="Y176" i="53"/>
  <c r="S176" i="53"/>
  <c r="Q176" i="53"/>
  <c r="P176" i="53"/>
  <c r="O176" i="53"/>
  <c r="AC100" i="53"/>
  <c r="AL81" i="53"/>
  <c r="S81" i="53"/>
  <c r="S100" i="53" s="1"/>
  <c r="J65" i="53"/>
  <c r="I65" i="53"/>
  <c r="AA64" i="53"/>
  <c r="S64" i="53"/>
  <c r="J64" i="53"/>
  <c r="I64" i="53"/>
  <c r="AB63" i="53"/>
  <c r="AA63" i="53"/>
  <c r="Z63" i="53"/>
  <c r="T63" i="53"/>
  <c r="S63" i="53"/>
  <c r="R63" i="53"/>
  <c r="J63" i="53"/>
  <c r="I63" i="53"/>
  <c r="AM62" i="53"/>
  <c r="AM63" i="53" s="1"/>
  <c r="AL62" i="53"/>
  <c r="AK62" i="53"/>
  <c r="AK63" i="53" s="1"/>
  <c r="AJ62" i="53"/>
  <c r="AI62" i="53"/>
  <c r="AH62" i="53"/>
  <c r="AC62" i="53"/>
  <c r="AC63" i="53" s="1"/>
  <c r="AB62" i="53"/>
  <c r="AA62" i="53"/>
  <c r="Z62" i="53"/>
  <c r="Y62" i="53"/>
  <c r="X62" i="53"/>
  <c r="T62" i="53"/>
  <c r="S62" i="53"/>
  <c r="R62" i="53"/>
  <c r="Q62" i="53"/>
  <c r="P62" i="53"/>
  <c r="O62" i="53"/>
  <c r="K62" i="53"/>
  <c r="J62" i="53"/>
  <c r="I62" i="53"/>
  <c r="H62" i="53"/>
  <c r="H63" i="53" s="1"/>
  <c r="G62" i="53"/>
  <c r="F62" i="53"/>
  <c r="G43" i="53"/>
  <c r="AM24" i="53"/>
  <c r="AL24" i="53"/>
  <c r="Y24" i="53"/>
  <c r="Y43" i="53" s="1"/>
  <c r="T24" i="53"/>
  <c r="T43" i="53" s="1"/>
  <c r="S24" i="53"/>
  <c r="G24" i="53"/>
  <c r="C6" i="53"/>
  <c r="AM5" i="53"/>
  <c r="AM81" i="53" s="1"/>
  <c r="AM100" i="53" s="1"/>
  <c r="AL5" i="53"/>
  <c r="AL43" i="53" s="1"/>
  <c r="AK5" i="53"/>
  <c r="AK81" i="53" s="1"/>
  <c r="AJ5" i="53"/>
  <c r="AJ81" i="53" s="1"/>
  <c r="AI5" i="53"/>
  <c r="AH5" i="53"/>
  <c r="AC5" i="53"/>
  <c r="AC81" i="53" s="1"/>
  <c r="AB5" i="53"/>
  <c r="AA5" i="53"/>
  <c r="Z5" i="53"/>
  <c r="Y5" i="53"/>
  <c r="Y119" i="53" s="1"/>
  <c r="Y6" i="53" s="1"/>
  <c r="Y25" i="53" s="1"/>
  <c r="Y44" i="53" s="1"/>
  <c r="X5" i="53"/>
  <c r="T5" i="53"/>
  <c r="T81" i="53" s="1"/>
  <c r="S5" i="53"/>
  <c r="R5" i="53"/>
  <c r="R81" i="53" s="1"/>
  <c r="Q5" i="53"/>
  <c r="Q81" i="53" s="1"/>
  <c r="P5" i="53"/>
  <c r="O5" i="53"/>
  <c r="K5" i="53"/>
  <c r="K81" i="53" s="1"/>
  <c r="J5" i="53"/>
  <c r="J81" i="53" s="1"/>
  <c r="I5" i="53"/>
  <c r="H5" i="53"/>
  <c r="G5" i="53"/>
  <c r="G119" i="53" s="1"/>
  <c r="G6" i="53" s="1"/>
  <c r="G25" i="53" s="1"/>
  <c r="F5" i="53"/>
  <c r="C4" i="53"/>
  <c r="H176" i="47"/>
  <c r="E26" i="48"/>
  <c r="E27" i="48"/>
  <c r="E28" i="48"/>
  <c r="E29" i="48"/>
  <c r="E30" i="48"/>
  <c r="E31" i="48"/>
  <c r="E32" i="48"/>
  <c r="E33" i="48"/>
  <c r="E34" i="48"/>
  <c r="E35" i="48"/>
  <c r="E36" i="48"/>
  <c r="E37" i="48"/>
  <c r="E38" i="48"/>
  <c r="E39" i="48"/>
  <c r="E40" i="48"/>
  <c r="E41" i="48"/>
  <c r="E42" i="48"/>
  <c r="E25" i="48"/>
  <c r="AI176" i="47"/>
  <c r="AJ176" i="47"/>
  <c r="AK176" i="47"/>
  <c r="AL176" i="47"/>
  <c r="AM176" i="47"/>
  <c r="AH176" i="47"/>
  <c r="Y176" i="47"/>
  <c r="Z176" i="47"/>
  <c r="AA176" i="47"/>
  <c r="AB176" i="47"/>
  <c r="AC176" i="47"/>
  <c r="X176" i="47"/>
  <c r="P176" i="47"/>
  <c r="Q176" i="47"/>
  <c r="R176" i="47"/>
  <c r="S176" i="47"/>
  <c r="T176" i="47"/>
  <c r="O176" i="47"/>
  <c r="B14" i="27"/>
  <c r="C3" i="52"/>
  <c r="C4" i="52" s="1"/>
  <c r="AM119" i="52" s="1"/>
  <c r="C4" i="47"/>
  <c r="H176" i="52"/>
  <c r="H177" i="52" s="1"/>
  <c r="H178" i="52" s="1"/>
  <c r="H179" i="52" s="1"/>
  <c r="H180" i="52" s="1"/>
  <c r="H181" i="52" s="1"/>
  <c r="H182" i="52" s="1"/>
  <c r="H183" i="52" s="1"/>
  <c r="H184" i="52" s="1"/>
  <c r="H185" i="52" s="1"/>
  <c r="H186" i="52" s="1"/>
  <c r="H187" i="52" s="1"/>
  <c r="H188" i="52" s="1"/>
  <c r="H189" i="52" s="1"/>
  <c r="H190" i="52" s="1"/>
  <c r="H191" i="52" s="1"/>
  <c r="H192" i="52" s="1"/>
  <c r="H193" i="52" s="1"/>
  <c r="H81" i="52"/>
  <c r="I100" i="52"/>
  <c r="I74" i="52"/>
  <c r="I75" i="52" s="1"/>
  <c r="I76" i="52" s="1"/>
  <c r="I77" i="52" s="1"/>
  <c r="I78" i="52" s="1"/>
  <c r="I79" i="52" s="1"/>
  <c r="J74" i="52"/>
  <c r="K74" i="52"/>
  <c r="J75" i="52"/>
  <c r="J76" i="52" s="1"/>
  <c r="J77" i="52" s="1"/>
  <c r="J78" i="52" s="1"/>
  <c r="J79" i="52" s="1"/>
  <c r="K75" i="52"/>
  <c r="K76" i="52"/>
  <c r="K77" i="52" s="1"/>
  <c r="K78" i="52" s="1"/>
  <c r="K79" i="52" s="1"/>
  <c r="J73" i="52"/>
  <c r="K73" i="52"/>
  <c r="J64" i="52"/>
  <c r="K64" i="52"/>
  <c r="K65" i="52" s="1"/>
  <c r="K66" i="52" s="1"/>
  <c r="K67" i="52" s="1"/>
  <c r="K68" i="52" s="1"/>
  <c r="K69" i="52" s="1"/>
  <c r="K70" i="52" s="1"/>
  <c r="K71" i="52" s="1"/>
  <c r="K72" i="52" s="1"/>
  <c r="J65" i="52"/>
  <c r="J66" i="52" s="1"/>
  <c r="J67" i="52" s="1"/>
  <c r="J68" i="52" s="1"/>
  <c r="J69" i="52" s="1"/>
  <c r="J70" i="52" s="1"/>
  <c r="J71" i="52" s="1"/>
  <c r="J72" i="52" s="1"/>
  <c r="K63" i="52"/>
  <c r="F5" i="52"/>
  <c r="G5" i="52"/>
  <c r="H5" i="52"/>
  <c r="I5" i="52"/>
  <c r="J5" i="52"/>
  <c r="K5" i="52"/>
  <c r="O5" i="52"/>
  <c r="P5" i="52"/>
  <c r="Q5" i="52"/>
  <c r="R5" i="52"/>
  <c r="S5" i="52"/>
  <c r="T5" i="52"/>
  <c r="X5" i="52"/>
  <c r="Y5" i="52"/>
  <c r="Z5" i="52"/>
  <c r="AA5" i="52"/>
  <c r="AB5" i="52"/>
  <c r="AC5" i="52"/>
  <c r="AH5" i="52"/>
  <c r="AI5" i="52"/>
  <c r="AJ5" i="52"/>
  <c r="AK5" i="52"/>
  <c r="AL5" i="52"/>
  <c r="AM5" i="52"/>
  <c r="C6" i="52"/>
  <c r="F24" i="52"/>
  <c r="G24" i="52"/>
  <c r="H24" i="52"/>
  <c r="I24" i="52"/>
  <c r="J24" i="52"/>
  <c r="K24" i="52"/>
  <c r="O24" i="52"/>
  <c r="P24" i="52"/>
  <c r="S24" i="52"/>
  <c r="X24" i="52"/>
  <c r="Y24" i="52"/>
  <c r="Z24" i="52"/>
  <c r="AA24" i="52"/>
  <c r="AB24" i="52"/>
  <c r="AC24" i="52"/>
  <c r="AC43" i="52" s="1"/>
  <c r="AH24" i="52"/>
  <c r="AI24" i="52"/>
  <c r="AL24" i="52"/>
  <c r="F43" i="52"/>
  <c r="G43" i="52"/>
  <c r="H43" i="52"/>
  <c r="I43" i="52"/>
  <c r="J43" i="52"/>
  <c r="K43" i="52"/>
  <c r="O43" i="52"/>
  <c r="P43" i="52"/>
  <c r="S43" i="52"/>
  <c r="X43" i="52"/>
  <c r="Y43" i="52"/>
  <c r="Z43" i="52"/>
  <c r="AA43" i="52"/>
  <c r="AB43" i="52"/>
  <c r="AH43" i="52"/>
  <c r="AI43" i="52"/>
  <c r="AL43" i="52"/>
  <c r="F62" i="52"/>
  <c r="G62" i="52"/>
  <c r="H62" i="52"/>
  <c r="H63" i="52" s="1"/>
  <c r="I62" i="52"/>
  <c r="J62" i="52"/>
  <c r="K62" i="52"/>
  <c r="O62" i="52"/>
  <c r="P62" i="52"/>
  <c r="Q62" i="52"/>
  <c r="R62" i="52"/>
  <c r="S62" i="52"/>
  <c r="T62" i="52"/>
  <c r="X62" i="52"/>
  <c r="Y62" i="52"/>
  <c r="Z62" i="52"/>
  <c r="AA62" i="52"/>
  <c r="AA63" i="52" s="1"/>
  <c r="AB62" i="52"/>
  <c r="AB63" i="52" s="1"/>
  <c r="AC62" i="52"/>
  <c r="AH62" i="52"/>
  <c r="AI62" i="52"/>
  <c r="AJ62" i="52"/>
  <c r="AK62" i="52"/>
  <c r="AL62" i="52"/>
  <c r="AM62" i="52"/>
  <c r="I63" i="52"/>
  <c r="J63" i="52"/>
  <c r="R63" i="52"/>
  <c r="R64" i="52" s="1"/>
  <c r="S63" i="52"/>
  <c r="S64" i="52" s="1"/>
  <c r="S65" i="52" s="1"/>
  <c r="T63" i="52"/>
  <c r="Z63" i="52"/>
  <c r="AJ63" i="52"/>
  <c r="AK63" i="52"/>
  <c r="AL63" i="52"/>
  <c r="AL64" i="52" s="1"/>
  <c r="AL65" i="52" s="1"/>
  <c r="I64" i="52"/>
  <c r="I65" i="52" s="1"/>
  <c r="T64" i="52"/>
  <c r="AB64" i="52"/>
  <c r="AB65" i="52"/>
  <c r="AB66" i="52" s="1"/>
  <c r="I66" i="52"/>
  <c r="AL66" i="52"/>
  <c r="AL67" i="52" s="1"/>
  <c r="AL68" i="52" s="1"/>
  <c r="I67" i="52"/>
  <c r="I68" i="52" s="1"/>
  <c r="AB67" i="52"/>
  <c r="I69" i="52"/>
  <c r="AL69" i="52"/>
  <c r="AL70" i="52" s="1"/>
  <c r="AL71" i="52" s="1"/>
  <c r="AL72" i="52" s="1"/>
  <c r="AL73" i="52" s="1"/>
  <c r="AL74" i="52" s="1"/>
  <c r="F81" i="52"/>
  <c r="G81" i="52"/>
  <c r="I81" i="52"/>
  <c r="J81" i="52"/>
  <c r="J100" i="52" s="1"/>
  <c r="K81" i="52"/>
  <c r="O81" i="52"/>
  <c r="P81" i="52"/>
  <c r="Q81" i="52"/>
  <c r="R81" i="52"/>
  <c r="S81" i="52"/>
  <c r="X81" i="52"/>
  <c r="Y81" i="52"/>
  <c r="Z81" i="52"/>
  <c r="AA81" i="52"/>
  <c r="AB81" i="52"/>
  <c r="AC81" i="52"/>
  <c r="AH81" i="52"/>
  <c r="AI81" i="52"/>
  <c r="AJ81" i="52"/>
  <c r="AK81" i="52"/>
  <c r="AK100" i="52" s="1"/>
  <c r="AL81" i="52"/>
  <c r="H100" i="52"/>
  <c r="R100" i="52"/>
  <c r="S100" i="52"/>
  <c r="Z100" i="52"/>
  <c r="AA100" i="52"/>
  <c r="AB100" i="52"/>
  <c r="AJ100" i="52"/>
  <c r="AL100" i="52"/>
  <c r="F176" i="52"/>
  <c r="F177" i="52" s="1"/>
  <c r="F178" i="52" s="1"/>
  <c r="F179" i="52" s="1"/>
  <c r="F180" i="52" s="1"/>
  <c r="F181" i="52" s="1"/>
  <c r="F182" i="52" s="1"/>
  <c r="F183" i="52" s="1"/>
  <c r="F184" i="52" s="1"/>
  <c r="F185" i="52" s="1"/>
  <c r="F186" i="52" s="1"/>
  <c r="F187" i="52" s="1"/>
  <c r="F188" i="52" s="1"/>
  <c r="F189" i="52" s="1"/>
  <c r="F190" i="52" s="1"/>
  <c r="F191" i="52" s="1"/>
  <c r="F192" i="52" s="1"/>
  <c r="F193" i="52" s="1"/>
  <c r="G176" i="52"/>
  <c r="I176" i="52"/>
  <c r="J176" i="52"/>
  <c r="K176" i="52"/>
  <c r="K177" i="52" s="1"/>
  <c r="K178" i="52" s="1"/>
  <c r="K179" i="52" s="1"/>
  <c r="K180" i="52" s="1"/>
  <c r="K181" i="52" s="1"/>
  <c r="K182" i="52" s="1"/>
  <c r="K183" i="52" s="1"/>
  <c r="K184" i="52" s="1"/>
  <c r="K185" i="52" s="1"/>
  <c r="K186" i="52" s="1"/>
  <c r="K187" i="52" s="1"/>
  <c r="K188" i="52" s="1"/>
  <c r="K189" i="52" s="1"/>
  <c r="K190" i="52" s="1"/>
  <c r="K191" i="52" s="1"/>
  <c r="K192" i="52" s="1"/>
  <c r="K193" i="52" s="1"/>
  <c r="O176" i="52"/>
  <c r="P176" i="52"/>
  <c r="Q176" i="52"/>
  <c r="R176" i="52"/>
  <c r="S176" i="52"/>
  <c r="T176" i="52"/>
  <c r="X176" i="52"/>
  <c r="Y176" i="52"/>
  <c r="Z176" i="52"/>
  <c r="AA176" i="52"/>
  <c r="AB176" i="52"/>
  <c r="AC176" i="52"/>
  <c r="AH176" i="52"/>
  <c r="AI176" i="52"/>
  <c r="AJ176" i="52"/>
  <c r="AK176" i="52"/>
  <c r="AL176" i="52"/>
  <c r="AM176" i="52"/>
  <c r="G177" i="52"/>
  <c r="I177" i="52"/>
  <c r="J177" i="52"/>
  <c r="O177" i="52"/>
  <c r="O178" i="52" s="1"/>
  <c r="O179" i="52" s="1"/>
  <c r="O180" i="52" s="1"/>
  <c r="O181" i="52" s="1"/>
  <c r="O182" i="52" s="1"/>
  <c r="O183" i="52" s="1"/>
  <c r="O184" i="52" s="1"/>
  <c r="O185" i="52" s="1"/>
  <c r="O186" i="52" s="1"/>
  <c r="O187" i="52" s="1"/>
  <c r="O188" i="52" s="1"/>
  <c r="O189" i="52" s="1"/>
  <c r="O190" i="52" s="1"/>
  <c r="O191" i="52" s="1"/>
  <c r="O192" i="52" s="1"/>
  <c r="O193" i="52" s="1"/>
  <c r="P177" i="52"/>
  <c r="Q177" i="52"/>
  <c r="R177" i="52"/>
  <c r="S177" i="52"/>
  <c r="T177" i="52"/>
  <c r="X177" i="52"/>
  <c r="X178" i="52" s="1"/>
  <c r="X179" i="52" s="1"/>
  <c r="X180" i="52" s="1"/>
  <c r="X181" i="52" s="1"/>
  <c r="X182" i="52" s="1"/>
  <c r="X183" i="52" s="1"/>
  <c r="X184" i="52" s="1"/>
  <c r="X185" i="52" s="1"/>
  <c r="X186" i="52" s="1"/>
  <c r="X187" i="52" s="1"/>
  <c r="X188" i="52" s="1"/>
  <c r="X189" i="52" s="1"/>
  <c r="X190" i="52" s="1"/>
  <c r="X191" i="52" s="1"/>
  <c r="X192" i="52" s="1"/>
  <c r="X193" i="52" s="1"/>
  <c r="Y177" i="52"/>
  <c r="Z177" i="52"/>
  <c r="AA177" i="52"/>
  <c r="AB177" i="52"/>
  <c r="AC177" i="52"/>
  <c r="AH177" i="52"/>
  <c r="AH178" i="52" s="1"/>
  <c r="AH179" i="52" s="1"/>
  <c r="AH180" i="52" s="1"/>
  <c r="AH181" i="52" s="1"/>
  <c r="AH182" i="52" s="1"/>
  <c r="AH183" i="52" s="1"/>
  <c r="AH184" i="52" s="1"/>
  <c r="AH185" i="52" s="1"/>
  <c r="AH186" i="52" s="1"/>
  <c r="AH187" i="52" s="1"/>
  <c r="AH188" i="52" s="1"/>
  <c r="AH189" i="52" s="1"/>
  <c r="AH190" i="52" s="1"/>
  <c r="AH191" i="52" s="1"/>
  <c r="AH192" i="52" s="1"/>
  <c r="AH193" i="52" s="1"/>
  <c r="AI177" i="52"/>
  <c r="AJ177" i="52"/>
  <c r="AK177" i="52"/>
  <c r="AL177" i="52"/>
  <c r="AM177" i="52"/>
  <c r="G178" i="52"/>
  <c r="G179" i="52" s="1"/>
  <c r="G180" i="52" s="1"/>
  <c r="G181" i="52" s="1"/>
  <c r="G182" i="52" s="1"/>
  <c r="G183" i="52" s="1"/>
  <c r="G184" i="52" s="1"/>
  <c r="G185" i="52" s="1"/>
  <c r="G186" i="52" s="1"/>
  <c r="G187" i="52" s="1"/>
  <c r="G188" i="52" s="1"/>
  <c r="G189" i="52" s="1"/>
  <c r="G190" i="52" s="1"/>
  <c r="G191" i="52" s="1"/>
  <c r="G192" i="52" s="1"/>
  <c r="G193" i="52" s="1"/>
  <c r="I178" i="52"/>
  <c r="I179" i="52" s="1"/>
  <c r="I180" i="52" s="1"/>
  <c r="I181" i="52" s="1"/>
  <c r="I182" i="52" s="1"/>
  <c r="I183" i="52" s="1"/>
  <c r="I184" i="52" s="1"/>
  <c r="I185" i="52" s="1"/>
  <c r="I186" i="52" s="1"/>
  <c r="I187" i="52" s="1"/>
  <c r="I188" i="52" s="1"/>
  <c r="I189" i="52" s="1"/>
  <c r="I190" i="52" s="1"/>
  <c r="I191" i="52" s="1"/>
  <c r="I192" i="52" s="1"/>
  <c r="I193" i="52" s="1"/>
  <c r="J178" i="52"/>
  <c r="P178" i="52"/>
  <c r="Q178" i="52"/>
  <c r="R178" i="52"/>
  <c r="S178" i="52"/>
  <c r="T178" i="52"/>
  <c r="Y178" i="52"/>
  <c r="Z178" i="52"/>
  <c r="AA178" i="52"/>
  <c r="AB178" i="52"/>
  <c r="AC178" i="52"/>
  <c r="AI178" i="52"/>
  <c r="AJ178" i="52"/>
  <c r="AK178" i="52"/>
  <c r="AL178" i="52"/>
  <c r="AM178" i="52"/>
  <c r="J179" i="52"/>
  <c r="J180" i="52" s="1"/>
  <c r="J181" i="52" s="1"/>
  <c r="J182" i="52" s="1"/>
  <c r="J183" i="52" s="1"/>
  <c r="J184" i="52" s="1"/>
  <c r="J185" i="52" s="1"/>
  <c r="J186" i="52" s="1"/>
  <c r="J187" i="52" s="1"/>
  <c r="J188" i="52" s="1"/>
  <c r="J189" i="52" s="1"/>
  <c r="J190" i="52" s="1"/>
  <c r="J191" i="52" s="1"/>
  <c r="J192" i="52" s="1"/>
  <c r="J193" i="52" s="1"/>
  <c r="P179" i="52"/>
  <c r="Q179" i="52"/>
  <c r="R179" i="52"/>
  <c r="S179" i="52"/>
  <c r="T179" i="52"/>
  <c r="Y179" i="52"/>
  <c r="Z179" i="52"/>
  <c r="AA179" i="52"/>
  <c r="AB179" i="52"/>
  <c r="AC179" i="52"/>
  <c r="AI179" i="52"/>
  <c r="AJ179" i="52"/>
  <c r="AK179" i="52"/>
  <c r="AL179" i="52"/>
  <c r="AM179" i="52"/>
  <c r="P180" i="52"/>
  <c r="Q180" i="52"/>
  <c r="R180" i="52"/>
  <c r="S180" i="52"/>
  <c r="T180" i="52"/>
  <c r="Y180" i="52"/>
  <c r="Z180" i="52"/>
  <c r="AA180" i="52"/>
  <c r="AB180" i="52"/>
  <c r="AC180" i="52"/>
  <c r="AI180" i="52"/>
  <c r="AJ180" i="52"/>
  <c r="AK180" i="52"/>
  <c r="AL180" i="52"/>
  <c r="AM180" i="52"/>
  <c r="P181" i="52"/>
  <c r="Q181" i="52"/>
  <c r="R181" i="52"/>
  <c r="S181" i="52"/>
  <c r="T181" i="52"/>
  <c r="Y181" i="52"/>
  <c r="Z181" i="52"/>
  <c r="AA181" i="52"/>
  <c r="AB181" i="52"/>
  <c r="AC181" i="52"/>
  <c r="AI181" i="52"/>
  <c r="AJ181" i="52"/>
  <c r="AK181" i="52"/>
  <c r="AL181" i="52"/>
  <c r="AM181" i="52"/>
  <c r="P182" i="52"/>
  <c r="Q182" i="52"/>
  <c r="R182" i="52"/>
  <c r="S182" i="52"/>
  <c r="T182" i="52"/>
  <c r="Y182" i="52"/>
  <c r="Z182" i="52"/>
  <c r="AA182" i="52"/>
  <c r="AB182" i="52"/>
  <c r="AC182" i="52"/>
  <c r="AI182" i="52"/>
  <c r="AJ182" i="52"/>
  <c r="AK182" i="52"/>
  <c r="AL182" i="52"/>
  <c r="AM182" i="52"/>
  <c r="P183" i="52"/>
  <c r="Q183" i="52"/>
  <c r="R183" i="52"/>
  <c r="S183" i="52"/>
  <c r="T183" i="52"/>
  <c r="Y183" i="52"/>
  <c r="Z183" i="52"/>
  <c r="AA183" i="52"/>
  <c r="AB183" i="52"/>
  <c r="AC183" i="52"/>
  <c r="AI183" i="52"/>
  <c r="AJ183" i="52"/>
  <c r="AK183" i="52"/>
  <c r="AL183" i="52"/>
  <c r="AM183" i="52"/>
  <c r="P184" i="52"/>
  <c r="Q184" i="52"/>
  <c r="R184" i="52"/>
  <c r="S184" i="52"/>
  <c r="T184" i="52"/>
  <c r="Y184" i="52"/>
  <c r="Z184" i="52"/>
  <c r="AA184" i="52"/>
  <c r="AB184" i="52"/>
  <c r="AC184" i="52"/>
  <c r="AI184" i="52"/>
  <c r="AJ184" i="52"/>
  <c r="AK184" i="52"/>
  <c r="AL184" i="52"/>
  <c r="AM184" i="52"/>
  <c r="P185" i="52"/>
  <c r="Q185" i="52"/>
  <c r="R185" i="52"/>
  <c r="S185" i="52"/>
  <c r="T185" i="52"/>
  <c r="Y185" i="52"/>
  <c r="Z185" i="52"/>
  <c r="AA185" i="52"/>
  <c r="AB185" i="52"/>
  <c r="AC185" i="52"/>
  <c r="AI185" i="52"/>
  <c r="AJ185" i="52"/>
  <c r="AK185" i="52"/>
  <c r="AL185" i="52"/>
  <c r="AM185" i="52"/>
  <c r="P186" i="52"/>
  <c r="Q186" i="52"/>
  <c r="R186" i="52"/>
  <c r="S186" i="52"/>
  <c r="T186" i="52"/>
  <c r="Y186" i="52"/>
  <c r="Z186" i="52"/>
  <c r="AA186" i="52"/>
  <c r="AB186" i="52"/>
  <c r="AC186" i="52"/>
  <c r="AI186" i="52"/>
  <c r="AJ186" i="52"/>
  <c r="AK186" i="52"/>
  <c r="AL186" i="52"/>
  <c r="AM186" i="52"/>
  <c r="P187" i="52"/>
  <c r="Q187" i="52"/>
  <c r="R187" i="52"/>
  <c r="S187" i="52"/>
  <c r="T187" i="52"/>
  <c r="Y187" i="52"/>
  <c r="Z187" i="52"/>
  <c r="AA187" i="52"/>
  <c r="AB187" i="52"/>
  <c r="AC187" i="52"/>
  <c r="AI187" i="52"/>
  <c r="AJ187" i="52"/>
  <c r="AK187" i="52"/>
  <c r="AL187" i="52"/>
  <c r="AM187" i="52"/>
  <c r="P188" i="52"/>
  <c r="Q188" i="52"/>
  <c r="R188" i="52"/>
  <c r="S188" i="52"/>
  <c r="T188" i="52"/>
  <c r="Y188" i="52"/>
  <c r="Z188" i="52"/>
  <c r="AA188" i="52"/>
  <c r="AB188" i="52"/>
  <c r="AC188" i="52"/>
  <c r="AI188" i="52"/>
  <c r="AJ188" i="52"/>
  <c r="AK188" i="52"/>
  <c r="AL188" i="52"/>
  <c r="AM188" i="52"/>
  <c r="P189" i="52"/>
  <c r="Q189" i="52"/>
  <c r="R189" i="52"/>
  <c r="S189" i="52"/>
  <c r="T189" i="52"/>
  <c r="Y189" i="52"/>
  <c r="Z189" i="52"/>
  <c r="AA189" i="52"/>
  <c r="AB189" i="52"/>
  <c r="AC189" i="52"/>
  <c r="AI189" i="52"/>
  <c r="AJ189" i="52"/>
  <c r="AK189" i="52"/>
  <c r="AL189" i="52"/>
  <c r="AM189" i="52"/>
  <c r="P190" i="52"/>
  <c r="Q190" i="52"/>
  <c r="R190" i="52"/>
  <c r="S190" i="52"/>
  <c r="T190" i="52"/>
  <c r="Y190" i="52"/>
  <c r="Z190" i="52"/>
  <c r="AA190" i="52"/>
  <c r="AB190" i="52"/>
  <c r="AC190" i="52"/>
  <c r="AI190" i="52"/>
  <c r="AJ190" i="52"/>
  <c r="AK190" i="52"/>
  <c r="AL190" i="52"/>
  <c r="AM190" i="52"/>
  <c r="P191" i="52"/>
  <c r="Q191" i="52"/>
  <c r="R191" i="52"/>
  <c r="S191" i="52"/>
  <c r="T191" i="52"/>
  <c r="Y191" i="52"/>
  <c r="Z191" i="52"/>
  <c r="AA191" i="52"/>
  <c r="AB191" i="52"/>
  <c r="AC191" i="52"/>
  <c r="AI191" i="52"/>
  <c r="AJ191" i="52"/>
  <c r="AK191" i="52"/>
  <c r="AL191" i="52"/>
  <c r="AM191" i="52"/>
  <c r="P192" i="52"/>
  <c r="Q192" i="52"/>
  <c r="R192" i="52"/>
  <c r="S192" i="52"/>
  <c r="T192" i="52"/>
  <c r="Y192" i="52"/>
  <c r="Z192" i="52"/>
  <c r="AA192" i="52"/>
  <c r="AB192" i="52"/>
  <c r="AC192" i="52"/>
  <c r="AI192" i="52"/>
  <c r="AJ192" i="52"/>
  <c r="AK192" i="52"/>
  <c r="AL192" i="52"/>
  <c r="AM192" i="52"/>
  <c r="P193" i="52"/>
  <c r="Q193" i="52"/>
  <c r="R193" i="52"/>
  <c r="S193" i="52"/>
  <c r="T193" i="52"/>
  <c r="Y193" i="52"/>
  <c r="Z193" i="52"/>
  <c r="AA193" i="52"/>
  <c r="AB193" i="52"/>
  <c r="AC193" i="52"/>
  <c r="AI193" i="52"/>
  <c r="AJ193" i="52"/>
  <c r="AK193" i="52"/>
  <c r="AL193" i="52"/>
  <c r="AM193" i="52"/>
  <c r="H214" i="52"/>
  <c r="I214" i="52"/>
  <c r="I215" i="52" s="1"/>
  <c r="I216" i="52" s="1"/>
  <c r="I217" i="52" s="1"/>
  <c r="I218" i="52" s="1"/>
  <c r="I219" i="52" s="1"/>
  <c r="I220" i="52" s="1"/>
  <c r="I221" i="52" s="1"/>
  <c r="I222" i="52" s="1"/>
  <c r="I223" i="52" s="1"/>
  <c r="I224" i="52" s="1"/>
  <c r="I225" i="52" s="1"/>
  <c r="I226" i="52" s="1"/>
  <c r="I227" i="52" s="1"/>
  <c r="I228" i="52" s="1"/>
  <c r="I229" i="52" s="1"/>
  <c r="I230" i="52" s="1"/>
  <c r="I231" i="52" s="1"/>
  <c r="J214" i="52"/>
  <c r="J215" i="52" s="1"/>
  <c r="J216" i="52" s="1"/>
  <c r="J217" i="52" s="1"/>
  <c r="J218" i="52" s="1"/>
  <c r="J219" i="52" s="1"/>
  <c r="J220" i="52" s="1"/>
  <c r="J221" i="52" s="1"/>
  <c r="J222" i="52" s="1"/>
  <c r="J223" i="52" s="1"/>
  <c r="J224" i="52" s="1"/>
  <c r="J225" i="52" s="1"/>
  <c r="J226" i="52" s="1"/>
  <c r="J227" i="52" s="1"/>
  <c r="J228" i="52" s="1"/>
  <c r="J229" i="52" s="1"/>
  <c r="J230" i="52" s="1"/>
  <c r="J231" i="52" s="1"/>
  <c r="S214" i="52"/>
  <c r="S215" i="52" s="1"/>
  <c r="S216" i="52" s="1"/>
  <c r="S217" i="52" s="1"/>
  <c r="S218" i="52" s="1"/>
  <c r="S219" i="52" s="1"/>
  <c r="S220" i="52" s="1"/>
  <c r="S221" i="52" s="1"/>
  <c r="S222" i="52" s="1"/>
  <c r="S223" i="52" s="1"/>
  <c r="S224" i="52" s="1"/>
  <c r="S225" i="52" s="1"/>
  <c r="S226" i="52" s="1"/>
  <c r="S227" i="52" s="1"/>
  <c r="S228" i="52" s="1"/>
  <c r="S229" i="52" s="1"/>
  <c r="S230" i="52" s="1"/>
  <c r="S231" i="52" s="1"/>
  <c r="AD214" i="52"/>
  <c r="H233" i="52"/>
  <c r="L233" i="52" s="1"/>
  <c r="I233" i="52"/>
  <c r="I234" i="52" s="1"/>
  <c r="I235" i="52" s="1"/>
  <c r="I236" i="52" s="1"/>
  <c r="I237" i="52" s="1"/>
  <c r="I238" i="52" s="1"/>
  <c r="I239" i="52" s="1"/>
  <c r="I240" i="52" s="1"/>
  <c r="I241" i="52" s="1"/>
  <c r="I242" i="52" s="1"/>
  <c r="I243" i="52" s="1"/>
  <c r="I244" i="52" s="1"/>
  <c r="I245" i="52" s="1"/>
  <c r="I246" i="52" s="1"/>
  <c r="I247" i="52" s="1"/>
  <c r="I248" i="52" s="1"/>
  <c r="I249" i="52" s="1"/>
  <c r="I250" i="52" s="1"/>
  <c r="J233" i="52"/>
  <c r="J234" i="52" s="1"/>
  <c r="J235" i="52" s="1"/>
  <c r="J236" i="52" s="1"/>
  <c r="J237" i="52" s="1"/>
  <c r="J238" i="52" s="1"/>
  <c r="J239" i="52" s="1"/>
  <c r="J240" i="52" s="1"/>
  <c r="J241" i="52" s="1"/>
  <c r="J242" i="52" s="1"/>
  <c r="J243" i="52" s="1"/>
  <c r="J244" i="52" s="1"/>
  <c r="J245" i="52" s="1"/>
  <c r="J246" i="52" s="1"/>
  <c r="J247" i="52" s="1"/>
  <c r="J248" i="52" s="1"/>
  <c r="J249" i="52" s="1"/>
  <c r="J250" i="52" s="1"/>
  <c r="S233" i="52"/>
  <c r="AD233" i="52"/>
  <c r="S234" i="52"/>
  <c r="S235" i="52" s="1"/>
  <c r="S236" i="52" s="1"/>
  <c r="S237" i="52" s="1"/>
  <c r="S238" i="52" s="1"/>
  <c r="S239" i="52" s="1"/>
  <c r="S240" i="52" s="1"/>
  <c r="S241" i="52" s="1"/>
  <c r="S242" i="52" s="1"/>
  <c r="S243" i="52" s="1"/>
  <c r="S244" i="52" s="1"/>
  <c r="S245" i="52" s="1"/>
  <c r="S246" i="52" s="1"/>
  <c r="S247" i="52" s="1"/>
  <c r="S248" i="52" s="1"/>
  <c r="S249" i="52" s="1"/>
  <c r="S250" i="52" s="1"/>
  <c r="H252" i="52"/>
  <c r="H253" i="52" s="1"/>
  <c r="H254" i="52" s="1"/>
  <c r="H255" i="52" s="1"/>
  <c r="H256" i="52" s="1"/>
  <c r="H257" i="52" s="1"/>
  <c r="H258" i="52" s="1"/>
  <c r="H259" i="52" s="1"/>
  <c r="H260" i="52" s="1"/>
  <c r="H261" i="52" s="1"/>
  <c r="H262" i="52" s="1"/>
  <c r="H263" i="52" s="1"/>
  <c r="H264" i="52" s="1"/>
  <c r="H265" i="52" s="1"/>
  <c r="H266" i="52" s="1"/>
  <c r="H267" i="52" s="1"/>
  <c r="H268" i="52" s="1"/>
  <c r="H269" i="52" s="1"/>
  <c r="I252" i="52"/>
  <c r="I253" i="52" s="1"/>
  <c r="I254" i="52" s="1"/>
  <c r="I255" i="52" s="1"/>
  <c r="I256" i="52" s="1"/>
  <c r="I257" i="52" s="1"/>
  <c r="I258" i="52" s="1"/>
  <c r="I259" i="52" s="1"/>
  <c r="I260" i="52" s="1"/>
  <c r="I261" i="52" s="1"/>
  <c r="I262" i="52" s="1"/>
  <c r="I263" i="52" s="1"/>
  <c r="I264" i="52" s="1"/>
  <c r="I265" i="52" s="1"/>
  <c r="I266" i="52" s="1"/>
  <c r="I267" i="52" s="1"/>
  <c r="I268" i="52" s="1"/>
  <c r="I269" i="52" s="1"/>
  <c r="J252" i="52"/>
  <c r="J253" i="52" s="1"/>
  <c r="J254" i="52" s="1"/>
  <c r="J255" i="52" s="1"/>
  <c r="J256" i="52" s="1"/>
  <c r="J257" i="52" s="1"/>
  <c r="J258" i="52" s="1"/>
  <c r="J259" i="52" s="1"/>
  <c r="J260" i="52" s="1"/>
  <c r="J261" i="52" s="1"/>
  <c r="J262" i="52" s="1"/>
  <c r="J263" i="52" s="1"/>
  <c r="J264" i="52" s="1"/>
  <c r="J265" i="52" s="1"/>
  <c r="J266" i="52" s="1"/>
  <c r="J267" i="52" s="1"/>
  <c r="J268" i="52" s="1"/>
  <c r="J269" i="52" s="1"/>
  <c r="S252" i="52"/>
  <c r="S253" i="52" s="1"/>
  <c r="S254" i="52" s="1"/>
  <c r="S255" i="52" s="1"/>
  <c r="S256" i="52" s="1"/>
  <c r="S257" i="52" s="1"/>
  <c r="S258" i="52" s="1"/>
  <c r="S259" i="52" s="1"/>
  <c r="S260" i="52" s="1"/>
  <c r="S261" i="52" s="1"/>
  <c r="S262" i="52" s="1"/>
  <c r="S263" i="52" s="1"/>
  <c r="S264" i="52" s="1"/>
  <c r="S265" i="52" s="1"/>
  <c r="S266" i="52" s="1"/>
  <c r="S267" i="52" s="1"/>
  <c r="S268" i="52" s="1"/>
  <c r="S269" i="52" s="1"/>
  <c r="AD252" i="52"/>
  <c r="H271" i="52"/>
  <c r="L271" i="52" s="1"/>
  <c r="I271" i="52"/>
  <c r="J271" i="52"/>
  <c r="S271" i="52"/>
  <c r="AD271" i="52"/>
  <c r="I272" i="52"/>
  <c r="I273" i="52" s="1"/>
  <c r="I274" i="52" s="1"/>
  <c r="I275" i="52" s="1"/>
  <c r="I276" i="52" s="1"/>
  <c r="I277" i="52" s="1"/>
  <c r="I278" i="52" s="1"/>
  <c r="I279" i="52" s="1"/>
  <c r="I280" i="52" s="1"/>
  <c r="I281" i="52" s="1"/>
  <c r="I282" i="52" s="1"/>
  <c r="I283" i="52" s="1"/>
  <c r="I284" i="52" s="1"/>
  <c r="I285" i="52" s="1"/>
  <c r="I286" i="52" s="1"/>
  <c r="I287" i="52" s="1"/>
  <c r="I288" i="52" s="1"/>
  <c r="J272" i="52"/>
  <c r="J273" i="52" s="1"/>
  <c r="J274" i="52" s="1"/>
  <c r="J275" i="52" s="1"/>
  <c r="J276" i="52" s="1"/>
  <c r="J277" i="52" s="1"/>
  <c r="J278" i="52" s="1"/>
  <c r="J279" i="52" s="1"/>
  <c r="J280" i="52" s="1"/>
  <c r="J281" i="52" s="1"/>
  <c r="J282" i="52" s="1"/>
  <c r="J283" i="52" s="1"/>
  <c r="J284" i="52" s="1"/>
  <c r="J285" i="52" s="1"/>
  <c r="J286" i="52" s="1"/>
  <c r="J287" i="52" s="1"/>
  <c r="J288" i="52" s="1"/>
  <c r="S272" i="52"/>
  <c r="S273" i="52"/>
  <c r="S274" i="52" s="1"/>
  <c r="S275" i="52" s="1"/>
  <c r="S276" i="52" s="1"/>
  <c r="S277" i="52" s="1"/>
  <c r="S278" i="52" s="1"/>
  <c r="S279" i="52" s="1"/>
  <c r="S280" i="52" s="1"/>
  <c r="S281" i="52" s="1"/>
  <c r="S282" i="52" s="1"/>
  <c r="S283" i="52" s="1"/>
  <c r="S284" i="52" s="1"/>
  <c r="S285" i="52" s="1"/>
  <c r="S286" i="52" s="1"/>
  <c r="S287" i="52" s="1"/>
  <c r="S288" i="52" s="1"/>
  <c r="H290" i="52"/>
  <c r="I290" i="52"/>
  <c r="I291" i="52" s="1"/>
  <c r="I292" i="52" s="1"/>
  <c r="I293" i="52" s="1"/>
  <c r="I294" i="52" s="1"/>
  <c r="I295" i="52" s="1"/>
  <c r="I296" i="52" s="1"/>
  <c r="I297" i="52" s="1"/>
  <c r="I298" i="52" s="1"/>
  <c r="I299" i="52" s="1"/>
  <c r="I300" i="52" s="1"/>
  <c r="I301" i="52" s="1"/>
  <c r="I302" i="52" s="1"/>
  <c r="I303" i="52" s="1"/>
  <c r="I304" i="52" s="1"/>
  <c r="I305" i="52" s="1"/>
  <c r="I306" i="52" s="1"/>
  <c r="I307" i="52" s="1"/>
  <c r="J290" i="52"/>
  <c r="S290" i="52"/>
  <c r="AD290" i="52"/>
  <c r="J291" i="52"/>
  <c r="J292" i="52" s="1"/>
  <c r="J293" i="52" s="1"/>
  <c r="J294" i="52" s="1"/>
  <c r="J295" i="52" s="1"/>
  <c r="J296" i="52" s="1"/>
  <c r="J297" i="52" s="1"/>
  <c r="J298" i="52" s="1"/>
  <c r="J299" i="52" s="1"/>
  <c r="J300" i="52" s="1"/>
  <c r="J301" i="52" s="1"/>
  <c r="J302" i="52" s="1"/>
  <c r="J303" i="52" s="1"/>
  <c r="J304" i="52" s="1"/>
  <c r="J305" i="52" s="1"/>
  <c r="J306" i="52" s="1"/>
  <c r="J307" i="52" s="1"/>
  <c r="S291" i="52"/>
  <c r="S292" i="52" s="1"/>
  <c r="S293" i="52" s="1"/>
  <c r="S294" i="52" s="1"/>
  <c r="S295" i="52" s="1"/>
  <c r="S296" i="52" s="1"/>
  <c r="S297" i="52" s="1"/>
  <c r="S298" i="52" s="1"/>
  <c r="S299" i="52" s="1"/>
  <c r="S300" i="52" s="1"/>
  <c r="S301" i="52" s="1"/>
  <c r="S302" i="52" s="1"/>
  <c r="S303" i="52" s="1"/>
  <c r="S304" i="52" s="1"/>
  <c r="S305" i="52" s="1"/>
  <c r="S306" i="52" s="1"/>
  <c r="S307" i="52" s="1"/>
  <c r="H309" i="52"/>
  <c r="H310" i="52" s="1"/>
  <c r="H311" i="52" s="1"/>
  <c r="H312" i="52" s="1"/>
  <c r="H313" i="52" s="1"/>
  <c r="H314" i="52" s="1"/>
  <c r="H315" i="52" s="1"/>
  <c r="H316" i="52" s="1"/>
  <c r="H317" i="52" s="1"/>
  <c r="H318" i="52" s="1"/>
  <c r="H319" i="52" s="1"/>
  <c r="H320" i="52" s="1"/>
  <c r="H321" i="52" s="1"/>
  <c r="H322" i="52" s="1"/>
  <c r="H323" i="52" s="1"/>
  <c r="H324" i="52" s="1"/>
  <c r="H325" i="52" s="1"/>
  <c r="H326" i="52" s="1"/>
  <c r="I309" i="52"/>
  <c r="I310" i="52" s="1"/>
  <c r="I311" i="52" s="1"/>
  <c r="I312" i="52" s="1"/>
  <c r="I313" i="52" s="1"/>
  <c r="I314" i="52" s="1"/>
  <c r="I315" i="52" s="1"/>
  <c r="I316" i="52" s="1"/>
  <c r="I317" i="52" s="1"/>
  <c r="I318" i="52" s="1"/>
  <c r="I319" i="52" s="1"/>
  <c r="I320" i="52" s="1"/>
  <c r="I321" i="52" s="1"/>
  <c r="I322" i="52" s="1"/>
  <c r="I323" i="52" s="1"/>
  <c r="I324" i="52" s="1"/>
  <c r="I325" i="52" s="1"/>
  <c r="I326" i="52" s="1"/>
  <c r="J309" i="52"/>
  <c r="J310" i="52" s="1"/>
  <c r="J311" i="52" s="1"/>
  <c r="J312" i="52" s="1"/>
  <c r="J313" i="52" s="1"/>
  <c r="J314" i="52" s="1"/>
  <c r="J315" i="52" s="1"/>
  <c r="J316" i="52" s="1"/>
  <c r="J317" i="52" s="1"/>
  <c r="J318" i="52" s="1"/>
  <c r="J319" i="52" s="1"/>
  <c r="J320" i="52" s="1"/>
  <c r="J321" i="52" s="1"/>
  <c r="J322" i="52" s="1"/>
  <c r="J323" i="52" s="1"/>
  <c r="J324" i="52" s="1"/>
  <c r="J325" i="52" s="1"/>
  <c r="J326" i="52" s="1"/>
  <c r="S309" i="52"/>
  <c r="AD309" i="52"/>
  <c r="S310" i="52"/>
  <c r="S311" i="52" s="1"/>
  <c r="S312" i="52" s="1"/>
  <c r="S313" i="52" s="1"/>
  <c r="S314" i="52" s="1"/>
  <c r="S315" i="52" s="1"/>
  <c r="S316" i="52" s="1"/>
  <c r="S317" i="52" s="1"/>
  <c r="S318" i="52" s="1"/>
  <c r="S319" i="52" s="1"/>
  <c r="S320" i="52" s="1"/>
  <c r="S321" i="52" s="1"/>
  <c r="S322" i="52" s="1"/>
  <c r="S323" i="52" s="1"/>
  <c r="S324" i="52" s="1"/>
  <c r="S325" i="52" s="1"/>
  <c r="S326" i="52" s="1"/>
  <c r="H328" i="52"/>
  <c r="I328" i="52"/>
  <c r="I329" i="52" s="1"/>
  <c r="I330" i="52" s="1"/>
  <c r="I331" i="52" s="1"/>
  <c r="I332" i="52" s="1"/>
  <c r="I333" i="52" s="1"/>
  <c r="I334" i="52" s="1"/>
  <c r="I335" i="52" s="1"/>
  <c r="I336" i="52" s="1"/>
  <c r="I337" i="52" s="1"/>
  <c r="I338" i="52" s="1"/>
  <c r="I339" i="52" s="1"/>
  <c r="I340" i="52" s="1"/>
  <c r="I341" i="52" s="1"/>
  <c r="I342" i="52" s="1"/>
  <c r="I343" i="52" s="1"/>
  <c r="I344" i="52" s="1"/>
  <c r="I345" i="52" s="1"/>
  <c r="J328" i="52"/>
  <c r="J329" i="52" s="1"/>
  <c r="J330" i="52" s="1"/>
  <c r="J331" i="52" s="1"/>
  <c r="J332" i="52" s="1"/>
  <c r="J333" i="52" s="1"/>
  <c r="J334" i="52" s="1"/>
  <c r="J335" i="52" s="1"/>
  <c r="J336" i="52" s="1"/>
  <c r="J337" i="52" s="1"/>
  <c r="J338" i="52" s="1"/>
  <c r="J339" i="52" s="1"/>
  <c r="J340" i="52" s="1"/>
  <c r="J341" i="52" s="1"/>
  <c r="J342" i="52" s="1"/>
  <c r="J343" i="52" s="1"/>
  <c r="J344" i="52" s="1"/>
  <c r="J345" i="52" s="1"/>
  <c r="Q328" i="52"/>
  <c r="R328" i="52"/>
  <c r="S328" i="52"/>
  <c r="T328" i="52"/>
  <c r="AD328" i="52"/>
  <c r="H329" i="52"/>
  <c r="H330" i="52" s="1"/>
  <c r="H331" i="52" s="1"/>
  <c r="H332" i="52" s="1"/>
  <c r="H333" i="52" s="1"/>
  <c r="H334" i="52" s="1"/>
  <c r="H335" i="52" s="1"/>
  <c r="H336" i="52" s="1"/>
  <c r="H337" i="52" s="1"/>
  <c r="H338" i="52" s="1"/>
  <c r="H339" i="52" s="1"/>
  <c r="H340" i="52" s="1"/>
  <c r="H341" i="52" s="1"/>
  <c r="H342" i="52" s="1"/>
  <c r="H343" i="52" s="1"/>
  <c r="H344" i="52" s="1"/>
  <c r="H345" i="52" s="1"/>
  <c r="R329" i="52"/>
  <c r="R330" i="52" s="1"/>
  <c r="R331" i="52" s="1"/>
  <c r="R332" i="52" s="1"/>
  <c r="R333" i="52" s="1"/>
  <c r="R334" i="52" s="1"/>
  <c r="R335" i="52" s="1"/>
  <c r="R336" i="52" s="1"/>
  <c r="R337" i="52" s="1"/>
  <c r="R338" i="52" s="1"/>
  <c r="R339" i="52" s="1"/>
  <c r="R340" i="52" s="1"/>
  <c r="R341" i="52" s="1"/>
  <c r="R342" i="52" s="1"/>
  <c r="R343" i="52" s="1"/>
  <c r="R344" i="52" s="1"/>
  <c r="R345" i="52" s="1"/>
  <c r="S329" i="52"/>
  <c r="S330" i="52" s="1"/>
  <c r="S331" i="52" s="1"/>
  <c r="S332" i="52" s="1"/>
  <c r="S333" i="52" s="1"/>
  <c r="S334" i="52" s="1"/>
  <c r="S335" i="52" s="1"/>
  <c r="S336" i="52" s="1"/>
  <c r="S337" i="52" s="1"/>
  <c r="S338" i="52" s="1"/>
  <c r="S339" i="52" s="1"/>
  <c r="S340" i="52" s="1"/>
  <c r="S341" i="52" s="1"/>
  <c r="S342" i="52" s="1"/>
  <c r="S343" i="52" s="1"/>
  <c r="S344" i="52" s="1"/>
  <c r="S345" i="52" s="1"/>
  <c r="T329" i="52"/>
  <c r="T330" i="52" s="1"/>
  <c r="T331" i="52" s="1"/>
  <c r="T332" i="52" s="1"/>
  <c r="T333" i="52" s="1"/>
  <c r="T334" i="52" s="1"/>
  <c r="T335" i="52" s="1"/>
  <c r="T336" i="52" s="1"/>
  <c r="T337" i="52" s="1"/>
  <c r="T338" i="52" s="1"/>
  <c r="T339" i="52" s="1"/>
  <c r="T340" i="52" s="1"/>
  <c r="T341" i="52" s="1"/>
  <c r="T342" i="52" s="1"/>
  <c r="T343" i="52" s="1"/>
  <c r="T344" i="52" s="1"/>
  <c r="T345" i="52" s="1"/>
  <c r="H347" i="52"/>
  <c r="I347" i="52"/>
  <c r="J347" i="52"/>
  <c r="J348" i="52" s="1"/>
  <c r="J349" i="52" s="1"/>
  <c r="J350" i="52" s="1"/>
  <c r="J351" i="52" s="1"/>
  <c r="J352" i="52" s="1"/>
  <c r="J353" i="52" s="1"/>
  <c r="J354" i="52" s="1"/>
  <c r="J355" i="52" s="1"/>
  <c r="J356" i="52" s="1"/>
  <c r="J357" i="52" s="1"/>
  <c r="J358" i="52" s="1"/>
  <c r="J359" i="52" s="1"/>
  <c r="J360" i="52" s="1"/>
  <c r="J361" i="52" s="1"/>
  <c r="J362" i="52" s="1"/>
  <c r="J363" i="52" s="1"/>
  <c r="J364" i="52" s="1"/>
  <c r="Q347" i="52"/>
  <c r="Q348" i="52" s="1"/>
  <c r="Q349" i="52" s="1"/>
  <c r="Q350" i="52" s="1"/>
  <c r="Q351" i="52" s="1"/>
  <c r="Q352" i="52" s="1"/>
  <c r="Q353" i="52" s="1"/>
  <c r="Q354" i="52" s="1"/>
  <c r="Q355" i="52" s="1"/>
  <c r="Q356" i="52" s="1"/>
  <c r="Q357" i="52" s="1"/>
  <c r="Q358" i="52" s="1"/>
  <c r="Q359" i="52" s="1"/>
  <c r="Q360" i="52" s="1"/>
  <c r="Q361" i="52" s="1"/>
  <c r="Q362" i="52" s="1"/>
  <c r="Q363" i="52" s="1"/>
  <c r="Q364" i="52" s="1"/>
  <c r="R347" i="52"/>
  <c r="R348" i="52" s="1"/>
  <c r="R349" i="52" s="1"/>
  <c r="R350" i="52" s="1"/>
  <c r="R351" i="52" s="1"/>
  <c r="R352" i="52" s="1"/>
  <c r="R353" i="52" s="1"/>
  <c r="R354" i="52" s="1"/>
  <c r="R355" i="52" s="1"/>
  <c r="R356" i="52" s="1"/>
  <c r="R357" i="52" s="1"/>
  <c r="R358" i="52" s="1"/>
  <c r="R359" i="52" s="1"/>
  <c r="R360" i="52" s="1"/>
  <c r="R361" i="52" s="1"/>
  <c r="R362" i="52" s="1"/>
  <c r="R363" i="52" s="1"/>
  <c r="R364" i="52" s="1"/>
  <c r="S347" i="52"/>
  <c r="T347" i="52"/>
  <c r="AD347" i="52"/>
  <c r="H348" i="52"/>
  <c r="H349" i="52" s="1"/>
  <c r="H350" i="52" s="1"/>
  <c r="H351" i="52" s="1"/>
  <c r="H352" i="52" s="1"/>
  <c r="H353" i="52" s="1"/>
  <c r="H354" i="52" s="1"/>
  <c r="H355" i="52" s="1"/>
  <c r="H356" i="52" s="1"/>
  <c r="H357" i="52" s="1"/>
  <c r="H358" i="52" s="1"/>
  <c r="H359" i="52" s="1"/>
  <c r="H360" i="52" s="1"/>
  <c r="H361" i="52" s="1"/>
  <c r="H362" i="52" s="1"/>
  <c r="H363" i="52" s="1"/>
  <c r="H364" i="52" s="1"/>
  <c r="I348" i="52"/>
  <c r="I349" i="52" s="1"/>
  <c r="I350" i="52" s="1"/>
  <c r="I351" i="52" s="1"/>
  <c r="I352" i="52" s="1"/>
  <c r="I353" i="52" s="1"/>
  <c r="I354" i="52" s="1"/>
  <c r="I355" i="52" s="1"/>
  <c r="I356" i="52" s="1"/>
  <c r="I357" i="52" s="1"/>
  <c r="I358" i="52" s="1"/>
  <c r="I359" i="52" s="1"/>
  <c r="I360" i="52" s="1"/>
  <c r="I361" i="52" s="1"/>
  <c r="I362" i="52" s="1"/>
  <c r="I363" i="52" s="1"/>
  <c r="I364" i="52" s="1"/>
  <c r="S348" i="52"/>
  <c r="S349" i="52" s="1"/>
  <c r="S350" i="52" s="1"/>
  <c r="S351" i="52" s="1"/>
  <c r="S352" i="52" s="1"/>
  <c r="S353" i="52" s="1"/>
  <c r="S354" i="52" s="1"/>
  <c r="S355" i="52" s="1"/>
  <c r="S356" i="52" s="1"/>
  <c r="S357" i="52" s="1"/>
  <c r="S358" i="52" s="1"/>
  <c r="S359" i="52" s="1"/>
  <c r="S360" i="52" s="1"/>
  <c r="S361" i="52" s="1"/>
  <c r="S362" i="52" s="1"/>
  <c r="S363" i="52" s="1"/>
  <c r="S364" i="52" s="1"/>
  <c r="T348" i="52"/>
  <c r="T349" i="52"/>
  <c r="T350" i="52" s="1"/>
  <c r="T351" i="52" s="1"/>
  <c r="T352" i="52" s="1"/>
  <c r="T353" i="52" s="1"/>
  <c r="T354" i="52" s="1"/>
  <c r="T355" i="52" s="1"/>
  <c r="T356" i="52" s="1"/>
  <c r="T357" i="52" s="1"/>
  <c r="T358" i="52" s="1"/>
  <c r="T359" i="52" s="1"/>
  <c r="T360" i="52" s="1"/>
  <c r="T361" i="52" s="1"/>
  <c r="T362" i="52" s="1"/>
  <c r="T363" i="52" s="1"/>
  <c r="T364" i="52" s="1"/>
  <c r="F404" i="52"/>
  <c r="G404" i="52"/>
  <c r="H404" i="52"/>
  <c r="I404" i="52"/>
  <c r="J404" i="52"/>
  <c r="K404" i="52"/>
  <c r="O404" i="52"/>
  <c r="O405" i="52" s="1"/>
  <c r="P404" i="52"/>
  <c r="P405" i="52" s="1"/>
  <c r="Q404" i="52"/>
  <c r="R404" i="52"/>
  <c r="S404" i="52"/>
  <c r="T404" i="52"/>
  <c r="X404" i="52"/>
  <c r="Y404" i="52"/>
  <c r="Z404" i="52"/>
  <c r="AA404" i="52"/>
  <c r="AB404" i="52"/>
  <c r="AC404" i="52"/>
  <c r="AH404" i="52"/>
  <c r="AI404" i="52"/>
  <c r="AI405" i="52" s="1"/>
  <c r="AJ404" i="52"/>
  <c r="AK404" i="52"/>
  <c r="AL404" i="52"/>
  <c r="AM404" i="52"/>
  <c r="F405" i="52"/>
  <c r="G405" i="52"/>
  <c r="H405" i="52"/>
  <c r="I405" i="52"/>
  <c r="J405" i="52"/>
  <c r="K405" i="52"/>
  <c r="Q405" i="52"/>
  <c r="R405" i="52"/>
  <c r="S405" i="52"/>
  <c r="T405" i="52"/>
  <c r="X405" i="52"/>
  <c r="Y405" i="52"/>
  <c r="Z405" i="52"/>
  <c r="AA405" i="52"/>
  <c r="AB405" i="52"/>
  <c r="AC405" i="52"/>
  <c r="AH405" i="52"/>
  <c r="AJ405" i="52"/>
  <c r="AK405" i="52"/>
  <c r="AL405" i="52"/>
  <c r="AM405" i="52"/>
  <c r="F406" i="52"/>
  <c r="G406" i="52"/>
  <c r="H406" i="52"/>
  <c r="I406" i="52"/>
  <c r="J406" i="52"/>
  <c r="K406" i="52"/>
  <c r="Q406" i="52"/>
  <c r="R406" i="52"/>
  <c r="S406" i="52"/>
  <c r="T406" i="52"/>
  <c r="X406" i="52"/>
  <c r="Y406" i="52"/>
  <c r="Z406" i="52"/>
  <c r="AA406" i="52"/>
  <c r="AB406" i="52"/>
  <c r="AC406" i="52"/>
  <c r="AH406" i="52"/>
  <c r="AJ406" i="52"/>
  <c r="AK406" i="52"/>
  <c r="AL406" i="52"/>
  <c r="AM406" i="52"/>
  <c r="F407" i="52"/>
  <c r="G407" i="52"/>
  <c r="H407" i="52"/>
  <c r="I407" i="52"/>
  <c r="J407" i="52"/>
  <c r="K407" i="52"/>
  <c r="O407" i="52"/>
  <c r="P407" i="52"/>
  <c r="Q407" i="52"/>
  <c r="R407" i="52"/>
  <c r="S407" i="52"/>
  <c r="T407" i="52"/>
  <c r="X407" i="52"/>
  <c r="Y407" i="52"/>
  <c r="Z407" i="52"/>
  <c r="AA407" i="52"/>
  <c r="AB407" i="52"/>
  <c r="AC407" i="52"/>
  <c r="AH407" i="52"/>
  <c r="AI407" i="52"/>
  <c r="AJ407" i="52"/>
  <c r="AK407" i="52"/>
  <c r="AL407" i="52"/>
  <c r="AM407" i="52"/>
  <c r="F408" i="52"/>
  <c r="G408" i="52"/>
  <c r="H408" i="52"/>
  <c r="I408" i="52"/>
  <c r="J408" i="52"/>
  <c r="K408" i="52"/>
  <c r="O408" i="52"/>
  <c r="P408" i="52"/>
  <c r="Q408" i="52"/>
  <c r="R408" i="52"/>
  <c r="S408" i="52"/>
  <c r="T408" i="52"/>
  <c r="X408" i="52"/>
  <c r="Y408" i="52"/>
  <c r="Z408" i="52"/>
  <c r="AA408" i="52"/>
  <c r="AB408" i="52"/>
  <c r="AC408" i="52"/>
  <c r="AH408" i="52"/>
  <c r="AI408" i="52"/>
  <c r="AJ408" i="52"/>
  <c r="AK408" i="52"/>
  <c r="AL408" i="52"/>
  <c r="AM408" i="52"/>
  <c r="F409" i="52"/>
  <c r="G409" i="52"/>
  <c r="H409" i="52"/>
  <c r="I409" i="52"/>
  <c r="J409" i="52"/>
  <c r="K409" i="52"/>
  <c r="O409" i="52"/>
  <c r="P409" i="52"/>
  <c r="Q409" i="52"/>
  <c r="R409" i="52"/>
  <c r="S409" i="52"/>
  <c r="T409" i="52"/>
  <c r="X409" i="52"/>
  <c r="Y409" i="52"/>
  <c r="Z409" i="52"/>
  <c r="AA409" i="52"/>
  <c r="AB409" i="52"/>
  <c r="AC409" i="52"/>
  <c r="AH409" i="52"/>
  <c r="AI409" i="52"/>
  <c r="AJ409" i="52"/>
  <c r="AK409" i="52"/>
  <c r="AL409" i="52"/>
  <c r="AM409" i="52"/>
  <c r="F410" i="52"/>
  <c r="G410" i="52"/>
  <c r="H410" i="52"/>
  <c r="I410" i="52"/>
  <c r="J410" i="52"/>
  <c r="K410" i="52"/>
  <c r="O410" i="52"/>
  <c r="P410" i="52"/>
  <c r="Q410" i="52"/>
  <c r="R410" i="52"/>
  <c r="S410" i="52"/>
  <c r="T410" i="52"/>
  <c r="X410" i="52"/>
  <c r="Y410" i="52"/>
  <c r="Z410" i="52"/>
  <c r="AA410" i="52"/>
  <c r="AB410" i="52"/>
  <c r="AC410" i="52"/>
  <c r="AH410" i="52"/>
  <c r="AI410" i="52"/>
  <c r="AJ410" i="52"/>
  <c r="AK410" i="52"/>
  <c r="AL410" i="52"/>
  <c r="AM410" i="52"/>
  <c r="F411" i="52"/>
  <c r="G411" i="52"/>
  <c r="H411" i="52"/>
  <c r="I411" i="52"/>
  <c r="J411" i="52"/>
  <c r="K411" i="52"/>
  <c r="O411" i="52"/>
  <c r="P411" i="52"/>
  <c r="Q411" i="52"/>
  <c r="R411" i="52"/>
  <c r="S411" i="52"/>
  <c r="T411" i="52"/>
  <c r="X411" i="52"/>
  <c r="Y411" i="52"/>
  <c r="Z411" i="52"/>
  <c r="AA411" i="52"/>
  <c r="AB411" i="52"/>
  <c r="AC411" i="52"/>
  <c r="AH411" i="52"/>
  <c r="AI411" i="52"/>
  <c r="AJ411" i="52"/>
  <c r="AK411" i="52"/>
  <c r="AL411" i="52"/>
  <c r="AM411" i="52"/>
  <c r="F412" i="52"/>
  <c r="G412" i="52"/>
  <c r="H412" i="52"/>
  <c r="I412" i="52"/>
  <c r="J412" i="52"/>
  <c r="K412" i="52"/>
  <c r="O412" i="52"/>
  <c r="P412" i="52"/>
  <c r="Q412" i="52"/>
  <c r="R412" i="52"/>
  <c r="S412" i="52"/>
  <c r="T412" i="52"/>
  <c r="X412" i="52"/>
  <c r="Y412" i="52"/>
  <c r="Z412" i="52"/>
  <c r="AA412" i="52"/>
  <c r="AB412" i="52"/>
  <c r="AC412" i="52"/>
  <c r="AH412" i="52"/>
  <c r="AI412" i="52"/>
  <c r="AJ412" i="52"/>
  <c r="AK412" i="52"/>
  <c r="AL412" i="52"/>
  <c r="AM412" i="52"/>
  <c r="F413" i="52"/>
  <c r="G413" i="52"/>
  <c r="H413" i="52"/>
  <c r="I413" i="52"/>
  <c r="J413" i="52"/>
  <c r="K413" i="52"/>
  <c r="O413" i="52"/>
  <c r="P413" i="52"/>
  <c r="Q413" i="52"/>
  <c r="R413" i="52"/>
  <c r="S413" i="52"/>
  <c r="T413" i="52"/>
  <c r="X413" i="52"/>
  <c r="Y413" i="52"/>
  <c r="Z413" i="52"/>
  <c r="AA413" i="52"/>
  <c r="AB413" i="52"/>
  <c r="AC413" i="52"/>
  <c r="AH413" i="52"/>
  <c r="AI413" i="52"/>
  <c r="AJ413" i="52"/>
  <c r="AK413" i="52"/>
  <c r="AL413" i="52"/>
  <c r="AM413" i="52"/>
  <c r="F414" i="52"/>
  <c r="G414" i="52"/>
  <c r="H414" i="52"/>
  <c r="I414" i="52"/>
  <c r="J414" i="52"/>
  <c r="K414" i="52"/>
  <c r="O414" i="52"/>
  <c r="P414" i="52"/>
  <c r="Q414" i="52"/>
  <c r="R414" i="52"/>
  <c r="S414" i="52"/>
  <c r="T414" i="52"/>
  <c r="X414" i="52"/>
  <c r="Y414" i="52"/>
  <c r="Z414" i="52"/>
  <c r="AA414" i="52"/>
  <c r="AB414" i="52"/>
  <c r="AC414" i="52"/>
  <c r="AH414" i="52"/>
  <c r="AI414" i="52"/>
  <c r="AJ414" i="52"/>
  <c r="AK414" i="52"/>
  <c r="AL414" i="52"/>
  <c r="AM414" i="52"/>
  <c r="F415" i="52"/>
  <c r="G415" i="52"/>
  <c r="H415" i="52"/>
  <c r="I415" i="52"/>
  <c r="J415" i="52"/>
  <c r="K415" i="52"/>
  <c r="O415" i="52"/>
  <c r="P415" i="52"/>
  <c r="Q415" i="52"/>
  <c r="R415" i="52"/>
  <c r="S415" i="52"/>
  <c r="T415" i="52"/>
  <c r="X415" i="52"/>
  <c r="Y415" i="52"/>
  <c r="Z415" i="52"/>
  <c r="AA415" i="52"/>
  <c r="AB415" i="52"/>
  <c r="AC415" i="52"/>
  <c r="AH415" i="52"/>
  <c r="AI415" i="52"/>
  <c r="AJ415" i="52"/>
  <c r="AK415" i="52"/>
  <c r="AL415" i="52"/>
  <c r="AM415" i="52"/>
  <c r="F416" i="52"/>
  <c r="G416" i="52"/>
  <c r="H416" i="52"/>
  <c r="I416" i="52"/>
  <c r="J416" i="52"/>
  <c r="K416" i="52"/>
  <c r="O416" i="52"/>
  <c r="P416" i="52"/>
  <c r="Q416" i="52"/>
  <c r="R416" i="52"/>
  <c r="S416" i="52"/>
  <c r="T416" i="52"/>
  <c r="X416" i="52"/>
  <c r="Y416" i="52"/>
  <c r="Z416" i="52"/>
  <c r="AA416" i="52"/>
  <c r="AB416" i="52"/>
  <c r="AC416" i="52"/>
  <c r="AH416" i="52"/>
  <c r="AI416" i="52"/>
  <c r="AJ416" i="52"/>
  <c r="AK416" i="52"/>
  <c r="AL416" i="52"/>
  <c r="AM416" i="52"/>
  <c r="F417" i="52"/>
  <c r="G417" i="52"/>
  <c r="H417" i="52"/>
  <c r="I417" i="52"/>
  <c r="J417" i="52"/>
  <c r="K417" i="52"/>
  <c r="O417" i="52"/>
  <c r="P417" i="52"/>
  <c r="Q417" i="52"/>
  <c r="R417" i="52"/>
  <c r="S417" i="52"/>
  <c r="T417" i="52"/>
  <c r="X417" i="52"/>
  <c r="Y417" i="52"/>
  <c r="Z417" i="52"/>
  <c r="AA417" i="52"/>
  <c r="AB417" i="52"/>
  <c r="AC417" i="52"/>
  <c r="AH417" i="52"/>
  <c r="AI417" i="52"/>
  <c r="AJ417" i="52"/>
  <c r="AK417" i="52"/>
  <c r="AL417" i="52"/>
  <c r="AM417" i="52"/>
  <c r="F418" i="52"/>
  <c r="G418" i="52"/>
  <c r="H418" i="52"/>
  <c r="I418" i="52"/>
  <c r="J418" i="52"/>
  <c r="K418" i="52"/>
  <c r="O418" i="52"/>
  <c r="P418" i="52"/>
  <c r="Q418" i="52"/>
  <c r="R418" i="52"/>
  <c r="S418" i="52"/>
  <c r="T418" i="52"/>
  <c r="X418" i="52"/>
  <c r="Y418" i="52"/>
  <c r="Z418" i="52"/>
  <c r="AA418" i="52"/>
  <c r="AB418" i="52"/>
  <c r="AC418" i="52"/>
  <c r="AH418" i="52"/>
  <c r="AI418" i="52"/>
  <c r="AJ418" i="52"/>
  <c r="AK418" i="52"/>
  <c r="AL418" i="52"/>
  <c r="AM418" i="52"/>
  <c r="F419" i="52"/>
  <c r="G419" i="52"/>
  <c r="H419" i="52"/>
  <c r="I419" i="52"/>
  <c r="J419" i="52"/>
  <c r="K419" i="52"/>
  <c r="O419" i="52"/>
  <c r="P419" i="52"/>
  <c r="Q419" i="52"/>
  <c r="R419" i="52"/>
  <c r="S419" i="52"/>
  <c r="T419" i="52"/>
  <c r="X419" i="52"/>
  <c r="Y419" i="52"/>
  <c r="Z419" i="52"/>
  <c r="AA419" i="52"/>
  <c r="AB419" i="52"/>
  <c r="AC419" i="52"/>
  <c r="AH419" i="52"/>
  <c r="AI419" i="52"/>
  <c r="AJ419" i="52"/>
  <c r="AK419" i="52"/>
  <c r="AL419" i="52"/>
  <c r="AM419" i="52"/>
  <c r="F420" i="52"/>
  <c r="G420" i="52"/>
  <c r="H420" i="52"/>
  <c r="I420" i="52"/>
  <c r="J420" i="52"/>
  <c r="K420" i="52"/>
  <c r="O420" i="52"/>
  <c r="P420" i="52"/>
  <c r="Q420" i="52"/>
  <c r="R420" i="52"/>
  <c r="S420" i="52"/>
  <c r="T420" i="52"/>
  <c r="X420" i="52"/>
  <c r="Y420" i="52"/>
  <c r="Z420" i="52"/>
  <c r="AA420" i="52"/>
  <c r="AB420" i="52"/>
  <c r="AC420" i="52"/>
  <c r="AH420" i="52"/>
  <c r="AI420" i="52"/>
  <c r="AJ420" i="52"/>
  <c r="AK420" i="52"/>
  <c r="AL420" i="52"/>
  <c r="AM420" i="52"/>
  <c r="F421" i="52"/>
  <c r="G421" i="52"/>
  <c r="H421" i="52"/>
  <c r="I421" i="52"/>
  <c r="J421" i="52"/>
  <c r="K421" i="52"/>
  <c r="O421" i="52"/>
  <c r="P421" i="52"/>
  <c r="Q421" i="52"/>
  <c r="R421" i="52"/>
  <c r="S421" i="52"/>
  <c r="T421" i="52"/>
  <c r="X421" i="52"/>
  <c r="Y421" i="52"/>
  <c r="Z421" i="52"/>
  <c r="AA421" i="52"/>
  <c r="AB421" i="52"/>
  <c r="AC421" i="52"/>
  <c r="AH421" i="52"/>
  <c r="AI421" i="52"/>
  <c r="AJ421" i="52"/>
  <c r="AK421" i="52"/>
  <c r="AL421" i="52"/>
  <c r="AM421" i="52"/>
  <c r="AH100" i="25"/>
  <c r="AH101" i="25" s="1"/>
  <c r="AM101" i="25"/>
  <c r="AM102" i="25"/>
  <c r="C3" i="25"/>
  <c r="C6" i="47"/>
  <c r="B15" i="27"/>
  <c r="C71" i="19"/>
  <c r="H328" i="47"/>
  <c r="C70" i="19"/>
  <c r="P50" i="49"/>
  <c r="D25" i="49"/>
  <c r="F25" i="49"/>
  <c r="D139" i="27"/>
  <c r="D42" i="27"/>
  <c r="R347" i="47"/>
  <c r="S347" i="47"/>
  <c r="T347" i="47"/>
  <c r="Q347" i="47"/>
  <c r="H347" i="47"/>
  <c r="R328" i="47"/>
  <c r="S328" i="47"/>
  <c r="T328" i="47"/>
  <c r="Q328" i="47"/>
  <c r="E80" i="27" l="1"/>
  <c r="F80" i="27"/>
  <c r="G80" i="27"/>
  <c r="I80" i="27"/>
  <c r="H80" i="27"/>
  <c r="U176" i="55"/>
  <c r="U157" i="55"/>
  <c r="AN176" i="55"/>
  <c r="AN157" i="55"/>
  <c r="U214" i="55"/>
  <c r="L214" i="55"/>
  <c r="AN195" i="55"/>
  <c r="AD157" i="55"/>
  <c r="U195" i="55"/>
  <c r="AN215" i="55"/>
  <c r="AJ216" i="55"/>
  <c r="AJ217" i="55" s="1"/>
  <c r="AJ218" i="55" s="1"/>
  <c r="AJ219" i="55" s="1"/>
  <c r="Z178" i="55"/>
  <c r="AD177" i="55"/>
  <c r="Z197" i="55"/>
  <c r="AD196" i="55"/>
  <c r="AN214" i="55"/>
  <c r="AD195" i="55"/>
  <c r="AJ196" i="55"/>
  <c r="AD176" i="55"/>
  <c r="AM158" i="55"/>
  <c r="AM159" i="55" s="1"/>
  <c r="AM160" i="55" s="1"/>
  <c r="AM161" i="55" s="1"/>
  <c r="AM162" i="55" s="1"/>
  <c r="AM163" i="55" s="1"/>
  <c r="AM164" i="55" s="1"/>
  <c r="AM165" i="55" s="1"/>
  <c r="AM166" i="55" s="1"/>
  <c r="AM167" i="55" s="1"/>
  <c r="AM168" i="55" s="1"/>
  <c r="AM169" i="55" s="1"/>
  <c r="AM170" i="55" s="1"/>
  <c r="AM171" i="55" s="1"/>
  <c r="AM172" i="55" s="1"/>
  <c r="AM173" i="55" s="1"/>
  <c r="AM174" i="55" s="1"/>
  <c r="AK218" i="55"/>
  <c r="AK219" i="55" s="1"/>
  <c r="AK220" i="55" s="1"/>
  <c r="AK221" i="55" s="1"/>
  <c r="AK222" i="55" s="1"/>
  <c r="AK223" i="55" s="1"/>
  <c r="AK224" i="55" s="1"/>
  <c r="AK225" i="55" s="1"/>
  <c r="AK226" i="55" s="1"/>
  <c r="AK227" i="55" s="1"/>
  <c r="AK228" i="55" s="1"/>
  <c r="AK229" i="55" s="1"/>
  <c r="AK230" i="55" s="1"/>
  <c r="AK231" i="55" s="1"/>
  <c r="AL217" i="55"/>
  <c r="AL218" i="55" s="1"/>
  <c r="AL219" i="55" s="1"/>
  <c r="AL220" i="55" s="1"/>
  <c r="AL221" i="55" s="1"/>
  <c r="AL222" i="55" s="1"/>
  <c r="AL223" i="55" s="1"/>
  <c r="AL224" i="55" s="1"/>
  <c r="AL225" i="55" s="1"/>
  <c r="AL226" i="55" s="1"/>
  <c r="AL227" i="55" s="1"/>
  <c r="AL228" i="55" s="1"/>
  <c r="AL229" i="55" s="1"/>
  <c r="AL230" i="55" s="1"/>
  <c r="AL231" i="55" s="1"/>
  <c r="AD216" i="55"/>
  <c r="AB217" i="55"/>
  <c r="AB218" i="55" s="1"/>
  <c r="AB219" i="55" s="1"/>
  <c r="AB220" i="55" s="1"/>
  <c r="AB221" i="55" s="1"/>
  <c r="AB222" i="55" s="1"/>
  <c r="AB223" i="55" s="1"/>
  <c r="AB224" i="55" s="1"/>
  <c r="AB225" i="55" s="1"/>
  <c r="AB226" i="55" s="1"/>
  <c r="AB227" i="55" s="1"/>
  <c r="AB228" i="55" s="1"/>
  <c r="AB229" i="55" s="1"/>
  <c r="AB230" i="55" s="1"/>
  <c r="AB231" i="55" s="1"/>
  <c r="AD215" i="55"/>
  <c r="Z218" i="55"/>
  <c r="AD214" i="55"/>
  <c r="AA208" i="55"/>
  <c r="AA209" i="55" s="1"/>
  <c r="AA210" i="55" s="1"/>
  <c r="AA211" i="55" s="1"/>
  <c r="AA212" i="55" s="1"/>
  <c r="F273" i="55"/>
  <c r="F283" i="55"/>
  <c r="AA273" i="55"/>
  <c r="X283" i="55"/>
  <c r="AA275" i="55"/>
  <c r="F287" i="55"/>
  <c r="AB43" i="55"/>
  <c r="AB62" i="55" s="1"/>
  <c r="F277" i="55"/>
  <c r="I287" i="55"/>
  <c r="AA277" i="55"/>
  <c r="F279" i="55"/>
  <c r="R196" i="55"/>
  <c r="R197" i="55" s="1"/>
  <c r="R198" i="55" s="1"/>
  <c r="R199" i="55" s="1"/>
  <c r="R200" i="55" s="1"/>
  <c r="R201" i="55" s="1"/>
  <c r="R202" i="55" s="1"/>
  <c r="R203" i="55" s="1"/>
  <c r="R204" i="55" s="1"/>
  <c r="R205" i="55" s="1"/>
  <c r="R206" i="55" s="1"/>
  <c r="R207" i="55" s="1"/>
  <c r="R208" i="55" s="1"/>
  <c r="R209" i="55" s="1"/>
  <c r="R210" i="55" s="1"/>
  <c r="R211" i="55" s="1"/>
  <c r="R212" i="55" s="1"/>
  <c r="I272" i="55"/>
  <c r="I276" i="55"/>
  <c r="I280" i="55"/>
  <c r="F285" i="55"/>
  <c r="G285" i="55"/>
  <c r="AJ62" i="55"/>
  <c r="G43" i="55"/>
  <c r="G273" i="55"/>
  <c r="G277" i="55"/>
  <c r="G281" i="55"/>
  <c r="I285" i="55"/>
  <c r="I273" i="55"/>
  <c r="I277" i="55"/>
  <c r="I281" i="55"/>
  <c r="AK158" i="55"/>
  <c r="AK159" i="55" s="1"/>
  <c r="AK160" i="55" s="1"/>
  <c r="AK161" i="55" s="1"/>
  <c r="AK162" i="55" s="1"/>
  <c r="AK163" i="55" s="1"/>
  <c r="AK164" i="55" s="1"/>
  <c r="AK165" i="55" s="1"/>
  <c r="AK166" i="55" s="1"/>
  <c r="AK167" i="55" s="1"/>
  <c r="AK168" i="55" s="1"/>
  <c r="AK169" i="55" s="1"/>
  <c r="AK170" i="55" s="1"/>
  <c r="AK171" i="55" s="1"/>
  <c r="AK172" i="55" s="1"/>
  <c r="AK173" i="55" s="1"/>
  <c r="AK174" i="55" s="1"/>
  <c r="X273" i="55"/>
  <c r="X277" i="55"/>
  <c r="X281" i="55"/>
  <c r="AA285" i="55"/>
  <c r="I274" i="55"/>
  <c r="I278" i="55"/>
  <c r="I282" i="55"/>
  <c r="G287" i="55"/>
  <c r="G275" i="55"/>
  <c r="G279" i="55"/>
  <c r="G283" i="55"/>
  <c r="X287" i="55"/>
  <c r="I275" i="55"/>
  <c r="I279" i="55"/>
  <c r="I283" i="55"/>
  <c r="AA287" i="55"/>
  <c r="S43" i="55"/>
  <c r="AL43" i="55"/>
  <c r="T43" i="55"/>
  <c r="T62" i="55" s="1"/>
  <c r="AM43" i="55"/>
  <c r="X81" i="55"/>
  <c r="X43" i="55"/>
  <c r="R215" i="55"/>
  <c r="R216" i="55" s="1"/>
  <c r="R217" i="55" s="1"/>
  <c r="R218" i="55" s="1"/>
  <c r="R219" i="55" s="1"/>
  <c r="R220" i="55" s="1"/>
  <c r="R221" i="55" s="1"/>
  <c r="R222" i="55" s="1"/>
  <c r="R223" i="55" s="1"/>
  <c r="R224" i="55" s="1"/>
  <c r="R225" i="55" s="1"/>
  <c r="R226" i="55" s="1"/>
  <c r="R227" i="55" s="1"/>
  <c r="R228" i="55" s="1"/>
  <c r="R229" i="55" s="1"/>
  <c r="R230" i="55" s="1"/>
  <c r="R231" i="55" s="1"/>
  <c r="AJ120" i="55"/>
  <c r="Q120" i="55"/>
  <c r="Q121" i="55" s="1"/>
  <c r="Q122" i="55" s="1"/>
  <c r="Q123" i="55" s="1"/>
  <c r="Q124" i="55" s="1"/>
  <c r="Q125" i="55" s="1"/>
  <c r="Q126" i="55" s="1"/>
  <c r="Q127" i="55" s="1"/>
  <c r="Q128" i="55" s="1"/>
  <c r="Q129" i="55" s="1"/>
  <c r="Q130" i="55" s="1"/>
  <c r="Q131" i="55" s="1"/>
  <c r="Q132" i="55" s="1"/>
  <c r="Q133" i="55" s="1"/>
  <c r="Q134" i="55" s="1"/>
  <c r="Q135" i="55" s="1"/>
  <c r="Q136" i="55" s="1"/>
  <c r="AH120" i="55"/>
  <c r="AH121" i="55" s="1"/>
  <c r="AH122" i="55" s="1"/>
  <c r="AH123" i="55" s="1"/>
  <c r="AH124" i="55" s="1"/>
  <c r="AH125" i="55" s="1"/>
  <c r="AH126" i="55" s="1"/>
  <c r="AH127" i="55" s="1"/>
  <c r="AH128" i="55" s="1"/>
  <c r="AH129" i="55" s="1"/>
  <c r="AH130" i="55" s="1"/>
  <c r="AH131" i="55" s="1"/>
  <c r="AH132" i="55" s="1"/>
  <c r="AH133" i="55" s="1"/>
  <c r="AH134" i="55" s="1"/>
  <c r="AH135" i="55" s="1"/>
  <c r="AH136" i="55" s="1"/>
  <c r="O120" i="55"/>
  <c r="O121" i="55" s="1"/>
  <c r="O122" i="55" s="1"/>
  <c r="O123" i="55" s="1"/>
  <c r="O124" i="55" s="1"/>
  <c r="O125" i="55" s="1"/>
  <c r="O126" i="55" s="1"/>
  <c r="O127" i="55" s="1"/>
  <c r="O128" i="55" s="1"/>
  <c r="O129" i="55" s="1"/>
  <c r="O130" i="55" s="1"/>
  <c r="O131" i="55" s="1"/>
  <c r="O132" i="55" s="1"/>
  <c r="O133" i="55" s="1"/>
  <c r="O134" i="55" s="1"/>
  <c r="O135" i="55" s="1"/>
  <c r="O136" i="55" s="1"/>
  <c r="AC120" i="55"/>
  <c r="AC121" i="55" s="1"/>
  <c r="AC122" i="55" s="1"/>
  <c r="AC123" i="55" s="1"/>
  <c r="AC124" i="55" s="1"/>
  <c r="AC125" i="55" s="1"/>
  <c r="AC126" i="55" s="1"/>
  <c r="AC127" i="55" s="1"/>
  <c r="AC128" i="55" s="1"/>
  <c r="AC129" i="55" s="1"/>
  <c r="AC130" i="55" s="1"/>
  <c r="AC131" i="55" s="1"/>
  <c r="AC132" i="55" s="1"/>
  <c r="AC133" i="55" s="1"/>
  <c r="AC134" i="55" s="1"/>
  <c r="AC135" i="55" s="1"/>
  <c r="AC136" i="55" s="1"/>
  <c r="K120" i="55"/>
  <c r="K121" i="55" s="1"/>
  <c r="K122" i="55" s="1"/>
  <c r="K123" i="55" s="1"/>
  <c r="K124" i="55" s="1"/>
  <c r="K125" i="55" s="1"/>
  <c r="K126" i="55" s="1"/>
  <c r="K127" i="55" s="1"/>
  <c r="K128" i="55" s="1"/>
  <c r="K129" i="55" s="1"/>
  <c r="K130" i="55" s="1"/>
  <c r="K131" i="55" s="1"/>
  <c r="K132" i="55" s="1"/>
  <c r="K133" i="55" s="1"/>
  <c r="K134" i="55" s="1"/>
  <c r="K135" i="55" s="1"/>
  <c r="K136" i="55" s="1"/>
  <c r="AB120" i="55"/>
  <c r="AB121" i="55" s="1"/>
  <c r="AB122" i="55" s="1"/>
  <c r="AB123" i="55" s="1"/>
  <c r="AB124" i="55" s="1"/>
  <c r="AB125" i="55" s="1"/>
  <c r="AB126" i="55" s="1"/>
  <c r="AB127" i="55" s="1"/>
  <c r="AB128" i="55" s="1"/>
  <c r="AB129" i="55" s="1"/>
  <c r="AB130" i="55" s="1"/>
  <c r="AB131" i="55" s="1"/>
  <c r="AB132" i="55" s="1"/>
  <c r="AB133" i="55" s="1"/>
  <c r="AB134" i="55" s="1"/>
  <c r="AB135" i="55" s="1"/>
  <c r="AB136" i="55" s="1"/>
  <c r="J120" i="55"/>
  <c r="J121" i="55" s="1"/>
  <c r="J122" i="55" s="1"/>
  <c r="J123" i="55" s="1"/>
  <c r="J124" i="55" s="1"/>
  <c r="J125" i="55" s="1"/>
  <c r="J126" i="55" s="1"/>
  <c r="J127" i="55" s="1"/>
  <c r="J128" i="55" s="1"/>
  <c r="J129" i="55" s="1"/>
  <c r="J130" i="55" s="1"/>
  <c r="J131" i="55" s="1"/>
  <c r="J132" i="55" s="1"/>
  <c r="J133" i="55" s="1"/>
  <c r="J134" i="55" s="1"/>
  <c r="J135" i="55" s="1"/>
  <c r="J136" i="55" s="1"/>
  <c r="AA120" i="55"/>
  <c r="AA121" i="55" s="1"/>
  <c r="AA122" i="55" s="1"/>
  <c r="AA123" i="55" s="1"/>
  <c r="AA124" i="55" s="1"/>
  <c r="AA125" i="55" s="1"/>
  <c r="AA126" i="55" s="1"/>
  <c r="AA127" i="55" s="1"/>
  <c r="AA128" i="55" s="1"/>
  <c r="AA129" i="55" s="1"/>
  <c r="AA130" i="55" s="1"/>
  <c r="AA131" i="55" s="1"/>
  <c r="AA132" i="55" s="1"/>
  <c r="AA133" i="55" s="1"/>
  <c r="AA134" i="55" s="1"/>
  <c r="AA135" i="55" s="1"/>
  <c r="AA136" i="55" s="1"/>
  <c r="I120" i="55"/>
  <c r="I121" i="55" s="1"/>
  <c r="I122" i="55" s="1"/>
  <c r="I123" i="55" s="1"/>
  <c r="I124" i="55" s="1"/>
  <c r="I125" i="55" s="1"/>
  <c r="I126" i="55" s="1"/>
  <c r="I127" i="55" s="1"/>
  <c r="I128" i="55" s="1"/>
  <c r="I129" i="55" s="1"/>
  <c r="I130" i="55" s="1"/>
  <c r="I131" i="55" s="1"/>
  <c r="I132" i="55" s="1"/>
  <c r="I133" i="55" s="1"/>
  <c r="I134" i="55" s="1"/>
  <c r="I135" i="55" s="1"/>
  <c r="I136" i="55" s="1"/>
  <c r="Z120" i="55"/>
  <c r="Z121" i="55" s="1"/>
  <c r="Z122" i="55" s="1"/>
  <c r="Z123" i="55" s="1"/>
  <c r="Z124" i="55" s="1"/>
  <c r="Z125" i="55" s="1"/>
  <c r="Z126" i="55" s="1"/>
  <c r="Z127" i="55" s="1"/>
  <c r="Z128" i="55" s="1"/>
  <c r="Z129" i="55" s="1"/>
  <c r="Z130" i="55" s="1"/>
  <c r="Z131" i="55" s="1"/>
  <c r="Z132" i="55" s="1"/>
  <c r="Z133" i="55" s="1"/>
  <c r="Z134" i="55" s="1"/>
  <c r="Z135" i="55" s="1"/>
  <c r="Z136" i="55" s="1"/>
  <c r="H120" i="55"/>
  <c r="Y120" i="55"/>
  <c r="Y121" i="55" s="1"/>
  <c r="Y122" i="55" s="1"/>
  <c r="Y123" i="55" s="1"/>
  <c r="Y124" i="55" s="1"/>
  <c r="Y125" i="55" s="1"/>
  <c r="Y126" i="55" s="1"/>
  <c r="Y127" i="55" s="1"/>
  <c r="Y128" i="55" s="1"/>
  <c r="Y129" i="55" s="1"/>
  <c r="Y130" i="55" s="1"/>
  <c r="Y131" i="55" s="1"/>
  <c r="Y132" i="55" s="1"/>
  <c r="Y133" i="55" s="1"/>
  <c r="Y134" i="55" s="1"/>
  <c r="Y135" i="55" s="1"/>
  <c r="Y136" i="55" s="1"/>
  <c r="G120" i="55"/>
  <c r="G121" i="55" s="1"/>
  <c r="G122" i="55" s="1"/>
  <c r="G123" i="55" s="1"/>
  <c r="G124" i="55" s="1"/>
  <c r="G125" i="55" s="1"/>
  <c r="G126" i="55" s="1"/>
  <c r="G127" i="55" s="1"/>
  <c r="G128" i="55" s="1"/>
  <c r="G129" i="55" s="1"/>
  <c r="G130" i="55" s="1"/>
  <c r="G131" i="55" s="1"/>
  <c r="G132" i="55" s="1"/>
  <c r="G133" i="55" s="1"/>
  <c r="G134" i="55" s="1"/>
  <c r="G135" i="55" s="1"/>
  <c r="G136" i="55" s="1"/>
  <c r="Q215" i="55"/>
  <c r="AL120" i="55"/>
  <c r="S120" i="55"/>
  <c r="S121" i="55" s="1"/>
  <c r="S122" i="55" s="1"/>
  <c r="S123" i="55" s="1"/>
  <c r="S124" i="55" s="1"/>
  <c r="S125" i="55" s="1"/>
  <c r="S126" i="55" s="1"/>
  <c r="S127" i="55" s="1"/>
  <c r="S128" i="55" s="1"/>
  <c r="S129" i="55" s="1"/>
  <c r="S130" i="55" s="1"/>
  <c r="S131" i="55" s="1"/>
  <c r="S132" i="55" s="1"/>
  <c r="S133" i="55" s="1"/>
  <c r="S134" i="55" s="1"/>
  <c r="S135" i="55" s="1"/>
  <c r="S136" i="55" s="1"/>
  <c r="AM120" i="55"/>
  <c r="AK120" i="55"/>
  <c r="AI120" i="55"/>
  <c r="AI121" i="55" s="1"/>
  <c r="AI122" i="55" s="1"/>
  <c r="AI123" i="55" s="1"/>
  <c r="AI124" i="55" s="1"/>
  <c r="AI125" i="55" s="1"/>
  <c r="AI126" i="55" s="1"/>
  <c r="AI127" i="55" s="1"/>
  <c r="AI128" i="55" s="1"/>
  <c r="AI129" i="55" s="1"/>
  <c r="AI130" i="55" s="1"/>
  <c r="AI131" i="55" s="1"/>
  <c r="AI132" i="55" s="1"/>
  <c r="AI133" i="55" s="1"/>
  <c r="AI134" i="55" s="1"/>
  <c r="AI135" i="55" s="1"/>
  <c r="AI136" i="55" s="1"/>
  <c r="X120" i="55"/>
  <c r="X121" i="55" s="1"/>
  <c r="X122" i="55" s="1"/>
  <c r="X123" i="55" s="1"/>
  <c r="X124" i="55" s="1"/>
  <c r="X125" i="55" s="1"/>
  <c r="X126" i="55" s="1"/>
  <c r="X127" i="55" s="1"/>
  <c r="X128" i="55" s="1"/>
  <c r="X129" i="55" s="1"/>
  <c r="X130" i="55" s="1"/>
  <c r="X131" i="55" s="1"/>
  <c r="X132" i="55" s="1"/>
  <c r="X133" i="55" s="1"/>
  <c r="X134" i="55" s="1"/>
  <c r="X135" i="55" s="1"/>
  <c r="X136" i="55" s="1"/>
  <c r="T120" i="55"/>
  <c r="T121" i="55" s="1"/>
  <c r="T122" i="55" s="1"/>
  <c r="T123" i="55" s="1"/>
  <c r="T124" i="55" s="1"/>
  <c r="T125" i="55" s="1"/>
  <c r="T126" i="55" s="1"/>
  <c r="T127" i="55" s="1"/>
  <c r="T128" i="55" s="1"/>
  <c r="T129" i="55" s="1"/>
  <c r="T130" i="55" s="1"/>
  <c r="T131" i="55" s="1"/>
  <c r="T132" i="55" s="1"/>
  <c r="T133" i="55" s="1"/>
  <c r="T134" i="55" s="1"/>
  <c r="T135" i="55" s="1"/>
  <c r="T136" i="55" s="1"/>
  <c r="R120" i="55"/>
  <c r="R121" i="55" s="1"/>
  <c r="R122" i="55" s="1"/>
  <c r="R123" i="55" s="1"/>
  <c r="R124" i="55" s="1"/>
  <c r="R125" i="55" s="1"/>
  <c r="R126" i="55" s="1"/>
  <c r="R127" i="55" s="1"/>
  <c r="R128" i="55" s="1"/>
  <c r="R129" i="55" s="1"/>
  <c r="R130" i="55" s="1"/>
  <c r="R131" i="55" s="1"/>
  <c r="R132" i="55" s="1"/>
  <c r="R133" i="55" s="1"/>
  <c r="R134" i="55" s="1"/>
  <c r="R135" i="55" s="1"/>
  <c r="R136" i="55" s="1"/>
  <c r="P120" i="55"/>
  <c r="P121" i="55" s="1"/>
  <c r="P122" i="55" s="1"/>
  <c r="P123" i="55" s="1"/>
  <c r="P124" i="55" s="1"/>
  <c r="P125" i="55" s="1"/>
  <c r="P126" i="55" s="1"/>
  <c r="P127" i="55" s="1"/>
  <c r="P128" i="55" s="1"/>
  <c r="P129" i="55" s="1"/>
  <c r="P130" i="55" s="1"/>
  <c r="P131" i="55" s="1"/>
  <c r="P132" i="55" s="1"/>
  <c r="P133" i="55" s="1"/>
  <c r="P134" i="55" s="1"/>
  <c r="P135" i="55" s="1"/>
  <c r="P136" i="55" s="1"/>
  <c r="F120" i="55"/>
  <c r="F121" i="55" s="1"/>
  <c r="F122" i="55" s="1"/>
  <c r="F123" i="55" s="1"/>
  <c r="F124" i="55" s="1"/>
  <c r="F125" i="55" s="1"/>
  <c r="F126" i="55" s="1"/>
  <c r="F127" i="55" s="1"/>
  <c r="F128" i="55" s="1"/>
  <c r="F129" i="55" s="1"/>
  <c r="F130" i="55" s="1"/>
  <c r="F131" i="55" s="1"/>
  <c r="F132" i="55" s="1"/>
  <c r="F133" i="55" s="1"/>
  <c r="F134" i="55" s="1"/>
  <c r="F135" i="55" s="1"/>
  <c r="F136" i="55" s="1"/>
  <c r="H26" i="55"/>
  <c r="I43" i="55"/>
  <c r="AA43" i="55"/>
  <c r="AA62" i="55" s="1"/>
  <c r="AA158" i="55"/>
  <c r="AA159" i="55" s="1"/>
  <c r="AA160" i="55" s="1"/>
  <c r="AA161" i="55" s="1"/>
  <c r="AA162" i="55" s="1"/>
  <c r="AA163" i="55" s="1"/>
  <c r="AA164" i="55" s="1"/>
  <c r="AA165" i="55" s="1"/>
  <c r="AA166" i="55" s="1"/>
  <c r="AA167" i="55" s="1"/>
  <c r="AA168" i="55" s="1"/>
  <c r="AA169" i="55" s="1"/>
  <c r="AA170" i="55" s="1"/>
  <c r="AA171" i="55" s="1"/>
  <c r="AA172" i="55" s="1"/>
  <c r="AA173" i="55" s="1"/>
  <c r="AA174" i="55" s="1"/>
  <c r="K43" i="55"/>
  <c r="AC43" i="55"/>
  <c r="AC62" i="55" s="1"/>
  <c r="O81" i="55"/>
  <c r="O6" i="55" s="1"/>
  <c r="AH81" i="55"/>
  <c r="AH43" i="55"/>
  <c r="K26" i="55"/>
  <c r="AJ26" i="55"/>
  <c r="AB158" i="55"/>
  <c r="AB159" i="55" s="1"/>
  <c r="AB160" i="55" s="1"/>
  <c r="AB161" i="55" s="1"/>
  <c r="AB162" i="55" s="1"/>
  <c r="AB163" i="55" s="1"/>
  <c r="AB164" i="55" s="1"/>
  <c r="AB165" i="55" s="1"/>
  <c r="AB166" i="55" s="1"/>
  <c r="AB167" i="55" s="1"/>
  <c r="AB168" i="55" s="1"/>
  <c r="AB169" i="55" s="1"/>
  <c r="AB170" i="55" s="1"/>
  <c r="AB171" i="55" s="1"/>
  <c r="AB172" i="55" s="1"/>
  <c r="AB173" i="55" s="1"/>
  <c r="AB174" i="55" s="1"/>
  <c r="AC158" i="55"/>
  <c r="AC159" i="55" s="1"/>
  <c r="AC160" i="55" s="1"/>
  <c r="AC161" i="55" s="1"/>
  <c r="AC162" i="55" s="1"/>
  <c r="AC163" i="55" s="1"/>
  <c r="AC164" i="55" s="1"/>
  <c r="AC165" i="55" s="1"/>
  <c r="AC166" i="55" s="1"/>
  <c r="AC167" i="55" s="1"/>
  <c r="AC168" i="55" s="1"/>
  <c r="AC169" i="55" s="1"/>
  <c r="AC170" i="55" s="1"/>
  <c r="AC171" i="55" s="1"/>
  <c r="AC172" i="55" s="1"/>
  <c r="AC173" i="55" s="1"/>
  <c r="AC174" i="55" s="1"/>
  <c r="I27" i="55"/>
  <c r="E24" i="27"/>
  <c r="Y6" i="55"/>
  <c r="U24" i="27" s="1"/>
  <c r="J26" i="55"/>
  <c r="AB26" i="55"/>
  <c r="AK27" i="55"/>
  <c r="H43" i="55"/>
  <c r="J43" i="55"/>
  <c r="Q62" i="55"/>
  <c r="Q25" i="55"/>
  <c r="P81" i="55"/>
  <c r="P43" i="55"/>
  <c r="AI81" i="55"/>
  <c r="AI43" i="55"/>
  <c r="R25" i="55"/>
  <c r="R62" i="55"/>
  <c r="AK62" i="55"/>
  <c r="S62" i="55"/>
  <c r="S25" i="55"/>
  <c r="AL62" i="55"/>
  <c r="AL25" i="55"/>
  <c r="Z26" i="55"/>
  <c r="Y43" i="55"/>
  <c r="AA27" i="55"/>
  <c r="AM62" i="55"/>
  <c r="AC25" i="55"/>
  <c r="T215" i="55"/>
  <c r="T216" i="55" s="1"/>
  <c r="T217" i="55" s="1"/>
  <c r="T218" i="55" s="1"/>
  <c r="T219" i="55" s="1"/>
  <c r="T220" i="55" s="1"/>
  <c r="T221" i="55" s="1"/>
  <c r="T222" i="55" s="1"/>
  <c r="T223" i="55" s="1"/>
  <c r="T224" i="55" s="1"/>
  <c r="T225" i="55" s="1"/>
  <c r="T226" i="55" s="1"/>
  <c r="T227" i="55" s="1"/>
  <c r="T228" i="55" s="1"/>
  <c r="T229" i="55" s="1"/>
  <c r="T230" i="55" s="1"/>
  <c r="T231" i="55" s="1"/>
  <c r="Z62" i="55"/>
  <c r="AM25" i="55"/>
  <c r="T25" i="55"/>
  <c r="I215" i="55"/>
  <c r="I216" i="55" s="1"/>
  <c r="I217" i="55" s="1"/>
  <c r="I218" i="55" s="1"/>
  <c r="I219" i="55" s="1"/>
  <c r="I220" i="55" s="1"/>
  <c r="I221" i="55" s="1"/>
  <c r="I222" i="55" s="1"/>
  <c r="I223" i="55" s="1"/>
  <c r="I224" i="55" s="1"/>
  <c r="I225" i="55" s="1"/>
  <c r="I226" i="55" s="1"/>
  <c r="I227" i="55" s="1"/>
  <c r="I228" i="55" s="1"/>
  <c r="I229" i="55" s="1"/>
  <c r="I230" i="55" s="1"/>
  <c r="I231" i="55" s="1"/>
  <c r="J215" i="55"/>
  <c r="J216" i="55" s="1"/>
  <c r="J217" i="55" s="1"/>
  <c r="J218" i="55" s="1"/>
  <c r="J219" i="55" s="1"/>
  <c r="J220" i="55" s="1"/>
  <c r="J221" i="55" s="1"/>
  <c r="J222" i="55" s="1"/>
  <c r="J223" i="55" s="1"/>
  <c r="J224" i="55" s="1"/>
  <c r="J225" i="55" s="1"/>
  <c r="J226" i="55" s="1"/>
  <c r="J227" i="55" s="1"/>
  <c r="J228" i="55" s="1"/>
  <c r="J229" i="55" s="1"/>
  <c r="J230" i="55" s="1"/>
  <c r="J231" i="55" s="1"/>
  <c r="K215" i="55"/>
  <c r="K216" i="55" s="1"/>
  <c r="K217" i="55" s="1"/>
  <c r="K218" i="55" s="1"/>
  <c r="K219" i="55" s="1"/>
  <c r="K220" i="55" s="1"/>
  <c r="K221" i="55" s="1"/>
  <c r="K222" i="55" s="1"/>
  <c r="K223" i="55" s="1"/>
  <c r="K224" i="55" s="1"/>
  <c r="K225" i="55" s="1"/>
  <c r="K226" i="55" s="1"/>
  <c r="K227" i="55" s="1"/>
  <c r="K228" i="55" s="1"/>
  <c r="K229" i="55" s="1"/>
  <c r="K230" i="55" s="1"/>
  <c r="K231" i="55" s="1"/>
  <c r="S215" i="55"/>
  <c r="S216" i="55" s="1"/>
  <c r="S217" i="55" s="1"/>
  <c r="S218" i="55" s="1"/>
  <c r="S219" i="55" s="1"/>
  <c r="S220" i="55" s="1"/>
  <c r="S221" i="55" s="1"/>
  <c r="S222" i="55" s="1"/>
  <c r="S223" i="55" s="1"/>
  <c r="S224" i="55" s="1"/>
  <c r="S225" i="55" s="1"/>
  <c r="S226" i="55" s="1"/>
  <c r="S227" i="55" s="1"/>
  <c r="S228" i="55" s="1"/>
  <c r="S229" i="55" s="1"/>
  <c r="S230" i="55" s="1"/>
  <c r="S231" i="55" s="1"/>
  <c r="H215" i="55"/>
  <c r="Y273" i="55"/>
  <c r="Y275" i="55"/>
  <c r="Y277" i="55"/>
  <c r="Y279" i="55"/>
  <c r="Y281" i="55"/>
  <c r="Y283" i="55"/>
  <c r="Y285" i="55"/>
  <c r="Y287" i="55"/>
  <c r="F272" i="55"/>
  <c r="F274" i="55"/>
  <c r="F276" i="55"/>
  <c r="F278" i="55"/>
  <c r="F280" i="55"/>
  <c r="F282" i="55"/>
  <c r="F284" i="55"/>
  <c r="F286" i="55"/>
  <c r="G272" i="55"/>
  <c r="G274" i="55"/>
  <c r="G276" i="55"/>
  <c r="G278" i="55"/>
  <c r="G280" i="55"/>
  <c r="G282" i="55"/>
  <c r="G284" i="55"/>
  <c r="G286" i="55"/>
  <c r="I284" i="55"/>
  <c r="I286" i="55"/>
  <c r="X272" i="55"/>
  <c r="X274" i="55"/>
  <c r="X276" i="55"/>
  <c r="X278" i="55"/>
  <c r="X280" i="55"/>
  <c r="X282" i="55"/>
  <c r="X284" i="55"/>
  <c r="X286" i="55"/>
  <c r="Y272" i="55"/>
  <c r="Y274" i="55"/>
  <c r="Y276" i="55"/>
  <c r="Y278" i="55"/>
  <c r="Y280" i="55"/>
  <c r="Y282" i="55"/>
  <c r="Y284" i="55"/>
  <c r="Y286" i="55"/>
  <c r="AA272" i="55"/>
  <c r="AA274" i="55"/>
  <c r="AA276" i="55"/>
  <c r="AA278" i="55"/>
  <c r="AA280" i="55"/>
  <c r="AA282" i="55"/>
  <c r="AA284" i="55"/>
  <c r="AA286" i="55"/>
  <c r="H272" i="55"/>
  <c r="Z272" i="55"/>
  <c r="H273" i="55"/>
  <c r="Z273" i="55"/>
  <c r="H274" i="55"/>
  <c r="Z274" i="55"/>
  <c r="H275" i="55"/>
  <c r="Z275" i="55"/>
  <c r="H276" i="55"/>
  <c r="Z276" i="55"/>
  <c r="H277" i="55"/>
  <c r="Z277" i="55"/>
  <c r="H278" i="55"/>
  <c r="Z278" i="55"/>
  <c r="H279" i="55"/>
  <c r="Z279" i="55"/>
  <c r="H280" i="55"/>
  <c r="Z280" i="55"/>
  <c r="H281" i="55"/>
  <c r="Z281" i="55"/>
  <c r="H282" i="55"/>
  <c r="Z282" i="55"/>
  <c r="H283" i="55"/>
  <c r="Z283" i="55"/>
  <c r="H284" i="55"/>
  <c r="Z284" i="55"/>
  <c r="H285" i="55"/>
  <c r="Z285" i="55"/>
  <c r="H286" i="55"/>
  <c r="Z286" i="55"/>
  <c r="H287" i="55"/>
  <c r="Z287" i="55"/>
  <c r="J272" i="55"/>
  <c r="AB272" i="55"/>
  <c r="J273" i="55"/>
  <c r="AB273" i="55"/>
  <c r="J274" i="55"/>
  <c r="AB274" i="55"/>
  <c r="J275" i="55"/>
  <c r="AB275" i="55"/>
  <c r="J276" i="55"/>
  <c r="AB276" i="55"/>
  <c r="J277" i="55"/>
  <c r="AB277" i="55"/>
  <c r="J278" i="55"/>
  <c r="AB278" i="55"/>
  <c r="J279" i="55"/>
  <c r="AB279" i="55"/>
  <c r="J280" i="55"/>
  <c r="AB280" i="55"/>
  <c r="J281" i="55"/>
  <c r="AB281" i="55"/>
  <c r="J282" i="55"/>
  <c r="AB282" i="55"/>
  <c r="J283" i="55"/>
  <c r="AB283" i="55"/>
  <c r="J284" i="55"/>
  <c r="AB284" i="55"/>
  <c r="J285" i="55"/>
  <c r="AB285" i="55"/>
  <c r="J286" i="55"/>
  <c r="AB286" i="55"/>
  <c r="J287" i="55"/>
  <c r="AB287" i="55"/>
  <c r="K272" i="55"/>
  <c r="AC272" i="55"/>
  <c r="K273" i="55"/>
  <c r="AC273" i="55"/>
  <c r="K274" i="55"/>
  <c r="AC274" i="55"/>
  <c r="K275" i="55"/>
  <c r="AC275" i="55"/>
  <c r="K276" i="55"/>
  <c r="AC276" i="55"/>
  <c r="K277" i="55"/>
  <c r="AC277" i="55"/>
  <c r="K278" i="55"/>
  <c r="AC278" i="55"/>
  <c r="K279" i="55"/>
  <c r="AC279" i="55"/>
  <c r="K280" i="55"/>
  <c r="AC280" i="55"/>
  <c r="K281" i="55"/>
  <c r="AC281" i="55"/>
  <c r="K282" i="55"/>
  <c r="AC282" i="55"/>
  <c r="K283" i="55"/>
  <c r="AC283" i="55"/>
  <c r="K284" i="55"/>
  <c r="AC284" i="55"/>
  <c r="K285" i="55"/>
  <c r="AC285" i="55"/>
  <c r="K286" i="55"/>
  <c r="AC286" i="55"/>
  <c r="K287" i="55"/>
  <c r="AC287" i="55"/>
  <c r="O272" i="55"/>
  <c r="AH272" i="55"/>
  <c r="O273" i="55"/>
  <c r="AH273" i="55"/>
  <c r="O274" i="55"/>
  <c r="AH274" i="55"/>
  <c r="O275" i="55"/>
  <c r="AH275" i="55"/>
  <c r="O276" i="55"/>
  <c r="AH276" i="55"/>
  <c r="O277" i="55"/>
  <c r="AH277" i="55"/>
  <c r="O278" i="55"/>
  <c r="AH278" i="55"/>
  <c r="O279" i="55"/>
  <c r="AH279" i="55"/>
  <c r="O280" i="55"/>
  <c r="AH280" i="55"/>
  <c r="O281" i="55"/>
  <c r="AH281" i="55"/>
  <c r="O282" i="55"/>
  <c r="AH282" i="55"/>
  <c r="O283" i="55"/>
  <c r="AH283" i="55"/>
  <c r="O284" i="55"/>
  <c r="AH284" i="55"/>
  <c r="O285" i="55"/>
  <c r="AH285" i="55"/>
  <c r="O286" i="55"/>
  <c r="AH286" i="55"/>
  <c r="O287" i="55"/>
  <c r="AH287" i="55"/>
  <c r="P272" i="55"/>
  <c r="AI272" i="55"/>
  <c r="P273" i="55"/>
  <c r="AI273" i="55"/>
  <c r="P274" i="55"/>
  <c r="AI274" i="55"/>
  <c r="P275" i="55"/>
  <c r="AI275" i="55"/>
  <c r="P276" i="55"/>
  <c r="AI276" i="55"/>
  <c r="P277" i="55"/>
  <c r="AI277" i="55"/>
  <c r="P278" i="55"/>
  <c r="AI278" i="55"/>
  <c r="P279" i="55"/>
  <c r="AI279" i="55"/>
  <c r="P280" i="55"/>
  <c r="AI280" i="55"/>
  <c r="P281" i="55"/>
  <c r="AI281" i="55"/>
  <c r="P282" i="55"/>
  <c r="AI282" i="55"/>
  <c r="P283" i="55"/>
  <c r="AI283" i="55"/>
  <c r="P284" i="55"/>
  <c r="AI284" i="55"/>
  <c r="P285" i="55"/>
  <c r="AI285" i="55"/>
  <c r="P286" i="55"/>
  <c r="AI286" i="55"/>
  <c r="P287" i="55"/>
  <c r="AI287" i="55"/>
  <c r="Q272" i="55"/>
  <c r="AJ272" i="55"/>
  <c r="Q273" i="55"/>
  <c r="AJ273" i="55"/>
  <c r="Q274" i="55"/>
  <c r="AJ274" i="55"/>
  <c r="Q275" i="55"/>
  <c r="AJ275" i="55"/>
  <c r="Q276" i="55"/>
  <c r="AJ276" i="55"/>
  <c r="Q277" i="55"/>
  <c r="AJ277" i="55"/>
  <c r="Q278" i="55"/>
  <c r="AJ278" i="55"/>
  <c r="Q279" i="55"/>
  <c r="AJ279" i="55"/>
  <c r="Q280" i="55"/>
  <c r="AJ280" i="55"/>
  <c r="Q281" i="55"/>
  <c r="AJ281" i="55"/>
  <c r="Q282" i="55"/>
  <c r="AJ282" i="55"/>
  <c r="Q283" i="55"/>
  <c r="AJ283" i="55"/>
  <c r="Q284" i="55"/>
  <c r="AJ284" i="55"/>
  <c r="Q285" i="55"/>
  <c r="AJ285" i="55"/>
  <c r="Q286" i="55"/>
  <c r="AJ286" i="55"/>
  <c r="Q287" i="55"/>
  <c r="AJ287" i="55"/>
  <c r="R272" i="55"/>
  <c r="AK272" i="55"/>
  <c r="R273" i="55"/>
  <c r="AK273" i="55"/>
  <c r="R274" i="55"/>
  <c r="AK274" i="55"/>
  <c r="R275" i="55"/>
  <c r="AK275" i="55"/>
  <c r="R276" i="55"/>
  <c r="AK276" i="55"/>
  <c r="R277" i="55"/>
  <c r="AK277" i="55"/>
  <c r="R278" i="55"/>
  <c r="AK278" i="55"/>
  <c r="R279" i="55"/>
  <c r="AK279" i="55"/>
  <c r="R280" i="55"/>
  <c r="AK280" i="55"/>
  <c r="R281" i="55"/>
  <c r="AK281" i="55"/>
  <c r="R282" i="55"/>
  <c r="AK282" i="55"/>
  <c r="R283" i="55"/>
  <c r="AK283" i="55"/>
  <c r="R284" i="55"/>
  <c r="AK284" i="55"/>
  <c r="R285" i="55"/>
  <c r="AK285" i="55"/>
  <c r="R286" i="55"/>
  <c r="AK286" i="55"/>
  <c r="R287" i="55"/>
  <c r="AK287" i="55"/>
  <c r="S272" i="55"/>
  <c r="AL272" i="55"/>
  <c r="S273" i="55"/>
  <c r="AL273" i="55"/>
  <c r="S274" i="55"/>
  <c r="AL274" i="55"/>
  <c r="S275" i="55"/>
  <c r="AL275" i="55"/>
  <c r="S276" i="55"/>
  <c r="AL276" i="55"/>
  <c r="S277" i="55"/>
  <c r="AL277" i="55"/>
  <c r="S278" i="55"/>
  <c r="AL278" i="55"/>
  <c r="S279" i="55"/>
  <c r="AL279" i="55"/>
  <c r="S280" i="55"/>
  <c r="AL280" i="55"/>
  <c r="S281" i="55"/>
  <c r="AL281" i="55"/>
  <c r="S282" i="55"/>
  <c r="AL282" i="55"/>
  <c r="S283" i="55"/>
  <c r="AL283" i="55"/>
  <c r="S284" i="55"/>
  <c r="AL284" i="55"/>
  <c r="S285" i="55"/>
  <c r="AL285" i="55"/>
  <c r="S286" i="55"/>
  <c r="AL286" i="55"/>
  <c r="S287" i="55"/>
  <c r="AL287" i="55"/>
  <c r="T272" i="55"/>
  <c r="AM272" i="55"/>
  <c r="T273" i="55"/>
  <c r="AM273" i="55"/>
  <c r="T274" i="55"/>
  <c r="AM274" i="55"/>
  <c r="T275" i="55"/>
  <c r="AM275" i="55"/>
  <c r="T276" i="55"/>
  <c r="AM276" i="55"/>
  <c r="T277" i="55"/>
  <c r="AM277" i="55"/>
  <c r="T278" i="55"/>
  <c r="AM278" i="55"/>
  <c r="T279" i="55"/>
  <c r="AM279" i="55"/>
  <c r="T280" i="55"/>
  <c r="AM280" i="55"/>
  <c r="T281" i="55"/>
  <c r="AM281" i="55"/>
  <c r="T282" i="55"/>
  <c r="AM282" i="55"/>
  <c r="T283" i="55"/>
  <c r="AM283" i="55"/>
  <c r="T284" i="55"/>
  <c r="AM284" i="55"/>
  <c r="T285" i="55"/>
  <c r="AM285" i="55"/>
  <c r="T286" i="55"/>
  <c r="AM286" i="55"/>
  <c r="T287" i="55"/>
  <c r="AM287" i="55"/>
  <c r="AA176" i="53"/>
  <c r="AA177" i="53" s="1"/>
  <c r="AA178" i="53" s="1"/>
  <c r="AA179" i="53" s="1"/>
  <c r="AA180" i="53" s="1"/>
  <c r="AA181" i="53" s="1"/>
  <c r="AA182" i="53" s="1"/>
  <c r="AA183" i="53" s="1"/>
  <c r="AA184" i="53" s="1"/>
  <c r="AA185" i="53" s="1"/>
  <c r="AA186" i="53" s="1"/>
  <c r="AA187" i="53" s="1"/>
  <c r="AA188" i="53" s="1"/>
  <c r="AA189" i="53" s="1"/>
  <c r="AA190" i="53" s="1"/>
  <c r="AA191" i="53" s="1"/>
  <c r="AA192" i="53" s="1"/>
  <c r="AA193" i="53" s="1"/>
  <c r="AH176" i="53"/>
  <c r="AK176" i="53"/>
  <c r="R176" i="53"/>
  <c r="R177" i="53" s="1"/>
  <c r="R178" i="53" s="1"/>
  <c r="R179" i="53" s="1"/>
  <c r="R180" i="53" s="1"/>
  <c r="R181" i="53" s="1"/>
  <c r="R182" i="53" s="1"/>
  <c r="R183" i="53" s="1"/>
  <c r="R184" i="53" s="1"/>
  <c r="R185" i="53" s="1"/>
  <c r="R186" i="53" s="1"/>
  <c r="R187" i="53" s="1"/>
  <c r="R188" i="53" s="1"/>
  <c r="R189" i="53" s="1"/>
  <c r="R190" i="53" s="1"/>
  <c r="R191" i="53" s="1"/>
  <c r="R192" i="53" s="1"/>
  <c r="R193" i="53" s="1"/>
  <c r="AL176" i="53"/>
  <c r="T309" i="53"/>
  <c r="T310" i="53" s="1"/>
  <c r="T311" i="53" s="1"/>
  <c r="T312" i="53" s="1"/>
  <c r="T313" i="53" s="1"/>
  <c r="T314" i="53" s="1"/>
  <c r="T315" i="53" s="1"/>
  <c r="T316" i="53" s="1"/>
  <c r="T317" i="53" s="1"/>
  <c r="T318" i="53" s="1"/>
  <c r="T319" i="53" s="1"/>
  <c r="T320" i="53" s="1"/>
  <c r="T321" i="53" s="1"/>
  <c r="T322" i="53" s="1"/>
  <c r="T323" i="53" s="1"/>
  <c r="T324" i="53" s="1"/>
  <c r="T325" i="53" s="1"/>
  <c r="T326" i="53" s="1"/>
  <c r="T233" i="53"/>
  <c r="T234" i="53" s="1"/>
  <c r="T235" i="53" s="1"/>
  <c r="T236" i="53" s="1"/>
  <c r="T237" i="53" s="1"/>
  <c r="T238" i="53" s="1"/>
  <c r="T239" i="53" s="1"/>
  <c r="T240" i="53" s="1"/>
  <c r="T241" i="53" s="1"/>
  <c r="T242" i="53" s="1"/>
  <c r="T243" i="53" s="1"/>
  <c r="T244" i="53" s="1"/>
  <c r="T245" i="53" s="1"/>
  <c r="T246" i="53" s="1"/>
  <c r="T247" i="53" s="1"/>
  <c r="T248" i="53" s="1"/>
  <c r="T249" i="53" s="1"/>
  <c r="T250" i="53" s="1"/>
  <c r="T271" i="53"/>
  <c r="T272" i="53" s="1"/>
  <c r="T273" i="53" s="1"/>
  <c r="T274" i="53" s="1"/>
  <c r="T275" i="53" s="1"/>
  <c r="T276" i="53" s="1"/>
  <c r="T277" i="53" s="1"/>
  <c r="T278" i="53" s="1"/>
  <c r="T279" i="53" s="1"/>
  <c r="T280" i="53" s="1"/>
  <c r="T281" i="53" s="1"/>
  <c r="T282" i="53" s="1"/>
  <c r="T283" i="53" s="1"/>
  <c r="T284" i="53" s="1"/>
  <c r="T285" i="53" s="1"/>
  <c r="T286" i="53" s="1"/>
  <c r="T287" i="53" s="1"/>
  <c r="T288" i="53" s="1"/>
  <c r="F119" i="53"/>
  <c r="F6" i="53" s="1"/>
  <c r="F81" i="53"/>
  <c r="F43" i="53"/>
  <c r="F24" i="53"/>
  <c r="X119" i="53"/>
  <c r="AC119" i="53" s="1"/>
  <c r="X43" i="53"/>
  <c r="X24" i="53"/>
  <c r="X81" i="53"/>
  <c r="R329" i="53"/>
  <c r="R330" i="53" s="1"/>
  <c r="R331" i="53" s="1"/>
  <c r="R332" i="53" s="1"/>
  <c r="R333" i="53" s="1"/>
  <c r="R334" i="53" s="1"/>
  <c r="R335" i="53" s="1"/>
  <c r="R336" i="53" s="1"/>
  <c r="R337" i="53" s="1"/>
  <c r="R338" i="53" s="1"/>
  <c r="R339" i="53" s="1"/>
  <c r="R340" i="53" s="1"/>
  <c r="R341" i="53" s="1"/>
  <c r="R342" i="53" s="1"/>
  <c r="R343" i="53" s="1"/>
  <c r="R344" i="53" s="1"/>
  <c r="R345" i="53" s="1"/>
  <c r="T348" i="53"/>
  <c r="T349" i="53" s="1"/>
  <c r="T350" i="53" s="1"/>
  <c r="T351" i="53" s="1"/>
  <c r="T352" i="53" s="1"/>
  <c r="T353" i="53" s="1"/>
  <c r="T354" i="53" s="1"/>
  <c r="T355" i="53" s="1"/>
  <c r="T356" i="53" s="1"/>
  <c r="T357" i="53" s="1"/>
  <c r="T358" i="53" s="1"/>
  <c r="T359" i="53" s="1"/>
  <c r="T360" i="53" s="1"/>
  <c r="T361" i="53" s="1"/>
  <c r="T362" i="53" s="1"/>
  <c r="T363" i="53" s="1"/>
  <c r="T364" i="53" s="1"/>
  <c r="T329" i="53"/>
  <c r="T330" i="53" s="1"/>
  <c r="T331" i="53" s="1"/>
  <c r="T332" i="53" s="1"/>
  <c r="T333" i="53" s="1"/>
  <c r="T334" i="53" s="1"/>
  <c r="T335" i="53" s="1"/>
  <c r="T336" i="53" s="1"/>
  <c r="T337" i="53" s="1"/>
  <c r="T338" i="53" s="1"/>
  <c r="T339" i="53" s="1"/>
  <c r="T340" i="53" s="1"/>
  <c r="T341" i="53" s="1"/>
  <c r="T342" i="53" s="1"/>
  <c r="T343" i="53" s="1"/>
  <c r="T344" i="53" s="1"/>
  <c r="T345" i="53" s="1"/>
  <c r="S329" i="53"/>
  <c r="S330" i="53" s="1"/>
  <c r="S331" i="53" s="1"/>
  <c r="S332" i="53" s="1"/>
  <c r="S333" i="53" s="1"/>
  <c r="S334" i="53" s="1"/>
  <c r="S335" i="53" s="1"/>
  <c r="S336" i="53" s="1"/>
  <c r="S337" i="53" s="1"/>
  <c r="S338" i="53" s="1"/>
  <c r="S339" i="53" s="1"/>
  <c r="S340" i="53" s="1"/>
  <c r="S341" i="53" s="1"/>
  <c r="S342" i="53" s="1"/>
  <c r="S343" i="53" s="1"/>
  <c r="S344" i="53" s="1"/>
  <c r="S345" i="53" s="1"/>
  <c r="AM177" i="53"/>
  <c r="AM178" i="53" s="1"/>
  <c r="AM179" i="53" s="1"/>
  <c r="AM180" i="53" s="1"/>
  <c r="AM181" i="53" s="1"/>
  <c r="AM182" i="53" s="1"/>
  <c r="AM183" i="53" s="1"/>
  <c r="AM184" i="53" s="1"/>
  <c r="AM185" i="53" s="1"/>
  <c r="AM186" i="53" s="1"/>
  <c r="AM187" i="53" s="1"/>
  <c r="AM188" i="53" s="1"/>
  <c r="AM189" i="53" s="1"/>
  <c r="AM190" i="53" s="1"/>
  <c r="AM191" i="53" s="1"/>
  <c r="AM192" i="53" s="1"/>
  <c r="AM193" i="53" s="1"/>
  <c r="T177" i="53"/>
  <c r="T178" i="53" s="1"/>
  <c r="T179" i="53" s="1"/>
  <c r="T180" i="53" s="1"/>
  <c r="T181" i="53" s="1"/>
  <c r="T182" i="53" s="1"/>
  <c r="T183" i="53" s="1"/>
  <c r="T184" i="53" s="1"/>
  <c r="T185" i="53" s="1"/>
  <c r="T186" i="53" s="1"/>
  <c r="T187" i="53" s="1"/>
  <c r="T188" i="53" s="1"/>
  <c r="T189" i="53" s="1"/>
  <c r="T190" i="53" s="1"/>
  <c r="T191" i="53" s="1"/>
  <c r="T192" i="53" s="1"/>
  <c r="T193" i="53" s="1"/>
  <c r="AL177" i="53"/>
  <c r="AL178" i="53" s="1"/>
  <c r="AL179" i="53" s="1"/>
  <c r="AL180" i="53" s="1"/>
  <c r="AL181" i="53" s="1"/>
  <c r="AL182" i="53" s="1"/>
  <c r="AL183" i="53" s="1"/>
  <c r="AL184" i="53" s="1"/>
  <c r="AL185" i="53" s="1"/>
  <c r="AL186" i="53" s="1"/>
  <c r="AL187" i="53" s="1"/>
  <c r="AL188" i="53" s="1"/>
  <c r="AL189" i="53" s="1"/>
  <c r="AL190" i="53" s="1"/>
  <c r="AL191" i="53" s="1"/>
  <c r="AL192" i="53" s="1"/>
  <c r="AL193" i="53" s="1"/>
  <c r="S177" i="53"/>
  <c r="S178" i="53" s="1"/>
  <c r="S179" i="53" s="1"/>
  <c r="S180" i="53" s="1"/>
  <c r="S181" i="53" s="1"/>
  <c r="S182" i="53" s="1"/>
  <c r="S183" i="53" s="1"/>
  <c r="S184" i="53" s="1"/>
  <c r="S185" i="53" s="1"/>
  <c r="S186" i="53" s="1"/>
  <c r="S187" i="53" s="1"/>
  <c r="S188" i="53" s="1"/>
  <c r="S189" i="53" s="1"/>
  <c r="S190" i="53" s="1"/>
  <c r="S191" i="53" s="1"/>
  <c r="S192" i="53" s="1"/>
  <c r="S193" i="53" s="1"/>
  <c r="AK177" i="53"/>
  <c r="AK178" i="53" s="1"/>
  <c r="AK179" i="53" s="1"/>
  <c r="AK180" i="53" s="1"/>
  <c r="AK181" i="53" s="1"/>
  <c r="AK182" i="53" s="1"/>
  <c r="AK183" i="53" s="1"/>
  <c r="AK184" i="53" s="1"/>
  <c r="AK185" i="53" s="1"/>
  <c r="AK186" i="53" s="1"/>
  <c r="AK187" i="53" s="1"/>
  <c r="AK188" i="53" s="1"/>
  <c r="AK189" i="53" s="1"/>
  <c r="AK190" i="53" s="1"/>
  <c r="AK191" i="53" s="1"/>
  <c r="AK192" i="53" s="1"/>
  <c r="AK193" i="53" s="1"/>
  <c r="AH177" i="53"/>
  <c r="AH178" i="53" s="1"/>
  <c r="AH179" i="53" s="1"/>
  <c r="AH180" i="53" s="1"/>
  <c r="AH181" i="53" s="1"/>
  <c r="AH182" i="53" s="1"/>
  <c r="AH183" i="53" s="1"/>
  <c r="AH184" i="53" s="1"/>
  <c r="AH185" i="53" s="1"/>
  <c r="AH186" i="53" s="1"/>
  <c r="AH187" i="53" s="1"/>
  <c r="AH188" i="53" s="1"/>
  <c r="AH189" i="53" s="1"/>
  <c r="AH190" i="53" s="1"/>
  <c r="AH191" i="53" s="1"/>
  <c r="AH192" i="53" s="1"/>
  <c r="AH193" i="53" s="1"/>
  <c r="O177" i="53"/>
  <c r="O178" i="53" s="1"/>
  <c r="O179" i="53" s="1"/>
  <c r="O180" i="53" s="1"/>
  <c r="O181" i="53" s="1"/>
  <c r="O182" i="53" s="1"/>
  <c r="O183" i="53" s="1"/>
  <c r="O184" i="53" s="1"/>
  <c r="O185" i="53" s="1"/>
  <c r="O186" i="53" s="1"/>
  <c r="O187" i="53" s="1"/>
  <c r="O188" i="53" s="1"/>
  <c r="O189" i="53" s="1"/>
  <c r="O190" i="53" s="1"/>
  <c r="O191" i="53" s="1"/>
  <c r="O192" i="53" s="1"/>
  <c r="O193" i="53" s="1"/>
  <c r="AB178" i="53"/>
  <c r="AB179" i="53" s="1"/>
  <c r="AB180" i="53" s="1"/>
  <c r="AB181" i="53" s="1"/>
  <c r="AB182" i="53" s="1"/>
  <c r="AB183" i="53" s="1"/>
  <c r="AB184" i="53" s="1"/>
  <c r="AB185" i="53" s="1"/>
  <c r="AB186" i="53" s="1"/>
  <c r="AB187" i="53" s="1"/>
  <c r="AB188" i="53" s="1"/>
  <c r="AB189" i="53" s="1"/>
  <c r="AB190" i="53" s="1"/>
  <c r="AB191" i="53" s="1"/>
  <c r="AB192" i="53" s="1"/>
  <c r="AB193" i="53" s="1"/>
  <c r="AB177" i="53"/>
  <c r="J177" i="53"/>
  <c r="J178" i="53" s="1"/>
  <c r="J179" i="53" s="1"/>
  <c r="J180" i="53" s="1"/>
  <c r="J181" i="53" s="1"/>
  <c r="J182" i="53" s="1"/>
  <c r="J183" i="53" s="1"/>
  <c r="J184" i="53" s="1"/>
  <c r="J185" i="53" s="1"/>
  <c r="J186" i="53" s="1"/>
  <c r="J187" i="53" s="1"/>
  <c r="J188" i="53" s="1"/>
  <c r="J189" i="53" s="1"/>
  <c r="J190" i="53" s="1"/>
  <c r="J191" i="53" s="1"/>
  <c r="J192" i="53" s="1"/>
  <c r="J193" i="53" s="1"/>
  <c r="Z177" i="53"/>
  <c r="Z178" i="53" s="1"/>
  <c r="Z179" i="53" s="1"/>
  <c r="Z180" i="53" s="1"/>
  <c r="Z181" i="53" s="1"/>
  <c r="Z182" i="53" s="1"/>
  <c r="Z183" i="53" s="1"/>
  <c r="Z184" i="53" s="1"/>
  <c r="Z185" i="53" s="1"/>
  <c r="Z186" i="53" s="1"/>
  <c r="Z187" i="53" s="1"/>
  <c r="Z188" i="53" s="1"/>
  <c r="Z189" i="53" s="1"/>
  <c r="Z190" i="53" s="1"/>
  <c r="Z191" i="53" s="1"/>
  <c r="Z192" i="53" s="1"/>
  <c r="Z193" i="53" s="1"/>
  <c r="H177" i="53"/>
  <c r="H178" i="53" s="1"/>
  <c r="H179" i="53" s="1"/>
  <c r="H180" i="53" s="1"/>
  <c r="H181" i="53" s="1"/>
  <c r="H182" i="53" s="1"/>
  <c r="H183" i="53" s="1"/>
  <c r="H184" i="53" s="1"/>
  <c r="H185" i="53" s="1"/>
  <c r="H186" i="53" s="1"/>
  <c r="H187" i="53" s="1"/>
  <c r="H188" i="53" s="1"/>
  <c r="H189" i="53" s="1"/>
  <c r="H190" i="53" s="1"/>
  <c r="H191" i="53" s="1"/>
  <c r="H192" i="53" s="1"/>
  <c r="H193" i="53" s="1"/>
  <c r="AJ177" i="53"/>
  <c r="AJ178" i="53" s="1"/>
  <c r="AJ179" i="53" s="1"/>
  <c r="AJ180" i="53" s="1"/>
  <c r="AJ181" i="53" s="1"/>
  <c r="AJ182" i="53" s="1"/>
  <c r="AJ183" i="53" s="1"/>
  <c r="AJ184" i="53" s="1"/>
  <c r="AJ185" i="53" s="1"/>
  <c r="AJ186" i="53" s="1"/>
  <c r="AJ187" i="53" s="1"/>
  <c r="AJ188" i="53" s="1"/>
  <c r="AJ189" i="53" s="1"/>
  <c r="AJ190" i="53" s="1"/>
  <c r="AJ191" i="53" s="1"/>
  <c r="AJ192" i="53" s="1"/>
  <c r="AJ193" i="53" s="1"/>
  <c r="AI177" i="53"/>
  <c r="AI178" i="53" s="1"/>
  <c r="AI179" i="53" s="1"/>
  <c r="AI180" i="53" s="1"/>
  <c r="AI181" i="53" s="1"/>
  <c r="AI182" i="53" s="1"/>
  <c r="AI183" i="53" s="1"/>
  <c r="AI184" i="53" s="1"/>
  <c r="AI185" i="53" s="1"/>
  <c r="AI186" i="53" s="1"/>
  <c r="AI187" i="53" s="1"/>
  <c r="AI188" i="53" s="1"/>
  <c r="AI189" i="53" s="1"/>
  <c r="AI190" i="53" s="1"/>
  <c r="AI191" i="53" s="1"/>
  <c r="AI192" i="53" s="1"/>
  <c r="AI193" i="53" s="1"/>
  <c r="AC177" i="53"/>
  <c r="AC178" i="53" s="1"/>
  <c r="AC179" i="53" s="1"/>
  <c r="AC180" i="53" s="1"/>
  <c r="AC181" i="53" s="1"/>
  <c r="AC182" i="53" s="1"/>
  <c r="AC183" i="53" s="1"/>
  <c r="AC184" i="53" s="1"/>
  <c r="AC185" i="53" s="1"/>
  <c r="AC186" i="53" s="1"/>
  <c r="AC187" i="53" s="1"/>
  <c r="AC188" i="53" s="1"/>
  <c r="AC189" i="53" s="1"/>
  <c r="AC190" i="53" s="1"/>
  <c r="AC191" i="53" s="1"/>
  <c r="AC192" i="53" s="1"/>
  <c r="AC193" i="53" s="1"/>
  <c r="Y177" i="53"/>
  <c r="Y178" i="53" s="1"/>
  <c r="Y179" i="53" s="1"/>
  <c r="Y180" i="53" s="1"/>
  <c r="Y181" i="53" s="1"/>
  <c r="Y182" i="53" s="1"/>
  <c r="Y183" i="53" s="1"/>
  <c r="Y184" i="53" s="1"/>
  <c r="Y185" i="53" s="1"/>
  <c r="Y186" i="53" s="1"/>
  <c r="Y187" i="53" s="1"/>
  <c r="Y188" i="53" s="1"/>
  <c r="Y189" i="53" s="1"/>
  <c r="Y190" i="53" s="1"/>
  <c r="Y191" i="53" s="1"/>
  <c r="Y192" i="53" s="1"/>
  <c r="Y193" i="53" s="1"/>
  <c r="X177" i="53"/>
  <c r="X178" i="53" s="1"/>
  <c r="X179" i="53" s="1"/>
  <c r="X180" i="53" s="1"/>
  <c r="X181" i="53" s="1"/>
  <c r="X182" i="53" s="1"/>
  <c r="X183" i="53" s="1"/>
  <c r="X184" i="53" s="1"/>
  <c r="X185" i="53" s="1"/>
  <c r="X186" i="53" s="1"/>
  <c r="X187" i="53" s="1"/>
  <c r="X188" i="53" s="1"/>
  <c r="X189" i="53" s="1"/>
  <c r="X190" i="53" s="1"/>
  <c r="X191" i="53" s="1"/>
  <c r="X192" i="53" s="1"/>
  <c r="X193" i="53" s="1"/>
  <c r="Q177" i="53"/>
  <c r="Q178" i="53" s="1"/>
  <c r="Q179" i="53" s="1"/>
  <c r="Q180" i="53" s="1"/>
  <c r="Q181" i="53" s="1"/>
  <c r="Q182" i="53" s="1"/>
  <c r="Q183" i="53" s="1"/>
  <c r="Q184" i="53" s="1"/>
  <c r="Q185" i="53" s="1"/>
  <c r="Q186" i="53" s="1"/>
  <c r="Q187" i="53" s="1"/>
  <c r="Q188" i="53" s="1"/>
  <c r="Q189" i="53" s="1"/>
  <c r="Q190" i="53" s="1"/>
  <c r="Q191" i="53" s="1"/>
  <c r="Q192" i="53" s="1"/>
  <c r="Q193" i="53" s="1"/>
  <c r="P177" i="53"/>
  <c r="P178" i="53" s="1"/>
  <c r="P179" i="53" s="1"/>
  <c r="P180" i="53" s="1"/>
  <c r="P181" i="53" s="1"/>
  <c r="P182" i="53" s="1"/>
  <c r="P183" i="53" s="1"/>
  <c r="P184" i="53" s="1"/>
  <c r="P185" i="53" s="1"/>
  <c r="P186" i="53" s="1"/>
  <c r="P187" i="53" s="1"/>
  <c r="P188" i="53" s="1"/>
  <c r="P189" i="53" s="1"/>
  <c r="P190" i="53" s="1"/>
  <c r="P191" i="53" s="1"/>
  <c r="P192" i="53" s="1"/>
  <c r="P193" i="53" s="1"/>
  <c r="I177" i="53"/>
  <c r="I178" i="53" s="1"/>
  <c r="I179" i="53" s="1"/>
  <c r="I180" i="53" s="1"/>
  <c r="I181" i="53" s="1"/>
  <c r="I182" i="53" s="1"/>
  <c r="I183" i="53" s="1"/>
  <c r="I184" i="53" s="1"/>
  <c r="I185" i="53" s="1"/>
  <c r="I186" i="53" s="1"/>
  <c r="I187" i="53" s="1"/>
  <c r="I188" i="53" s="1"/>
  <c r="I189" i="53" s="1"/>
  <c r="I190" i="53" s="1"/>
  <c r="I191" i="53" s="1"/>
  <c r="I192" i="53" s="1"/>
  <c r="I193" i="53" s="1"/>
  <c r="K177" i="53"/>
  <c r="K178" i="53" s="1"/>
  <c r="K179" i="53" s="1"/>
  <c r="K180" i="53" s="1"/>
  <c r="K181" i="53" s="1"/>
  <c r="K182" i="53" s="1"/>
  <c r="K183" i="53" s="1"/>
  <c r="K184" i="53" s="1"/>
  <c r="K185" i="53" s="1"/>
  <c r="K186" i="53" s="1"/>
  <c r="K187" i="53" s="1"/>
  <c r="K188" i="53" s="1"/>
  <c r="K189" i="53" s="1"/>
  <c r="K190" i="53" s="1"/>
  <c r="K191" i="53" s="1"/>
  <c r="K192" i="53" s="1"/>
  <c r="K193" i="53" s="1"/>
  <c r="G177" i="53"/>
  <c r="G178" i="53" s="1"/>
  <c r="G179" i="53" s="1"/>
  <c r="G180" i="53" s="1"/>
  <c r="G181" i="53" s="1"/>
  <c r="G182" i="53" s="1"/>
  <c r="G183" i="53" s="1"/>
  <c r="G184" i="53" s="1"/>
  <c r="G185" i="53" s="1"/>
  <c r="G186" i="53" s="1"/>
  <c r="G187" i="53" s="1"/>
  <c r="G188" i="53" s="1"/>
  <c r="G189" i="53" s="1"/>
  <c r="G190" i="53" s="1"/>
  <c r="G191" i="53" s="1"/>
  <c r="G192" i="53" s="1"/>
  <c r="G193" i="53" s="1"/>
  <c r="F177" i="53"/>
  <c r="F178" i="53" s="1"/>
  <c r="F179" i="53" s="1"/>
  <c r="F180" i="53" s="1"/>
  <c r="F181" i="53" s="1"/>
  <c r="F182" i="53" s="1"/>
  <c r="F183" i="53" s="1"/>
  <c r="F184" i="53" s="1"/>
  <c r="F185" i="53" s="1"/>
  <c r="F186" i="53" s="1"/>
  <c r="F187" i="53" s="1"/>
  <c r="F188" i="53" s="1"/>
  <c r="F189" i="53" s="1"/>
  <c r="F190" i="53" s="1"/>
  <c r="F191" i="53" s="1"/>
  <c r="F192" i="53" s="1"/>
  <c r="F193" i="53" s="1"/>
  <c r="G120" i="53"/>
  <c r="G82" i="53"/>
  <c r="G44" i="53"/>
  <c r="AK64" i="53"/>
  <c r="H81" i="53"/>
  <c r="H24" i="53"/>
  <c r="H43" i="53"/>
  <c r="Z81" i="53"/>
  <c r="Z43" i="53"/>
  <c r="Z24" i="53"/>
  <c r="T252" i="53"/>
  <c r="T253" i="53" s="1"/>
  <c r="T254" i="53" s="1"/>
  <c r="T255" i="53" s="1"/>
  <c r="T256" i="53" s="1"/>
  <c r="T257" i="53" s="1"/>
  <c r="T258" i="53" s="1"/>
  <c r="T259" i="53" s="1"/>
  <c r="T260" i="53" s="1"/>
  <c r="T261" i="53" s="1"/>
  <c r="T262" i="53" s="1"/>
  <c r="T263" i="53" s="1"/>
  <c r="T264" i="53" s="1"/>
  <c r="T265" i="53" s="1"/>
  <c r="T266" i="53" s="1"/>
  <c r="T267" i="53" s="1"/>
  <c r="T268" i="53" s="1"/>
  <c r="T269" i="53" s="1"/>
  <c r="T214" i="53"/>
  <c r="T215" i="53" s="1"/>
  <c r="T216" i="53" s="1"/>
  <c r="T217" i="53" s="1"/>
  <c r="T218" i="53" s="1"/>
  <c r="T219" i="53" s="1"/>
  <c r="T220" i="53" s="1"/>
  <c r="T221" i="53" s="1"/>
  <c r="T222" i="53" s="1"/>
  <c r="T223" i="53" s="1"/>
  <c r="T224" i="53" s="1"/>
  <c r="T225" i="53" s="1"/>
  <c r="T226" i="53" s="1"/>
  <c r="T227" i="53" s="1"/>
  <c r="T228" i="53" s="1"/>
  <c r="T229" i="53" s="1"/>
  <c r="T230" i="53" s="1"/>
  <c r="T231" i="53" s="1"/>
  <c r="T290" i="53"/>
  <c r="T291" i="53" s="1"/>
  <c r="T292" i="53" s="1"/>
  <c r="T293" i="53" s="1"/>
  <c r="T294" i="53" s="1"/>
  <c r="T295" i="53" s="1"/>
  <c r="T296" i="53" s="1"/>
  <c r="T297" i="53" s="1"/>
  <c r="T298" i="53" s="1"/>
  <c r="T299" i="53" s="1"/>
  <c r="T300" i="53" s="1"/>
  <c r="T301" i="53" s="1"/>
  <c r="T302" i="53" s="1"/>
  <c r="T303" i="53" s="1"/>
  <c r="T304" i="53" s="1"/>
  <c r="T305" i="53" s="1"/>
  <c r="T306" i="53" s="1"/>
  <c r="T307" i="53" s="1"/>
  <c r="I81" i="53"/>
  <c r="I43" i="53"/>
  <c r="I24" i="53"/>
  <c r="AA81" i="53"/>
  <c r="AA24" i="53"/>
  <c r="AA43" i="53" s="1"/>
  <c r="Y120" i="53"/>
  <c r="Y82" i="53"/>
  <c r="S290" i="53"/>
  <c r="S291" i="53" s="1"/>
  <c r="S292" i="53" s="1"/>
  <c r="S293" i="53" s="1"/>
  <c r="S294" i="53" s="1"/>
  <c r="S295" i="53" s="1"/>
  <c r="S296" i="53" s="1"/>
  <c r="S297" i="53" s="1"/>
  <c r="S298" i="53" s="1"/>
  <c r="S299" i="53" s="1"/>
  <c r="S300" i="53" s="1"/>
  <c r="S301" i="53" s="1"/>
  <c r="S302" i="53" s="1"/>
  <c r="S303" i="53" s="1"/>
  <c r="S304" i="53" s="1"/>
  <c r="S305" i="53" s="1"/>
  <c r="S306" i="53" s="1"/>
  <c r="S307" i="53" s="1"/>
  <c r="S252" i="53"/>
  <c r="S253" i="53" s="1"/>
  <c r="S254" i="53" s="1"/>
  <c r="S255" i="53" s="1"/>
  <c r="S256" i="53" s="1"/>
  <c r="S257" i="53" s="1"/>
  <c r="S258" i="53" s="1"/>
  <c r="S259" i="53" s="1"/>
  <c r="S260" i="53" s="1"/>
  <c r="S261" i="53" s="1"/>
  <c r="S262" i="53" s="1"/>
  <c r="S263" i="53" s="1"/>
  <c r="S264" i="53" s="1"/>
  <c r="S265" i="53" s="1"/>
  <c r="S266" i="53" s="1"/>
  <c r="S267" i="53" s="1"/>
  <c r="S268" i="53" s="1"/>
  <c r="S269" i="53" s="1"/>
  <c r="S214" i="53"/>
  <c r="S215" i="53" s="1"/>
  <c r="S216" i="53" s="1"/>
  <c r="S217" i="53" s="1"/>
  <c r="S218" i="53" s="1"/>
  <c r="S219" i="53" s="1"/>
  <c r="S220" i="53" s="1"/>
  <c r="S221" i="53" s="1"/>
  <c r="S222" i="53" s="1"/>
  <c r="S223" i="53" s="1"/>
  <c r="S224" i="53" s="1"/>
  <c r="S225" i="53" s="1"/>
  <c r="S226" i="53" s="1"/>
  <c r="S227" i="53" s="1"/>
  <c r="S228" i="53" s="1"/>
  <c r="S229" i="53" s="1"/>
  <c r="S230" i="53" s="1"/>
  <c r="S231" i="53" s="1"/>
  <c r="S43" i="53"/>
  <c r="AM43" i="53"/>
  <c r="S65" i="53"/>
  <c r="H64" i="53"/>
  <c r="Z100" i="53"/>
  <c r="G138" i="53"/>
  <c r="G157" i="53" s="1"/>
  <c r="Y138" i="53"/>
  <c r="Y157" i="53" s="1"/>
  <c r="Y81" i="53"/>
  <c r="Z64" i="53"/>
  <c r="AB43" i="53"/>
  <c r="AB81" i="53"/>
  <c r="AB100" i="53" s="1"/>
  <c r="I66" i="53"/>
  <c r="K100" i="53"/>
  <c r="K63" i="53"/>
  <c r="J24" i="53"/>
  <c r="AB24" i="53"/>
  <c r="J43" i="53"/>
  <c r="AB64" i="53"/>
  <c r="J66" i="53"/>
  <c r="O119" i="53"/>
  <c r="O6" i="53" s="1"/>
  <c r="O81" i="53"/>
  <c r="AH81" i="53"/>
  <c r="AH119" i="53"/>
  <c r="AH6" i="53" s="1"/>
  <c r="K24" i="53"/>
  <c r="AC24" i="53"/>
  <c r="AC43" i="53" s="1"/>
  <c r="K43" i="53"/>
  <c r="Q100" i="53"/>
  <c r="Q119" i="53" s="1"/>
  <c r="Q63" i="53"/>
  <c r="AJ100" i="53"/>
  <c r="AJ63" i="53"/>
  <c r="AA65" i="53"/>
  <c r="P119" i="53"/>
  <c r="P6" i="53" s="1"/>
  <c r="P81" i="53"/>
  <c r="AI119" i="53"/>
  <c r="AI6" i="53" s="1"/>
  <c r="AI81" i="53"/>
  <c r="O24" i="53"/>
  <c r="AH24" i="53"/>
  <c r="AH138" i="53" s="1"/>
  <c r="AM138" i="53" s="1"/>
  <c r="O43" i="53"/>
  <c r="R100" i="53"/>
  <c r="AK100" i="53"/>
  <c r="P24" i="53"/>
  <c r="AI24" i="53"/>
  <c r="AI138" i="53" s="1"/>
  <c r="P43" i="53"/>
  <c r="AL100" i="53"/>
  <c r="AL63" i="53"/>
  <c r="AC64" i="53"/>
  <c r="Q24" i="53"/>
  <c r="AJ24" i="53"/>
  <c r="AJ43" i="53" s="1"/>
  <c r="Q43" i="53"/>
  <c r="AK43" i="53"/>
  <c r="AM64" i="53"/>
  <c r="R24" i="53"/>
  <c r="R43" i="53" s="1"/>
  <c r="AK24" i="53"/>
  <c r="R64" i="53"/>
  <c r="G81" i="53"/>
  <c r="T100" i="53"/>
  <c r="T64" i="53"/>
  <c r="H100" i="53"/>
  <c r="I100" i="53"/>
  <c r="AA100" i="53"/>
  <c r="J100" i="53"/>
  <c r="R348" i="53"/>
  <c r="R349" i="53" s="1"/>
  <c r="R350" i="53" s="1"/>
  <c r="R351" i="53" s="1"/>
  <c r="R352" i="53" s="1"/>
  <c r="R353" i="53" s="1"/>
  <c r="R354" i="53" s="1"/>
  <c r="R355" i="53" s="1"/>
  <c r="R356" i="53" s="1"/>
  <c r="R357" i="53" s="1"/>
  <c r="R358" i="53" s="1"/>
  <c r="R359" i="53" s="1"/>
  <c r="R360" i="53" s="1"/>
  <c r="R361" i="53" s="1"/>
  <c r="R362" i="53" s="1"/>
  <c r="R363" i="53" s="1"/>
  <c r="R364" i="53" s="1"/>
  <c r="H329" i="53"/>
  <c r="I329" i="53"/>
  <c r="I330" i="53" s="1"/>
  <c r="I331" i="53" s="1"/>
  <c r="I332" i="53" s="1"/>
  <c r="I333" i="53" s="1"/>
  <c r="I334" i="53" s="1"/>
  <c r="I335" i="53" s="1"/>
  <c r="I336" i="53" s="1"/>
  <c r="I337" i="53" s="1"/>
  <c r="I338" i="53" s="1"/>
  <c r="I339" i="53" s="1"/>
  <c r="I340" i="53" s="1"/>
  <c r="I341" i="53" s="1"/>
  <c r="I342" i="53" s="1"/>
  <c r="I343" i="53" s="1"/>
  <c r="I344" i="53" s="1"/>
  <c r="I345" i="53" s="1"/>
  <c r="K329" i="53"/>
  <c r="K330" i="53" s="1"/>
  <c r="K331" i="53" s="1"/>
  <c r="K332" i="53" s="1"/>
  <c r="K333" i="53" s="1"/>
  <c r="K334" i="53" s="1"/>
  <c r="K335" i="53" s="1"/>
  <c r="K336" i="53" s="1"/>
  <c r="K337" i="53" s="1"/>
  <c r="K338" i="53" s="1"/>
  <c r="K339" i="53" s="1"/>
  <c r="K340" i="53" s="1"/>
  <c r="K341" i="53" s="1"/>
  <c r="K342" i="53" s="1"/>
  <c r="K343" i="53" s="1"/>
  <c r="K344" i="53" s="1"/>
  <c r="K345" i="53" s="1"/>
  <c r="S348" i="53"/>
  <c r="S349" i="53" s="1"/>
  <c r="S350" i="53" s="1"/>
  <c r="S351" i="53" s="1"/>
  <c r="S352" i="53" s="1"/>
  <c r="S353" i="53" s="1"/>
  <c r="S354" i="53" s="1"/>
  <c r="S355" i="53" s="1"/>
  <c r="S356" i="53" s="1"/>
  <c r="S357" i="53" s="1"/>
  <c r="S358" i="53" s="1"/>
  <c r="S359" i="53" s="1"/>
  <c r="S360" i="53" s="1"/>
  <c r="S361" i="53" s="1"/>
  <c r="S362" i="53" s="1"/>
  <c r="S363" i="53" s="1"/>
  <c r="S364" i="53" s="1"/>
  <c r="J348" i="53"/>
  <c r="J349" i="53" s="1"/>
  <c r="J350" i="53" s="1"/>
  <c r="J351" i="53" s="1"/>
  <c r="J352" i="53" s="1"/>
  <c r="J353" i="53" s="1"/>
  <c r="J354" i="53" s="1"/>
  <c r="J355" i="53" s="1"/>
  <c r="J356" i="53" s="1"/>
  <c r="J357" i="53" s="1"/>
  <c r="J358" i="53" s="1"/>
  <c r="J359" i="53" s="1"/>
  <c r="J360" i="53" s="1"/>
  <c r="J361" i="53" s="1"/>
  <c r="J362" i="53" s="1"/>
  <c r="J363" i="53" s="1"/>
  <c r="J364" i="53" s="1"/>
  <c r="K348" i="53"/>
  <c r="K349" i="53" s="1"/>
  <c r="K350" i="53" s="1"/>
  <c r="K351" i="53" s="1"/>
  <c r="K352" i="53" s="1"/>
  <c r="K353" i="53" s="1"/>
  <c r="K354" i="53" s="1"/>
  <c r="K355" i="53" s="1"/>
  <c r="K356" i="53" s="1"/>
  <c r="K357" i="53" s="1"/>
  <c r="K358" i="53" s="1"/>
  <c r="K359" i="53" s="1"/>
  <c r="K360" i="53" s="1"/>
  <c r="K361" i="53" s="1"/>
  <c r="K362" i="53" s="1"/>
  <c r="K363" i="53" s="1"/>
  <c r="K364" i="53" s="1"/>
  <c r="J329" i="53"/>
  <c r="J330" i="53" s="1"/>
  <c r="J331" i="53" s="1"/>
  <c r="J332" i="53" s="1"/>
  <c r="J333" i="53" s="1"/>
  <c r="J334" i="53" s="1"/>
  <c r="J335" i="53" s="1"/>
  <c r="J336" i="53" s="1"/>
  <c r="J337" i="53" s="1"/>
  <c r="J338" i="53" s="1"/>
  <c r="J339" i="53" s="1"/>
  <c r="J340" i="53" s="1"/>
  <c r="J341" i="53" s="1"/>
  <c r="J342" i="53" s="1"/>
  <c r="J343" i="53" s="1"/>
  <c r="J344" i="53" s="1"/>
  <c r="J345" i="53" s="1"/>
  <c r="Q348" i="53"/>
  <c r="Q329" i="53"/>
  <c r="H348" i="53"/>
  <c r="I348" i="53"/>
  <c r="I349" i="53" s="1"/>
  <c r="I350" i="53" s="1"/>
  <c r="I351" i="53" s="1"/>
  <c r="I352" i="53" s="1"/>
  <c r="I353" i="53" s="1"/>
  <c r="I354" i="53" s="1"/>
  <c r="I355" i="53" s="1"/>
  <c r="I356" i="53" s="1"/>
  <c r="I357" i="53" s="1"/>
  <c r="I358" i="53" s="1"/>
  <c r="I359" i="53" s="1"/>
  <c r="I360" i="53" s="1"/>
  <c r="I361" i="53" s="1"/>
  <c r="I362" i="53" s="1"/>
  <c r="I363" i="53" s="1"/>
  <c r="I364" i="53" s="1"/>
  <c r="H405" i="53"/>
  <c r="H408" i="53"/>
  <c r="H411" i="53"/>
  <c r="H414" i="53"/>
  <c r="H417" i="53"/>
  <c r="H420" i="53"/>
  <c r="Y405" i="53"/>
  <c r="Y408" i="53"/>
  <c r="Y411" i="53"/>
  <c r="Y414" i="53"/>
  <c r="Y417" i="53"/>
  <c r="Y420" i="53"/>
  <c r="Z405" i="53"/>
  <c r="Z408" i="53"/>
  <c r="Z411" i="53"/>
  <c r="Z414" i="53"/>
  <c r="Z417" i="53"/>
  <c r="Z420" i="53"/>
  <c r="G406" i="53"/>
  <c r="G409" i="53"/>
  <c r="G412" i="53"/>
  <c r="G415" i="53"/>
  <c r="G418" i="53"/>
  <c r="H406" i="53"/>
  <c r="H409" i="53"/>
  <c r="H412" i="53"/>
  <c r="H415" i="53"/>
  <c r="H418" i="53"/>
  <c r="Y406" i="53"/>
  <c r="Y409" i="53"/>
  <c r="Y412" i="53"/>
  <c r="Y415" i="53"/>
  <c r="Y418" i="53"/>
  <c r="Z406" i="53"/>
  <c r="Z409" i="53"/>
  <c r="Z412" i="53"/>
  <c r="Z415" i="53"/>
  <c r="Z418" i="53"/>
  <c r="F405" i="53"/>
  <c r="X405" i="53"/>
  <c r="F406" i="53"/>
  <c r="X406" i="53"/>
  <c r="F407" i="53"/>
  <c r="X407" i="53"/>
  <c r="F408" i="53"/>
  <c r="X408" i="53"/>
  <c r="F409" i="53"/>
  <c r="X409" i="53"/>
  <c r="F410" i="53"/>
  <c r="X410" i="53"/>
  <c r="F411" i="53"/>
  <c r="X411" i="53"/>
  <c r="F412" i="53"/>
  <c r="X412" i="53"/>
  <c r="F413" i="53"/>
  <c r="X413" i="53"/>
  <c r="F414" i="53"/>
  <c r="X414" i="53"/>
  <c r="F415" i="53"/>
  <c r="X415" i="53"/>
  <c r="F416" i="53"/>
  <c r="X416" i="53"/>
  <c r="F417" i="53"/>
  <c r="X417" i="53"/>
  <c r="F418" i="53"/>
  <c r="X418" i="53"/>
  <c r="F419" i="53"/>
  <c r="X419" i="53"/>
  <c r="F420" i="53"/>
  <c r="X420" i="53"/>
  <c r="I405" i="53"/>
  <c r="AA405" i="53"/>
  <c r="I406" i="53"/>
  <c r="AA406" i="53"/>
  <c r="I407" i="53"/>
  <c r="AA407" i="53"/>
  <c r="I408" i="53"/>
  <c r="AA408" i="53"/>
  <c r="I409" i="53"/>
  <c r="AA409" i="53"/>
  <c r="I410" i="53"/>
  <c r="AA410" i="53"/>
  <c r="I411" i="53"/>
  <c r="AA411" i="53"/>
  <c r="I412" i="53"/>
  <c r="AA412" i="53"/>
  <c r="I413" i="53"/>
  <c r="AA413" i="53"/>
  <c r="I414" i="53"/>
  <c r="AA414" i="53"/>
  <c r="I415" i="53"/>
  <c r="AA415" i="53"/>
  <c r="I416" i="53"/>
  <c r="AA416" i="53"/>
  <c r="I417" i="53"/>
  <c r="AA417" i="53"/>
  <c r="I418" i="53"/>
  <c r="AA418" i="53"/>
  <c r="I419" i="53"/>
  <c r="AA419" i="53"/>
  <c r="I420" i="53"/>
  <c r="AA420" i="53"/>
  <c r="J405" i="53"/>
  <c r="AB405" i="53"/>
  <c r="J406" i="53"/>
  <c r="AB406" i="53"/>
  <c r="J407" i="53"/>
  <c r="AB407" i="53"/>
  <c r="J408" i="53"/>
  <c r="AB408" i="53"/>
  <c r="J409" i="53"/>
  <c r="AB409" i="53"/>
  <c r="J410" i="53"/>
  <c r="AB410" i="53"/>
  <c r="J411" i="53"/>
  <c r="AB411" i="53"/>
  <c r="J412" i="53"/>
  <c r="AB412" i="53"/>
  <c r="J413" i="53"/>
  <c r="AB413" i="53"/>
  <c r="J414" i="53"/>
  <c r="AB414" i="53"/>
  <c r="J415" i="53"/>
  <c r="AB415" i="53"/>
  <c r="J416" i="53"/>
  <c r="AB416" i="53"/>
  <c r="J417" i="53"/>
  <c r="AB417" i="53"/>
  <c r="J418" i="53"/>
  <c r="AB418" i="53"/>
  <c r="J419" i="53"/>
  <c r="AB419" i="53"/>
  <c r="J420" i="53"/>
  <c r="AB420" i="53"/>
  <c r="K405" i="53"/>
  <c r="AC405" i="53"/>
  <c r="K406" i="53"/>
  <c r="AC406" i="53"/>
  <c r="K407" i="53"/>
  <c r="AC407" i="53"/>
  <c r="K408" i="53"/>
  <c r="AC408" i="53"/>
  <c r="K409" i="53"/>
  <c r="AC409" i="53"/>
  <c r="K410" i="53"/>
  <c r="AC410" i="53"/>
  <c r="K411" i="53"/>
  <c r="AC411" i="53"/>
  <c r="K412" i="53"/>
  <c r="AC412" i="53"/>
  <c r="K413" i="53"/>
  <c r="AC413" i="53"/>
  <c r="K414" i="53"/>
  <c r="AC414" i="53"/>
  <c r="K415" i="53"/>
  <c r="AC415" i="53"/>
  <c r="K416" i="53"/>
  <c r="AC416" i="53"/>
  <c r="K417" i="53"/>
  <c r="AC417" i="53"/>
  <c r="K418" i="53"/>
  <c r="AC418" i="53"/>
  <c r="K419" i="53"/>
  <c r="AC419" i="53"/>
  <c r="K420" i="53"/>
  <c r="AC420" i="53"/>
  <c r="O405" i="53"/>
  <c r="AH405" i="53"/>
  <c r="O406" i="53"/>
  <c r="AH406" i="53"/>
  <c r="O407" i="53"/>
  <c r="AH407" i="53"/>
  <c r="O408" i="53"/>
  <c r="AH408" i="53"/>
  <c r="O409" i="53"/>
  <c r="AH409" i="53"/>
  <c r="O410" i="53"/>
  <c r="AH410" i="53"/>
  <c r="O411" i="53"/>
  <c r="AH411" i="53"/>
  <c r="O412" i="53"/>
  <c r="AH412" i="53"/>
  <c r="O413" i="53"/>
  <c r="AH413" i="53"/>
  <c r="O414" i="53"/>
  <c r="AH414" i="53"/>
  <c r="O415" i="53"/>
  <c r="AH415" i="53"/>
  <c r="O416" i="53"/>
  <c r="AH416" i="53"/>
  <c r="O417" i="53"/>
  <c r="AH417" i="53"/>
  <c r="O418" i="53"/>
  <c r="AH418" i="53"/>
  <c r="O419" i="53"/>
  <c r="AH419" i="53"/>
  <c r="O420" i="53"/>
  <c r="AH420" i="53"/>
  <c r="P405" i="53"/>
  <c r="AI405" i="53"/>
  <c r="P406" i="53"/>
  <c r="AI406" i="53"/>
  <c r="P407" i="53"/>
  <c r="AI407" i="53"/>
  <c r="P408" i="53"/>
  <c r="AI408" i="53"/>
  <c r="P409" i="53"/>
  <c r="AI409" i="53"/>
  <c r="P410" i="53"/>
  <c r="AI410" i="53"/>
  <c r="P411" i="53"/>
  <c r="AI411" i="53"/>
  <c r="P412" i="53"/>
  <c r="AI412" i="53"/>
  <c r="P413" i="53"/>
  <c r="AI413" i="53"/>
  <c r="P414" i="53"/>
  <c r="AI414" i="53"/>
  <c r="P415" i="53"/>
  <c r="AI415" i="53"/>
  <c r="P416" i="53"/>
  <c r="AI416" i="53"/>
  <c r="P417" i="53"/>
  <c r="AI417" i="53"/>
  <c r="P418" i="53"/>
  <c r="AI418" i="53"/>
  <c r="P419" i="53"/>
  <c r="AI419" i="53"/>
  <c r="P420" i="53"/>
  <c r="AI420" i="53"/>
  <c r="Q405" i="53"/>
  <c r="AJ405" i="53"/>
  <c r="Q406" i="53"/>
  <c r="AJ406" i="53"/>
  <c r="Q407" i="53"/>
  <c r="AJ407" i="53"/>
  <c r="Q408" i="53"/>
  <c r="AJ408" i="53"/>
  <c r="Q409" i="53"/>
  <c r="AJ409" i="53"/>
  <c r="Q410" i="53"/>
  <c r="AJ410" i="53"/>
  <c r="Q411" i="53"/>
  <c r="AJ411" i="53"/>
  <c r="Q412" i="53"/>
  <c r="AJ412" i="53"/>
  <c r="Q413" i="53"/>
  <c r="AJ413" i="53"/>
  <c r="Q414" i="53"/>
  <c r="AJ414" i="53"/>
  <c r="Q415" i="53"/>
  <c r="AJ415" i="53"/>
  <c r="Q416" i="53"/>
  <c r="AJ416" i="53"/>
  <c r="Q417" i="53"/>
  <c r="AJ417" i="53"/>
  <c r="Q418" i="53"/>
  <c r="AJ418" i="53"/>
  <c r="Q419" i="53"/>
  <c r="AJ419" i="53"/>
  <c r="Q420" i="53"/>
  <c r="AJ420" i="53"/>
  <c r="R405" i="53"/>
  <c r="AK405" i="53"/>
  <c r="R406" i="53"/>
  <c r="AK406" i="53"/>
  <c r="R407" i="53"/>
  <c r="AK407" i="53"/>
  <c r="R408" i="53"/>
  <c r="AK408" i="53"/>
  <c r="R409" i="53"/>
  <c r="AK409" i="53"/>
  <c r="R410" i="53"/>
  <c r="AK410" i="53"/>
  <c r="R411" i="53"/>
  <c r="AK411" i="53"/>
  <c r="R412" i="53"/>
  <c r="AK412" i="53"/>
  <c r="R413" i="53"/>
  <c r="AK413" i="53"/>
  <c r="R414" i="53"/>
  <c r="AK414" i="53"/>
  <c r="R415" i="53"/>
  <c r="AK415" i="53"/>
  <c r="R416" i="53"/>
  <c r="AK416" i="53"/>
  <c r="R417" i="53"/>
  <c r="AK417" i="53"/>
  <c r="R418" i="53"/>
  <c r="AK418" i="53"/>
  <c r="R419" i="53"/>
  <c r="AK419" i="53"/>
  <c r="R420" i="53"/>
  <c r="AK420" i="53"/>
  <c r="S405" i="53"/>
  <c r="AL405" i="53"/>
  <c r="S406" i="53"/>
  <c r="AL406" i="53"/>
  <c r="S407" i="53"/>
  <c r="AL407" i="53"/>
  <c r="S408" i="53"/>
  <c r="AL408" i="53"/>
  <c r="S409" i="53"/>
  <c r="AL409" i="53"/>
  <c r="S410" i="53"/>
  <c r="AL410" i="53"/>
  <c r="S411" i="53"/>
  <c r="AL411" i="53"/>
  <c r="S412" i="53"/>
  <c r="AL412" i="53"/>
  <c r="S413" i="53"/>
  <c r="AL413" i="53"/>
  <c r="S414" i="53"/>
  <c r="AL414" i="53"/>
  <c r="S415" i="53"/>
  <c r="AL415" i="53"/>
  <c r="S416" i="53"/>
  <c r="AL416" i="53"/>
  <c r="S417" i="53"/>
  <c r="AL417" i="53"/>
  <c r="S418" i="53"/>
  <c r="AL418" i="53"/>
  <c r="S419" i="53"/>
  <c r="AL419" i="53"/>
  <c r="S420" i="53"/>
  <c r="AL420" i="53"/>
  <c r="T405" i="53"/>
  <c r="AM405" i="53"/>
  <c r="T406" i="53"/>
  <c r="AM406" i="53"/>
  <c r="T407" i="53"/>
  <c r="AM407" i="53"/>
  <c r="T408" i="53"/>
  <c r="AM408" i="53"/>
  <c r="T409" i="53"/>
  <c r="AM409" i="53"/>
  <c r="T410" i="53"/>
  <c r="AM410" i="53"/>
  <c r="T411" i="53"/>
  <c r="AM411" i="53"/>
  <c r="T412" i="53"/>
  <c r="AM412" i="53"/>
  <c r="T413" i="53"/>
  <c r="AM413" i="53"/>
  <c r="T414" i="53"/>
  <c r="AM414" i="53"/>
  <c r="T415" i="53"/>
  <c r="AM415" i="53"/>
  <c r="T416" i="53"/>
  <c r="AM416" i="53"/>
  <c r="T417" i="53"/>
  <c r="AM417" i="53"/>
  <c r="T418" i="53"/>
  <c r="AM418" i="53"/>
  <c r="T419" i="53"/>
  <c r="AM419" i="53"/>
  <c r="T420" i="53"/>
  <c r="AM420" i="53"/>
  <c r="AH138" i="52"/>
  <c r="AM138" i="52"/>
  <c r="AM157" i="52"/>
  <c r="L214" i="52"/>
  <c r="H215" i="52"/>
  <c r="H216" i="52" s="1"/>
  <c r="L328" i="52"/>
  <c r="H272" i="52"/>
  <c r="H273" i="52" s="1"/>
  <c r="H274" i="52" s="1"/>
  <c r="H275" i="52" s="1"/>
  <c r="H276" i="52" s="1"/>
  <c r="H277" i="52" s="1"/>
  <c r="H278" i="52" s="1"/>
  <c r="H279" i="52" s="1"/>
  <c r="H280" i="52" s="1"/>
  <c r="H281" i="52" s="1"/>
  <c r="H282" i="52" s="1"/>
  <c r="H283" i="52" s="1"/>
  <c r="H284" i="52" s="1"/>
  <c r="H285" i="52" s="1"/>
  <c r="H286" i="52" s="1"/>
  <c r="H287" i="52" s="1"/>
  <c r="H288" i="52" s="1"/>
  <c r="L347" i="52"/>
  <c r="H234" i="52"/>
  <c r="H235" i="52" s="1"/>
  <c r="H236" i="52" s="1"/>
  <c r="H237" i="52" s="1"/>
  <c r="H238" i="52" s="1"/>
  <c r="H239" i="52" s="1"/>
  <c r="H240" i="52" s="1"/>
  <c r="H241" i="52" s="1"/>
  <c r="H242" i="52" s="1"/>
  <c r="H243" i="52" s="1"/>
  <c r="H244" i="52" s="1"/>
  <c r="H245" i="52" s="1"/>
  <c r="H246" i="52" s="1"/>
  <c r="H247" i="52" s="1"/>
  <c r="H248" i="52" s="1"/>
  <c r="H249" i="52" s="1"/>
  <c r="H250" i="52" s="1"/>
  <c r="L309" i="52"/>
  <c r="AI138" i="52"/>
  <c r="Y119" i="52"/>
  <c r="Y6" i="52" s="1"/>
  <c r="G119" i="52"/>
  <c r="G6" i="52" s="1"/>
  <c r="G120" i="52" s="1"/>
  <c r="AI119" i="52"/>
  <c r="AI6" i="52" s="1"/>
  <c r="AH119" i="52"/>
  <c r="P119" i="52"/>
  <c r="P6" i="52" s="1"/>
  <c r="P25" i="52" s="1"/>
  <c r="P44" i="52" s="1"/>
  <c r="AI157" i="52"/>
  <c r="K119" i="52"/>
  <c r="L290" i="52"/>
  <c r="H291" i="52"/>
  <c r="H292" i="52" s="1"/>
  <c r="H293" i="52" s="1"/>
  <c r="H294" i="52" s="1"/>
  <c r="H295" i="52" s="1"/>
  <c r="H296" i="52" s="1"/>
  <c r="H297" i="52" s="1"/>
  <c r="H298" i="52" s="1"/>
  <c r="H299" i="52" s="1"/>
  <c r="H300" i="52" s="1"/>
  <c r="H301" i="52" s="1"/>
  <c r="H302" i="52" s="1"/>
  <c r="H303" i="52" s="1"/>
  <c r="H304" i="52" s="1"/>
  <c r="H305" i="52" s="1"/>
  <c r="H306" i="52" s="1"/>
  <c r="H307" i="52" s="1"/>
  <c r="Q329" i="52"/>
  <c r="Q330" i="52" s="1"/>
  <c r="Q331" i="52" s="1"/>
  <c r="Q332" i="52" s="1"/>
  <c r="Q333" i="52" s="1"/>
  <c r="Q334" i="52" s="1"/>
  <c r="Q335" i="52" s="1"/>
  <c r="Q336" i="52" s="1"/>
  <c r="Q337" i="52" s="1"/>
  <c r="Q338" i="52" s="1"/>
  <c r="Q339" i="52" s="1"/>
  <c r="Q340" i="52" s="1"/>
  <c r="Q341" i="52" s="1"/>
  <c r="Q342" i="52" s="1"/>
  <c r="Q343" i="52" s="1"/>
  <c r="Q344" i="52" s="1"/>
  <c r="Q345" i="52" s="1"/>
  <c r="AI406" i="52"/>
  <c r="P406" i="52"/>
  <c r="O406" i="52"/>
  <c r="L252" i="52"/>
  <c r="H217" i="52"/>
  <c r="I70" i="52"/>
  <c r="AB68" i="52"/>
  <c r="AK64" i="52"/>
  <c r="S66" i="52"/>
  <c r="AA64" i="52"/>
  <c r="AM24" i="52"/>
  <c r="AM43" i="52"/>
  <c r="AM81" i="52"/>
  <c r="T81" i="52"/>
  <c r="T100" i="52" s="1"/>
  <c r="T24" i="52"/>
  <c r="T65" i="52"/>
  <c r="AL75" i="52"/>
  <c r="Z64" i="52"/>
  <c r="AC100" i="52"/>
  <c r="AC63" i="52"/>
  <c r="AJ64" i="52"/>
  <c r="AJ43" i="52"/>
  <c r="AJ24" i="52"/>
  <c r="Q24" i="52"/>
  <c r="Q43" i="52"/>
  <c r="R65" i="52"/>
  <c r="H64" i="52"/>
  <c r="Q63" i="52"/>
  <c r="Q100" i="52"/>
  <c r="AK24" i="52"/>
  <c r="AK43" i="52" s="1"/>
  <c r="R24" i="52"/>
  <c r="C4" i="25"/>
  <c r="F81" i="25" s="1"/>
  <c r="F6" i="25" s="1"/>
  <c r="N50" i="49"/>
  <c r="L50" i="49"/>
  <c r="J50" i="49"/>
  <c r="H50" i="49"/>
  <c r="F50" i="49"/>
  <c r="D50" i="49"/>
  <c r="X62" i="27"/>
  <c r="X63" i="27" s="1"/>
  <c r="X64" i="27" s="1"/>
  <c r="X65" i="27" s="1"/>
  <c r="X66" i="27" s="1"/>
  <c r="X67" i="27" s="1"/>
  <c r="X68" i="27" s="1"/>
  <c r="X69" i="27" s="1"/>
  <c r="X70" i="27" s="1"/>
  <c r="X71" i="27" s="1"/>
  <c r="X72" i="27" s="1"/>
  <c r="X73" i="27" s="1"/>
  <c r="X74" i="27" s="1"/>
  <c r="X75" i="27" s="1"/>
  <c r="X76" i="27" s="1"/>
  <c r="X77" i="27" s="1"/>
  <c r="X78" i="27" s="1"/>
  <c r="M43" i="27"/>
  <c r="M44" i="27" s="1"/>
  <c r="M45" i="27" s="1"/>
  <c r="M46" i="27" s="1"/>
  <c r="M47" i="27" s="1"/>
  <c r="M48" i="27" s="1"/>
  <c r="M49" i="27" s="1"/>
  <c r="M50" i="27" s="1"/>
  <c r="M51" i="27" s="1"/>
  <c r="M52" i="27" s="1"/>
  <c r="M53" i="27" s="1"/>
  <c r="M54" i="27" s="1"/>
  <c r="M55" i="27" s="1"/>
  <c r="M56" i="27" s="1"/>
  <c r="M57" i="27" s="1"/>
  <c r="M58" i="27" s="1"/>
  <c r="M59" i="27" s="1"/>
  <c r="E62" i="27"/>
  <c r="E63" i="27" s="1"/>
  <c r="E64" i="27" s="1"/>
  <c r="E65" i="27" s="1"/>
  <c r="E66" i="27" s="1"/>
  <c r="E67" i="27" s="1"/>
  <c r="E68" i="27" s="1"/>
  <c r="E69" i="27" s="1"/>
  <c r="E70" i="27" s="1"/>
  <c r="E71" i="27" s="1"/>
  <c r="AC43" i="27"/>
  <c r="AC44" i="27" s="1"/>
  <c r="AC45" i="27" s="1"/>
  <c r="AC46" i="27" s="1"/>
  <c r="AC47" i="27" s="1"/>
  <c r="AC48" i="27" s="1"/>
  <c r="AC49" i="27" s="1"/>
  <c r="AC50" i="27" s="1"/>
  <c r="AC51" i="27" s="1"/>
  <c r="AC52" i="27" s="1"/>
  <c r="AC53" i="27" s="1"/>
  <c r="AC54" i="27" s="1"/>
  <c r="AC55" i="27" s="1"/>
  <c r="E43" i="27"/>
  <c r="E44" i="27" s="1"/>
  <c r="E45" i="27" s="1"/>
  <c r="E46" i="27" s="1"/>
  <c r="E47" i="27" s="1"/>
  <c r="E48" i="27" s="1"/>
  <c r="E49" i="27" s="1"/>
  <c r="E50" i="27" s="1"/>
  <c r="E51" i="27" s="1"/>
  <c r="E52" i="27" s="1"/>
  <c r="E53" i="27" s="1"/>
  <c r="E54" i="27" s="1"/>
  <c r="E55" i="27" s="1"/>
  <c r="E56" i="27" s="1"/>
  <c r="E57" i="27" s="1"/>
  <c r="E58" i="27" s="1"/>
  <c r="E59" i="27" s="1"/>
  <c r="AD43" i="27"/>
  <c r="AD44" i="27" s="1"/>
  <c r="AD45" i="27" s="1"/>
  <c r="AD46" i="27" s="1"/>
  <c r="AD47" i="27" s="1"/>
  <c r="AD48" i="27" s="1"/>
  <c r="AD49" i="27" s="1"/>
  <c r="AD50" i="27" s="1"/>
  <c r="AD51" i="27" s="1"/>
  <c r="AD52" i="27" s="1"/>
  <c r="AD53" i="27" s="1"/>
  <c r="AD54" i="27" s="1"/>
  <c r="AD55" i="27" s="1"/>
  <c r="AD56" i="27" s="1"/>
  <c r="AD57" i="27" s="1"/>
  <c r="AD58" i="27" s="1"/>
  <c r="AD59" i="27" s="1"/>
  <c r="F43" i="27"/>
  <c r="F44" i="27" s="1"/>
  <c r="F45" i="27" s="1"/>
  <c r="F46" i="27" s="1"/>
  <c r="F47" i="27" s="1"/>
  <c r="F48" i="27" s="1"/>
  <c r="F49" i="27" s="1"/>
  <c r="F50" i="27" s="1"/>
  <c r="F51" i="27" s="1"/>
  <c r="F52" i="27" s="1"/>
  <c r="F53" i="27" s="1"/>
  <c r="F54" i="27" s="1"/>
  <c r="F55" i="27" s="1"/>
  <c r="F56" i="27" s="1"/>
  <c r="F57" i="27" s="1"/>
  <c r="F58" i="27" s="1"/>
  <c r="F59" i="27" s="1"/>
  <c r="AE43" i="27"/>
  <c r="AE44" i="27" s="1"/>
  <c r="AE45" i="27" s="1"/>
  <c r="AE46" i="27" s="1"/>
  <c r="AE47" i="27" s="1"/>
  <c r="AE48" i="27" s="1"/>
  <c r="AE49" i="27" s="1"/>
  <c r="AE50" i="27" s="1"/>
  <c r="AE51" i="27" s="1"/>
  <c r="AE52" i="27" s="1"/>
  <c r="AE53" i="27" s="1"/>
  <c r="G43" i="27"/>
  <c r="G44" i="27" s="1"/>
  <c r="G45" i="27" s="1"/>
  <c r="G46" i="27" s="1"/>
  <c r="G47" i="27" s="1"/>
  <c r="G48" i="27" s="1"/>
  <c r="G49" i="27" s="1"/>
  <c r="G50" i="27" s="1"/>
  <c r="G51" i="27" s="1"/>
  <c r="G52" i="27" s="1"/>
  <c r="G53" i="27" s="1"/>
  <c r="G54" i="27" s="1"/>
  <c r="G55" i="27" s="1"/>
  <c r="G56" i="27" s="1"/>
  <c r="G57" i="27" s="1"/>
  <c r="G58" i="27" s="1"/>
  <c r="G59" i="27" s="1"/>
  <c r="V43" i="27"/>
  <c r="V44" i="27" s="1"/>
  <c r="V45" i="27" s="1"/>
  <c r="V46" i="27" s="1"/>
  <c r="V47" i="27" s="1"/>
  <c r="V48" i="27" s="1"/>
  <c r="V49" i="27" s="1"/>
  <c r="V50" i="27" s="1"/>
  <c r="V51" i="27" s="1"/>
  <c r="V52" i="27" s="1"/>
  <c r="V53" i="27" s="1"/>
  <c r="V54" i="27" s="1"/>
  <c r="V55" i="27" s="1"/>
  <c r="V56" i="27" s="1"/>
  <c r="V57" i="27" s="1"/>
  <c r="V58" i="27" s="1"/>
  <c r="V59" i="27" s="1"/>
  <c r="X43" i="27"/>
  <c r="X44" i="27" s="1"/>
  <c r="X45" i="27" s="1"/>
  <c r="X46" i="27" s="1"/>
  <c r="X47" i="27" s="1"/>
  <c r="X48" i="27" s="1"/>
  <c r="X49" i="27" s="1"/>
  <c r="X50" i="27" s="1"/>
  <c r="X51" i="27" s="1"/>
  <c r="X52" i="27" s="1"/>
  <c r="X53" i="27" s="1"/>
  <c r="X54" i="27" s="1"/>
  <c r="X55" i="27" s="1"/>
  <c r="X56" i="27" s="1"/>
  <c r="X57" i="27" s="1"/>
  <c r="X58" i="27" s="1"/>
  <c r="X59" i="27" s="1"/>
  <c r="T329" i="47"/>
  <c r="T330" i="47" s="1"/>
  <c r="T331" i="47" s="1"/>
  <c r="T332" i="47" s="1"/>
  <c r="T333" i="47" s="1"/>
  <c r="T334" i="47" s="1"/>
  <c r="T335" i="47" s="1"/>
  <c r="T336" i="47" s="1"/>
  <c r="T337" i="47" s="1"/>
  <c r="T338" i="47" s="1"/>
  <c r="T339" i="47" s="1"/>
  <c r="T340" i="47" s="1"/>
  <c r="T341" i="47" s="1"/>
  <c r="T342" i="47" s="1"/>
  <c r="T343" i="47" s="1"/>
  <c r="T344" i="47" s="1"/>
  <c r="T345" i="47" s="1"/>
  <c r="P25" i="49"/>
  <c r="P43" i="27"/>
  <c r="P44" i="27" s="1"/>
  <c r="P45" i="27" s="1"/>
  <c r="P46" i="27" s="1"/>
  <c r="P47" i="27" s="1"/>
  <c r="P48" i="27" s="1"/>
  <c r="P49" i="27" s="1"/>
  <c r="P50" i="27" s="1"/>
  <c r="P51" i="27" s="1"/>
  <c r="P52" i="27" s="1"/>
  <c r="P53" i="27" s="1"/>
  <c r="P54" i="27" s="1"/>
  <c r="P55" i="27" s="1"/>
  <c r="P56" i="27" s="1"/>
  <c r="F62" i="27"/>
  <c r="F63" i="27" s="1"/>
  <c r="F64" i="27" s="1"/>
  <c r="F65" i="27" s="1"/>
  <c r="F66" i="27" s="1"/>
  <c r="F67" i="27" s="1"/>
  <c r="F68" i="27" s="1"/>
  <c r="F69" i="27" s="1"/>
  <c r="F70" i="27" s="1"/>
  <c r="F71" i="27" s="1"/>
  <c r="F72" i="27" s="1"/>
  <c r="F73" i="27" s="1"/>
  <c r="F74" i="27" s="1"/>
  <c r="F75" i="27" s="1"/>
  <c r="F76" i="27" s="1"/>
  <c r="F77" i="27" s="1"/>
  <c r="F78" i="27" s="1"/>
  <c r="N25" i="49"/>
  <c r="D43" i="27"/>
  <c r="D44" i="27" s="1"/>
  <c r="D45" i="27" s="1"/>
  <c r="D46" i="27" s="1"/>
  <c r="D47" i="27" s="1"/>
  <c r="D48" i="27" s="1"/>
  <c r="D49" i="27" s="1"/>
  <c r="D50" i="27" s="1"/>
  <c r="D51" i="27" s="1"/>
  <c r="D52" i="27" s="1"/>
  <c r="D53" i="27" s="1"/>
  <c r="D54" i="27" s="1"/>
  <c r="D55" i="27" s="1"/>
  <c r="D56" i="27" s="1"/>
  <c r="D57" i="27" s="1"/>
  <c r="D58" i="27" s="1"/>
  <c r="D59" i="27" s="1"/>
  <c r="Y43" i="27"/>
  <c r="Y44" i="27" s="1"/>
  <c r="Y45" i="27" s="1"/>
  <c r="Y46" i="27" s="1"/>
  <c r="Y47" i="27" s="1"/>
  <c r="Y48" i="27" s="1"/>
  <c r="Y49" i="27" s="1"/>
  <c r="Y50" i="27" s="1"/>
  <c r="Y51" i="27" s="1"/>
  <c r="Y52" i="27" s="1"/>
  <c r="Y53" i="27" s="1"/>
  <c r="Y54" i="27" s="1"/>
  <c r="Y55" i="27" s="1"/>
  <c r="Y56" i="27" s="1"/>
  <c r="Y57" i="27" s="1"/>
  <c r="Y58" i="27" s="1"/>
  <c r="Y59" i="27" s="1"/>
  <c r="L62" i="27"/>
  <c r="L63" i="27" s="1"/>
  <c r="L64" i="27" s="1"/>
  <c r="L65" i="27" s="1"/>
  <c r="L66" i="27" s="1"/>
  <c r="L67" i="27" s="1"/>
  <c r="L68" i="27" s="1"/>
  <c r="L69" i="27" s="1"/>
  <c r="L70" i="27" s="1"/>
  <c r="L71" i="27" s="1"/>
  <c r="L72" i="27" s="1"/>
  <c r="L73" i="27" s="1"/>
  <c r="L74" i="27" s="1"/>
  <c r="L75" i="27" s="1"/>
  <c r="L76" i="27" s="1"/>
  <c r="L77" i="27" s="1"/>
  <c r="L78" i="27" s="1"/>
  <c r="U62" i="27"/>
  <c r="U63" i="27" s="1"/>
  <c r="U64" i="27" s="1"/>
  <c r="U65" i="27" s="1"/>
  <c r="U66" i="27" s="1"/>
  <c r="U67" i="27" s="1"/>
  <c r="U68" i="27" s="1"/>
  <c r="U69" i="27" s="1"/>
  <c r="U70" i="27" s="1"/>
  <c r="U71" i="27" s="1"/>
  <c r="U72" i="27" s="1"/>
  <c r="U73" i="27" s="1"/>
  <c r="U74" i="27" s="1"/>
  <c r="U75" i="27" s="1"/>
  <c r="U76" i="27" s="1"/>
  <c r="U77" i="27" s="1"/>
  <c r="U78" i="27" s="1"/>
  <c r="L25" i="49"/>
  <c r="Q62" i="27"/>
  <c r="Q63" i="27" s="1"/>
  <c r="Q64" i="27" s="1"/>
  <c r="Q65" i="27" s="1"/>
  <c r="Q66" i="27" s="1"/>
  <c r="Q67" i="27" s="1"/>
  <c r="Q68" i="27" s="1"/>
  <c r="Q69" i="27" s="1"/>
  <c r="Q70" i="27" s="1"/>
  <c r="Q71" i="27" s="1"/>
  <c r="Q72" i="27" s="1"/>
  <c r="Q73" i="27" s="1"/>
  <c r="Q74" i="27" s="1"/>
  <c r="Q75" i="27" s="1"/>
  <c r="Q76" i="27" s="1"/>
  <c r="Q77" i="27" s="1"/>
  <c r="Q78" i="27" s="1"/>
  <c r="J25" i="49"/>
  <c r="AG43" i="27"/>
  <c r="AG44" i="27" s="1"/>
  <c r="AG45" i="27" s="1"/>
  <c r="AG46" i="27" s="1"/>
  <c r="AG47" i="27" s="1"/>
  <c r="AG48" i="27" s="1"/>
  <c r="AG49" i="27" s="1"/>
  <c r="AG50" i="27" s="1"/>
  <c r="AG51" i="27" s="1"/>
  <c r="AG52" i="27" s="1"/>
  <c r="AG53" i="27" s="1"/>
  <c r="AG54" i="27" s="1"/>
  <c r="AG55" i="27" s="1"/>
  <c r="AG56" i="27" s="1"/>
  <c r="AG57" i="27" s="1"/>
  <c r="AG58" i="27" s="1"/>
  <c r="AG59" i="27" s="1"/>
  <c r="Y62" i="27"/>
  <c r="Y63" i="27" s="1"/>
  <c r="Y64" i="27" s="1"/>
  <c r="Y65" i="27" s="1"/>
  <c r="Y66" i="27" s="1"/>
  <c r="Y67" i="27" s="1"/>
  <c r="Y68" i="27" s="1"/>
  <c r="Y69" i="27" s="1"/>
  <c r="Y70" i="27" s="1"/>
  <c r="Y71" i="27" s="1"/>
  <c r="Y72" i="27" s="1"/>
  <c r="Y73" i="27" s="1"/>
  <c r="Y74" i="27" s="1"/>
  <c r="Y75" i="27" s="1"/>
  <c r="Y76" i="27" s="1"/>
  <c r="Y77" i="27" s="1"/>
  <c r="Y78" i="27" s="1"/>
  <c r="H25" i="49"/>
  <c r="V62" i="27"/>
  <c r="V63" i="27" s="1"/>
  <c r="V64" i="27" s="1"/>
  <c r="V65" i="27" s="1"/>
  <c r="V66" i="27" s="1"/>
  <c r="V67" i="27" s="1"/>
  <c r="V68" i="27" s="1"/>
  <c r="V69" i="27" s="1"/>
  <c r="V70" i="27" s="1"/>
  <c r="V71" i="27" s="1"/>
  <c r="V72" i="27" s="1"/>
  <c r="V73" i="27" s="1"/>
  <c r="V74" i="27" s="1"/>
  <c r="V75" i="27" s="1"/>
  <c r="V76" i="27" s="1"/>
  <c r="V77" i="27" s="1"/>
  <c r="V78" i="27" s="1"/>
  <c r="AC62" i="27"/>
  <c r="AC63" i="27" s="1"/>
  <c r="AC64" i="27" s="1"/>
  <c r="AC65" i="27" s="1"/>
  <c r="AC66" i="27" s="1"/>
  <c r="AC67" i="27" s="1"/>
  <c r="AC68" i="27" s="1"/>
  <c r="AC69" i="27" s="1"/>
  <c r="AC70" i="27" s="1"/>
  <c r="AC71" i="27" s="1"/>
  <c r="AC72" i="27" s="1"/>
  <c r="AC73" i="27" s="1"/>
  <c r="AC74" i="27" s="1"/>
  <c r="AC75" i="27" s="1"/>
  <c r="AC76" i="27" s="1"/>
  <c r="AC77" i="27" s="1"/>
  <c r="AC78" i="27" s="1"/>
  <c r="Q43" i="27"/>
  <c r="Q44" i="27" s="1"/>
  <c r="Q45" i="27" s="1"/>
  <c r="Q46" i="27" s="1"/>
  <c r="Q47" i="27" s="1"/>
  <c r="Q48" i="27" s="1"/>
  <c r="Q49" i="27" s="1"/>
  <c r="Q50" i="27" s="1"/>
  <c r="Q51" i="27" s="1"/>
  <c r="Q52" i="27" s="1"/>
  <c r="Q53" i="27" s="1"/>
  <c r="Q54" i="27" s="1"/>
  <c r="Q55" i="27" s="1"/>
  <c r="Q56" i="27" s="1"/>
  <c r="Q57" i="27" s="1"/>
  <c r="Q58" i="27" s="1"/>
  <c r="Q59" i="27" s="1"/>
  <c r="W43" i="27"/>
  <c r="W44" i="27" s="1"/>
  <c r="W45" i="27" s="1"/>
  <c r="W46" i="27" s="1"/>
  <c r="W47" i="27" s="1"/>
  <c r="W48" i="27" s="1"/>
  <c r="W49" i="27" s="1"/>
  <c r="W50" i="27" s="1"/>
  <c r="W51" i="27" s="1"/>
  <c r="W52" i="27" s="1"/>
  <c r="W53" i="27" s="1"/>
  <c r="W54" i="27" s="1"/>
  <c r="W55" i="27" s="1"/>
  <c r="W56" i="27" s="1"/>
  <c r="W57" i="27" s="1"/>
  <c r="W58" i="27" s="1"/>
  <c r="W59" i="27" s="1"/>
  <c r="D62" i="27"/>
  <c r="D63" i="27" s="1"/>
  <c r="D64" i="27" s="1"/>
  <c r="D65" i="27" s="1"/>
  <c r="D66" i="27" s="1"/>
  <c r="D67" i="27" s="1"/>
  <c r="D68" i="27" s="1"/>
  <c r="D69" i="27" s="1"/>
  <c r="D70" i="27" s="1"/>
  <c r="D71" i="27" s="1"/>
  <c r="D72" i="27" s="1"/>
  <c r="D73" i="27" s="1"/>
  <c r="D74" i="27" s="1"/>
  <c r="D75" i="27" s="1"/>
  <c r="D76" i="27" s="1"/>
  <c r="D77" i="27" s="1"/>
  <c r="D78" i="27" s="1"/>
  <c r="O62" i="27"/>
  <c r="O63" i="27" s="1"/>
  <c r="O64" i="27" s="1"/>
  <c r="O65" i="27" s="1"/>
  <c r="O66" i="27" s="1"/>
  <c r="O67" i="27" s="1"/>
  <c r="O68" i="27" s="1"/>
  <c r="O69" i="27" s="1"/>
  <c r="O70" i="27" s="1"/>
  <c r="O71" i="27" s="1"/>
  <c r="O72" i="27" s="1"/>
  <c r="O73" i="27" s="1"/>
  <c r="O74" i="27" s="1"/>
  <c r="O75" i="27" s="1"/>
  <c r="O76" i="27" s="1"/>
  <c r="O77" i="27" s="1"/>
  <c r="O78" i="27" s="1"/>
  <c r="AB62" i="27"/>
  <c r="AB63" i="27" s="1"/>
  <c r="AB64" i="27" s="1"/>
  <c r="AB65" i="27" s="1"/>
  <c r="AB66" i="27" s="1"/>
  <c r="AB67" i="27" s="1"/>
  <c r="AB68" i="27" s="1"/>
  <c r="AB69" i="27" s="1"/>
  <c r="AB70" i="27" s="1"/>
  <c r="AB71" i="27" s="1"/>
  <c r="AB72" i="27" s="1"/>
  <c r="AB73" i="27" s="1"/>
  <c r="AB74" i="27" s="1"/>
  <c r="AB75" i="27" s="1"/>
  <c r="AB76" i="27" s="1"/>
  <c r="AB77" i="27" s="1"/>
  <c r="AB78" i="27" s="1"/>
  <c r="N62" i="27"/>
  <c r="N63" i="27" s="1"/>
  <c r="N64" i="27" s="1"/>
  <c r="N65" i="27" s="1"/>
  <c r="N66" i="27" s="1"/>
  <c r="N67" i="27" s="1"/>
  <c r="N68" i="27" s="1"/>
  <c r="N69" i="27" s="1"/>
  <c r="N70" i="27" s="1"/>
  <c r="N71" i="27" s="1"/>
  <c r="N72" i="27" s="1"/>
  <c r="N73" i="27" s="1"/>
  <c r="N74" i="27" s="1"/>
  <c r="N75" i="27" s="1"/>
  <c r="N76" i="27" s="1"/>
  <c r="N77" i="27" s="1"/>
  <c r="N78" i="27" s="1"/>
  <c r="I43" i="27"/>
  <c r="I44" i="27" s="1"/>
  <c r="I45" i="27" s="1"/>
  <c r="I46" i="27" s="1"/>
  <c r="I47" i="27" s="1"/>
  <c r="I48" i="27" s="1"/>
  <c r="I49" i="27" s="1"/>
  <c r="I50" i="27" s="1"/>
  <c r="I51" i="27" s="1"/>
  <c r="I52" i="27" s="1"/>
  <c r="I53" i="27" s="1"/>
  <c r="I54" i="27" s="1"/>
  <c r="I55" i="27" s="1"/>
  <c r="I56" i="27" s="1"/>
  <c r="I57" i="27" s="1"/>
  <c r="I58" i="27" s="1"/>
  <c r="I59" i="27" s="1"/>
  <c r="O43" i="27"/>
  <c r="O44" i="27" s="1"/>
  <c r="O45" i="27" s="1"/>
  <c r="O46" i="27" s="1"/>
  <c r="O47" i="27" s="1"/>
  <c r="O48" i="27" s="1"/>
  <c r="O49" i="27" s="1"/>
  <c r="O50" i="27" s="1"/>
  <c r="O51" i="27" s="1"/>
  <c r="O52" i="27" s="1"/>
  <c r="O53" i="27" s="1"/>
  <c r="O54" i="27" s="1"/>
  <c r="O55" i="27" s="1"/>
  <c r="O56" i="27" s="1"/>
  <c r="O57" i="27" s="1"/>
  <c r="O58" i="27" s="1"/>
  <c r="O59" i="27" s="1"/>
  <c r="U43" i="27"/>
  <c r="U44" i="27" s="1"/>
  <c r="U45" i="27" s="1"/>
  <c r="U46" i="27" s="1"/>
  <c r="U47" i="27" s="1"/>
  <c r="U48" i="27" s="1"/>
  <c r="U49" i="27" s="1"/>
  <c r="U50" i="27" s="1"/>
  <c r="U51" i="27" s="1"/>
  <c r="I62" i="27"/>
  <c r="I63" i="27" s="1"/>
  <c r="I64" i="27" s="1"/>
  <c r="I65" i="27" s="1"/>
  <c r="I66" i="27" s="1"/>
  <c r="I67" i="27" s="1"/>
  <c r="I68" i="27" s="1"/>
  <c r="I69" i="27" s="1"/>
  <c r="I70" i="27" s="1"/>
  <c r="I71" i="27" s="1"/>
  <c r="I72" i="27" s="1"/>
  <c r="I73" i="27" s="1"/>
  <c r="I74" i="27" s="1"/>
  <c r="I75" i="27" s="1"/>
  <c r="I76" i="27" s="1"/>
  <c r="I77" i="27" s="1"/>
  <c r="I78" i="27" s="1"/>
  <c r="M62" i="27"/>
  <c r="M63" i="27" s="1"/>
  <c r="M64" i="27" s="1"/>
  <c r="M65" i="27" s="1"/>
  <c r="M66" i="27" s="1"/>
  <c r="M67" i="27" s="1"/>
  <c r="M68" i="27" s="1"/>
  <c r="M69" i="27" s="1"/>
  <c r="M70" i="27" s="1"/>
  <c r="M71" i="27" s="1"/>
  <c r="M72" i="27" s="1"/>
  <c r="M73" i="27" s="1"/>
  <c r="M74" i="27" s="1"/>
  <c r="M75" i="27" s="1"/>
  <c r="M76" i="27" s="1"/>
  <c r="M77" i="27" s="1"/>
  <c r="M78" i="27" s="1"/>
  <c r="AF62" i="27"/>
  <c r="AF63" i="27" s="1"/>
  <c r="AF64" i="27" s="1"/>
  <c r="AF65" i="27" s="1"/>
  <c r="AF66" i="27" s="1"/>
  <c r="AF67" i="27" s="1"/>
  <c r="AF68" i="27" s="1"/>
  <c r="AF69" i="27" s="1"/>
  <c r="AF70" i="27" s="1"/>
  <c r="AF71" i="27" s="1"/>
  <c r="AF72" i="27" s="1"/>
  <c r="AF73" i="27" s="1"/>
  <c r="AF74" i="27" s="1"/>
  <c r="AF75" i="27" s="1"/>
  <c r="AF76" i="27" s="1"/>
  <c r="AF77" i="27" s="1"/>
  <c r="AF78" i="27" s="1"/>
  <c r="AG62" i="27"/>
  <c r="AG63" i="27" s="1"/>
  <c r="AG64" i="27" s="1"/>
  <c r="AG65" i="27" s="1"/>
  <c r="AG66" i="27" s="1"/>
  <c r="AG67" i="27" s="1"/>
  <c r="AG68" i="27" s="1"/>
  <c r="AG69" i="27" s="1"/>
  <c r="AG70" i="27" s="1"/>
  <c r="AG71" i="27" s="1"/>
  <c r="AG72" i="27" s="1"/>
  <c r="AG73" i="27" s="1"/>
  <c r="AG74" i="27" s="1"/>
  <c r="AG75" i="27" s="1"/>
  <c r="AG76" i="27" s="1"/>
  <c r="AG77" i="27" s="1"/>
  <c r="AG78" i="27" s="1"/>
  <c r="H43" i="27"/>
  <c r="H44" i="27" s="1"/>
  <c r="H45" i="27" s="1"/>
  <c r="H46" i="27" s="1"/>
  <c r="H47" i="27" s="1"/>
  <c r="H48" i="27" s="1"/>
  <c r="H49" i="27" s="1"/>
  <c r="H50" i="27" s="1"/>
  <c r="H51" i="27" s="1"/>
  <c r="H52" i="27" s="1"/>
  <c r="H53" i="27" s="1"/>
  <c r="H54" i="27" s="1"/>
  <c r="H55" i="27" s="1"/>
  <c r="H56" i="27" s="1"/>
  <c r="H57" i="27" s="1"/>
  <c r="H58" i="27" s="1"/>
  <c r="H59" i="27" s="1"/>
  <c r="N43" i="27"/>
  <c r="N44" i="27" s="1"/>
  <c r="N45" i="27" s="1"/>
  <c r="N46" i="27" s="1"/>
  <c r="N47" i="27" s="1"/>
  <c r="N48" i="27" s="1"/>
  <c r="N49" i="27" s="1"/>
  <c r="N50" i="27" s="1"/>
  <c r="N51" i="27" s="1"/>
  <c r="N52" i="27" s="1"/>
  <c r="N53" i="27" s="1"/>
  <c r="N54" i="27" s="1"/>
  <c r="N55" i="27" s="1"/>
  <c r="N56" i="27" s="1"/>
  <c r="N57" i="27" s="1"/>
  <c r="N58" i="27" s="1"/>
  <c r="G62" i="27"/>
  <c r="G63" i="27" s="1"/>
  <c r="G64" i="27" s="1"/>
  <c r="G65" i="27" s="1"/>
  <c r="G66" i="27" s="1"/>
  <c r="G67" i="27" s="1"/>
  <c r="G68" i="27" s="1"/>
  <c r="G69" i="27" s="1"/>
  <c r="G70" i="27" s="1"/>
  <c r="G71" i="27" s="1"/>
  <c r="G72" i="27" s="1"/>
  <c r="G73" i="27" s="1"/>
  <c r="G74" i="27" s="1"/>
  <c r="G75" i="27" s="1"/>
  <c r="G76" i="27" s="1"/>
  <c r="G77" i="27" s="1"/>
  <c r="G78" i="27" s="1"/>
  <c r="T62" i="27"/>
  <c r="T63" i="27" s="1"/>
  <c r="T64" i="27" s="1"/>
  <c r="T65" i="27" s="1"/>
  <c r="T66" i="27" s="1"/>
  <c r="T67" i="27" s="1"/>
  <c r="T68" i="27" s="1"/>
  <c r="T69" i="27" s="1"/>
  <c r="T70" i="27" s="1"/>
  <c r="T71" i="27" s="1"/>
  <c r="T72" i="27" s="1"/>
  <c r="T73" i="27" s="1"/>
  <c r="T74" i="27" s="1"/>
  <c r="T75" i="27" s="1"/>
  <c r="T76" i="27" s="1"/>
  <c r="T77" i="27" s="1"/>
  <c r="T78" i="27" s="1"/>
  <c r="AE62" i="27"/>
  <c r="AE63" i="27" s="1"/>
  <c r="AE64" i="27" s="1"/>
  <c r="AE65" i="27" s="1"/>
  <c r="AE66" i="27" s="1"/>
  <c r="AE67" i="27" s="1"/>
  <c r="AE68" i="27" s="1"/>
  <c r="AE69" i="27" s="1"/>
  <c r="AE70" i="27" s="1"/>
  <c r="AE71" i="27" s="1"/>
  <c r="AE72" i="27" s="1"/>
  <c r="AE73" i="27" s="1"/>
  <c r="AE74" i="27" s="1"/>
  <c r="AE75" i="27" s="1"/>
  <c r="AE76" i="27" s="1"/>
  <c r="AE77" i="27" s="1"/>
  <c r="AE78" i="27" s="1"/>
  <c r="AF43" i="27"/>
  <c r="AF44" i="27" s="1"/>
  <c r="AF45" i="27" s="1"/>
  <c r="AF46" i="27" s="1"/>
  <c r="AF47" i="27" s="1"/>
  <c r="AF48" i="27" s="1"/>
  <c r="AF49" i="27" s="1"/>
  <c r="AF50" i="27" s="1"/>
  <c r="AF51" i="27" s="1"/>
  <c r="AF52" i="27" s="1"/>
  <c r="AF53" i="27" s="1"/>
  <c r="AF54" i="27" s="1"/>
  <c r="AF55" i="27" s="1"/>
  <c r="AF56" i="27" s="1"/>
  <c r="AF57" i="27" s="1"/>
  <c r="AF58" i="27" s="1"/>
  <c r="AF59" i="27" s="1"/>
  <c r="H62" i="27"/>
  <c r="H63" i="27" s="1"/>
  <c r="H64" i="27" s="1"/>
  <c r="H65" i="27" s="1"/>
  <c r="H66" i="27" s="1"/>
  <c r="H67" i="27" s="1"/>
  <c r="H68" i="27" s="1"/>
  <c r="H69" i="27" s="1"/>
  <c r="H70" i="27" s="1"/>
  <c r="H71" i="27" s="1"/>
  <c r="H72" i="27" s="1"/>
  <c r="H73" i="27" s="1"/>
  <c r="H74" i="27" s="1"/>
  <c r="H75" i="27" s="1"/>
  <c r="H76" i="27" s="1"/>
  <c r="H77" i="27" s="1"/>
  <c r="H78" i="27" s="1"/>
  <c r="P62" i="27"/>
  <c r="P63" i="27" s="1"/>
  <c r="P64" i="27" s="1"/>
  <c r="P65" i="27" s="1"/>
  <c r="P66" i="27" s="1"/>
  <c r="P67" i="27" s="1"/>
  <c r="P68" i="27" s="1"/>
  <c r="P69" i="27" s="1"/>
  <c r="P70" i="27" s="1"/>
  <c r="P71" i="27" s="1"/>
  <c r="P72" i="27" s="1"/>
  <c r="P73" i="27" s="1"/>
  <c r="P74" i="27" s="1"/>
  <c r="P75" i="27" s="1"/>
  <c r="P76" i="27" s="1"/>
  <c r="P77" i="27" s="1"/>
  <c r="P78" i="27" s="1"/>
  <c r="W62" i="27"/>
  <c r="W63" i="27" s="1"/>
  <c r="W64" i="27" s="1"/>
  <c r="W65" i="27" s="1"/>
  <c r="W66" i="27" s="1"/>
  <c r="W67" i="27" s="1"/>
  <c r="W68" i="27" s="1"/>
  <c r="W69" i="27" s="1"/>
  <c r="W70" i="27" s="1"/>
  <c r="W71" i="27" s="1"/>
  <c r="W72" i="27" s="1"/>
  <c r="W73" i="27" s="1"/>
  <c r="W74" i="27" s="1"/>
  <c r="W75" i="27" s="1"/>
  <c r="W76" i="27" s="1"/>
  <c r="W77" i="27" s="1"/>
  <c r="W78" i="27" s="1"/>
  <c r="AD62" i="27"/>
  <c r="AD63" i="27" s="1"/>
  <c r="AD64" i="27" s="1"/>
  <c r="AD65" i="27" s="1"/>
  <c r="AD66" i="27" s="1"/>
  <c r="AD67" i="27" s="1"/>
  <c r="AD68" i="27" s="1"/>
  <c r="AD69" i="27" s="1"/>
  <c r="AD70" i="27" s="1"/>
  <c r="AD71" i="27" s="1"/>
  <c r="AD72" i="27" s="1"/>
  <c r="AD73" i="27" s="1"/>
  <c r="AD74" i="27" s="1"/>
  <c r="AD75" i="27" s="1"/>
  <c r="AD76" i="27" s="1"/>
  <c r="AD77" i="27" s="1"/>
  <c r="AD78" i="27" s="1"/>
  <c r="K347" i="47"/>
  <c r="I347" i="47"/>
  <c r="J347" i="47"/>
  <c r="H29" i="25"/>
  <c r="AM404" i="47"/>
  <c r="AM410" i="47" s="1"/>
  <c r="AL404" i="47"/>
  <c r="AK404" i="47"/>
  <c r="AJ404" i="47"/>
  <c r="AJ421" i="47" s="1"/>
  <c r="AI404" i="47"/>
  <c r="AI407" i="47" s="1"/>
  <c r="AH404" i="47"/>
  <c r="AH407" i="47" s="1"/>
  <c r="AC404" i="47"/>
  <c r="AB404" i="47"/>
  <c r="AB407" i="47" s="1"/>
  <c r="AA404" i="47"/>
  <c r="AA409" i="47" s="1"/>
  <c r="Z404" i="47"/>
  <c r="Y404" i="47"/>
  <c r="X404" i="47"/>
  <c r="X420" i="47" s="1"/>
  <c r="T404" i="47"/>
  <c r="T410" i="47" s="1"/>
  <c r="S404" i="47"/>
  <c r="S406" i="47" s="1"/>
  <c r="R404" i="47"/>
  <c r="Q404" i="47"/>
  <c r="Q407" i="47" s="1"/>
  <c r="P404" i="47"/>
  <c r="P408" i="47" s="1"/>
  <c r="O404" i="47"/>
  <c r="K404" i="47"/>
  <c r="J404" i="47"/>
  <c r="J421" i="47" s="1"/>
  <c r="I404" i="47"/>
  <c r="I409" i="47" s="1"/>
  <c r="H404" i="47"/>
  <c r="H407" i="47" s="1"/>
  <c r="G404" i="47"/>
  <c r="F404" i="47"/>
  <c r="F407" i="47" s="1"/>
  <c r="K328" i="47"/>
  <c r="J328" i="47"/>
  <c r="I328" i="47"/>
  <c r="K176" i="47"/>
  <c r="J176" i="47"/>
  <c r="I176" i="47"/>
  <c r="G176" i="47"/>
  <c r="AM62" i="47"/>
  <c r="AM63" i="47" s="1"/>
  <c r="AM64" i="47" s="1"/>
  <c r="AM65" i="47" s="1"/>
  <c r="AM66" i="47" s="1"/>
  <c r="AM67" i="47" s="1"/>
  <c r="AM68" i="47" s="1"/>
  <c r="AM69" i="47" s="1"/>
  <c r="AL62" i="47"/>
  <c r="AK62" i="47"/>
  <c r="AJ62" i="47"/>
  <c r="AJ63" i="47" s="1"/>
  <c r="AI62" i="47"/>
  <c r="AH62" i="47"/>
  <c r="AC62" i="47"/>
  <c r="AB62" i="47"/>
  <c r="AB63" i="47" s="1"/>
  <c r="AA62" i="47"/>
  <c r="AA63" i="47" s="1"/>
  <c r="Z62" i="47"/>
  <c r="Y62" i="47"/>
  <c r="X62" i="47"/>
  <c r="T62" i="47"/>
  <c r="S62" i="47"/>
  <c r="R62" i="47"/>
  <c r="Q62" i="47"/>
  <c r="Q63" i="47" s="1"/>
  <c r="Q64" i="47" s="1"/>
  <c r="Q65" i="47" s="1"/>
  <c r="Q66" i="47" s="1"/>
  <c r="Q67" i="47" s="1"/>
  <c r="Q68" i="47" s="1"/>
  <c r="Q69" i="47" s="1"/>
  <c r="Q70" i="47" s="1"/>
  <c r="P62" i="47"/>
  <c r="O62" i="47"/>
  <c r="K62" i="47"/>
  <c r="J62" i="47"/>
  <c r="J63" i="47" s="1"/>
  <c r="I62" i="47"/>
  <c r="I63" i="47" s="1"/>
  <c r="H62" i="47"/>
  <c r="H63" i="47" s="1"/>
  <c r="G62" i="47"/>
  <c r="F62" i="47"/>
  <c r="AM5" i="47"/>
  <c r="AL5" i="47"/>
  <c r="AK5" i="47"/>
  <c r="AJ5" i="47"/>
  <c r="AI5" i="47"/>
  <c r="AH5" i="47"/>
  <c r="AC5" i="47"/>
  <c r="AB5" i="47"/>
  <c r="AA5" i="47"/>
  <c r="Z5" i="47"/>
  <c r="Y5" i="47"/>
  <c r="X5" i="47"/>
  <c r="T5" i="47"/>
  <c r="S5" i="47"/>
  <c r="R5" i="47"/>
  <c r="Q5" i="47"/>
  <c r="P5" i="47"/>
  <c r="O5" i="47"/>
  <c r="K5" i="47"/>
  <c r="K81" i="47" s="1"/>
  <c r="J5" i="47"/>
  <c r="J81" i="47" s="1"/>
  <c r="I5" i="47"/>
  <c r="I24" i="47" s="1"/>
  <c r="H5" i="47"/>
  <c r="H81" i="47" s="1"/>
  <c r="G5" i="47"/>
  <c r="F5" i="47"/>
  <c r="H195" i="25"/>
  <c r="F24" i="25"/>
  <c r="G24" i="25"/>
  <c r="O24" i="25"/>
  <c r="P24" i="25"/>
  <c r="X24" i="25"/>
  <c r="Y24" i="25"/>
  <c r="AH24" i="25"/>
  <c r="AI24" i="25"/>
  <c r="H176" i="25"/>
  <c r="H100" i="25"/>
  <c r="G100" i="25"/>
  <c r="I100" i="25"/>
  <c r="J100" i="25"/>
  <c r="K100" i="25"/>
  <c r="F100" i="25"/>
  <c r="R4" i="45"/>
  <c r="S4" i="45"/>
  <c r="AC137" i="27"/>
  <c r="AD137" i="27"/>
  <c r="AE137" i="27"/>
  <c r="AF137" i="27"/>
  <c r="AG137" i="27"/>
  <c r="AB137" i="27"/>
  <c r="T137" i="27"/>
  <c r="T138" i="27"/>
  <c r="U137" i="27"/>
  <c r="V137" i="27"/>
  <c r="W137" i="27"/>
  <c r="X137" i="27"/>
  <c r="Y137" i="27"/>
  <c r="L137" i="27"/>
  <c r="L138" i="27"/>
  <c r="E138" i="27"/>
  <c r="F138" i="27"/>
  <c r="G138" i="27"/>
  <c r="H138" i="27"/>
  <c r="I138" i="27"/>
  <c r="E139" i="27"/>
  <c r="F139" i="27"/>
  <c r="G139" i="27"/>
  <c r="H139" i="27"/>
  <c r="I139" i="27"/>
  <c r="E140" i="27"/>
  <c r="F140" i="27"/>
  <c r="G140" i="27"/>
  <c r="H140" i="27"/>
  <c r="I140" i="27"/>
  <c r="E141" i="27"/>
  <c r="F141" i="27"/>
  <c r="G141" i="27"/>
  <c r="H141" i="27"/>
  <c r="I141" i="27"/>
  <c r="E142" i="27"/>
  <c r="F142" i="27"/>
  <c r="G142" i="27"/>
  <c r="H142" i="27"/>
  <c r="I142" i="27"/>
  <c r="E143" i="27"/>
  <c r="F143" i="27"/>
  <c r="G143" i="27"/>
  <c r="H143" i="27"/>
  <c r="I143" i="27"/>
  <c r="E144" i="27"/>
  <c r="F144" i="27"/>
  <c r="G144" i="27"/>
  <c r="H144" i="27"/>
  <c r="I144" i="27"/>
  <c r="E145" i="27"/>
  <c r="F145" i="27"/>
  <c r="G145" i="27"/>
  <c r="H145" i="27"/>
  <c r="I145" i="27"/>
  <c r="E146" i="27"/>
  <c r="F146" i="27"/>
  <c r="G146" i="27"/>
  <c r="H146" i="27"/>
  <c r="I146" i="27"/>
  <c r="E147" i="27"/>
  <c r="F147" i="27"/>
  <c r="G147" i="27"/>
  <c r="H147" i="27"/>
  <c r="I147" i="27"/>
  <c r="E148" i="27"/>
  <c r="F148" i="27"/>
  <c r="G148" i="27"/>
  <c r="H148" i="27"/>
  <c r="I148" i="27"/>
  <c r="E149" i="27"/>
  <c r="F149" i="27"/>
  <c r="G149" i="27"/>
  <c r="H149" i="27"/>
  <c r="I149" i="27"/>
  <c r="E150" i="27"/>
  <c r="F150" i="27"/>
  <c r="G150" i="27"/>
  <c r="H150" i="27"/>
  <c r="I150" i="27"/>
  <c r="E151" i="27"/>
  <c r="F151" i="27"/>
  <c r="G151" i="27"/>
  <c r="H151" i="27"/>
  <c r="I151" i="27"/>
  <c r="E152" i="27"/>
  <c r="F152" i="27"/>
  <c r="G152" i="27"/>
  <c r="H152" i="27"/>
  <c r="I152" i="27"/>
  <c r="E153" i="27"/>
  <c r="F153" i="27"/>
  <c r="G153" i="27"/>
  <c r="H153" i="27"/>
  <c r="I153" i="27"/>
  <c r="E154" i="27"/>
  <c r="F154" i="27"/>
  <c r="G154" i="27"/>
  <c r="H154" i="27"/>
  <c r="I154" i="27"/>
  <c r="D138" i="27"/>
  <c r="D140" i="27"/>
  <c r="D141" i="27"/>
  <c r="D142" i="27"/>
  <c r="D143" i="27"/>
  <c r="D144" i="27"/>
  <c r="D145" i="27"/>
  <c r="D146" i="27"/>
  <c r="I4" i="24"/>
  <c r="M137" i="27"/>
  <c r="N137" i="27"/>
  <c r="O137" i="27"/>
  <c r="P137" i="27"/>
  <c r="Q137" i="27"/>
  <c r="D137" i="27"/>
  <c r="AH254" i="25"/>
  <c r="AI254" i="25"/>
  <c r="AJ254" i="25"/>
  <c r="AK254" i="25"/>
  <c r="AL254" i="25"/>
  <c r="AM254" i="25"/>
  <c r="AH255" i="25"/>
  <c r="AI255" i="25"/>
  <c r="AJ255" i="25"/>
  <c r="AK255" i="25"/>
  <c r="AL255" i="25"/>
  <c r="AM255" i="25"/>
  <c r="AH256" i="25"/>
  <c r="AI256" i="25"/>
  <c r="AJ256" i="25"/>
  <c r="AK256" i="25"/>
  <c r="AL256" i="25"/>
  <c r="AM256" i="25"/>
  <c r="AH257" i="25"/>
  <c r="AI257" i="25"/>
  <c r="AJ257" i="25"/>
  <c r="AK257" i="25"/>
  <c r="AL257" i="25"/>
  <c r="AM257" i="25"/>
  <c r="AH258" i="25"/>
  <c r="AI258" i="25"/>
  <c r="AJ258" i="25"/>
  <c r="AK258" i="25"/>
  <c r="AL258" i="25"/>
  <c r="AM258" i="25"/>
  <c r="AH259" i="25"/>
  <c r="AI259" i="25"/>
  <c r="AJ259" i="25"/>
  <c r="AK259" i="25"/>
  <c r="AL259" i="25"/>
  <c r="AM259" i="25"/>
  <c r="AH260" i="25"/>
  <c r="AI260" i="25"/>
  <c r="AJ260" i="25"/>
  <c r="AK260" i="25"/>
  <c r="AL260" i="25"/>
  <c r="AM260" i="25"/>
  <c r="AH261" i="25"/>
  <c r="AI261" i="25"/>
  <c r="AJ261" i="25"/>
  <c r="AK261" i="25"/>
  <c r="AL261" i="25"/>
  <c r="AM261" i="25"/>
  <c r="AH262" i="25"/>
  <c r="AI262" i="25"/>
  <c r="AJ262" i="25"/>
  <c r="AK262" i="25"/>
  <c r="AL262" i="25"/>
  <c r="AM262" i="25"/>
  <c r="AH263" i="25"/>
  <c r="AI263" i="25"/>
  <c r="AJ263" i="25"/>
  <c r="AK263" i="25"/>
  <c r="AL263" i="25"/>
  <c r="AM263" i="25"/>
  <c r="AH264" i="25"/>
  <c r="AI264" i="25"/>
  <c r="AJ264" i="25"/>
  <c r="AK264" i="25"/>
  <c r="AL264" i="25"/>
  <c r="AM264" i="25"/>
  <c r="AH265" i="25"/>
  <c r="AI265" i="25"/>
  <c r="AJ265" i="25"/>
  <c r="AK265" i="25"/>
  <c r="AL265" i="25"/>
  <c r="AM265" i="25"/>
  <c r="AH266" i="25"/>
  <c r="AI266" i="25"/>
  <c r="AJ266" i="25"/>
  <c r="AK266" i="25"/>
  <c r="AL266" i="25"/>
  <c r="AM266" i="25"/>
  <c r="AH267" i="25"/>
  <c r="AI267" i="25"/>
  <c r="AJ267" i="25"/>
  <c r="AK267" i="25"/>
  <c r="AL267" i="25"/>
  <c r="AM267" i="25"/>
  <c r="AH268" i="25"/>
  <c r="AI268" i="25"/>
  <c r="AJ268" i="25"/>
  <c r="AK268" i="25"/>
  <c r="AL268" i="25"/>
  <c r="AM268" i="25"/>
  <c r="AH269" i="25"/>
  <c r="AI269" i="25"/>
  <c r="AJ269" i="25"/>
  <c r="AK269" i="25"/>
  <c r="AL269" i="25"/>
  <c r="AM269" i="25"/>
  <c r="AI253" i="25"/>
  <c r="AJ253" i="25"/>
  <c r="AK253" i="25"/>
  <c r="AL253" i="25"/>
  <c r="AM253" i="25"/>
  <c r="AH253" i="25"/>
  <c r="K195" i="25"/>
  <c r="J195" i="29"/>
  <c r="X254" i="25"/>
  <c r="Y254" i="25"/>
  <c r="Z254" i="25"/>
  <c r="AA254" i="25"/>
  <c r="AB254" i="25"/>
  <c r="AC254" i="25"/>
  <c r="X255" i="25"/>
  <c r="Y255" i="25"/>
  <c r="Z255" i="25"/>
  <c r="AA255" i="25"/>
  <c r="AB255" i="25"/>
  <c r="AC255" i="25"/>
  <c r="X256" i="25"/>
  <c r="Y256" i="25"/>
  <c r="Z256" i="25"/>
  <c r="AA256" i="25"/>
  <c r="AB256" i="25"/>
  <c r="AC256" i="25"/>
  <c r="X257" i="25"/>
  <c r="Y257" i="25"/>
  <c r="Z257" i="25"/>
  <c r="AA257" i="25"/>
  <c r="AB257" i="25"/>
  <c r="AC257" i="25"/>
  <c r="X258" i="25"/>
  <c r="Y258" i="25"/>
  <c r="Z258" i="25"/>
  <c r="AA258" i="25"/>
  <c r="AB258" i="25"/>
  <c r="AC258" i="25"/>
  <c r="X259" i="25"/>
  <c r="Y259" i="25"/>
  <c r="Z259" i="25"/>
  <c r="AA259" i="25"/>
  <c r="AB259" i="25"/>
  <c r="AC259" i="25"/>
  <c r="X260" i="25"/>
  <c r="Y260" i="25"/>
  <c r="Z260" i="25"/>
  <c r="AA260" i="25"/>
  <c r="AB260" i="25"/>
  <c r="AC260" i="25"/>
  <c r="X261" i="25"/>
  <c r="Y261" i="25"/>
  <c r="Z261" i="25"/>
  <c r="AA261" i="25"/>
  <c r="AB261" i="25"/>
  <c r="AC261" i="25"/>
  <c r="X262" i="25"/>
  <c r="Y262" i="25"/>
  <c r="Z262" i="25"/>
  <c r="AA262" i="25"/>
  <c r="AB262" i="25"/>
  <c r="AC262" i="25"/>
  <c r="X263" i="25"/>
  <c r="Y263" i="25"/>
  <c r="Z263" i="25"/>
  <c r="AA263" i="25"/>
  <c r="AB263" i="25"/>
  <c r="AC263" i="25"/>
  <c r="X264" i="25"/>
  <c r="Y264" i="25"/>
  <c r="Z264" i="25"/>
  <c r="AA264" i="25"/>
  <c r="AB264" i="25"/>
  <c r="AC264" i="25"/>
  <c r="X265" i="25"/>
  <c r="Y265" i="25"/>
  <c r="Z265" i="25"/>
  <c r="AA265" i="25"/>
  <c r="AB265" i="25"/>
  <c r="AC265" i="25"/>
  <c r="X266" i="25"/>
  <c r="Y266" i="25"/>
  <c r="Z266" i="25"/>
  <c r="AA266" i="25"/>
  <c r="AB266" i="25"/>
  <c r="AC266" i="25"/>
  <c r="X267" i="25"/>
  <c r="Y267" i="25"/>
  <c r="Z267" i="25"/>
  <c r="AA267" i="25"/>
  <c r="AB267" i="25"/>
  <c r="AC267" i="25"/>
  <c r="X268" i="25"/>
  <c r="Y268" i="25"/>
  <c r="Z268" i="25"/>
  <c r="AA268" i="25"/>
  <c r="AB268" i="25"/>
  <c r="AC268" i="25"/>
  <c r="X269" i="25"/>
  <c r="Y269" i="25"/>
  <c r="Z269" i="25"/>
  <c r="AA269" i="25"/>
  <c r="AB269" i="25"/>
  <c r="AC269" i="25"/>
  <c r="Y253" i="25"/>
  <c r="Z253" i="25"/>
  <c r="AA253" i="25"/>
  <c r="AB253" i="25"/>
  <c r="AC253" i="25"/>
  <c r="X253" i="25"/>
  <c r="AI252" i="25"/>
  <c r="AJ252" i="25"/>
  <c r="AK252" i="25"/>
  <c r="AL252" i="25"/>
  <c r="AM252" i="25"/>
  <c r="AH252" i="25"/>
  <c r="AI100" i="25"/>
  <c r="AJ100" i="25"/>
  <c r="AK100" i="25"/>
  <c r="AL100" i="25"/>
  <c r="AM100" i="25"/>
  <c r="X100" i="25"/>
  <c r="AI43" i="25"/>
  <c r="AJ43" i="25"/>
  <c r="AK43" i="25"/>
  <c r="AL43" i="25"/>
  <c r="AM43" i="25"/>
  <c r="AH43" i="25"/>
  <c r="AJ36" i="25"/>
  <c r="AJ37" i="25" s="1"/>
  <c r="AJ38" i="25" s="1"/>
  <c r="AJ39" i="25" s="1"/>
  <c r="AJ40" i="25" s="1"/>
  <c r="AJ41" i="25" s="1"/>
  <c r="AK36" i="25"/>
  <c r="AK37" i="25" s="1"/>
  <c r="AK38" i="25" s="1"/>
  <c r="AK39" i="25" s="1"/>
  <c r="AK40" i="25" s="1"/>
  <c r="AK41" i="25" s="1"/>
  <c r="AL36" i="25"/>
  <c r="AL37" i="25" s="1"/>
  <c r="AL38" i="25" s="1"/>
  <c r="AL39" i="25" s="1"/>
  <c r="AL40" i="25" s="1"/>
  <c r="AL41" i="25" s="1"/>
  <c r="AM36" i="25"/>
  <c r="AM37" i="25"/>
  <c r="AM38" i="25" s="1"/>
  <c r="AM39" i="25" s="1"/>
  <c r="AM40" i="25" s="1"/>
  <c r="AM41" i="25" s="1"/>
  <c r="AK35" i="25"/>
  <c r="AL35" i="25"/>
  <c r="AM35" i="25"/>
  <c r="AJ35" i="25"/>
  <c r="AJ26" i="25"/>
  <c r="AJ27" i="25" s="1"/>
  <c r="AJ28" i="25" s="1"/>
  <c r="AJ29" i="25" s="1"/>
  <c r="AJ30" i="25" s="1"/>
  <c r="AJ31" i="25" s="1"/>
  <c r="AJ32" i="25" s="1"/>
  <c r="AJ33" i="25" s="1"/>
  <c r="AJ34" i="25" s="1"/>
  <c r="AK26" i="25"/>
  <c r="AK27" i="25" s="1"/>
  <c r="AK28" i="25" s="1"/>
  <c r="AK29" i="25" s="1"/>
  <c r="AK30" i="25" s="1"/>
  <c r="AK31" i="25" s="1"/>
  <c r="AK32" i="25" s="1"/>
  <c r="AK33" i="25" s="1"/>
  <c r="AK34" i="25" s="1"/>
  <c r="AL26" i="25"/>
  <c r="AL27" i="25" s="1"/>
  <c r="AL28" i="25" s="1"/>
  <c r="AL29" i="25" s="1"/>
  <c r="AL30" i="25" s="1"/>
  <c r="AL31" i="25" s="1"/>
  <c r="AL32" i="25" s="1"/>
  <c r="AL33" i="25" s="1"/>
  <c r="AL34" i="25" s="1"/>
  <c r="AM26" i="25"/>
  <c r="AM27" i="25"/>
  <c r="AM28" i="25" s="1"/>
  <c r="AM29" i="25" s="1"/>
  <c r="AM30" i="25" s="1"/>
  <c r="AM31" i="25" s="1"/>
  <c r="AM32" i="25" s="1"/>
  <c r="AM33" i="25" s="1"/>
  <c r="AM34" i="25" s="1"/>
  <c r="AK25" i="25"/>
  <c r="AL25" i="25"/>
  <c r="AM25" i="25"/>
  <c r="AJ25" i="25"/>
  <c r="AJ24" i="25"/>
  <c r="AK24" i="25"/>
  <c r="AL24" i="25"/>
  <c r="AM24" i="25"/>
  <c r="AI5" i="25"/>
  <c r="AJ5" i="25"/>
  <c r="AK5" i="25"/>
  <c r="AL5" i="25"/>
  <c r="AM5" i="25"/>
  <c r="AH5" i="25"/>
  <c r="AI81" i="25"/>
  <c r="AI6" i="25" s="1"/>
  <c r="AI44" i="25" s="1"/>
  <c r="Y5" i="25"/>
  <c r="Z5" i="25"/>
  <c r="Z43" i="25" s="1"/>
  <c r="AA5" i="25"/>
  <c r="AB5" i="25"/>
  <c r="AC5" i="25"/>
  <c r="X5" i="25"/>
  <c r="AA43" i="25"/>
  <c r="Y252" i="25"/>
  <c r="Z252" i="25"/>
  <c r="AA252" i="25"/>
  <c r="AB252" i="25"/>
  <c r="AC252" i="25"/>
  <c r="X252" i="25"/>
  <c r="Y100" i="25"/>
  <c r="Z100" i="25"/>
  <c r="AA100" i="25"/>
  <c r="AB100" i="25"/>
  <c r="AC100" i="25"/>
  <c r="O100" i="25"/>
  <c r="X43" i="25"/>
  <c r="Z24" i="25"/>
  <c r="Y43" i="25"/>
  <c r="AB43" i="25"/>
  <c r="AC43" i="25"/>
  <c r="AA36" i="25"/>
  <c r="AA37" i="25" s="1"/>
  <c r="AA38" i="25" s="1"/>
  <c r="AA39" i="25" s="1"/>
  <c r="AA40" i="25" s="1"/>
  <c r="AA41" i="25" s="1"/>
  <c r="AB36" i="25"/>
  <c r="AB37" i="25" s="1"/>
  <c r="AB38" i="25" s="1"/>
  <c r="AB39" i="25" s="1"/>
  <c r="AB40" i="25" s="1"/>
  <c r="AB41" i="25" s="1"/>
  <c r="AC36" i="25"/>
  <c r="AC37" i="25"/>
  <c r="AC38" i="25" s="1"/>
  <c r="AC39" i="25" s="1"/>
  <c r="AC40" i="25" s="1"/>
  <c r="AC41" i="25" s="1"/>
  <c r="AA35" i="25"/>
  <c r="AB35" i="25"/>
  <c r="AC35" i="25"/>
  <c r="Z26" i="25"/>
  <c r="Z27" i="25" s="1"/>
  <c r="Z28" i="25" s="1"/>
  <c r="Z29" i="25" s="1"/>
  <c r="Z30" i="25" s="1"/>
  <c r="Z31" i="25" s="1"/>
  <c r="Z32" i="25" s="1"/>
  <c r="Z33" i="25" s="1"/>
  <c r="Z34" i="25" s="1"/>
  <c r="Z35" i="25" s="1"/>
  <c r="Z36" i="25" s="1"/>
  <c r="Z37" i="25" s="1"/>
  <c r="Z38" i="25" s="1"/>
  <c r="Z39" i="25" s="1"/>
  <c r="Z40" i="25" s="1"/>
  <c r="Z41" i="25" s="1"/>
  <c r="AA26" i="25"/>
  <c r="AB26" i="25"/>
  <c r="AC26" i="25"/>
  <c r="AA27" i="25"/>
  <c r="AA28" i="25" s="1"/>
  <c r="AA29" i="25" s="1"/>
  <c r="AA30" i="25" s="1"/>
  <c r="AA31" i="25" s="1"/>
  <c r="AA32" i="25" s="1"/>
  <c r="AA33" i="25" s="1"/>
  <c r="AA34" i="25" s="1"/>
  <c r="AB27" i="25"/>
  <c r="AB28" i="25" s="1"/>
  <c r="AB29" i="25" s="1"/>
  <c r="AB30" i="25" s="1"/>
  <c r="AB31" i="25" s="1"/>
  <c r="AB32" i="25" s="1"/>
  <c r="AB33" i="25" s="1"/>
  <c r="AB34" i="25" s="1"/>
  <c r="AC27" i="25"/>
  <c r="AC28" i="25" s="1"/>
  <c r="AC29" i="25" s="1"/>
  <c r="AC30" i="25" s="1"/>
  <c r="AC31" i="25" s="1"/>
  <c r="AC32" i="25" s="1"/>
  <c r="AC33" i="25" s="1"/>
  <c r="AC34" i="25" s="1"/>
  <c r="AA25" i="25"/>
  <c r="AB25" i="25"/>
  <c r="AC25" i="25"/>
  <c r="Z25" i="25"/>
  <c r="AA24" i="25"/>
  <c r="AB24" i="25"/>
  <c r="AC24" i="25"/>
  <c r="Y81" i="25"/>
  <c r="O253" i="25"/>
  <c r="P253" i="25"/>
  <c r="Q253" i="25"/>
  <c r="R253" i="25"/>
  <c r="S253" i="25"/>
  <c r="T253" i="25"/>
  <c r="O254" i="25"/>
  <c r="P254" i="25"/>
  <c r="Q254" i="25"/>
  <c r="R254" i="25"/>
  <c r="S254" i="25"/>
  <c r="T254" i="25"/>
  <c r="O255" i="25"/>
  <c r="P255" i="25"/>
  <c r="Q255" i="25"/>
  <c r="R255" i="25"/>
  <c r="S255" i="25"/>
  <c r="T255" i="25"/>
  <c r="O256" i="25"/>
  <c r="P256" i="25"/>
  <c r="Q256" i="25"/>
  <c r="R256" i="25"/>
  <c r="S256" i="25"/>
  <c r="T256" i="25"/>
  <c r="O257" i="25"/>
  <c r="P257" i="25"/>
  <c r="Q257" i="25"/>
  <c r="R257" i="25"/>
  <c r="S257" i="25"/>
  <c r="T257" i="25"/>
  <c r="O258" i="25"/>
  <c r="P258" i="25"/>
  <c r="Q258" i="25"/>
  <c r="R258" i="25"/>
  <c r="S258" i="25"/>
  <c r="T258" i="25"/>
  <c r="O259" i="25"/>
  <c r="P259" i="25"/>
  <c r="Q259" i="25"/>
  <c r="R259" i="25"/>
  <c r="S259" i="25"/>
  <c r="T259" i="25"/>
  <c r="O260" i="25"/>
  <c r="P260" i="25"/>
  <c r="Q260" i="25"/>
  <c r="R260" i="25"/>
  <c r="S260" i="25"/>
  <c r="T260" i="25"/>
  <c r="O261" i="25"/>
  <c r="P261" i="25"/>
  <c r="Q261" i="25"/>
  <c r="R261" i="25"/>
  <c r="S261" i="25"/>
  <c r="T261" i="25"/>
  <c r="O262" i="25"/>
  <c r="P262" i="25"/>
  <c r="Q262" i="25"/>
  <c r="R262" i="25"/>
  <c r="S262" i="25"/>
  <c r="T262" i="25"/>
  <c r="O263" i="25"/>
  <c r="P263" i="25"/>
  <c r="Q263" i="25"/>
  <c r="R263" i="25"/>
  <c r="S263" i="25"/>
  <c r="T263" i="25"/>
  <c r="O264" i="25"/>
  <c r="P264" i="25"/>
  <c r="Q264" i="25"/>
  <c r="R264" i="25"/>
  <c r="S264" i="25"/>
  <c r="T264" i="25"/>
  <c r="O265" i="25"/>
  <c r="P265" i="25"/>
  <c r="Q265" i="25"/>
  <c r="R265" i="25"/>
  <c r="S265" i="25"/>
  <c r="T265" i="25"/>
  <c r="O266" i="25"/>
  <c r="P266" i="25"/>
  <c r="Q266" i="25"/>
  <c r="R266" i="25"/>
  <c r="S266" i="25"/>
  <c r="T266" i="25"/>
  <c r="O267" i="25"/>
  <c r="P267" i="25"/>
  <c r="Q267" i="25"/>
  <c r="R267" i="25"/>
  <c r="S267" i="25"/>
  <c r="T267" i="25"/>
  <c r="O268" i="25"/>
  <c r="P268" i="25"/>
  <c r="Q268" i="25"/>
  <c r="R268" i="25"/>
  <c r="S268" i="25"/>
  <c r="T268" i="25"/>
  <c r="O269" i="25"/>
  <c r="P269" i="25"/>
  <c r="Q269" i="25"/>
  <c r="R269" i="25"/>
  <c r="S269" i="25"/>
  <c r="T269" i="25"/>
  <c r="P252" i="25"/>
  <c r="Q252" i="25"/>
  <c r="R252" i="25"/>
  <c r="S252" i="25"/>
  <c r="T252" i="25"/>
  <c r="F269" i="25"/>
  <c r="O252" i="25"/>
  <c r="P100" i="25"/>
  <c r="Q100" i="25"/>
  <c r="R100" i="25"/>
  <c r="S100" i="25"/>
  <c r="T100" i="25"/>
  <c r="Q43" i="25"/>
  <c r="S43" i="25"/>
  <c r="Q24" i="25"/>
  <c r="Q25" i="25" s="1"/>
  <c r="Q26" i="25" s="1"/>
  <c r="Q27" i="25" s="1"/>
  <c r="Q28" i="25" s="1"/>
  <c r="Q29" i="25" s="1"/>
  <c r="Q30" i="25" s="1"/>
  <c r="Q31" i="25" s="1"/>
  <c r="Q32" i="25" s="1"/>
  <c r="Q33" i="25" s="1"/>
  <c r="Q34" i="25" s="1"/>
  <c r="Q35" i="25" s="1"/>
  <c r="Q36" i="25" s="1"/>
  <c r="Q37" i="25" s="1"/>
  <c r="Q38" i="25" s="1"/>
  <c r="Q39" i="25" s="1"/>
  <c r="Q40" i="25" s="1"/>
  <c r="Q41" i="25" s="1"/>
  <c r="R24" i="25"/>
  <c r="R25" i="25" s="1"/>
  <c r="R26" i="25" s="1"/>
  <c r="R27" i="25" s="1"/>
  <c r="R28" i="25" s="1"/>
  <c r="R29" i="25" s="1"/>
  <c r="R30" i="25" s="1"/>
  <c r="R31" i="25" s="1"/>
  <c r="R32" i="25" s="1"/>
  <c r="R33" i="25" s="1"/>
  <c r="R34" i="25" s="1"/>
  <c r="R35" i="25" s="1"/>
  <c r="R36" i="25" s="1"/>
  <c r="R37" i="25" s="1"/>
  <c r="R38" i="25" s="1"/>
  <c r="R39" i="25" s="1"/>
  <c r="R40" i="25" s="1"/>
  <c r="R41" i="25" s="1"/>
  <c r="S24" i="25"/>
  <c r="S25" i="25" s="1"/>
  <c r="S26" i="25" s="1"/>
  <c r="S27" i="25" s="1"/>
  <c r="S28" i="25" s="1"/>
  <c r="S29" i="25" s="1"/>
  <c r="S30" i="25" s="1"/>
  <c r="S31" i="25" s="1"/>
  <c r="S32" i="25" s="1"/>
  <c r="S33" i="25" s="1"/>
  <c r="S34" i="25" s="1"/>
  <c r="S35" i="25" s="1"/>
  <c r="S36" i="25" s="1"/>
  <c r="S37" i="25" s="1"/>
  <c r="S38" i="25" s="1"/>
  <c r="S39" i="25" s="1"/>
  <c r="S40" i="25" s="1"/>
  <c r="S41" i="25" s="1"/>
  <c r="T24" i="25"/>
  <c r="T25" i="25" s="1"/>
  <c r="T26" i="25" s="1"/>
  <c r="T27" i="25" s="1"/>
  <c r="T28" i="25" s="1"/>
  <c r="T29" i="25" s="1"/>
  <c r="T30" i="25" s="1"/>
  <c r="T31" i="25" s="1"/>
  <c r="T32" i="25" s="1"/>
  <c r="T33" i="25" s="1"/>
  <c r="T34" i="25" s="1"/>
  <c r="T35" i="25" s="1"/>
  <c r="T36" i="25" s="1"/>
  <c r="T37" i="25" s="1"/>
  <c r="T38" i="25" s="1"/>
  <c r="T39" i="25" s="1"/>
  <c r="T40" i="25" s="1"/>
  <c r="T41" i="25" s="1"/>
  <c r="P5" i="25"/>
  <c r="P43" i="25" s="1"/>
  <c r="Q5" i="25"/>
  <c r="R5" i="25"/>
  <c r="S5" i="25"/>
  <c r="T5" i="25"/>
  <c r="O5" i="25"/>
  <c r="O43" i="25" s="1"/>
  <c r="AC61" i="27"/>
  <c r="AD61" i="27"/>
  <c r="AE61" i="27"/>
  <c r="AF61" i="27"/>
  <c r="AG61" i="27"/>
  <c r="AB61" i="27"/>
  <c r="T61" i="27"/>
  <c r="U61" i="27"/>
  <c r="V61" i="27"/>
  <c r="W61" i="27"/>
  <c r="X61" i="27"/>
  <c r="Y61" i="27"/>
  <c r="L61" i="27"/>
  <c r="M61" i="27"/>
  <c r="N61" i="27"/>
  <c r="O61" i="27"/>
  <c r="P61" i="27"/>
  <c r="Q61" i="27"/>
  <c r="D61" i="27"/>
  <c r="AC42" i="27"/>
  <c r="AD42" i="27"/>
  <c r="AE42" i="27"/>
  <c r="AF42" i="27"/>
  <c r="AG42" i="27"/>
  <c r="AB42" i="27"/>
  <c r="AB43" i="27" s="1"/>
  <c r="AB44" i="27" s="1"/>
  <c r="AB45" i="27" s="1"/>
  <c r="AB46" i="27" s="1"/>
  <c r="AB47" i="27" s="1"/>
  <c r="AB48" i="27" s="1"/>
  <c r="AB49" i="27" s="1"/>
  <c r="AB50" i="27" s="1"/>
  <c r="AB51" i="27" s="1"/>
  <c r="AB52" i="27" s="1"/>
  <c r="AB53" i="27" s="1"/>
  <c r="AB54" i="27" s="1"/>
  <c r="AB55" i="27" s="1"/>
  <c r="AB56" i="27" s="1"/>
  <c r="AB57" i="27" s="1"/>
  <c r="AB58" i="27" s="1"/>
  <c r="AB59" i="27" s="1"/>
  <c r="T42" i="27"/>
  <c r="T43" i="27" s="1"/>
  <c r="T44" i="27" s="1"/>
  <c r="T45" i="27" s="1"/>
  <c r="T46" i="27" s="1"/>
  <c r="T47" i="27" s="1"/>
  <c r="T48" i="27" s="1"/>
  <c r="T49" i="27" s="1"/>
  <c r="T50" i="27" s="1"/>
  <c r="T51" i="27" s="1"/>
  <c r="T52" i="27" s="1"/>
  <c r="T53" i="27" s="1"/>
  <c r="T54" i="27" s="1"/>
  <c r="U42" i="27"/>
  <c r="V42" i="27"/>
  <c r="W42" i="27"/>
  <c r="X42" i="27"/>
  <c r="Y42" i="27"/>
  <c r="L42" i="27"/>
  <c r="L43" i="27" s="1"/>
  <c r="L44" i="27" s="1"/>
  <c r="L45" i="27" s="1"/>
  <c r="L46" i="27" s="1"/>
  <c r="L47" i="27" s="1"/>
  <c r="L48" i="27" s="1"/>
  <c r="L49" i="27" s="1"/>
  <c r="L50" i="27" s="1"/>
  <c r="L51" i="27" s="1"/>
  <c r="L52" i="27" s="1"/>
  <c r="L53" i="27" s="1"/>
  <c r="L54" i="27" s="1"/>
  <c r="L55" i="27" s="1"/>
  <c r="L56" i="27" s="1"/>
  <c r="L57" i="27" s="1"/>
  <c r="L58" i="27" s="1"/>
  <c r="M42" i="27"/>
  <c r="N42" i="27"/>
  <c r="O42" i="27"/>
  <c r="P42" i="27"/>
  <c r="Q42" i="27"/>
  <c r="L119" i="29"/>
  <c r="D154" i="27"/>
  <c r="F137" i="27"/>
  <c r="G137" i="27"/>
  <c r="H137" i="27"/>
  <c r="I137" i="27"/>
  <c r="E137" i="27"/>
  <c r="K5" i="44"/>
  <c r="L5" i="44"/>
  <c r="M5" i="44"/>
  <c r="N5" i="44"/>
  <c r="O5" i="44"/>
  <c r="J5" i="44"/>
  <c r="K4" i="44"/>
  <c r="L4" i="44"/>
  <c r="M4" i="44"/>
  <c r="N4" i="44"/>
  <c r="O4" i="44"/>
  <c r="J4" i="44"/>
  <c r="K3" i="44"/>
  <c r="L3" i="44"/>
  <c r="M3" i="44"/>
  <c r="N3" i="44"/>
  <c r="O3" i="44"/>
  <c r="J3" i="44"/>
  <c r="E61" i="27"/>
  <c r="F61" i="27"/>
  <c r="G61" i="27"/>
  <c r="H61" i="27"/>
  <c r="I61" i="27"/>
  <c r="H28" i="14"/>
  <c r="H42" i="27"/>
  <c r="I42" i="27"/>
  <c r="E42" i="27"/>
  <c r="F42" i="27"/>
  <c r="G42" i="27"/>
  <c r="D4" i="27"/>
  <c r="D17" i="27" s="1"/>
  <c r="E4" i="27"/>
  <c r="E5" i="27" s="1"/>
  <c r="F4" i="27"/>
  <c r="F10" i="27" s="1"/>
  <c r="G4" i="27"/>
  <c r="G7" i="27" s="1"/>
  <c r="H4" i="27"/>
  <c r="H12" i="27" s="1"/>
  <c r="I4" i="27"/>
  <c r="I6" i="27" s="1"/>
  <c r="B11" i="27"/>
  <c r="B12" i="27"/>
  <c r="B13" i="27"/>
  <c r="M138" i="27"/>
  <c r="N138" i="27"/>
  <c r="O138" i="27"/>
  <c r="P138" i="27"/>
  <c r="Q138" i="27"/>
  <c r="U138" i="27"/>
  <c r="V138" i="27"/>
  <c r="W138" i="27"/>
  <c r="X138" i="27"/>
  <c r="Y138" i="27"/>
  <c r="AB138" i="27"/>
  <c r="AC138" i="27"/>
  <c r="AD138" i="27"/>
  <c r="AE138" i="27"/>
  <c r="AF138" i="27"/>
  <c r="AG138" i="27"/>
  <c r="L139" i="27"/>
  <c r="M139" i="27"/>
  <c r="N139" i="27"/>
  <c r="O139" i="27"/>
  <c r="P139" i="27"/>
  <c r="Q139" i="27"/>
  <c r="T139" i="27"/>
  <c r="U139" i="27"/>
  <c r="V139" i="27"/>
  <c r="W139" i="27"/>
  <c r="X139" i="27"/>
  <c r="Y139" i="27"/>
  <c r="AB139" i="27"/>
  <c r="AC139" i="27"/>
  <c r="AD139" i="27"/>
  <c r="AE139" i="27"/>
  <c r="AF139" i="27"/>
  <c r="AG139" i="27"/>
  <c r="L140" i="27"/>
  <c r="M140" i="27"/>
  <c r="N140" i="27"/>
  <c r="O140" i="27"/>
  <c r="P140" i="27"/>
  <c r="Q140" i="27"/>
  <c r="T140" i="27"/>
  <c r="U140" i="27"/>
  <c r="V140" i="27"/>
  <c r="W140" i="27"/>
  <c r="X140" i="27"/>
  <c r="Y140" i="27"/>
  <c r="AB140" i="27"/>
  <c r="AC140" i="27"/>
  <c r="AD140" i="27"/>
  <c r="AE140" i="27"/>
  <c r="AF140" i="27"/>
  <c r="AG140" i="27"/>
  <c r="L141" i="27"/>
  <c r="M141" i="27"/>
  <c r="N141" i="27"/>
  <c r="O141" i="27"/>
  <c r="P141" i="27"/>
  <c r="Q141" i="27"/>
  <c r="T141" i="27"/>
  <c r="U141" i="27"/>
  <c r="V141" i="27"/>
  <c r="W141" i="27"/>
  <c r="X141" i="27"/>
  <c r="Y141" i="27"/>
  <c r="AB141" i="27"/>
  <c r="AC141" i="27"/>
  <c r="AD141" i="27"/>
  <c r="AE141" i="27"/>
  <c r="AF141" i="27"/>
  <c r="AG141" i="27"/>
  <c r="L142" i="27"/>
  <c r="M142" i="27"/>
  <c r="N142" i="27"/>
  <c r="O142" i="27"/>
  <c r="P142" i="27"/>
  <c r="Q142" i="27"/>
  <c r="T142" i="27"/>
  <c r="U142" i="27"/>
  <c r="V142" i="27"/>
  <c r="W142" i="27"/>
  <c r="X142" i="27"/>
  <c r="Y142" i="27"/>
  <c r="AB142" i="27"/>
  <c r="AC142" i="27"/>
  <c r="AD142" i="27"/>
  <c r="AE142" i="27"/>
  <c r="AF142" i="27"/>
  <c r="AG142" i="27"/>
  <c r="L143" i="27"/>
  <c r="M143" i="27"/>
  <c r="N143" i="27"/>
  <c r="O143" i="27"/>
  <c r="P143" i="27"/>
  <c r="Q143" i="27"/>
  <c r="T143" i="27"/>
  <c r="U143" i="27"/>
  <c r="V143" i="27"/>
  <c r="W143" i="27"/>
  <c r="X143" i="27"/>
  <c r="Y143" i="27"/>
  <c r="AB143" i="27"/>
  <c r="AC143" i="27"/>
  <c r="AD143" i="27"/>
  <c r="AE143" i="27"/>
  <c r="AF143" i="27"/>
  <c r="AG143" i="27"/>
  <c r="L144" i="27"/>
  <c r="M144" i="27"/>
  <c r="N144" i="27"/>
  <c r="O144" i="27"/>
  <c r="P144" i="27"/>
  <c r="Q144" i="27"/>
  <c r="T144" i="27"/>
  <c r="U144" i="27"/>
  <c r="V144" i="27"/>
  <c r="W144" i="27"/>
  <c r="X144" i="27"/>
  <c r="Y144" i="27"/>
  <c r="AB144" i="27"/>
  <c r="AC144" i="27"/>
  <c r="AD144" i="27"/>
  <c r="AE144" i="27"/>
  <c r="AF144" i="27"/>
  <c r="AG144" i="27"/>
  <c r="L145" i="27"/>
  <c r="M145" i="27"/>
  <c r="N145" i="27"/>
  <c r="O145" i="27"/>
  <c r="P145" i="27"/>
  <c r="Q145" i="27"/>
  <c r="T145" i="27"/>
  <c r="U145" i="27"/>
  <c r="V145" i="27"/>
  <c r="W145" i="27"/>
  <c r="X145" i="27"/>
  <c r="Y145" i="27"/>
  <c r="AB145" i="27"/>
  <c r="AC145" i="27"/>
  <c r="AD145" i="27"/>
  <c r="AE145" i="27"/>
  <c r="AF145" i="27"/>
  <c r="AG145" i="27"/>
  <c r="L146" i="27"/>
  <c r="M146" i="27"/>
  <c r="N146" i="27"/>
  <c r="O146" i="27"/>
  <c r="P146" i="27"/>
  <c r="Q146" i="27"/>
  <c r="T146" i="27"/>
  <c r="U146" i="27"/>
  <c r="V146" i="27"/>
  <c r="W146" i="27"/>
  <c r="X146" i="27"/>
  <c r="Y146" i="27"/>
  <c r="AB146" i="27"/>
  <c r="AC146" i="27"/>
  <c r="AD146" i="27"/>
  <c r="AE146" i="27"/>
  <c r="AF146" i="27"/>
  <c r="AG146" i="27"/>
  <c r="D147" i="27"/>
  <c r="L147" i="27"/>
  <c r="M147" i="27"/>
  <c r="N147" i="27"/>
  <c r="O147" i="27"/>
  <c r="P147" i="27"/>
  <c r="Q147" i="27"/>
  <c r="T147" i="27"/>
  <c r="U147" i="27"/>
  <c r="V147" i="27"/>
  <c r="W147" i="27"/>
  <c r="X147" i="27"/>
  <c r="Y147" i="27"/>
  <c r="AB147" i="27"/>
  <c r="AC147" i="27"/>
  <c r="AD147" i="27"/>
  <c r="AE147" i="27"/>
  <c r="AF147" i="27"/>
  <c r="AG147" i="27"/>
  <c r="D148" i="27"/>
  <c r="L148" i="27"/>
  <c r="M148" i="27"/>
  <c r="N148" i="27"/>
  <c r="O148" i="27"/>
  <c r="P148" i="27"/>
  <c r="Q148" i="27"/>
  <c r="T148" i="27"/>
  <c r="U148" i="27"/>
  <c r="V148" i="27"/>
  <c r="W148" i="27"/>
  <c r="X148" i="27"/>
  <c r="Y148" i="27"/>
  <c r="AB148" i="27"/>
  <c r="AC148" i="27"/>
  <c r="AD148" i="27"/>
  <c r="AE148" i="27"/>
  <c r="AF148" i="27"/>
  <c r="AG148" i="27"/>
  <c r="D149" i="27"/>
  <c r="L149" i="27"/>
  <c r="M149" i="27"/>
  <c r="N149" i="27"/>
  <c r="O149" i="27"/>
  <c r="P149" i="27"/>
  <c r="Q149" i="27"/>
  <c r="T149" i="27"/>
  <c r="U149" i="27"/>
  <c r="V149" i="27"/>
  <c r="W149" i="27"/>
  <c r="X149" i="27"/>
  <c r="Y149" i="27"/>
  <c r="AB149" i="27"/>
  <c r="AC149" i="27"/>
  <c r="AD149" i="27"/>
  <c r="AE149" i="27"/>
  <c r="AF149" i="27"/>
  <c r="AG149" i="27"/>
  <c r="D150" i="27"/>
  <c r="L150" i="27"/>
  <c r="M150" i="27"/>
  <c r="N150" i="27"/>
  <c r="O150" i="27"/>
  <c r="P150" i="27"/>
  <c r="Q150" i="27"/>
  <c r="T150" i="27"/>
  <c r="U150" i="27"/>
  <c r="V150" i="27"/>
  <c r="W150" i="27"/>
  <c r="X150" i="27"/>
  <c r="Y150" i="27"/>
  <c r="AB150" i="27"/>
  <c r="AC150" i="27"/>
  <c r="AD150" i="27"/>
  <c r="AE150" i="27"/>
  <c r="AF150" i="27"/>
  <c r="AG150" i="27"/>
  <c r="D151" i="27"/>
  <c r="L151" i="27"/>
  <c r="M151" i="27"/>
  <c r="N151" i="27"/>
  <c r="O151" i="27"/>
  <c r="P151" i="27"/>
  <c r="Q151" i="27"/>
  <c r="T151" i="27"/>
  <c r="U151" i="27"/>
  <c r="V151" i="27"/>
  <c r="W151" i="27"/>
  <c r="X151" i="27"/>
  <c r="Y151" i="27"/>
  <c r="AB151" i="27"/>
  <c r="AC151" i="27"/>
  <c r="AD151" i="27"/>
  <c r="AE151" i="27"/>
  <c r="AF151" i="27"/>
  <c r="AG151" i="27"/>
  <c r="D152" i="27"/>
  <c r="L152" i="27"/>
  <c r="M152" i="27"/>
  <c r="N152" i="27"/>
  <c r="O152" i="27"/>
  <c r="P152" i="27"/>
  <c r="Q152" i="27"/>
  <c r="T152" i="27"/>
  <c r="U152" i="27"/>
  <c r="V152" i="27"/>
  <c r="W152" i="27"/>
  <c r="X152" i="27"/>
  <c r="Y152" i="27"/>
  <c r="AB152" i="27"/>
  <c r="AC152" i="27"/>
  <c r="AD152" i="27"/>
  <c r="AE152" i="27"/>
  <c r="AF152" i="27"/>
  <c r="AG152" i="27"/>
  <c r="D153" i="27"/>
  <c r="L153" i="27"/>
  <c r="M153" i="27"/>
  <c r="N153" i="27"/>
  <c r="O153" i="27"/>
  <c r="P153" i="27"/>
  <c r="Q153" i="27"/>
  <c r="T153" i="27"/>
  <c r="U153" i="27"/>
  <c r="V153" i="27"/>
  <c r="W153" i="27"/>
  <c r="X153" i="27"/>
  <c r="Y153" i="27"/>
  <c r="AB153" i="27"/>
  <c r="AC153" i="27"/>
  <c r="AD153" i="27"/>
  <c r="AE153" i="27"/>
  <c r="AF153" i="27"/>
  <c r="AG153" i="27"/>
  <c r="L154" i="27"/>
  <c r="M154" i="27"/>
  <c r="N154" i="27"/>
  <c r="O154" i="27"/>
  <c r="P154" i="27"/>
  <c r="Q154" i="27"/>
  <c r="T154" i="27"/>
  <c r="U154" i="27"/>
  <c r="V154" i="27"/>
  <c r="W154" i="27"/>
  <c r="X154" i="27"/>
  <c r="Y154" i="27"/>
  <c r="AB154" i="27"/>
  <c r="AC154" i="27"/>
  <c r="AD154" i="27"/>
  <c r="AE154" i="27"/>
  <c r="AF154" i="27"/>
  <c r="AG154" i="27"/>
  <c r="A2" i="44" a="1"/>
  <c r="A2" i="44"/>
  <c r="A8" i="44" a="1"/>
  <c r="A8" i="44"/>
  <c r="A14" i="44" a="1"/>
  <c r="A14" i="44"/>
  <c r="A20" i="44" a="1"/>
  <c r="A20" i="44"/>
  <c r="Q3" i="40"/>
  <c r="R3" i="40"/>
  <c r="S3" i="40"/>
  <c r="Q4" i="40"/>
  <c r="R4" i="40"/>
  <c r="S4" i="40"/>
  <c r="Q5" i="40"/>
  <c r="R5" i="40"/>
  <c r="S5" i="40"/>
  <c r="Q6" i="40"/>
  <c r="R6" i="40"/>
  <c r="S6" i="40"/>
  <c r="Q7" i="40"/>
  <c r="R7" i="40"/>
  <c r="S7" i="40"/>
  <c r="Q8" i="40"/>
  <c r="R8" i="40"/>
  <c r="S8" i="40"/>
  <c r="C28" i="14"/>
  <c r="G6" i="29"/>
  <c r="H6" i="29"/>
  <c r="I6" i="29"/>
  <c r="J6" i="29"/>
  <c r="K6" i="29"/>
  <c r="F6" i="29"/>
  <c r="H81" i="41"/>
  <c r="K176" i="37"/>
  <c r="K24" i="14"/>
  <c r="G6" i="41"/>
  <c r="H6" i="41"/>
  <c r="I6" i="41"/>
  <c r="J6" i="41"/>
  <c r="K6" i="41"/>
  <c r="F6" i="41"/>
  <c r="H24" i="14"/>
  <c r="I176" i="39"/>
  <c r="J176" i="39"/>
  <c r="K176" i="39"/>
  <c r="H176" i="39"/>
  <c r="C4" i="41"/>
  <c r="F5" i="41"/>
  <c r="G5" i="41"/>
  <c r="H5" i="41"/>
  <c r="I5" i="41"/>
  <c r="J5" i="41"/>
  <c r="K5" i="41"/>
  <c r="C6" i="41"/>
  <c r="K158" i="41" s="1"/>
  <c r="K159" i="41" s="1"/>
  <c r="K160" i="41" s="1"/>
  <c r="K161" i="41" s="1"/>
  <c r="K162" i="41" s="1"/>
  <c r="K163" i="41" s="1"/>
  <c r="K164" i="41" s="1"/>
  <c r="K165" i="41" s="1"/>
  <c r="K166" i="41" s="1"/>
  <c r="K167" i="41" s="1"/>
  <c r="K168" i="41" s="1"/>
  <c r="K169" i="41" s="1"/>
  <c r="K170" i="41" s="1"/>
  <c r="K171" i="41" s="1"/>
  <c r="K172" i="41" s="1"/>
  <c r="K173" i="41" s="1"/>
  <c r="K174" i="41" s="1"/>
  <c r="F24" i="41"/>
  <c r="G24" i="41"/>
  <c r="H24" i="41"/>
  <c r="I24" i="41"/>
  <c r="J24" i="41"/>
  <c r="K24" i="41"/>
  <c r="H25" i="41"/>
  <c r="I25" i="41"/>
  <c r="J25" i="41"/>
  <c r="K25" i="41"/>
  <c r="H26" i="41"/>
  <c r="I26" i="41"/>
  <c r="J26" i="41"/>
  <c r="K26" i="41"/>
  <c r="H27" i="41"/>
  <c r="I27" i="41"/>
  <c r="J27" i="41"/>
  <c r="K27" i="41"/>
  <c r="H28" i="41"/>
  <c r="I28" i="41"/>
  <c r="J28" i="41"/>
  <c r="K28" i="41"/>
  <c r="H29" i="41"/>
  <c r="I29" i="41"/>
  <c r="J29" i="41"/>
  <c r="K29" i="41"/>
  <c r="H30" i="41"/>
  <c r="I30" i="41"/>
  <c r="J30" i="41"/>
  <c r="K30" i="41"/>
  <c r="H31" i="41"/>
  <c r="I31" i="41"/>
  <c r="J31" i="41"/>
  <c r="K31" i="41"/>
  <c r="H32" i="41"/>
  <c r="I32" i="41"/>
  <c r="J32" i="41"/>
  <c r="K32" i="41"/>
  <c r="H33" i="41"/>
  <c r="I33" i="41"/>
  <c r="J33" i="41"/>
  <c r="K33" i="41"/>
  <c r="H34" i="41"/>
  <c r="I34" i="41"/>
  <c r="J34" i="41"/>
  <c r="K34" i="41"/>
  <c r="H35" i="41"/>
  <c r="I35" i="41"/>
  <c r="J35" i="41"/>
  <c r="K35" i="41"/>
  <c r="H36" i="41"/>
  <c r="I36" i="41"/>
  <c r="J36" i="41"/>
  <c r="K36" i="41"/>
  <c r="H37" i="41"/>
  <c r="I37" i="41"/>
  <c r="J37" i="41"/>
  <c r="K37" i="41"/>
  <c r="H38" i="41"/>
  <c r="I38" i="41"/>
  <c r="J38" i="41"/>
  <c r="K38" i="41"/>
  <c r="H39" i="41"/>
  <c r="I39" i="41"/>
  <c r="J39" i="41"/>
  <c r="K39" i="41"/>
  <c r="H40" i="41"/>
  <c r="I40" i="41"/>
  <c r="J40" i="41"/>
  <c r="K40" i="41"/>
  <c r="H41" i="41"/>
  <c r="I41" i="41"/>
  <c r="J41" i="41"/>
  <c r="K41" i="41"/>
  <c r="F43" i="41"/>
  <c r="G43" i="41"/>
  <c r="H43" i="41"/>
  <c r="I43" i="41"/>
  <c r="J43" i="41"/>
  <c r="K43" i="41"/>
  <c r="F44" i="41"/>
  <c r="G44" i="41"/>
  <c r="H44" i="41"/>
  <c r="I44" i="41"/>
  <c r="J44" i="41"/>
  <c r="K44" i="41"/>
  <c r="H62" i="41"/>
  <c r="I62" i="41"/>
  <c r="J62" i="41"/>
  <c r="K62" i="41"/>
  <c r="H63" i="41"/>
  <c r="I63" i="41"/>
  <c r="J63" i="41"/>
  <c r="K63" i="41"/>
  <c r="F81" i="41"/>
  <c r="G81" i="41"/>
  <c r="I81" i="41"/>
  <c r="J81" i="41"/>
  <c r="K81" i="41"/>
  <c r="F82" i="41"/>
  <c r="G82" i="41"/>
  <c r="F100" i="41"/>
  <c r="G100" i="41"/>
  <c r="H100" i="41"/>
  <c r="I100" i="41"/>
  <c r="J100" i="41"/>
  <c r="K100" i="41"/>
  <c r="H119" i="41"/>
  <c r="I119" i="41"/>
  <c r="J119" i="41"/>
  <c r="K119" i="41"/>
  <c r="H157" i="41"/>
  <c r="I157" i="41"/>
  <c r="J157" i="41"/>
  <c r="K157" i="41"/>
  <c r="L157" i="41"/>
  <c r="H176" i="41"/>
  <c r="I176" i="41"/>
  <c r="J176" i="41"/>
  <c r="K176" i="41"/>
  <c r="L176" i="41"/>
  <c r="F233" i="41"/>
  <c r="G233" i="41"/>
  <c r="H233" i="41"/>
  <c r="I233" i="41"/>
  <c r="J233" i="41"/>
  <c r="K233" i="41"/>
  <c r="F234" i="41"/>
  <c r="G234" i="41"/>
  <c r="H234" i="41"/>
  <c r="I234" i="41"/>
  <c r="J234" i="41"/>
  <c r="K234" i="41"/>
  <c r="F235" i="41"/>
  <c r="G235" i="41"/>
  <c r="H235" i="41"/>
  <c r="I235" i="41"/>
  <c r="J235" i="41"/>
  <c r="K235" i="41"/>
  <c r="F236" i="41"/>
  <c r="G236" i="41"/>
  <c r="H236" i="41"/>
  <c r="I236" i="41"/>
  <c r="J236" i="41"/>
  <c r="K236" i="41"/>
  <c r="F237" i="41"/>
  <c r="G237" i="41"/>
  <c r="H237" i="41"/>
  <c r="I237" i="41"/>
  <c r="J237" i="41"/>
  <c r="K237" i="41"/>
  <c r="F238" i="41"/>
  <c r="G238" i="41"/>
  <c r="H238" i="41"/>
  <c r="I238" i="41"/>
  <c r="J238" i="41"/>
  <c r="K238" i="41"/>
  <c r="F239" i="41"/>
  <c r="G239" i="41"/>
  <c r="H239" i="41"/>
  <c r="I239" i="41"/>
  <c r="J239" i="41"/>
  <c r="K239" i="41"/>
  <c r="F240" i="41"/>
  <c r="G240" i="41"/>
  <c r="H240" i="41"/>
  <c r="I240" i="41"/>
  <c r="J240" i="41"/>
  <c r="K240" i="41"/>
  <c r="F241" i="41"/>
  <c r="G241" i="41"/>
  <c r="H241" i="41"/>
  <c r="I241" i="41"/>
  <c r="J241" i="41"/>
  <c r="K241" i="41"/>
  <c r="F242" i="41"/>
  <c r="G242" i="41"/>
  <c r="H242" i="41"/>
  <c r="I242" i="41"/>
  <c r="J242" i="41"/>
  <c r="K242" i="41"/>
  <c r="F243" i="41"/>
  <c r="G243" i="41"/>
  <c r="H243" i="41"/>
  <c r="I243" i="41"/>
  <c r="J243" i="41"/>
  <c r="K243" i="41"/>
  <c r="F244" i="41"/>
  <c r="G244" i="41"/>
  <c r="H244" i="41"/>
  <c r="I244" i="41"/>
  <c r="J244" i="41"/>
  <c r="K244" i="41"/>
  <c r="F245" i="41"/>
  <c r="G245" i="41"/>
  <c r="H245" i="41"/>
  <c r="I245" i="41"/>
  <c r="J245" i="41"/>
  <c r="K245" i="41"/>
  <c r="F246" i="41"/>
  <c r="G246" i="41"/>
  <c r="H246" i="41"/>
  <c r="I246" i="41"/>
  <c r="J246" i="41"/>
  <c r="K246" i="41"/>
  <c r="F247" i="41"/>
  <c r="G247" i="41"/>
  <c r="H247" i="41"/>
  <c r="I247" i="41"/>
  <c r="J247" i="41"/>
  <c r="K247" i="41"/>
  <c r="F248" i="41"/>
  <c r="G248" i="41"/>
  <c r="H248" i="41"/>
  <c r="I248" i="41"/>
  <c r="J248" i="41"/>
  <c r="K248" i="41"/>
  <c r="F249" i="41"/>
  <c r="G249" i="41"/>
  <c r="H249" i="41"/>
  <c r="I249" i="41"/>
  <c r="J249" i="41"/>
  <c r="K249" i="41"/>
  <c r="F250" i="41"/>
  <c r="G250" i="41"/>
  <c r="H250" i="41"/>
  <c r="I250" i="41"/>
  <c r="J250" i="41"/>
  <c r="K250" i="41"/>
  <c r="F7" i="39"/>
  <c r="G7" i="39"/>
  <c r="H7" i="39"/>
  <c r="I7" i="39"/>
  <c r="J7" i="39"/>
  <c r="K7" i="39"/>
  <c r="G6" i="39"/>
  <c r="H6" i="39"/>
  <c r="I6" i="39"/>
  <c r="J6" i="39"/>
  <c r="K6" i="39"/>
  <c r="H214" i="39"/>
  <c r="C4" i="24"/>
  <c r="D4" i="24"/>
  <c r="E4" i="24"/>
  <c r="C5" i="24"/>
  <c r="D5" i="24"/>
  <c r="E5" i="24"/>
  <c r="C6" i="24"/>
  <c r="D6" i="24"/>
  <c r="E6" i="24"/>
  <c r="C7" i="24"/>
  <c r="D7" i="24"/>
  <c r="E7" i="24"/>
  <c r="C8" i="24"/>
  <c r="D8" i="24"/>
  <c r="E8" i="24"/>
  <c r="C9" i="24"/>
  <c r="D9" i="24"/>
  <c r="E9" i="24"/>
  <c r="C10" i="24"/>
  <c r="D10" i="24"/>
  <c r="E10" i="24"/>
  <c r="C11" i="24"/>
  <c r="D11" i="24"/>
  <c r="E11" i="24"/>
  <c r="C12" i="24"/>
  <c r="D12" i="24"/>
  <c r="E12" i="24"/>
  <c r="C13" i="24"/>
  <c r="D13" i="24"/>
  <c r="E13" i="24"/>
  <c r="C14" i="24"/>
  <c r="D14" i="24"/>
  <c r="E14" i="24"/>
  <c r="C15" i="24"/>
  <c r="D15" i="24"/>
  <c r="E15" i="24"/>
  <c r="C16" i="24"/>
  <c r="D16" i="24"/>
  <c r="E16" i="24"/>
  <c r="C17" i="24"/>
  <c r="D17" i="24"/>
  <c r="E17" i="24"/>
  <c r="C18" i="24"/>
  <c r="D18" i="24"/>
  <c r="E18" i="24"/>
  <c r="C19" i="24"/>
  <c r="D19" i="24"/>
  <c r="E19" i="24"/>
  <c r="C20" i="24"/>
  <c r="D20" i="24"/>
  <c r="E20" i="24"/>
  <c r="B5" i="24"/>
  <c r="B6" i="24"/>
  <c r="B7" i="24"/>
  <c r="B8" i="24"/>
  <c r="B9" i="24"/>
  <c r="B10" i="24"/>
  <c r="B11" i="24"/>
  <c r="B12" i="24"/>
  <c r="B13" i="24"/>
  <c r="B14" i="24"/>
  <c r="B15" i="24"/>
  <c r="B16" i="24"/>
  <c r="B17" i="24"/>
  <c r="B18" i="24"/>
  <c r="B19" i="24"/>
  <c r="B20" i="24"/>
  <c r="B4" i="24"/>
  <c r="H5" i="24"/>
  <c r="I5" i="24"/>
  <c r="J5" i="24"/>
  <c r="K5" i="24"/>
  <c r="H6" i="24"/>
  <c r="I6" i="24"/>
  <c r="J6" i="24"/>
  <c r="K6" i="24"/>
  <c r="H7" i="24"/>
  <c r="I7" i="24"/>
  <c r="J7" i="24"/>
  <c r="K7" i="24"/>
  <c r="H8" i="24"/>
  <c r="I8" i="24"/>
  <c r="J8" i="24"/>
  <c r="K8" i="24"/>
  <c r="H9" i="24"/>
  <c r="I9" i="24"/>
  <c r="J9" i="24"/>
  <c r="K9" i="24"/>
  <c r="H10" i="24"/>
  <c r="I10" i="24"/>
  <c r="J10" i="24"/>
  <c r="K10" i="24"/>
  <c r="H11" i="24"/>
  <c r="I11" i="24"/>
  <c r="J11" i="24"/>
  <c r="K11" i="24"/>
  <c r="H12" i="24"/>
  <c r="I12" i="24"/>
  <c r="J12" i="24"/>
  <c r="K12" i="24"/>
  <c r="H13" i="24"/>
  <c r="I13" i="24"/>
  <c r="J13" i="24"/>
  <c r="K13" i="24"/>
  <c r="H14" i="24"/>
  <c r="I14" i="24"/>
  <c r="J14" i="24"/>
  <c r="K14" i="24"/>
  <c r="H15" i="24"/>
  <c r="I15" i="24"/>
  <c r="J15" i="24"/>
  <c r="K15" i="24"/>
  <c r="H16" i="24"/>
  <c r="I16" i="24"/>
  <c r="J16" i="24"/>
  <c r="K16" i="24"/>
  <c r="H17" i="24"/>
  <c r="I17" i="24"/>
  <c r="J17" i="24"/>
  <c r="K17" i="24"/>
  <c r="H18" i="24"/>
  <c r="I18" i="24"/>
  <c r="J18" i="24"/>
  <c r="K18" i="24"/>
  <c r="H19" i="24"/>
  <c r="I19" i="24"/>
  <c r="J19" i="24"/>
  <c r="K19" i="24"/>
  <c r="H20" i="24"/>
  <c r="I20" i="24"/>
  <c r="J20" i="24"/>
  <c r="K20" i="24"/>
  <c r="J4" i="24"/>
  <c r="K4" i="24"/>
  <c r="H4" i="24"/>
  <c r="C4" i="39"/>
  <c r="F5" i="39"/>
  <c r="G5" i="39"/>
  <c r="H5" i="39"/>
  <c r="I5" i="39"/>
  <c r="J5" i="39"/>
  <c r="K5" i="39"/>
  <c r="C6" i="39"/>
  <c r="H177" i="39" s="1"/>
  <c r="H178" i="39" s="1"/>
  <c r="H179" i="39" s="1"/>
  <c r="H180" i="39" s="1"/>
  <c r="H181" i="39" s="1"/>
  <c r="H182" i="39" s="1"/>
  <c r="H183" i="39" s="1"/>
  <c r="H184" i="39" s="1"/>
  <c r="H185" i="39" s="1"/>
  <c r="H186" i="39" s="1"/>
  <c r="H187" i="39" s="1"/>
  <c r="H188" i="39" s="1"/>
  <c r="H189" i="39" s="1"/>
  <c r="H190" i="39" s="1"/>
  <c r="H191" i="39" s="1"/>
  <c r="H192" i="39" s="1"/>
  <c r="H193" i="39" s="1"/>
  <c r="F24" i="39"/>
  <c r="G24" i="39"/>
  <c r="H24" i="39"/>
  <c r="I24" i="39"/>
  <c r="J24" i="39"/>
  <c r="K24" i="39"/>
  <c r="H25" i="39"/>
  <c r="I25" i="39"/>
  <c r="J25" i="39"/>
  <c r="K25" i="39"/>
  <c r="H26" i="39"/>
  <c r="I26" i="39"/>
  <c r="J26" i="39"/>
  <c r="K26" i="39"/>
  <c r="H27" i="39"/>
  <c r="I27" i="39"/>
  <c r="J27" i="39"/>
  <c r="K27" i="39"/>
  <c r="H28" i="39"/>
  <c r="I28" i="39"/>
  <c r="J28" i="39"/>
  <c r="K28" i="39"/>
  <c r="H29" i="39"/>
  <c r="I29" i="39"/>
  <c r="J29" i="39"/>
  <c r="K29" i="39"/>
  <c r="H30" i="39"/>
  <c r="I30" i="39"/>
  <c r="J30" i="39"/>
  <c r="K30" i="39"/>
  <c r="H31" i="39"/>
  <c r="I31" i="39"/>
  <c r="J31" i="39"/>
  <c r="K31" i="39"/>
  <c r="H32" i="39"/>
  <c r="I32" i="39"/>
  <c r="J32" i="39"/>
  <c r="K32" i="39"/>
  <c r="H33" i="39"/>
  <c r="I33" i="39"/>
  <c r="J33" i="39"/>
  <c r="K33" i="39"/>
  <c r="H34" i="39"/>
  <c r="I34" i="39"/>
  <c r="J34" i="39"/>
  <c r="K34" i="39"/>
  <c r="H35" i="39"/>
  <c r="I35" i="39"/>
  <c r="J35" i="39"/>
  <c r="K35" i="39"/>
  <c r="H36" i="39"/>
  <c r="I36" i="39"/>
  <c r="J36" i="39"/>
  <c r="K36" i="39"/>
  <c r="H37" i="39"/>
  <c r="I37" i="39"/>
  <c r="J37" i="39"/>
  <c r="K37" i="39"/>
  <c r="H38" i="39"/>
  <c r="I38" i="39"/>
  <c r="J38" i="39"/>
  <c r="K38" i="39"/>
  <c r="H39" i="39"/>
  <c r="I39" i="39"/>
  <c r="J39" i="39"/>
  <c r="K39" i="39"/>
  <c r="H40" i="39"/>
  <c r="I40" i="39"/>
  <c r="J40" i="39"/>
  <c r="K40" i="39"/>
  <c r="H41" i="39"/>
  <c r="I41" i="39"/>
  <c r="J41" i="39"/>
  <c r="K41" i="39"/>
  <c r="F43" i="39"/>
  <c r="G43" i="39"/>
  <c r="H43" i="39"/>
  <c r="I43" i="39"/>
  <c r="J43" i="39"/>
  <c r="K43" i="39"/>
  <c r="H62" i="39"/>
  <c r="I62" i="39"/>
  <c r="J62" i="39"/>
  <c r="K62" i="39"/>
  <c r="F81" i="39"/>
  <c r="G81" i="39"/>
  <c r="H81" i="39"/>
  <c r="I81" i="39"/>
  <c r="J81" i="39"/>
  <c r="K81" i="39"/>
  <c r="F100" i="39"/>
  <c r="G100" i="39"/>
  <c r="H100" i="39"/>
  <c r="I100" i="39"/>
  <c r="J100" i="39"/>
  <c r="K100" i="39"/>
  <c r="H119" i="39"/>
  <c r="I119" i="39"/>
  <c r="J119" i="39"/>
  <c r="K119" i="39"/>
  <c r="Q125" i="39"/>
  <c r="H138" i="39"/>
  <c r="I138" i="39"/>
  <c r="J138" i="39"/>
  <c r="K138" i="39"/>
  <c r="L138" i="39"/>
  <c r="H157" i="39"/>
  <c r="I157" i="39"/>
  <c r="J157" i="39"/>
  <c r="K157" i="39"/>
  <c r="L157" i="39"/>
  <c r="H195" i="39"/>
  <c r="I195" i="39"/>
  <c r="J195" i="39"/>
  <c r="K195" i="39"/>
  <c r="L195" i="39"/>
  <c r="I214" i="39"/>
  <c r="J214" i="39"/>
  <c r="K214" i="39"/>
  <c r="H233" i="39"/>
  <c r="I233" i="39"/>
  <c r="J233" i="39"/>
  <c r="K233" i="39"/>
  <c r="F252" i="39"/>
  <c r="G252" i="39"/>
  <c r="H252" i="39"/>
  <c r="I252" i="39"/>
  <c r="J252" i="39"/>
  <c r="K252" i="39"/>
  <c r="F253" i="39"/>
  <c r="G253" i="39"/>
  <c r="H253" i="39"/>
  <c r="I253" i="39"/>
  <c r="J253" i="39"/>
  <c r="K253" i="39"/>
  <c r="F254" i="39"/>
  <c r="G254" i="39"/>
  <c r="H254" i="39"/>
  <c r="I254" i="39"/>
  <c r="J254" i="39"/>
  <c r="K254" i="39"/>
  <c r="F255" i="39"/>
  <c r="G255" i="39"/>
  <c r="H255" i="39"/>
  <c r="I255" i="39"/>
  <c r="J255" i="39"/>
  <c r="K255" i="39"/>
  <c r="F256" i="39"/>
  <c r="G256" i="39"/>
  <c r="H256" i="39"/>
  <c r="I256" i="39"/>
  <c r="J256" i="39"/>
  <c r="K256" i="39"/>
  <c r="F257" i="39"/>
  <c r="G257" i="39"/>
  <c r="H257" i="39"/>
  <c r="I257" i="39"/>
  <c r="J257" i="39"/>
  <c r="K257" i="39"/>
  <c r="F258" i="39"/>
  <c r="G258" i="39"/>
  <c r="H258" i="39"/>
  <c r="I258" i="39"/>
  <c r="J258" i="39"/>
  <c r="K258" i="39"/>
  <c r="F259" i="39"/>
  <c r="G259" i="39"/>
  <c r="H259" i="39"/>
  <c r="I259" i="39"/>
  <c r="J259" i="39"/>
  <c r="K259" i="39"/>
  <c r="F260" i="39"/>
  <c r="G260" i="39"/>
  <c r="H260" i="39"/>
  <c r="I260" i="39"/>
  <c r="J260" i="39"/>
  <c r="K260" i="39"/>
  <c r="F261" i="39"/>
  <c r="G261" i="39"/>
  <c r="H261" i="39"/>
  <c r="I261" i="39"/>
  <c r="J261" i="39"/>
  <c r="K261" i="39"/>
  <c r="F262" i="39"/>
  <c r="G262" i="39"/>
  <c r="H262" i="39"/>
  <c r="I262" i="39"/>
  <c r="J262" i="39"/>
  <c r="K262" i="39"/>
  <c r="F263" i="39"/>
  <c r="G263" i="39"/>
  <c r="H263" i="39"/>
  <c r="I263" i="39"/>
  <c r="J263" i="39"/>
  <c r="K263" i="39"/>
  <c r="F264" i="39"/>
  <c r="G264" i="39"/>
  <c r="H264" i="39"/>
  <c r="I264" i="39"/>
  <c r="J264" i="39"/>
  <c r="K264" i="39"/>
  <c r="F265" i="39"/>
  <c r="G265" i="39"/>
  <c r="H265" i="39"/>
  <c r="I265" i="39"/>
  <c r="J265" i="39"/>
  <c r="K265" i="39"/>
  <c r="F266" i="39"/>
  <c r="G266" i="39"/>
  <c r="H266" i="39"/>
  <c r="I266" i="39"/>
  <c r="J266" i="39"/>
  <c r="K266" i="39"/>
  <c r="F267" i="39"/>
  <c r="G267" i="39"/>
  <c r="H267" i="39"/>
  <c r="I267" i="39"/>
  <c r="J267" i="39"/>
  <c r="K267" i="39"/>
  <c r="F268" i="39"/>
  <c r="G268" i="39"/>
  <c r="H268" i="39"/>
  <c r="I268" i="39"/>
  <c r="J268" i="39"/>
  <c r="K268" i="39"/>
  <c r="F269" i="39"/>
  <c r="G269" i="39"/>
  <c r="H269" i="39"/>
  <c r="I269" i="39"/>
  <c r="J269" i="39"/>
  <c r="K269" i="39"/>
  <c r="H100" i="37"/>
  <c r="I24" i="37"/>
  <c r="F24" i="37"/>
  <c r="K195" i="37"/>
  <c r="J195" i="37"/>
  <c r="I195" i="37"/>
  <c r="H195" i="37"/>
  <c r="K195" i="29"/>
  <c r="I195" i="29"/>
  <c r="H195" i="29"/>
  <c r="J195" i="25"/>
  <c r="I195" i="25"/>
  <c r="E20" i="14"/>
  <c r="K252" i="37"/>
  <c r="J252" i="37"/>
  <c r="I252" i="37"/>
  <c r="H252" i="37"/>
  <c r="G252" i="37"/>
  <c r="F252" i="37"/>
  <c r="K100" i="37"/>
  <c r="J100" i="37"/>
  <c r="I100" i="37"/>
  <c r="G100" i="37"/>
  <c r="F100" i="37"/>
  <c r="H24" i="37"/>
  <c r="H25" i="37"/>
  <c r="K24" i="37"/>
  <c r="J24" i="37"/>
  <c r="I26" i="37"/>
  <c r="I27" i="37" s="1"/>
  <c r="I28" i="37" s="1"/>
  <c r="I29" i="37" s="1"/>
  <c r="I30" i="37" s="1"/>
  <c r="I31" i="37" s="1"/>
  <c r="I32" i="37" s="1"/>
  <c r="I33" i="37" s="1"/>
  <c r="I34" i="37" s="1"/>
  <c r="I35" i="37" s="1"/>
  <c r="I36" i="37" s="1"/>
  <c r="I37" i="37" s="1"/>
  <c r="I38" i="37" s="1"/>
  <c r="I39" i="37" s="1"/>
  <c r="I40" i="37" s="1"/>
  <c r="I41" i="37" s="1"/>
  <c r="H26" i="37"/>
  <c r="G24" i="37"/>
  <c r="K5" i="37"/>
  <c r="J5" i="37"/>
  <c r="I5" i="37"/>
  <c r="H5" i="37"/>
  <c r="G5" i="37"/>
  <c r="F5" i="37"/>
  <c r="C6" i="37"/>
  <c r="C4" i="37"/>
  <c r="K252" i="29"/>
  <c r="J252" i="29"/>
  <c r="I252" i="29"/>
  <c r="H252" i="29"/>
  <c r="G252" i="29"/>
  <c r="F252" i="29"/>
  <c r="K100" i="29"/>
  <c r="J100" i="29"/>
  <c r="I100" i="29"/>
  <c r="H100" i="29"/>
  <c r="G100" i="29"/>
  <c r="F100" i="29"/>
  <c r="K24" i="29"/>
  <c r="G24" i="29"/>
  <c r="H24" i="29"/>
  <c r="I24" i="29"/>
  <c r="J24" i="29"/>
  <c r="F24" i="29"/>
  <c r="G5" i="29"/>
  <c r="H5" i="29"/>
  <c r="I5" i="29"/>
  <c r="J5" i="29"/>
  <c r="K5" i="29"/>
  <c r="F5" i="29"/>
  <c r="F5" i="25"/>
  <c r="C6" i="29"/>
  <c r="C4" i="29"/>
  <c r="G252" i="25"/>
  <c r="H252" i="25"/>
  <c r="H256" i="25" s="1"/>
  <c r="I252" i="25"/>
  <c r="I259" i="25" s="1"/>
  <c r="J252" i="25"/>
  <c r="J259" i="25" s="1"/>
  <c r="K252" i="25"/>
  <c r="F252" i="25"/>
  <c r="C6" i="25"/>
  <c r="F20" i="14"/>
  <c r="G20" i="14"/>
  <c r="H20" i="14"/>
  <c r="H24" i="25"/>
  <c r="H25" i="25" s="1"/>
  <c r="I24" i="25"/>
  <c r="I25" i="25" s="1"/>
  <c r="J24" i="25"/>
  <c r="K24" i="25"/>
  <c r="K25" i="25" s="1"/>
  <c r="K26" i="25" s="1"/>
  <c r="K27" i="25" s="1"/>
  <c r="K28" i="25" s="1"/>
  <c r="K29" i="25" s="1"/>
  <c r="K30" i="25" s="1"/>
  <c r="K31" i="25" s="1"/>
  <c r="K32" i="25" s="1"/>
  <c r="K33" i="25" s="1"/>
  <c r="K34" i="25" s="1"/>
  <c r="K35" i="25" s="1"/>
  <c r="K36" i="25" s="1"/>
  <c r="K37" i="25" s="1"/>
  <c r="K38" i="25" s="1"/>
  <c r="K39" i="25" s="1"/>
  <c r="K40" i="25" s="1"/>
  <c r="K41" i="25" s="1"/>
  <c r="D28" i="14"/>
  <c r="E28" i="14"/>
  <c r="F28" i="14"/>
  <c r="G28" i="14"/>
  <c r="G5" i="25"/>
  <c r="H5" i="25"/>
  <c r="I5" i="25"/>
  <c r="J5" i="25"/>
  <c r="K5" i="25"/>
  <c r="N5" i="24"/>
  <c r="O5" i="24"/>
  <c r="P5" i="24"/>
  <c r="Q5" i="24"/>
  <c r="N6" i="24"/>
  <c r="O6" i="24"/>
  <c r="P6" i="24"/>
  <c r="Q6" i="24"/>
  <c r="N7" i="24"/>
  <c r="O7" i="24"/>
  <c r="P7" i="24"/>
  <c r="Q7" i="24"/>
  <c r="N8" i="24"/>
  <c r="O8" i="24"/>
  <c r="P8" i="24"/>
  <c r="Q8" i="24"/>
  <c r="N9" i="24"/>
  <c r="O9" i="24"/>
  <c r="P9" i="24"/>
  <c r="Q9" i="24"/>
  <c r="N10" i="24"/>
  <c r="O10" i="24"/>
  <c r="P10" i="24"/>
  <c r="Q10" i="24"/>
  <c r="N11" i="24"/>
  <c r="O11" i="24"/>
  <c r="P11" i="24"/>
  <c r="Q11" i="24"/>
  <c r="N12" i="24"/>
  <c r="O12" i="24"/>
  <c r="P12" i="24"/>
  <c r="Q12" i="24"/>
  <c r="N13" i="24"/>
  <c r="O13" i="24"/>
  <c r="P13" i="24"/>
  <c r="Q13" i="24"/>
  <c r="N14" i="24"/>
  <c r="O14" i="24"/>
  <c r="P14" i="24"/>
  <c r="Q14" i="24"/>
  <c r="N15" i="24"/>
  <c r="O15" i="24"/>
  <c r="P15" i="24"/>
  <c r="Q15" i="24"/>
  <c r="N16" i="24"/>
  <c r="O16" i="24"/>
  <c r="P16" i="24"/>
  <c r="Q16" i="24"/>
  <c r="N17" i="24"/>
  <c r="O17" i="24"/>
  <c r="P17" i="24"/>
  <c r="Q17" i="24"/>
  <c r="N18" i="24"/>
  <c r="O18" i="24"/>
  <c r="P18" i="24"/>
  <c r="Q18" i="24"/>
  <c r="N19" i="24"/>
  <c r="O19" i="24"/>
  <c r="P19" i="24"/>
  <c r="Q19" i="24"/>
  <c r="N20" i="24"/>
  <c r="O20" i="24"/>
  <c r="P20" i="24"/>
  <c r="Q20" i="24"/>
  <c r="O4" i="24"/>
  <c r="P4" i="24"/>
  <c r="Q4" i="24"/>
  <c r="N4" i="24"/>
  <c r="T22" i="23"/>
  <c r="D30" i="23"/>
  <c r="R24" i="23"/>
  <c r="R26" i="23"/>
  <c r="L26" i="23"/>
  <c r="M26" i="23"/>
  <c r="M28" i="23"/>
  <c r="L29" i="23"/>
  <c r="H22" i="23"/>
  <c r="I22" i="23"/>
  <c r="J22" i="23"/>
  <c r="J24" i="23"/>
  <c r="H25" i="23"/>
  <c r="I25" i="23"/>
  <c r="I27" i="23"/>
  <c r="J27" i="23"/>
  <c r="H28" i="23"/>
  <c r="H30" i="23"/>
  <c r="I30" i="23"/>
  <c r="J30" i="23"/>
  <c r="U22" i="23"/>
  <c r="V22" i="23"/>
  <c r="W22" i="23"/>
  <c r="T23" i="23"/>
  <c r="U23" i="23"/>
  <c r="V23" i="23"/>
  <c r="M23" i="23" s="1"/>
  <c r="W23" i="23"/>
  <c r="T24" i="23"/>
  <c r="U24" i="23"/>
  <c r="V24" i="23"/>
  <c r="W24" i="23"/>
  <c r="T25" i="23"/>
  <c r="U25" i="23"/>
  <c r="V25" i="23"/>
  <c r="W25" i="23"/>
  <c r="T26" i="23"/>
  <c r="U26" i="23"/>
  <c r="V26" i="23"/>
  <c r="W26" i="23"/>
  <c r="T27" i="23"/>
  <c r="U27" i="23"/>
  <c r="V27" i="23"/>
  <c r="W27" i="23"/>
  <c r="T28" i="23"/>
  <c r="U28" i="23"/>
  <c r="V28" i="23"/>
  <c r="W28" i="23"/>
  <c r="T29" i="23"/>
  <c r="U29" i="23"/>
  <c r="V29" i="23"/>
  <c r="W29" i="23"/>
  <c r="R29" i="23" s="1"/>
  <c r="T30" i="23"/>
  <c r="U30" i="23"/>
  <c r="V30" i="23"/>
  <c r="W30" i="23"/>
  <c r="T31" i="23"/>
  <c r="U31" i="23"/>
  <c r="V31" i="23"/>
  <c r="W31" i="23"/>
  <c r="T32" i="23"/>
  <c r="U32" i="23"/>
  <c r="V32" i="23"/>
  <c r="W32" i="23"/>
  <c r="T33" i="23"/>
  <c r="U33" i="23"/>
  <c r="V33" i="23"/>
  <c r="W33" i="23"/>
  <c r="T34" i="23"/>
  <c r="U34" i="23"/>
  <c r="H34" i="23" s="1"/>
  <c r="V34" i="23"/>
  <c r="W34" i="23"/>
  <c r="T35" i="23"/>
  <c r="U35" i="23"/>
  <c r="V35" i="23"/>
  <c r="W35" i="23"/>
  <c r="R35" i="23" s="1"/>
  <c r="T36" i="23"/>
  <c r="U36" i="23"/>
  <c r="V36" i="23"/>
  <c r="W36" i="23"/>
  <c r="T37" i="23"/>
  <c r="U37" i="23"/>
  <c r="V37" i="23"/>
  <c r="W37" i="23"/>
  <c r="T38" i="23"/>
  <c r="U38" i="23"/>
  <c r="V38" i="23"/>
  <c r="W38" i="23"/>
  <c r="T39" i="23"/>
  <c r="U39" i="23"/>
  <c r="V39" i="23"/>
  <c r="W39" i="23"/>
  <c r="W43" i="23"/>
  <c r="V43" i="23"/>
  <c r="U43" i="23"/>
  <c r="T43" i="23"/>
  <c r="R43" i="23"/>
  <c r="Q43" i="23"/>
  <c r="I43" i="23"/>
  <c r="H43" i="23"/>
  <c r="F43" i="23"/>
  <c r="W42" i="23"/>
  <c r="V42" i="23"/>
  <c r="U42" i="23"/>
  <c r="I42" i="23" s="1"/>
  <c r="T42" i="23"/>
  <c r="R42" i="23"/>
  <c r="H42" i="23"/>
  <c r="W41" i="23"/>
  <c r="V41" i="23"/>
  <c r="U41" i="23"/>
  <c r="H41" i="23" s="1"/>
  <c r="T41" i="23"/>
  <c r="R41" i="23"/>
  <c r="L41" i="23"/>
  <c r="J41" i="23"/>
  <c r="I41" i="23"/>
  <c r="W40" i="23"/>
  <c r="R40" i="23" s="1"/>
  <c r="V40" i="23"/>
  <c r="M40" i="23" s="1"/>
  <c r="U40" i="23"/>
  <c r="I40" i="23" s="1"/>
  <c r="T40" i="23"/>
  <c r="L40" i="23"/>
  <c r="R39" i="23"/>
  <c r="Q39" i="23"/>
  <c r="I39" i="23"/>
  <c r="H39" i="23"/>
  <c r="F39" i="23"/>
  <c r="R38" i="23"/>
  <c r="P38" i="23"/>
  <c r="H38" i="23"/>
  <c r="E38" i="23"/>
  <c r="AD37" i="23"/>
  <c r="AD38" i="23" s="1"/>
  <c r="AC37" i="23"/>
  <c r="AC38" i="23" s="1"/>
  <c r="AB37" i="23"/>
  <c r="AB38" i="23" s="1"/>
  <c r="R36" i="23"/>
  <c r="Q36" i="23"/>
  <c r="I36" i="23"/>
  <c r="H36" i="23"/>
  <c r="L35" i="23"/>
  <c r="J35" i="23"/>
  <c r="I35" i="23"/>
  <c r="H35" i="23"/>
  <c r="R34" i="23"/>
  <c r="M34" i="23"/>
  <c r="L34" i="23"/>
  <c r="J34" i="23"/>
  <c r="I34" i="23"/>
  <c r="R32" i="23"/>
  <c r="Q32" i="23"/>
  <c r="I32" i="23"/>
  <c r="H32" i="23"/>
  <c r="R31" i="23"/>
  <c r="J31" i="23"/>
  <c r="I31" i="23"/>
  <c r="H31" i="23"/>
  <c r="W21" i="23"/>
  <c r="V21" i="23"/>
  <c r="U21" i="23"/>
  <c r="T21" i="23"/>
  <c r="R21" i="23"/>
  <c r="R27" i="23" s="1"/>
  <c r="Q21" i="23"/>
  <c r="Q24" i="23" s="1"/>
  <c r="P21" i="23"/>
  <c r="P27" i="23" s="1"/>
  <c r="N21" i="23"/>
  <c r="N28" i="23" s="1"/>
  <c r="M21" i="23"/>
  <c r="M29" i="23" s="1"/>
  <c r="L21" i="23"/>
  <c r="L24" i="23" s="1"/>
  <c r="J21" i="23"/>
  <c r="J25" i="23" s="1"/>
  <c r="I21" i="23"/>
  <c r="I28" i="23" s="1"/>
  <c r="H21" i="23"/>
  <c r="H23" i="23" s="1"/>
  <c r="F21" i="23"/>
  <c r="F25" i="23" s="1"/>
  <c r="E21" i="23"/>
  <c r="E22" i="23" s="1"/>
  <c r="D21" i="23"/>
  <c r="D23" i="23" s="1"/>
  <c r="W20" i="23"/>
  <c r="V20" i="23"/>
  <c r="U20" i="23"/>
  <c r="T20" i="23"/>
  <c r="J20" i="22"/>
  <c r="J21" i="22" s="1"/>
  <c r="J22" i="22" s="1"/>
  <c r="J23" i="22" s="1"/>
  <c r="J24" i="22" s="1"/>
  <c r="J25" i="22" s="1"/>
  <c r="J26" i="22" s="1"/>
  <c r="J27" i="22" s="1"/>
  <c r="J28" i="22" s="1"/>
  <c r="K20" i="22"/>
  <c r="L20" i="22"/>
  <c r="N20" i="22"/>
  <c r="N21" i="22" s="1"/>
  <c r="N22" i="22" s="1"/>
  <c r="N23" i="22" s="1"/>
  <c r="N24" i="22" s="1"/>
  <c r="N25" i="22" s="1"/>
  <c r="N26" i="22" s="1"/>
  <c r="N27" i="22" s="1"/>
  <c r="N28" i="22" s="1"/>
  <c r="O20" i="22"/>
  <c r="O21" i="22" s="1"/>
  <c r="O22" i="22" s="1"/>
  <c r="O23" i="22" s="1"/>
  <c r="O24" i="22" s="1"/>
  <c r="O25" i="22" s="1"/>
  <c r="O26" i="22" s="1"/>
  <c r="O27" i="22" s="1"/>
  <c r="O28" i="22" s="1"/>
  <c r="P20" i="22"/>
  <c r="Q20" i="22"/>
  <c r="S20" i="22"/>
  <c r="T20" i="22"/>
  <c r="U20" i="22"/>
  <c r="U21" i="22" s="1"/>
  <c r="U22" i="22" s="1"/>
  <c r="U23" i="22" s="1"/>
  <c r="U24" i="22" s="1"/>
  <c r="U25" i="22" s="1"/>
  <c r="U26" i="22" s="1"/>
  <c r="U27" i="22" s="1"/>
  <c r="U28" i="22" s="1"/>
  <c r="V20" i="22"/>
  <c r="V21" i="22" s="1"/>
  <c r="V22" i="22" s="1"/>
  <c r="V23" i="22" s="1"/>
  <c r="V24" i="22" s="1"/>
  <c r="V25" i="22" s="1"/>
  <c r="V26" i="22" s="1"/>
  <c r="V27" i="22" s="1"/>
  <c r="V28" i="22" s="1"/>
  <c r="K21" i="22"/>
  <c r="L21" i="22"/>
  <c r="P21" i="22"/>
  <c r="P22" i="22" s="1"/>
  <c r="P23" i="22" s="1"/>
  <c r="P24" i="22" s="1"/>
  <c r="P25" i="22" s="1"/>
  <c r="P26" i="22" s="1"/>
  <c r="P27" i="22" s="1"/>
  <c r="P28" i="22" s="1"/>
  <c r="Q21" i="22"/>
  <c r="Q22" i="22" s="1"/>
  <c r="Q23" i="22" s="1"/>
  <c r="Q24" i="22" s="1"/>
  <c r="Q25" i="22" s="1"/>
  <c r="Q26" i="22" s="1"/>
  <c r="Q27" i="22" s="1"/>
  <c r="Q28" i="22" s="1"/>
  <c r="S21" i="22"/>
  <c r="T21" i="22"/>
  <c r="K22" i="22"/>
  <c r="K23" i="22" s="1"/>
  <c r="K24" i="22" s="1"/>
  <c r="K25" i="22" s="1"/>
  <c r="K26" i="22" s="1"/>
  <c r="K27" i="22" s="1"/>
  <c r="K28" i="22" s="1"/>
  <c r="L22" i="22"/>
  <c r="L23" i="22" s="1"/>
  <c r="L24" i="22" s="1"/>
  <c r="L25" i="22" s="1"/>
  <c r="L26" i="22" s="1"/>
  <c r="L27" i="22" s="1"/>
  <c r="L28" i="22" s="1"/>
  <c r="S22" i="22"/>
  <c r="S23" i="22" s="1"/>
  <c r="S24" i="22" s="1"/>
  <c r="S25" i="22" s="1"/>
  <c r="S26" i="22" s="1"/>
  <c r="S27" i="22" s="1"/>
  <c r="S28" i="22" s="1"/>
  <c r="T22" i="22"/>
  <c r="T23" i="22" s="1"/>
  <c r="T24" i="22" s="1"/>
  <c r="T25" i="22" s="1"/>
  <c r="T26" i="22" s="1"/>
  <c r="T27" i="22" s="1"/>
  <c r="T28" i="22" s="1"/>
  <c r="I20" i="22"/>
  <c r="I21" i="22" s="1"/>
  <c r="I22" i="22" s="1"/>
  <c r="I23" i="22" s="1"/>
  <c r="I24" i="22" s="1"/>
  <c r="I25" i="22" s="1"/>
  <c r="I26" i="22" s="1"/>
  <c r="I27" i="22" s="1"/>
  <c r="I28" i="22" s="1"/>
  <c r="E20" i="22"/>
  <c r="F20" i="22"/>
  <c r="G20" i="22"/>
  <c r="E21" i="22"/>
  <c r="F21" i="22"/>
  <c r="F22" i="22" s="1"/>
  <c r="F23" i="22" s="1"/>
  <c r="F24" i="22" s="1"/>
  <c r="F25" i="22" s="1"/>
  <c r="F26" i="22" s="1"/>
  <c r="F27" i="22" s="1"/>
  <c r="F28" i="22" s="1"/>
  <c r="G21" i="22"/>
  <c r="G22" i="22" s="1"/>
  <c r="G23" i="22" s="1"/>
  <c r="G24" i="22" s="1"/>
  <c r="G25" i="22" s="1"/>
  <c r="G26" i="22" s="1"/>
  <c r="G27" i="22" s="1"/>
  <c r="G28" i="22" s="1"/>
  <c r="E22" i="22"/>
  <c r="E23" i="22" s="1"/>
  <c r="E24" i="22" s="1"/>
  <c r="E25" i="22" s="1"/>
  <c r="E26" i="22" s="1"/>
  <c r="E27" i="22" s="1"/>
  <c r="E28" i="22" s="1"/>
  <c r="D20" i="22"/>
  <c r="D21" i="22" s="1"/>
  <c r="D22" i="22" s="1"/>
  <c r="D23" i="22" s="1"/>
  <c r="D24" i="22" s="1"/>
  <c r="D25" i="22" s="1"/>
  <c r="D26" i="22" s="1"/>
  <c r="D27" i="22" s="1"/>
  <c r="D28" i="22" s="1"/>
  <c r="R3" i="21"/>
  <c r="S3" i="21"/>
  <c r="R4" i="21"/>
  <c r="S4" i="21"/>
  <c r="R5" i="21"/>
  <c r="S5" i="21"/>
  <c r="R6" i="21"/>
  <c r="S6" i="21"/>
  <c r="R7" i="21"/>
  <c r="S7" i="21"/>
  <c r="R8" i="21"/>
  <c r="S8" i="21"/>
  <c r="Q4" i="21"/>
  <c r="Q5" i="21"/>
  <c r="Q6" i="21"/>
  <c r="Q7" i="21"/>
  <c r="Q8" i="21"/>
  <c r="Q3" i="21"/>
  <c r="I54" i="14"/>
  <c r="I53" i="14"/>
  <c r="I52" i="14"/>
  <c r="I51" i="14"/>
  <c r="I50" i="14"/>
  <c r="I49" i="14"/>
  <c r="I48" i="14"/>
  <c r="I47" i="14"/>
  <c r="I46" i="14"/>
  <c r="I45" i="14"/>
  <c r="I44" i="14"/>
  <c r="I43" i="14"/>
  <c r="AK121" i="55" l="1"/>
  <c r="AM121" i="55"/>
  <c r="AL121" i="55"/>
  <c r="AJ121" i="55"/>
  <c r="P100" i="55"/>
  <c r="P6" i="55"/>
  <c r="E81" i="27"/>
  <c r="O100" i="55"/>
  <c r="L24" i="27"/>
  <c r="AH6" i="55"/>
  <c r="AB24" i="27" s="1"/>
  <c r="AH100" i="55"/>
  <c r="X6" i="55"/>
  <c r="T24" i="27" s="1"/>
  <c r="X100" i="55"/>
  <c r="AI6" i="55"/>
  <c r="AC24" i="27" s="1"/>
  <c r="AI100" i="55"/>
  <c r="AD217" i="55"/>
  <c r="AN216" i="55"/>
  <c r="L215" i="55"/>
  <c r="AN196" i="55"/>
  <c r="AJ197" i="55"/>
  <c r="U215" i="55"/>
  <c r="AN217" i="55"/>
  <c r="Z198" i="55"/>
  <c r="AD197" i="55"/>
  <c r="Z179" i="55"/>
  <c r="AD178" i="55"/>
  <c r="AN218" i="55"/>
  <c r="AJ220" i="55"/>
  <c r="AN219" i="55"/>
  <c r="AD218" i="55"/>
  <c r="Z219" i="55"/>
  <c r="K62" i="55"/>
  <c r="K157" i="55"/>
  <c r="K158" i="55" s="1"/>
  <c r="K159" i="55" s="1"/>
  <c r="K160" i="55" s="1"/>
  <c r="K161" i="55" s="1"/>
  <c r="K162" i="55" s="1"/>
  <c r="K163" i="55" s="1"/>
  <c r="K164" i="55" s="1"/>
  <c r="K165" i="55" s="1"/>
  <c r="K166" i="55" s="1"/>
  <c r="K167" i="55" s="1"/>
  <c r="K168" i="55" s="1"/>
  <c r="K169" i="55" s="1"/>
  <c r="K170" i="55" s="1"/>
  <c r="K171" i="55" s="1"/>
  <c r="K172" i="55" s="1"/>
  <c r="K173" i="55" s="1"/>
  <c r="K174" i="55" s="1"/>
  <c r="K195" i="55"/>
  <c r="K196" i="55" s="1"/>
  <c r="K197" i="55" s="1"/>
  <c r="K198" i="55" s="1"/>
  <c r="K199" i="55" s="1"/>
  <c r="K200" i="55" s="1"/>
  <c r="K201" i="55" s="1"/>
  <c r="K202" i="55" s="1"/>
  <c r="K203" i="55" s="1"/>
  <c r="K204" i="55" s="1"/>
  <c r="K205" i="55" s="1"/>
  <c r="K206" i="55" s="1"/>
  <c r="K207" i="55" s="1"/>
  <c r="K208" i="55" s="1"/>
  <c r="K209" i="55" s="1"/>
  <c r="K210" i="55" s="1"/>
  <c r="K211" i="55" s="1"/>
  <c r="K212" i="55" s="1"/>
  <c r="K176" i="55"/>
  <c r="K177" i="55" s="1"/>
  <c r="K178" i="55" s="1"/>
  <c r="K179" i="55" s="1"/>
  <c r="K180" i="55" s="1"/>
  <c r="K181" i="55" s="1"/>
  <c r="K182" i="55" s="1"/>
  <c r="K183" i="55" s="1"/>
  <c r="K184" i="55" s="1"/>
  <c r="K185" i="55" s="1"/>
  <c r="K186" i="55" s="1"/>
  <c r="K187" i="55" s="1"/>
  <c r="K188" i="55" s="1"/>
  <c r="K189" i="55" s="1"/>
  <c r="K190" i="55" s="1"/>
  <c r="K191" i="55" s="1"/>
  <c r="K192" i="55" s="1"/>
  <c r="K193" i="55" s="1"/>
  <c r="J62" i="55"/>
  <c r="J157" i="55"/>
  <c r="J158" i="55" s="1"/>
  <c r="J159" i="55" s="1"/>
  <c r="J160" i="55" s="1"/>
  <c r="J161" i="55" s="1"/>
  <c r="J162" i="55" s="1"/>
  <c r="J163" i="55" s="1"/>
  <c r="J164" i="55" s="1"/>
  <c r="J165" i="55" s="1"/>
  <c r="J166" i="55" s="1"/>
  <c r="J167" i="55" s="1"/>
  <c r="J168" i="55" s="1"/>
  <c r="J169" i="55" s="1"/>
  <c r="J170" i="55" s="1"/>
  <c r="J171" i="55" s="1"/>
  <c r="J172" i="55" s="1"/>
  <c r="J173" i="55" s="1"/>
  <c r="J174" i="55" s="1"/>
  <c r="J195" i="55"/>
  <c r="J196" i="55" s="1"/>
  <c r="J197" i="55" s="1"/>
  <c r="J198" i="55" s="1"/>
  <c r="J199" i="55" s="1"/>
  <c r="J200" i="55" s="1"/>
  <c r="J201" i="55" s="1"/>
  <c r="J202" i="55" s="1"/>
  <c r="J203" i="55" s="1"/>
  <c r="J204" i="55" s="1"/>
  <c r="J205" i="55" s="1"/>
  <c r="J206" i="55" s="1"/>
  <c r="J207" i="55" s="1"/>
  <c r="J208" i="55" s="1"/>
  <c r="J209" i="55" s="1"/>
  <c r="J210" i="55" s="1"/>
  <c r="J211" i="55" s="1"/>
  <c r="J212" i="55" s="1"/>
  <c r="J176" i="55"/>
  <c r="J177" i="55" s="1"/>
  <c r="J178" i="55" s="1"/>
  <c r="J179" i="55" s="1"/>
  <c r="J180" i="55" s="1"/>
  <c r="J181" i="55" s="1"/>
  <c r="J182" i="55" s="1"/>
  <c r="J183" i="55" s="1"/>
  <c r="J184" i="55" s="1"/>
  <c r="J185" i="55" s="1"/>
  <c r="J186" i="55" s="1"/>
  <c r="J187" i="55" s="1"/>
  <c r="J188" i="55" s="1"/>
  <c r="J189" i="55" s="1"/>
  <c r="J190" i="55" s="1"/>
  <c r="J191" i="55" s="1"/>
  <c r="J192" i="55" s="1"/>
  <c r="J193" i="55" s="1"/>
  <c r="H62" i="55"/>
  <c r="H177" i="55"/>
  <c r="H196" i="55"/>
  <c r="I62" i="55"/>
  <c r="I195" i="55"/>
  <c r="I196" i="55" s="1"/>
  <c r="I197" i="55" s="1"/>
  <c r="I198" i="55" s="1"/>
  <c r="I199" i="55" s="1"/>
  <c r="I200" i="55" s="1"/>
  <c r="I201" i="55" s="1"/>
  <c r="I202" i="55" s="1"/>
  <c r="I203" i="55" s="1"/>
  <c r="I204" i="55" s="1"/>
  <c r="I205" i="55" s="1"/>
  <c r="I206" i="55" s="1"/>
  <c r="I207" i="55" s="1"/>
  <c r="I208" i="55" s="1"/>
  <c r="I209" i="55" s="1"/>
  <c r="I210" i="55" s="1"/>
  <c r="I211" i="55" s="1"/>
  <c r="I212" i="55" s="1"/>
  <c r="I157" i="55"/>
  <c r="L157" i="55" s="1"/>
  <c r="I176" i="55"/>
  <c r="I177" i="55" s="1"/>
  <c r="I178" i="55" s="1"/>
  <c r="I179" i="55" s="1"/>
  <c r="I180" i="55" s="1"/>
  <c r="I181" i="55" s="1"/>
  <c r="I182" i="55" s="1"/>
  <c r="I183" i="55" s="1"/>
  <c r="I184" i="55" s="1"/>
  <c r="I185" i="55" s="1"/>
  <c r="I186" i="55" s="1"/>
  <c r="I187" i="55" s="1"/>
  <c r="I188" i="55" s="1"/>
  <c r="I189" i="55" s="1"/>
  <c r="I190" i="55" s="1"/>
  <c r="I191" i="55" s="1"/>
  <c r="I192" i="55" s="1"/>
  <c r="I193" i="55" s="1"/>
  <c r="H121" i="55"/>
  <c r="AA81" i="55"/>
  <c r="R158" i="55"/>
  <c r="R159" i="55" s="1"/>
  <c r="R160" i="55" s="1"/>
  <c r="R161" i="55" s="1"/>
  <c r="R162" i="55" s="1"/>
  <c r="R163" i="55" s="1"/>
  <c r="R164" i="55" s="1"/>
  <c r="R165" i="55" s="1"/>
  <c r="R166" i="55" s="1"/>
  <c r="R167" i="55" s="1"/>
  <c r="R168" i="55" s="1"/>
  <c r="R169" i="55" s="1"/>
  <c r="R170" i="55" s="1"/>
  <c r="R171" i="55" s="1"/>
  <c r="R172" i="55" s="1"/>
  <c r="R173" i="55" s="1"/>
  <c r="R174" i="55" s="1"/>
  <c r="AJ81" i="55"/>
  <c r="R177" i="55"/>
  <c r="R178" i="55" s="1"/>
  <c r="R179" i="55" s="1"/>
  <c r="R180" i="55" s="1"/>
  <c r="R181" i="55" s="1"/>
  <c r="R182" i="55" s="1"/>
  <c r="R183" i="55" s="1"/>
  <c r="R184" i="55" s="1"/>
  <c r="R185" i="55" s="1"/>
  <c r="R186" i="55" s="1"/>
  <c r="R187" i="55" s="1"/>
  <c r="R188" i="55" s="1"/>
  <c r="R189" i="55" s="1"/>
  <c r="R190" i="55" s="1"/>
  <c r="R191" i="55" s="1"/>
  <c r="R192" i="55" s="1"/>
  <c r="R193" i="55" s="1"/>
  <c r="Y82" i="55"/>
  <c r="Y44" i="55"/>
  <c r="AM81" i="55"/>
  <c r="AM100" i="55" s="1"/>
  <c r="AM138" i="55" s="1"/>
  <c r="S26" i="55"/>
  <c r="Q216" i="55"/>
  <c r="U216" i="55" s="1"/>
  <c r="G82" i="55"/>
  <c r="G7" i="55" s="1"/>
  <c r="G44" i="55"/>
  <c r="T196" i="55"/>
  <c r="T197" i="55" s="1"/>
  <c r="T198" i="55" s="1"/>
  <c r="T199" i="55" s="1"/>
  <c r="T200" i="55" s="1"/>
  <c r="T201" i="55" s="1"/>
  <c r="T202" i="55" s="1"/>
  <c r="T203" i="55" s="1"/>
  <c r="T204" i="55" s="1"/>
  <c r="T205" i="55" s="1"/>
  <c r="T206" i="55" s="1"/>
  <c r="T207" i="55" s="1"/>
  <c r="T208" i="55" s="1"/>
  <c r="T209" i="55" s="1"/>
  <c r="T210" i="55" s="1"/>
  <c r="T211" i="55" s="1"/>
  <c r="T212" i="55" s="1"/>
  <c r="T177" i="55"/>
  <c r="T178" i="55" s="1"/>
  <c r="T179" i="55" s="1"/>
  <c r="T180" i="55" s="1"/>
  <c r="T181" i="55" s="1"/>
  <c r="T182" i="55" s="1"/>
  <c r="T183" i="55" s="1"/>
  <c r="T184" i="55" s="1"/>
  <c r="T185" i="55" s="1"/>
  <c r="T186" i="55" s="1"/>
  <c r="T187" i="55" s="1"/>
  <c r="T188" i="55" s="1"/>
  <c r="T189" i="55" s="1"/>
  <c r="T190" i="55" s="1"/>
  <c r="T191" i="55" s="1"/>
  <c r="T192" i="55" s="1"/>
  <c r="T193" i="55" s="1"/>
  <c r="T158" i="55"/>
  <c r="T159" i="55" s="1"/>
  <c r="T160" i="55" s="1"/>
  <c r="T161" i="55" s="1"/>
  <c r="T162" i="55" s="1"/>
  <c r="T163" i="55" s="1"/>
  <c r="T164" i="55" s="1"/>
  <c r="T165" i="55" s="1"/>
  <c r="T166" i="55" s="1"/>
  <c r="T167" i="55" s="1"/>
  <c r="T168" i="55" s="1"/>
  <c r="T169" i="55" s="1"/>
  <c r="T170" i="55" s="1"/>
  <c r="T171" i="55" s="1"/>
  <c r="T172" i="55" s="1"/>
  <c r="T173" i="55" s="1"/>
  <c r="T174" i="55" s="1"/>
  <c r="T26" i="55"/>
  <c r="H216" i="55"/>
  <c r="L216" i="55" s="1"/>
  <c r="AJ27" i="55"/>
  <c r="H27" i="55"/>
  <c r="M24" i="27"/>
  <c r="AB27" i="55"/>
  <c r="AM26" i="55"/>
  <c r="AC81" i="55"/>
  <c r="AC100" i="55" s="1"/>
  <c r="AC138" i="55" s="1"/>
  <c r="H158" i="55"/>
  <c r="AL158" i="55"/>
  <c r="AL159" i="55" s="1"/>
  <c r="AL160" i="55" s="1"/>
  <c r="AL161" i="55" s="1"/>
  <c r="AL162" i="55" s="1"/>
  <c r="AL163" i="55" s="1"/>
  <c r="AL164" i="55" s="1"/>
  <c r="AL165" i="55" s="1"/>
  <c r="AL166" i="55" s="1"/>
  <c r="AL167" i="55" s="1"/>
  <c r="AL168" i="55" s="1"/>
  <c r="AL169" i="55" s="1"/>
  <c r="AL170" i="55" s="1"/>
  <c r="AL171" i="55" s="1"/>
  <c r="AL172" i="55" s="1"/>
  <c r="AL173" i="55" s="1"/>
  <c r="AL174" i="55" s="1"/>
  <c r="AK81" i="55"/>
  <c r="AK100" i="55" s="1"/>
  <c r="AK138" i="55" s="1"/>
  <c r="Q26" i="55"/>
  <c r="AB81" i="55"/>
  <c r="AB100" i="55" s="1"/>
  <c r="AB138" i="55" s="1"/>
  <c r="K27" i="55"/>
  <c r="O82" i="55"/>
  <c r="O7" i="55" s="1"/>
  <c r="O44" i="55"/>
  <c r="AK28" i="55"/>
  <c r="Z81" i="55"/>
  <c r="Z100" i="55" s="1"/>
  <c r="Z27" i="55"/>
  <c r="J27" i="55"/>
  <c r="S196" i="55"/>
  <c r="S197" i="55" s="1"/>
  <c r="S198" i="55" s="1"/>
  <c r="S199" i="55" s="1"/>
  <c r="S200" i="55" s="1"/>
  <c r="S201" i="55" s="1"/>
  <c r="S202" i="55" s="1"/>
  <c r="S203" i="55" s="1"/>
  <c r="S204" i="55" s="1"/>
  <c r="S205" i="55" s="1"/>
  <c r="S206" i="55" s="1"/>
  <c r="S207" i="55" s="1"/>
  <c r="S208" i="55" s="1"/>
  <c r="S209" i="55" s="1"/>
  <c r="S210" i="55" s="1"/>
  <c r="S211" i="55" s="1"/>
  <c r="S212" i="55" s="1"/>
  <c r="S177" i="55"/>
  <c r="S178" i="55" s="1"/>
  <c r="S179" i="55" s="1"/>
  <c r="S180" i="55" s="1"/>
  <c r="S181" i="55" s="1"/>
  <c r="S182" i="55" s="1"/>
  <c r="S183" i="55" s="1"/>
  <c r="S184" i="55" s="1"/>
  <c r="S185" i="55" s="1"/>
  <c r="S186" i="55" s="1"/>
  <c r="S187" i="55" s="1"/>
  <c r="S188" i="55" s="1"/>
  <c r="S189" i="55" s="1"/>
  <c r="S190" i="55" s="1"/>
  <c r="S191" i="55" s="1"/>
  <c r="S192" i="55" s="1"/>
  <c r="S193" i="55" s="1"/>
  <c r="S158" i="55"/>
  <c r="S159" i="55" s="1"/>
  <c r="S160" i="55" s="1"/>
  <c r="S161" i="55" s="1"/>
  <c r="S162" i="55" s="1"/>
  <c r="S163" i="55" s="1"/>
  <c r="S164" i="55" s="1"/>
  <c r="S165" i="55" s="1"/>
  <c r="S166" i="55" s="1"/>
  <c r="S167" i="55" s="1"/>
  <c r="S168" i="55" s="1"/>
  <c r="S169" i="55" s="1"/>
  <c r="S170" i="55" s="1"/>
  <c r="S171" i="55" s="1"/>
  <c r="S172" i="55" s="1"/>
  <c r="S173" i="55" s="1"/>
  <c r="S174" i="55" s="1"/>
  <c r="AL26" i="55"/>
  <c r="R26" i="55"/>
  <c r="Z158" i="55"/>
  <c r="AD158" i="55" s="1"/>
  <c r="AA28" i="55"/>
  <c r="AC26" i="55"/>
  <c r="AL81" i="55"/>
  <c r="AL100" i="55" s="1"/>
  <c r="AL138" i="55" s="1"/>
  <c r="I28" i="55"/>
  <c r="F81" i="47"/>
  <c r="F119" i="47"/>
  <c r="F24" i="47"/>
  <c r="G81" i="47"/>
  <c r="G119" i="47"/>
  <c r="G138" i="47" s="1"/>
  <c r="G157" i="47" s="1"/>
  <c r="I290" i="47"/>
  <c r="I214" i="47"/>
  <c r="O24" i="47"/>
  <c r="O119" i="47"/>
  <c r="O138" i="47" s="1"/>
  <c r="O157" i="47" s="1"/>
  <c r="P24" i="47"/>
  <c r="Q81" i="47"/>
  <c r="Q24" i="47"/>
  <c r="Q43" i="47"/>
  <c r="R81" i="47"/>
  <c r="S24" i="47"/>
  <c r="S43" i="47"/>
  <c r="X24" i="47"/>
  <c r="AH24" i="47"/>
  <c r="AI24" i="47"/>
  <c r="AJ81" i="47"/>
  <c r="AJ24" i="47"/>
  <c r="AK81" i="47"/>
  <c r="AK24" i="47"/>
  <c r="AL24" i="47"/>
  <c r="AM81" i="47"/>
  <c r="AM24" i="47"/>
  <c r="AB119" i="53"/>
  <c r="AB195" i="53" s="1"/>
  <c r="I119" i="53"/>
  <c r="I138" i="53" s="1"/>
  <c r="I157" i="53" s="1"/>
  <c r="P120" i="53"/>
  <c r="P82" i="53"/>
  <c r="P25" i="53"/>
  <c r="P44" i="53" s="1"/>
  <c r="P7" i="53"/>
  <c r="R271" i="53"/>
  <c r="R272" i="53" s="1"/>
  <c r="R273" i="53" s="1"/>
  <c r="R274" i="53" s="1"/>
  <c r="R275" i="53" s="1"/>
  <c r="R276" i="53" s="1"/>
  <c r="R277" i="53" s="1"/>
  <c r="R278" i="53" s="1"/>
  <c r="R279" i="53" s="1"/>
  <c r="R280" i="53" s="1"/>
  <c r="R281" i="53" s="1"/>
  <c r="R282" i="53" s="1"/>
  <c r="R283" i="53" s="1"/>
  <c r="R284" i="53" s="1"/>
  <c r="R285" i="53" s="1"/>
  <c r="R286" i="53" s="1"/>
  <c r="R287" i="53" s="1"/>
  <c r="R288" i="53" s="1"/>
  <c r="R309" i="53"/>
  <c r="R310" i="53" s="1"/>
  <c r="R311" i="53" s="1"/>
  <c r="R312" i="53" s="1"/>
  <c r="R313" i="53" s="1"/>
  <c r="R314" i="53" s="1"/>
  <c r="R315" i="53" s="1"/>
  <c r="R316" i="53" s="1"/>
  <c r="R317" i="53" s="1"/>
  <c r="R318" i="53" s="1"/>
  <c r="R319" i="53" s="1"/>
  <c r="R320" i="53" s="1"/>
  <c r="R321" i="53" s="1"/>
  <c r="R322" i="53" s="1"/>
  <c r="R323" i="53" s="1"/>
  <c r="R324" i="53" s="1"/>
  <c r="R325" i="53" s="1"/>
  <c r="R326" i="53" s="1"/>
  <c r="R233" i="53"/>
  <c r="R234" i="53" s="1"/>
  <c r="R235" i="53" s="1"/>
  <c r="R236" i="53" s="1"/>
  <c r="R237" i="53" s="1"/>
  <c r="R238" i="53" s="1"/>
  <c r="R239" i="53" s="1"/>
  <c r="R240" i="53" s="1"/>
  <c r="R241" i="53" s="1"/>
  <c r="R242" i="53" s="1"/>
  <c r="R243" i="53" s="1"/>
  <c r="R244" i="53" s="1"/>
  <c r="R245" i="53" s="1"/>
  <c r="R246" i="53" s="1"/>
  <c r="R247" i="53" s="1"/>
  <c r="R248" i="53" s="1"/>
  <c r="R249" i="53" s="1"/>
  <c r="R250" i="53" s="1"/>
  <c r="AC195" i="53"/>
  <c r="AC138" i="53"/>
  <c r="AC157" i="53" s="1"/>
  <c r="AC6" i="53"/>
  <c r="AN347" i="53"/>
  <c r="AN309" i="53"/>
  <c r="AN271" i="53"/>
  <c r="AN233" i="53"/>
  <c r="AA119" i="53"/>
  <c r="J67" i="53"/>
  <c r="Q349" i="53"/>
  <c r="AM65" i="53"/>
  <c r="AL138" i="53"/>
  <c r="AL119" i="53"/>
  <c r="Q195" i="53"/>
  <c r="Q138" i="53"/>
  <c r="Q157" i="53" s="1"/>
  <c r="Z119" i="53"/>
  <c r="Y139" i="53"/>
  <c r="Y158" i="53" s="1"/>
  <c r="Y7" i="53"/>
  <c r="G139" i="53"/>
  <c r="G158" i="53" s="1"/>
  <c r="G7" i="53"/>
  <c r="H119" i="53"/>
  <c r="AH43" i="53"/>
  <c r="AH157" i="53" s="1"/>
  <c r="AB65" i="53"/>
  <c r="AD328" i="53"/>
  <c r="AD290" i="53"/>
  <c r="AD252" i="53"/>
  <c r="AD214" i="53"/>
  <c r="F138" i="53"/>
  <c r="F157" i="53" s="1"/>
  <c r="T119" i="53"/>
  <c r="Q309" i="53"/>
  <c r="Q271" i="53"/>
  <c r="U347" i="53"/>
  <c r="Q233" i="53"/>
  <c r="O82" i="53"/>
  <c r="O120" i="53"/>
  <c r="O7" i="53" s="1"/>
  <c r="O25" i="53"/>
  <c r="O44" i="53" s="1"/>
  <c r="S66" i="53"/>
  <c r="Q64" i="53"/>
  <c r="K309" i="53"/>
  <c r="K310" i="53" s="1"/>
  <c r="K311" i="53" s="1"/>
  <c r="K312" i="53" s="1"/>
  <c r="K313" i="53" s="1"/>
  <c r="K314" i="53" s="1"/>
  <c r="K315" i="53" s="1"/>
  <c r="K316" i="53" s="1"/>
  <c r="K317" i="53" s="1"/>
  <c r="K318" i="53" s="1"/>
  <c r="K319" i="53" s="1"/>
  <c r="K320" i="53" s="1"/>
  <c r="K321" i="53" s="1"/>
  <c r="K322" i="53" s="1"/>
  <c r="K323" i="53" s="1"/>
  <c r="K324" i="53" s="1"/>
  <c r="K325" i="53" s="1"/>
  <c r="K326" i="53" s="1"/>
  <c r="K271" i="53"/>
  <c r="K272" i="53" s="1"/>
  <c r="K273" i="53" s="1"/>
  <c r="K274" i="53" s="1"/>
  <c r="K275" i="53" s="1"/>
  <c r="K276" i="53" s="1"/>
  <c r="K277" i="53" s="1"/>
  <c r="K278" i="53" s="1"/>
  <c r="K279" i="53" s="1"/>
  <c r="K280" i="53" s="1"/>
  <c r="K281" i="53" s="1"/>
  <c r="K282" i="53" s="1"/>
  <c r="K283" i="53" s="1"/>
  <c r="K284" i="53" s="1"/>
  <c r="K285" i="53" s="1"/>
  <c r="K286" i="53" s="1"/>
  <c r="K287" i="53" s="1"/>
  <c r="K288" i="53" s="1"/>
  <c r="K233" i="53"/>
  <c r="K234" i="53" s="1"/>
  <c r="K235" i="53" s="1"/>
  <c r="K236" i="53" s="1"/>
  <c r="K237" i="53" s="1"/>
  <c r="K238" i="53" s="1"/>
  <c r="K239" i="53" s="1"/>
  <c r="K240" i="53" s="1"/>
  <c r="K241" i="53" s="1"/>
  <c r="K242" i="53" s="1"/>
  <c r="K243" i="53" s="1"/>
  <c r="K244" i="53" s="1"/>
  <c r="K245" i="53" s="1"/>
  <c r="K246" i="53" s="1"/>
  <c r="K247" i="53" s="1"/>
  <c r="K248" i="53" s="1"/>
  <c r="K249" i="53" s="1"/>
  <c r="K250" i="53" s="1"/>
  <c r="AD347" i="53"/>
  <c r="AD309" i="53"/>
  <c r="AD271" i="53"/>
  <c r="AD233" i="53"/>
  <c r="AN328" i="53"/>
  <c r="AN252" i="53"/>
  <c r="AN214" i="53"/>
  <c r="AN290" i="53"/>
  <c r="K290" i="53"/>
  <c r="K291" i="53" s="1"/>
  <c r="K292" i="53" s="1"/>
  <c r="K293" i="53" s="1"/>
  <c r="K294" i="53" s="1"/>
  <c r="K295" i="53" s="1"/>
  <c r="K296" i="53" s="1"/>
  <c r="K297" i="53" s="1"/>
  <c r="K298" i="53" s="1"/>
  <c r="K299" i="53" s="1"/>
  <c r="K300" i="53" s="1"/>
  <c r="K301" i="53" s="1"/>
  <c r="K302" i="53" s="1"/>
  <c r="K303" i="53" s="1"/>
  <c r="K304" i="53" s="1"/>
  <c r="K305" i="53" s="1"/>
  <c r="K306" i="53" s="1"/>
  <c r="K307" i="53" s="1"/>
  <c r="K252" i="53"/>
  <c r="K253" i="53" s="1"/>
  <c r="K254" i="53" s="1"/>
  <c r="K255" i="53" s="1"/>
  <c r="K256" i="53" s="1"/>
  <c r="K257" i="53" s="1"/>
  <c r="K258" i="53" s="1"/>
  <c r="K259" i="53" s="1"/>
  <c r="K260" i="53" s="1"/>
  <c r="K261" i="53" s="1"/>
  <c r="K262" i="53" s="1"/>
  <c r="K263" i="53" s="1"/>
  <c r="K264" i="53" s="1"/>
  <c r="K265" i="53" s="1"/>
  <c r="K266" i="53" s="1"/>
  <c r="K267" i="53" s="1"/>
  <c r="K268" i="53" s="1"/>
  <c r="K269" i="53" s="1"/>
  <c r="K214" i="53"/>
  <c r="K215" i="53" s="1"/>
  <c r="K216" i="53" s="1"/>
  <c r="K217" i="53" s="1"/>
  <c r="K218" i="53" s="1"/>
  <c r="K219" i="53" s="1"/>
  <c r="K220" i="53" s="1"/>
  <c r="K221" i="53" s="1"/>
  <c r="K222" i="53" s="1"/>
  <c r="K223" i="53" s="1"/>
  <c r="K224" i="53" s="1"/>
  <c r="K225" i="53" s="1"/>
  <c r="K226" i="53" s="1"/>
  <c r="K227" i="53" s="1"/>
  <c r="K228" i="53" s="1"/>
  <c r="K229" i="53" s="1"/>
  <c r="K230" i="53" s="1"/>
  <c r="K231" i="53" s="1"/>
  <c r="J309" i="53"/>
  <c r="J310" i="53" s="1"/>
  <c r="J311" i="53" s="1"/>
  <c r="J312" i="53" s="1"/>
  <c r="J313" i="53" s="1"/>
  <c r="J314" i="53" s="1"/>
  <c r="J315" i="53" s="1"/>
  <c r="J316" i="53" s="1"/>
  <c r="J317" i="53" s="1"/>
  <c r="J318" i="53" s="1"/>
  <c r="J319" i="53" s="1"/>
  <c r="J320" i="53" s="1"/>
  <c r="J321" i="53" s="1"/>
  <c r="J322" i="53" s="1"/>
  <c r="J323" i="53" s="1"/>
  <c r="J324" i="53" s="1"/>
  <c r="J325" i="53" s="1"/>
  <c r="J326" i="53" s="1"/>
  <c r="J271" i="53"/>
  <c r="J272" i="53" s="1"/>
  <c r="J273" i="53" s="1"/>
  <c r="J274" i="53" s="1"/>
  <c r="J275" i="53" s="1"/>
  <c r="J276" i="53" s="1"/>
  <c r="J277" i="53" s="1"/>
  <c r="J278" i="53" s="1"/>
  <c r="J279" i="53" s="1"/>
  <c r="J280" i="53" s="1"/>
  <c r="J281" i="53" s="1"/>
  <c r="J282" i="53" s="1"/>
  <c r="J283" i="53" s="1"/>
  <c r="J284" i="53" s="1"/>
  <c r="J285" i="53" s="1"/>
  <c r="J286" i="53" s="1"/>
  <c r="J287" i="53" s="1"/>
  <c r="J288" i="53" s="1"/>
  <c r="J233" i="53"/>
  <c r="J234" i="53" s="1"/>
  <c r="J235" i="53" s="1"/>
  <c r="J236" i="53" s="1"/>
  <c r="J237" i="53" s="1"/>
  <c r="J238" i="53" s="1"/>
  <c r="J239" i="53" s="1"/>
  <c r="J240" i="53" s="1"/>
  <c r="J241" i="53" s="1"/>
  <c r="J242" i="53" s="1"/>
  <c r="J243" i="53" s="1"/>
  <c r="J244" i="53" s="1"/>
  <c r="J245" i="53" s="1"/>
  <c r="J246" i="53" s="1"/>
  <c r="J247" i="53" s="1"/>
  <c r="J248" i="53" s="1"/>
  <c r="J249" i="53" s="1"/>
  <c r="J250" i="53" s="1"/>
  <c r="L347" i="53"/>
  <c r="H309" i="53"/>
  <c r="H271" i="53"/>
  <c r="H233" i="53"/>
  <c r="Z65" i="53"/>
  <c r="R65" i="53"/>
  <c r="Q290" i="53"/>
  <c r="Q252" i="53"/>
  <c r="U328" i="53"/>
  <c r="Q214" i="53"/>
  <c r="AI120" i="53"/>
  <c r="AI7" i="53" s="1"/>
  <c r="AI82" i="53"/>
  <c r="AI25" i="53"/>
  <c r="AI139" i="53" s="1"/>
  <c r="L328" i="53"/>
  <c r="H290" i="53"/>
  <c r="H252" i="53"/>
  <c r="H214" i="53"/>
  <c r="X6" i="53"/>
  <c r="J290" i="53"/>
  <c r="J291" i="53" s="1"/>
  <c r="J292" i="53" s="1"/>
  <c r="J293" i="53" s="1"/>
  <c r="J294" i="53" s="1"/>
  <c r="J295" i="53" s="1"/>
  <c r="J296" i="53" s="1"/>
  <c r="J297" i="53" s="1"/>
  <c r="J298" i="53" s="1"/>
  <c r="J299" i="53" s="1"/>
  <c r="J300" i="53" s="1"/>
  <c r="J301" i="53" s="1"/>
  <c r="J302" i="53" s="1"/>
  <c r="J303" i="53" s="1"/>
  <c r="J304" i="53" s="1"/>
  <c r="J305" i="53" s="1"/>
  <c r="J306" i="53" s="1"/>
  <c r="J307" i="53" s="1"/>
  <c r="J252" i="53"/>
  <c r="J253" i="53" s="1"/>
  <c r="J254" i="53" s="1"/>
  <c r="J255" i="53" s="1"/>
  <c r="J256" i="53" s="1"/>
  <c r="J257" i="53" s="1"/>
  <c r="J258" i="53" s="1"/>
  <c r="J259" i="53" s="1"/>
  <c r="J260" i="53" s="1"/>
  <c r="J261" i="53" s="1"/>
  <c r="J262" i="53" s="1"/>
  <c r="J263" i="53" s="1"/>
  <c r="J264" i="53" s="1"/>
  <c r="J265" i="53" s="1"/>
  <c r="J266" i="53" s="1"/>
  <c r="J267" i="53" s="1"/>
  <c r="J268" i="53" s="1"/>
  <c r="J269" i="53" s="1"/>
  <c r="J214" i="53"/>
  <c r="J215" i="53" s="1"/>
  <c r="J216" i="53" s="1"/>
  <c r="J217" i="53" s="1"/>
  <c r="J218" i="53" s="1"/>
  <c r="J219" i="53" s="1"/>
  <c r="J220" i="53" s="1"/>
  <c r="J221" i="53" s="1"/>
  <c r="J222" i="53" s="1"/>
  <c r="J223" i="53" s="1"/>
  <c r="J224" i="53" s="1"/>
  <c r="J225" i="53" s="1"/>
  <c r="J226" i="53" s="1"/>
  <c r="J227" i="53" s="1"/>
  <c r="J228" i="53" s="1"/>
  <c r="J229" i="53" s="1"/>
  <c r="J230" i="53" s="1"/>
  <c r="J231" i="53" s="1"/>
  <c r="I290" i="53"/>
  <c r="I291" i="53" s="1"/>
  <c r="I292" i="53" s="1"/>
  <c r="I293" i="53" s="1"/>
  <c r="I294" i="53" s="1"/>
  <c r="I295" i="53" s="1"/>
  <c r="I296" i="53" s="1"/>
  <c r="I297" i="53" s="1"/>
  <c r="I298" i="53" s="1"/>
  <c r="I299" i="53" s="1"/>
  <c r="I300" i="53" s="1"/>
  <c r="I301" i="53" s="1"/>
  <c r="I302" i="53" s="1"/>
  <c r="I303" i="53" s="1"/>
  <c r="I304" i="53" s="1"/>
  <c r="I305" i="53" s="1"/>
  <c r="I306" i="53" s="1"/>
  <c r="I307" i="53" s="1"/>
  <c r="I252" i="53"/>
  <c r="I253" i="53" s="1"/>
  <c r="I254" i="53" s="1"/>
  <c r="I255" i="53" s="1"/>
  <c r="I256" i="53" s="1"/>
  <c r="I257" i="53" s="1"/>
  <c r="I258" i="53" s="1"/>
  <c r="I259" i="53" s="1"/>
  <c r="I260" i="53" s="1"/>
  <c r="I261" i="53" s="1"/>
  <c r="I262" i="53" s="1"/>
  <c r="I263" i="53" s="1"/>
  <c r="I264" i="53" s="1"/>
  <c r="I265" i="53" s="1"/>
  <c r="I266" i="53" s="1"/>
  <c r="I267" i="53" s="1"/>
  <c r="I268" i="53" s="1"/>
  <c r="I269" i="53" s="1"/>
  <c r="I214" i="53"/>
  <c r="I215" i="53" s="1"/>
  <c r="I216" i="53" s="1"/>
  <c r="I217" i="53" s="1"/>
  <c r="I218" i="53" s="1"/>
  <c r="I219" i="53" s="1"/>
  <c r="I220" i="53" s="1"/>
  <c r="I221" i="53" s="1"/>
  <c r="I222" i="53" s="1"/>
  <c r="I223" i="53" s="1"/>
  <c r="I224" i="53" s="1"/>
  <c r="I225" i="53" s="1"/>
  <c r="I226" i="53" s="1"/>
  <c r="I227" i="53" s="1"/>
  <c r="I228" i="53" s="1"/>
  <c r="I229" i="53" s="1"/>
  <c r="I230" i="53" s="1"/>
  <c r="I231" i="53" s="1"/>
  <c r="T65" i="53"/>
  <c r="H330" i="53"/>
  <c r="Q6" i="53"/>
  <c r="P138" i="53"/>
  <c r="P157" i="53" s="1"/>
  <c r="K64" i="53"/>
  <c r="S271" i="53"/>
  <c r="S272" i="53" s="1"/>
  <c r="S273" i="53" s="1"/>
  <c r="S274" i="53" s="1"/>
  <c r="S275" i="53" s="1"/>
  <c r="S276" i="53" s="1"/>
  <c r="S277" i="53" s="1"/>
  <c r="S278" i="53" s="1"/>
  <c r="S279" i="53" s="1"/>
  <c r="S280" i="53" s="1"/>
  <c r="S281" i="53" s="1"/>
  <c r="S282" i="53" s="1"/>
  <c r="S283" i="53" s="1"/>
  <c r="S284" i="53" s="1"/>
  <c r="S285" i="53" s="1"/>
  <c r="S286" i="53" s="1"/>
  <c r="S287" i="53" s="1"/>
  <c r="S288" i="53" s="1"/>
  <c r="S309" i="53"/>
  <c r="S310" i="53" s="1"/>
  <c r="S311" i="53" s="1"/>
  <c r="S312" i="53" s="1"/>
  <c r="S313" i="53" s="1"/>
  <c r="S314" i="53" s="1"/>
  <c r="S315" i="53" s="1"/>
  <c r="S316" i="53" s="1"/>
  <c r="S317" i="53" s="1"/>
  <c r="S318" i="53" s="1"/>
  <c r="S319" i="53" s="1"/>
  <c r="S320" i="53" s="1"/>
  <c r="S321" i="53" s="1"/>
  <c r="S322" i="53" s="1"/>
  <c r="S323" i="53" s="1"/>
  <c r="S324" i="53" s="1"/>
  <c r="S325" i="53" s="1"/>
  <c r="S326" i="53" s="1"/>
  <c r="S233" i="53"/>
  <c r="S234" i="53" s="1"/>
  <c r="S235" i="53" s="1"/>
  <c r="S236" i="53" s="1"/>
  <c r="S237" i="53" s="1"/>
  <c r="S238" i="53" s="1"/>
  <c r="S239" i="53" s="1"/>
  <c r="S240" i="53" s="1"/>
  <c r="S241" i="53" s="1"/>
  <c r="S242" i="53" s="1"/>
  <c r="S243" i="53" s="1"/>
  <c r="S244" i="53" s="1"/>
  <c r="S245" i="53" s="1"/>
  <c r="S246" i="53" s="1"/>
  <c r="S247" i="53" s="1"/>
  <c r="S248" i="53" s="1"/>
  <c r="S249" i="53" s="1"/>
  <c r="S250" i="53" s="1"/>
  <c r="I309" i="53"/>
  <c r="I310" i="53" s="1"/>
  <c r="I311" i="53" s="1"/>
  <c r="I312" i="53" s="1"/>
  <c r="I313" i="53" s="1"/>
  <c r="I314" i="53" s="1"/>
  <c r="I315" i="53" s="1"/>
  <c r="I316" i="53" s="1"/>
  <c r="I317" i="53" s="1"/>
  <c r="I318" i="53" s="1"/>
  <c r="I319" i="53" s="1"/>
  <c r="I320" i="53" s="1"/>
  <c r="I321" i="53" s="1"/>
  <c r="I322" i="53" s="1"/>
  <c r="I323" i="53" s="1"/>
  <c r="I324" i="53" s="1"/>
  <c r="I325" i="53" s="1"/>
  <c r="I326" i="53" s="1"/>
  <c r="I271" i="53"/>
  <c r="I272" i="53" s="1"/>
  <c r="I273" i="53" s="1"/>
  <c r="I274" i="53" s="1"/>
  <c r="I275" i="53" s="1"/>
  <c r="I276" i="53" s="1"/>
  <c r="I277" i="53" s="1"/>
  <c r="I278" i="53" s="1"/>
  <c r="I279" i="53" s="1"/>
  <c r="I280" i="53" s="1"/>
  <c r="I281" i="53" s="1"/>
  <c r="I282" i="53" s="1"/>
  <c r="I283" i="53" s="1"/>
  <c r="I284" i="53" s="1"/>
  <c r="I285" i="53" s="1"/>
  <c r="I286" i="53" s="1"/>
  <c r="I287" i="53" s="1"/>
  <c r="I288" i="53" s="1"/>
  <c r="I233" i="53"/>
  <c r="I234" i="53" s="1"/>
  <c r="I235" i="53" s="1"/>
  <c r="I236" i="53" s="1"/>
  <c r="I237" i="53" s="1"/>
  <c r="I238" i="53" s="1"/>
  <c r="I239" i="53" s="1"/>
  <c r="I240" i="53" s="1"/>
  <c r="I241" i="53" s="1"/>
  <c r="I242" i="53" s="1"/>
  <c r="I243" i="53" s="1"/>
  <c r="I244" i="53" s="1"/>
  <c r="I245" i="53" s="1"/>
  <c r="I246" i="53" s="1"/>
  <c r="I247" i="53" s="1"/>
  <c r="I248" i="53" s="1"/>
  <c r="I249" i="53" s="1"/>
  <c r="I250" i="53" s="1"/>
  <c r="S119" i="53"/>
  <c r="AC65" i="53"/>
  <c r="AK138" i="53"/>
  <c r="AK119" i="53"/>
  <c r="AA66" i="53"/>
  <c r="K119" i="53"/>
  <c r="AK65" i="53"/>
  <c r="X138" i="53"/>
  <c r="X157" i="53" s="1"/>
  <c r="Q330" i="53"/>
  <c r="R290" i="53"/>
  <c r="R291" i="53" s="1"/>
  <c r="R292" i="53" s="1"/>
  <c r="R293" i="53" s="1"/>
  <c r="R294" i="53" s="1"/>
  <c r="R295" i="53" s="1"/>
  <c r="R296" i="53" s="1"/>
  <c r="R297" i="53" s="1"/>
  <c r="R298" i="53" s="1"/>
  <c r="R299" i="53" s="1"/>
  <c r="R300" i="53" s="1"/>
  <c r="R301" i="53" s="1"/>
  <c r="R302" i="53" s="1"/>
  <c r="R303" i="53" s="1"/>
  <c r="R304" i="53" s="1"/>
  <c r="R305" i="53" s="1"/>
  <c r="R306" i="53" s="1"/>
  <c r="R307" i="53" s="1"/>
  <c r="R252" i="53"/>
  <c r="R253" i="53" s="1"/>
  <c r="R254" i="53" s="1"/>
  <c r="R255" i="53" s="1"/>
  <c r="R256" i="53" s="1"/>
  <c r="R257" i="53" s="1"/>
  <c r="R258" i="53" s="1"/>
  <c r="R259" i="53" s="1"/>
  <c r="R260" i="53" s="1"/>
  <c r="R261" i="53" s="1"/>
  <c r="R262" i="53" s="1"/>
  <c r="R263" i="53" s="1"/>
  <c r="R264" i="53" s="1"/>
  <c r="R265" i="53" s="1"/>
  <c r="R266" i="53" s="1"/>
  <c r="R267" i="53" s="1"/>
  <c r="R268" i="53" s="1"/>
  <c r="R269" i="53" s="1"/>
  <c r="R214" i="53"/>
  <c r="R215" i="53" s="1"/>
  <c r="R216" i="53" s="1"/>
  <c r="R217" i="53" s="1"/>
  <c r="R218" i="53" s="1"/>
  <c r="R219" i="53" s="1"/>
  <c r="R220" i="53" s="1"/>
  <c r="R221" i="53" s="1"/>
  <c r="R222" i="53" s="1"/>
  <c r="R223" i="53" s="1"/>
  <c r="R224" i="53" s="1"/>
  <c r="R225" i="53" s="1"/>
  <c r="R226" i="53" s="1"/>
  <c r="R227" i="53" s="1"/>
  <c r="R228" i="53" s="1"/>
  <c r="R229" i="53" s="1"/>
  <c r="R230" i="53" s="1"/>
  <c r="R231" i="53" s="1"/>
  <c r="R119" i="53"/>
  <c r="AJ64" i="53"/>
  <c r="I67" i="53"/>
  <c r="F120" i="53"/>
  <c r="F7" i="53" s="1"/>
  <c r="F82" i="53"/>
  <c r="F25" i="53"/>
  <c r="F44" i="53" s="1"/>
  <c r="AL64" i="53"/>
  <c r="AH82" i="53"/>
  <c r="AH120" i="53"/>
  <c r="AH7" i="53" s="1"/>
  <c r="AH25" i="53"/>
  <c r="AH139" i="53" s="1"/>
  <c r="H65" i="53"/>
  <c r="AM119" i="53"/>
  <c r="H349" i="53"/>
  <c r="J119" i="53"/>
  <c r="AI43" i="53"/>
  <c r="AI157" i="53" s="1"/>
  <c r="AJ138" i="53"/>
  <c r="AJ119" i="53"/>
  <c r="O138" i="53"/>
  <c r="O157" i="53" s="1"/>
  <c r="X81" i="25"/>
  <c r="X6" i="25" s="1"/>
  <c r="X44" i="25" s="1"/>
  <c r="AH81" i="25"/>
  <c r="AM81" i="25" s="1"/>
  <c r="AM119" i="25" s="1"/>
  <c r="AH6" i="52"/>
  <c r="AH82" i="52" s="1"/>
  <c r="AJ119" i="52"/>
  <c r="AK119" i="52"/>
  <c r="AL119" i="52"/>
  <c r="O119" i="52"/>
  <c r="O6" i="52" s="1"/>
  <c r="O120" i="52" s="1"/>
  <c r="O139" i="52" s="1"/>
  <c r="F119" i="52"/>
  <c r="F6" i="52" s="1"/>
  <c r="P82" i="52"/>
  <c r="P138" i="52"/>
  <c r="P157" i="52" s="1"/>
  <c r="P120" i="52"/>
  <c r="P7" i="52" s="1"/>
  <c r="P26" i="52" s="1"/>
  <c r="P45" i="52" s="1"/>
  <c r="X119" i="52"/>
  <c r="Z119" i="52" s="1"/>
  <c r="Z138" i="52" s="1"/>
  <c r="AH157" i="52"/>
  <c r="AJ157" i="52" s="1"/>
  <c r="Y138" i="52"/>
  <c r="Y157" i="52" s="1"/>
  <c r="G138" i="52"/>
  <c r="G157" i="52" s="1"/>
  <c r="G7" i="52"/>
  <c r="G82" i="52"/>
  <c r="G25" i="52"/>
  <c r="G44" i="52" s="1"/>
  <c r="AJ65" i="52"/>
  <c r="AL76" i="52"/>
  <c r="AI25" i="52"/>
  <c r="AI139" i="52" s="1"/>
  <c r="AI82" i="52"/>
  <c r="AI120" i="52"/>
  <c r="R43" i="52"/>
  <c r="R214" i="52"/>
  <c r="R215" i="52" s="1"/>
  <c r="R216" i="52" s="1"/>
  <c r="R217" i="52" s="1"/>
  <c r="R218" i="52" s="1"/>
  <c r="R219" i="52" s="1"/>
  <c r="R220" i="52" s="1"/>
  <c r="R221" i="52" s="1"/>
  <c r="R222" i="52" s="1"/>
  <c r="R223" i="52" s="1"/>
  <c r="R224" i="52" s="1"/>
  <c r="R225" i="52" s="1"/>
  <c r="R226" i="52" s="1"/>
  <c r="R227" i="52" s="1"/>
  <c r="R228" i="52" s="1"/>
  <c r="R229" i="52" s="1"/>
  <c r="R230" i="52" s="1"/>
  <c r="R231" i="52" s="1"/>
  <c r="R252" i="52"/>
  <c r="R253" i="52" s="1"/>
  <c r="R254" i="52" s="1"/>
  <c r="R255" i="52" s="1"/>
  <c r="R256" i="52" s="1"/>
  <c r="R257" i="52" s="1"/>
  <c r="R258" i="52" s="1"/>
  <c r="R259" i="52" s="1"/>
  <c r="R260" i="52" s="1"/>
  <c r="R261" i="52" s="1"/>
  <c r="R262" i="52" s="1"/>
  <c r="R263" i="52" s="1"/>
  <c r="R264" i="52" s="1"/>
  <c r="R265" i="52" s="1"/>
  <c r="R266" i="52" s="1"/>
  <c r="R267" i="52" s="1"/>
  <c r="R268" i="52" s="1"/>
  <c r="R269" i="52" s="1"/>
  <c r="R290" i="52"/>
  <c r="R291" i="52" s="1"/>
  <c r="R292" i="52" s="1"/>
  <c r="R293" i="52" s="1"/>
  <c r="R294" i="52" s="1"/>
  <c r="R295" i="52" s="1"/>
  <c r="R296" i="52" s="1"/>
  <c r="R297" i="52" s="1"/>
  <c r="R298" i="52" s="1"/>
  <c r="R299" i="52" s="1"/>
  <c r="R300" i="52" s="1"/>
  <c r="R301" i="52" s="1"/>
  <c r="R302" i="52" s="1"/>
  <c r="R303" i="52" s="1"/>
  <c r="R304" i="52" s="1"/>
  <c r="R305" i="52" s="1"/>
  <c r="R306" i="52" s="1"/>
  <c r="R307" i="52" s="1"/>
  <c r="AB69" i="52"/>
  <c r="H218" i="52"/>
  <c r="AC64" i="52"/>
  <c r="AA65" i="52"/>
  <c r="H65" i="52"/>
  <c r="R66" i="52"/>
  <c r="Q233" i="52"/>
  <c r="Q271" i="52"/>
  <c r="Q309" i="52"/>
  <c r="AK65" i="52"/>
  <c r="I71" i="52"/>
  <c r="Q214" i="52"/>
  <c r="Q290" i="52"/>
  <c r="Q252" i="52"/>
  <c r="Q64" i="52"/>
  <c r="Z65" i="52"/>
  <c r="S67" i="52"/>
  <c r="AN214" i="52"/>
  <c r="AN252" i="52"/>
  <c r="AN290" i="52"/>
  <c r="AN328" i="52"/>
  <c r="T252" i="52"/>
  <c r="T253" i="52" s="1"/>
  <c r="T254" i="52" s="1"/>
  <c r="T255" i="52" s="1"/>
  <c r="T256" i="52" s="1"/>
  <c r="T257" i="52" s="1"/>
  <c r="T258" i="52" s="1"/>
  <c r="T259" i="52" s="1"/>
  <c r="T260" i="52" s="1"/>
  <c r="T261" i="52" s="1"/>
  <c r="T262" i="52" s="1"/>
  <c r="T263" i="52" s="1"/>
  <c r="T264" i="52" s="1"/>
  <c r="T265" i="52" s="1"/>
  <c r="T266" i="52" s="1"/>
  <c r="T267" i="52" s="1"/>
  <c r="T268" i="52" s="1"/>
  <c r="T269" i="52" s="1"/>
  <c r="T290" i="52"/>
  <c r="T291" i="52" s="1"/>
  <c r="T292" i="52" s="1"/>
  <c r="T293" i="52" s="1"/>
  <c r="T294" i="52" s="1"/>
  <c r="T295" i="52" s="1"/>
  <c r="T296" i="52" s="1"/>
  <c r="T297" i="52" s="1"/>
  <c r="T298" i="52" s="1"/>
  <c r="T299" i="52" s="1"/>
  <c r="T300" i="52" s="1"/>
  <c r="T301" i="52" s="1"/>
  <c r="T302" i="52" s="1"/>
  <c r="T303" i="52" s="1"/>
  <c r="T304" i="52" s="1"/>
  <c r="T305" i="52" s="1"/>
  <c r="T306" i="52" s="1"/>
  <c r="T307" i="52" s="1"/>
  <c r="T214" i="52"/>
  <c r="T215" i="52" s="1"/>
  <c r="T216" i="52" s="1"/>
  <c r="T217" i="52" s="1"/>
  <c r="T218" i="52" s="1"/>
  <c r="T219" i="52" s="1"/>
  <c r="T220" i="52" s="1"/>
  <c r="T221" i="52" s="1"/>
  <c r="T222" i="52" s="1"/>
  <c r="T223" i="52" s="1"/>
  <c r="T224" i="52" s="1"/>
  <c r="T225" i="52" s="1"/>
  <c r="T226" i="52" s="1"/>
  <c r="T227" i="52" s="1"/>
  <c r="T228" i="52" s="1"/>
  <c r="T229" i="52" s="1"/>
  <c r="T230" i="52" s="1"/>
  <c r="T231" i="52" s="1"/>
  <c r="AN233" i="52"/>
  <c r="AN271" i="52"/>
  <c r="AN309" i="52"/>
  <c r="AN347" i="52"/>
  <c r="T66" i="52"/>
  <c r="G139" i="52"/>
  <c r="G158" i="52" s="1"/>
  <c r="T43" i="52"/>
  <c r="Y25" i="52"/>
  <c r="Y44" i="52" s="1"/>
  <c r="Y82" i="52"/>
  <c r="Y120" i="52"/>
  <c r="U328" i="52"/>
  <c r="E72" i="27"/>
  <c r="E73" i="27" s="1"/>
  <c r="E74" i="27" s="1"/>
  <c r="E75" i="27" s="1"/>
  <c r="E76" i="27" s="1"/>
  <c r="E77" i="27" s="1"/>
  <c r="E78" i="27" s="1"/>
  <c r="F105" i="27"/>
  <c r="I120" i="27"/>
  <c r="H126" i="27"/>
  <c r="G121" i="27"/>
  <c r="E100" i="27"/>
  <c r="Q4" i="27"/>
  <c r="Q118" i="27" s="1"/>
  <c r="V4" i="27"/>
  <c r="V80" i="27" s="1"/>
  <c r="AC4" i="27"/>
  <c r="AC99" i="27" s="1"/>
  <c r="D118" i="27"/>
  <c r="F15" i="27"/>
  <c r="F129" i="27" s="1"/>
  <c r="E9" i="27"/>
  <c r="E123" i="27" s="1"/>
  <c r="I21" i="27"/>
  <c r="I116" i="27" s="1"/>
  <c r="F14" i="27"/>
  <c r="F109" i="27" s="1"/>
  <c r="I18" i="27"/>
  <c r="I132" i="27" s="1"/>
  <c r="E16" i="27"/>
  <c r="E130" i="27" s="1"/>
  <c r="E8" i="27"/>
  <c r="E122" i="27" s="1"/>
  <c r="D10" i="27"/>
  <c r="D124" i="27" s="1"/>
  <c r="D9" i="27"/>
  <c r="D123" i="27" s="1"/>
  <c r="D8" i="27"/>
  <c r="D122" i="27" s="1"/>
  <c r="G19" i="27"/>
  <c r="G133" i="27" s="1"/>
  <c r="G13" i="27"/>
  <c r="G21" i="27"/>
  <c r="G135" i="27" s="1"/>
  <c r="P4" i="27"/>
  <c r="U4" i="27"/>
  <c r="U118" i="27" s="1"/>
  <c r="I16" i="27"/>
  <c r="I130" i="27" s="1"/>
  <c r="E99" i="27"/>
  <c r="H10" i="27"/>
  <c r="H105" i="27" s="1"/>
  <c r="D13" i="27"/>
  <c r="D127" i="27" s="1"/>
  <c r="I15" i="27"/>
  <c r="I129" i="27" s="1"/>
  <c r="G8" i="27"/>
  <c r="G122" i="27" s="1"/>
  <c r="F13" i="27"/>
  <c r="F127" i="27" s="1"/>
  <c r="D99" i="27"/>
  <c r="F5" i="27"/>
  <c r="F100" i="27" s="1"/>
  <c r="G20" i="27"/>
  <c r="G115" i="27" s="1"/>
  <c r="F99" i="27"/>
  <c r="I19" i="27"/>
  <c r="I133" i="27" s="1"/>
  <c r="H19" i="27"/>
  <c r="H133" i="27" s="1"/>
  <c r="E6" i="27"/>
  <c r="E120" i="27" s="1"/>
  <c r="H16" i="27"/>
  <c r="H111" i="27" s="1"/>
  <c r="F19" i="27"/>
  <c r="F114" i="27" s="1"/>
  <c r="I118" i="27"/>
  <c r="O4" i="27"/>
  <c r="O99" i="27" s="1"/>
  <c r="Y4" i="27"/>
  <c r="Y99" i="27" s="1"/>
  <c r="P118" i="27"/>
  <c r="H5" i="27"/>
  <c r="H119" i="27" s="1"/>
  <c r="G18" i="27"/>
  <c r="G132" i="27" s="1"/>
  <c r="F12" i="27"/>
  <c r="F126" i="27" s="1"/>
  <c r="D21" i="27"/>
  <c r="D135" i="27" s="1"/>
  <c r="G17" i="27"/>
  <c r="G131" i="27" s="1"/>
  <c r="I10" i="27"/>
  <c r="I124" i="27" s="1"/>
  <c r="D11" i="27"/>
  <c r="D125" i="27" s="1"/>
  <c r="I17" i="27"/>
  <c r="I131" i="27" s="1"/>
  <c r="F16" i="27"/>
  <c r="F130" i="27" s="1"/>
  <c r="H17" i="27"/>
  <c r="H131" i="27" s="1"/>
  <c r="F11" i="27"/>
  <c r="F106" i="27" s="1"/>
  <c r="F17" i="27"/>
  <c r="F112" i="27" s="1"/>
  <c r="G14" i="27"/>
  <c r="G109" i="27" s="1"/>
  <c r="G16" i="27"/>
  <c r="G130" i="27" s="1"/>
  <c r="H118" i="27"/>
  <c r="N4" i="27"/>
  <c r="N80" i="27" s="1"/>
  <c r="AB4" i="27"/>
  <c r="AB118" i="27" s="1"/>
  <c r="P80" i="27"/>
  <c r="AC80" i="27"/>
  <c r="P99" i="27"/>
  <c r="F7" i="27"/>
  <c r="F121" i="27" s="1"/>
  <c r="E20" i="27"/>
  <c r="E134" i="27" s="1"/>
  <c r="I13" i="27"/>
  <c r="I127" i="27" s="1"/>
  <c r="F6" i="27"/>
  <c r="F101" i="27" s="1"/>
  <c r="E19" i="27"/>
  <c r="E114" i="27" s="1"/>
  <c r="F8" i="27"/>
  <c r="F122" i="27" s="1"/>
  <c r="I20" i="27"/>
  <c r="I134" i="27" s="1"/>
  <c r="H99" i="27"/>
  <c r="E15" i="27"/>
  <c r="E129" i="27" s="1"/>
  <c r="I14" i="27"/>
  <c r="I128" i="27" s="1"/>
  <c r="H14" i="27"/>
  <c r="H128" i="27" s="1"/>
  <c r="H11" i="27"/>
  <c r="H125" i="27" s="1"/>
  <c r="E14" i="27"/>
  <c r="E109" i="27" s="1"/>
  <c r="G118" i="27"/>
  <c r="M4" i="27"/>
  <c r="M80" i="27" s="1"/>
  <c r="AG4" i="27"/>
  <c r="AG118" i="27" s="1"/>
  <c r="I8" i="27"/>
  <c r="I122" i="27" s="1"/>
  <c r="H21" i="27"/>
  <c r="H135" i="27" s="1"/>
  <c r="G15" i="27"/>
  <c r="G129" i="27" s="1"/>
  <c r="I7" i="27"/>
  <c r="I121" i="27" s="1"/>
  <c r="H20" i="27"/>
  <c r="H134" i="27" s="1"/>
  <c r="G5" i="27"/>
  <c r="G119" i="27" s="1"/>
  <c r="E18" i="27"/>
  <c r="E113" i="27" s="1"/>
  <c r="D16" i="27"/>
  <c r="D130" i="27" s="1"/>
  <c r="I12" i="27"/>
  <c r="I126" i="27" s="1"/>
  <c r="G12" i="27"/>
  <c r="G126" i="27" s="1"/>
  <c r="I11" i="27"/>
  <c r="I106" i="27" s="1"/>
  <c r="F9" i="27"/>
  <c r="F123" i="27" s="1"/>
  <c r="G11" i="27"/>
  <c r="G125" i="27" s="1"/>
  <c r="F118" i="27"/>
  <c r="D131" i="27"/>
  <c r="T4" i="27"/>
  <c r="T80" i="27" s="1"/>
  <c r="AF4" i="27"/>
  <c r="AF80" i="27" s="1"/>
  <c r="AB99" i="27"/>
  <c r="G10" i="27"/>
  <c r="G105" i="27" s="1"/>
  <c r="D12" i="27"/>
  <c r="D126" i="27" s="1"/>
  <c r="E17" i="27"/>
  <c r="E112" i="27" s="1"/>
  <c r="G9" i="27"/>
  <c r="G123" i="27" s="1"/>
  <c r="D7" i="27"/>
  <c r="D121" i="27" s="1"/>
  <c r="D14" i="27"/>
  <c r="D128" i="27" s="1"/>
  <c r="H15" i="27"/>
  <c r="H129" i="27" s="1"/>
  <c r="E10" i="27"/>
  <c r="E105" i="27" s="1"/>
  <c r="I9" i="27"/>
  <c r="I123" i="27" s="1"/>
  <c r="H9" i="27"/>
  <c r="H123" i="27" s="1"/>
  <c r="H6" i="27"/>
  <c r="H120" i="27" s="1"/>
  <c r="H8" i="27"/>
  <c r="H122" i="27" s="1"/>
  <c r="E118" i="27"/>
  <c r="X4" i="27"/>
  <c r="X99" i="27" s="1"/>
  <c r="AE4" i="27"/>
  <c r="AE118" i="27" s="1"/>
  <c r="E12" i="27"/>
  <c r="E126" i="27" s="1"/>
  <c r="D20" i="27"/>
  <c r="D115" i="27" s="1"/>
  <c r="I5" i="27"/>
  <c r="I119" i="27" s="1"/>
  <c r="H18" i="27"/>
  <c r="H132" i="27" s="1"/>
  <c r="G99" i="27"/>
  <c r="E11" i="27"/>
  <c r="E106" i="27" s="1"/>
  <c r="D15" i="27"/>
  <c r="D129" i="27" s="1"/>
  <c r="E21" i="27"/>
  <c r="E135" i="27" s="1"/>
  <c r="I99" i="27"/>
  <c r="E13" i="27"/>
  <c r="E127" i="27" s="1"/>
  <c r="H7" i="27"/>
  <c r="H121" i="27" s="1"/>
  <c r="E7" i="27"/>
  <c r="E121" i="27" s="1"/>
  <c r="D18" i="27"/>
  <c r="D132" i="27" s="1"/>
  <c r="G6" i="27"/>
  <c r="G120" i="27" s="1"/>
  <c r="L4" i="27"/>
  <c r="L99" i="27" s="1"/>
  <c r="W4" i="27"/>
  <c r="W99" i="27" s="1"/>
  <c r="AD4" i="27"/>
  <c r="AD80" i="27" s="1"/>
  <c r="V118" i="27"/>
  <c r="H13" i="27"/>
  <c r="H108" i="27" s="1"/>
  <c r="F20" i="27"/>
  <c r="F134" i="27" s="1"/>
  <c r="F18" i="27"/>
  <c r="F113" i="27" s="1"/>
  <c r="F21" i="27"/>
  <c r="F116" i="27" s="1"/>
  <c r="D5" i="27"/>
  <c r="D119" i="27" s="1"/>
  <c r="D19" i="27"/>
  <c r="D133" i="27" s="1"/>
  <c r="D6" i="27"/>
  <c r="D120" i="27" s="1"/>
  <c r="F124" i="27"/>
  <c r="E119" i="27"/>
  <c r="G102" i="27"/>
  <c r="D112" i="27"/>
  <c r="H107" i="27"/>
  <c r="U52" i="27"/>
  <c r="U53" i="27" s="1"/>
  <c r="U54" i="27" s="1"/>
  <c r="U55" i="27" s="1"/>
  <c r="U56" i="27" s="1"/>
  <c r="U57" i="27" s="1"/>
  <c r="U58" i="27" s="1"/>
  <c r="U59" i="27" s="1"/>
  <c r="I101" i="27"/>
  <c r="T55" i="27"/>
  <c r="AE54" i="27"/>
  <c r="L59" i="27"/>
  <c r="P57" i="27"/>
  <c r="AC56" i="27"/>
  <c r="N59" i="27"/>
  <c r="J158" i="39"/>
  <c r="J159" i="39" s="1"/>
  <c r="J160" i="39" s="1"/>
  <c r="J161" i="39" s="1"/>
  <c r="J162" i="39" s="1"/>
  <c r="J163" i="39" s="1"/>
  <c r="J164" i="39" s="1"/>
  <c r="J165" i="39" s="1"/>
  <c r="J166" i="39" s="1"/>
  <c r="J167" i="39" s="1"/>
  <c r="J168" i="39" s="1"/>
  <c r="J169" i="39" s="1"/>
  <c r="J170" i="39" s="1"/>
  <c r="J171" i="39" s="1"/>
  <c r="J172" i="39" s="1"/>
  <c r="J173" i="39" s="1"/>
  <c r="J174" i="39" s="1"/>
  <c r="H101" i="39"/>
  <c r="H102" i="39" s="1"/>
  <c r="H103" i="39" s="1"/>
  <c r="H104" i="39" s="1"/>
  <c r="H105" i="39" s="1"/>
  <c r="H106" i="39" s="1"/>
  <c r="H107" i="39" s="1"/>
  <c r="H108" i="39" s="1"/>
  <c r="H109" i="39" s="1"/>
  <c r="H110" i="39" s="1"/>
  <c r="H111" i="39" s="1"/>
  <c r="H112" i="39" s="1"/>
  <c r="H113" i="39" s="1"/>
  <c r="H114" i="39" s="1"/>
  <c r="H115" i="39" s="1"/>
  <c r="H116" i="39" s="1"/>
  <c r="H117" i="39" s="1"/>
  <c r="I196" i="39"/>
  <c r="I197" i="39" s="1"/>
  <c r="I198" i="39" s="1"/>
  <c r="I199" i="39" s="1"/>
  <c r="I200" i="39" s="1"/>
  <c r="I201" i="39" s="1"/>
  <c r="I202" i="39" s="1"/>
  <c r="I203" i="39" s="1"/>
  <c r="I204" i="39" s="1"/>
  <c r="I205" i="39" s="1"/>
  <c r="I206" i="39" s="1"/>
  <c r="I207" i="39" s="1"/>
  <c r="I208" i="39" s="1"/>
  <c r="I209" i="39" s="1"/>
  <c r="I210" i="39" s="1"/>
  <c r="I211" i="39" s="1"/>
  <c r="I212" i="39" s="1"/>
  <c r="K158" i="39"/>
  <c r="K159" i="39" s="1"/>
  <c r="K160" i="39" s="1"/>
  <c r="K161" i="39" s="1"/>
  <c r="K162" i="39" s="1"/>
  <c r="K163" i="39" s="1"/>
  <c r="K164" i="39" s="1"/>
  <c r="K165" i="39" s="1"/>
  <c r="K166" i="39" s="1"/>
  <c r="K167" i="39" s="1"/>
  <c r="K168" i="39" s="1"/>
  <c r="K169" i="39" s="1"/>
  <c r="K170" i="39" s="1"/>
  <c r="K171" i="39" s="1"/>
  <c r="K172" i="39" s="1"/>
  <c r="K173" i="39" s="1"/>
  <c r="K174" i="39" s="1"/>
  <c r="H196" i="39"/>
  <c r="H197" i="39" s="1"/>
  <c r="H198" i="39" s="1"/>
  <c r="H199" i="39" s="1"/>
  <c r="G101" i="39"/>
  <c r="G102" i="39" s="1"/>
  <c r="G103" i="39" s="1"/>
  <c r="G104" i="39" s="1"/>
  <c r="G105" i="39" s="1"/>
  <c r="G106" i="39" s="1"/>
  <c r="G107" i="39" s="1"/>
  <c r="G108" i="39" s="1"/>
  <c r="G109" i="39" s="1"/>
  <c r="G110" i="39" s="1"/>
  <c r="G111" i="39" s="1"/>
  <c r="G112" i="39" s="1"/>
  <c r="G113" i="39" s="1"/>
  <c r="G114" i="39" s="1"/>
  <c r="G115" i="39" s="1"/>
  <c r="G116" i="39" s="1"/>
  <c r="G117" i="39" s="1"/>
  <c r="J177" i="41"/>
  <c r="J178" i="41" s="1"/>
  <c r="J179" i="41" s="1"/>
  <c r="J180" i="41" s="1"/>
  <c r="J181" i="41" s="1"/>
  <c r="J182" i="41" s="1"/>
  <c r="J183" i="41" s="1"/>
  <c r="J184" i="41" s="1"/>
  <c r="J185" i="41" s="1"/>
  <c r="J186" i="41" s="1"/>
  <c r="J187" i="41" s="1"/>
  <c r="J188" i="41" s="1"/>
  <c r="J189" i="41" s="1"/>
  <c r="J190" i="41" s="1"/>
  <c r="J191" i="41" s="1"/>
  <c r="J192" i="41" s="1"/>
  <c r="J193" i="41" s="1"/>
  <c r="I177" i="41"/>
  <c r="I178" i="41" s="1"/>
  <c r="I179" i="41" s="1"/>
  <c r="I180" i="41" s="1"/>
  <c r="I181" i="41" s="1"/>
  <c r="I182" i="41" s="1"/>
  <c r="I183" i="41" s="1"/>
  <c r="I184" i="41" s="1"/>
  <c r="I185" i="41" s="1"/>
  <c r="I186" i="41" s="1"/>
  <c r="I187" i="41" s="1"/>
  <c r="I188" i="41" s="1"/>
  <c r="I189" i="41" s="1"/>
  <c r="I190" i="41" s="1"/>
  <c r="I191" i="41" s="1"/>
  <c r="I192" i="41" s="1"/>
  <c r="I193" i="41" s="1"/>
  <c r="I158" i="39"/>
  <c r="I159" i="39" s="1"/>
  <c r="I160" i="39" s="1"/>
  <c r="I161" i="39" s="1"/>
  <c r="I162" i="39" s="1"/>
  <c r="I163" i="39" s="1"/>
  <c r="I164" i="39" s="1"/>
  <c r="I165" i="39" s="1"/>
  <c r="I166" i="39" s="1"/>
  <c r="I167" i="39" s="1"/>
  <c r="I168" i="39" s="1"/>
  <c r="I169" i="39" s="1"/>
  <c r="I170" i="39" s="1"/>
  <c r="I171" i="39" s="1"/>
  <c r="I172" i="39" s="1"/>
  <c r="I173" i="39" s="1"/>
  <c r="I174" i="39" s="1"/>
  <c r="F101" i="39"/>
  <c r="F102" i="39" s="1"/>
  <c r="F103" i="39" s="1"/>
  <c r="F104" i="39" s="1"/>
  <c r="F105" i="39" s="1"/>
  <c r="F106" i="39" s="1"/>
  <c r="F107" i="39" s="1"/>
  <c r="F108" i="39" s="1"/>
  <c r="F109" i="39" s="1"/>
  <c r="F110" i="39" s="1"/>
  <c r="F111" i="39" s="1"/>
  <c r="F112" i="39" s="1"/>
  <c r="F113" i="39" s="1"/>
  <c r="F114" i="39" s="1"/>
  <c r="F115" i="39" s="1"/>
  <c r="F116" i="39" s="1"/>
  <c r="F117" i="39" s="1"/>
  <c r="H177" i="41"/>
  <c r="H178" i="41" s="1"/>
  <c r="I348" i="47"/>
  <c r="I349" i="47" s="1"/>
  <c r="I350" i="47" s="1"/>
  <c r="I351" i="47" s="1"/>
  <c r="I352" i="47" s="1"/>
  <c r="I353" i="47" s="1"/>
  <c r="I354" i="47" s="1"/>
  <c r="I355" i="47" s="1"/>
  <c r="I356" i="47" s="1"/>
  <c r="I357" i="47" s="1"/>
  <c r="I358" i="47" s="1"/>
  <c r="I359" i="47" s="1"/>
  <c r="I360" i="47" s="1"/>
  <c r="I361" i="47" s="1"/>
  <c r="I362" i="47" s="1"/>
  <c r="I363" i="47" s="1"/>
  <c r="I364" i="47" s="1"/>
  <c r="H158" i="39"/>
  <c r="J101" i="41"/>
  <c r="J177" i="39"/>
  <c r="J178" i="39" s="1"/>
  <c r="J179" i="39" s="1"/>
  <c r="J180" i="39" s="1"/>
  <c r="J181" i="39" s="1"/>
  <c r="J182" i="39" s="1"/>
  <c r="J183" i="39" s="1"/>
  <c r="J184" i="39" s="1"/>
  <c r="J185" i="39" s="1"/>
  <c r="J186" i="39" s="1"/>
  <c r="J187" i="39" s="1"/>
  <c r="J188" i="39" s="1"/>
  <c r="J189" i="39" s="1"/>
  <c r="J190" i="39" s="1"/>
  <c r="J191" i="39" s="1"/>
  <c r="J192" i="39" s="1"/>
  <c r="J193" i="39" s="1"/>
  <c r="K139" i="39"/>
  <c r="K140" i="39" s="1"/>
  <c r="K141" i="39" s="1"/>
  <c r="K142" i="39" s="1"/>
  <c r="K143" i="39" s="1"/>
  <c r="K144" i="39" s="1"/>
  <c r="K145" i="39" s="1"/>
  <c r="K146" i="39" s="1"/>
  <c r="K147" i="39" s="1"/>
  <c r="K148" i="39" s="1"/>
  <c r="K149" i="39" s="1"/>
  <c r="K150" i="39" s="1"/>
  <c r="K151" i="39" s="1"/>
  <c r="K152" i="39" s="1"/>
  <c r="K153" i="39" s="1"/>
  <c r="K154" i="39" s="1"/>
  <c r="K155" i="39" s="1"/>
  <c r="I139" i="39"/>
  <c r="I140" i="39" s="1"/>
  <c r="I141" i="39" s="1"/>
  <c r="I142" i="39" s="1"/>
  <c r="I143" i="39" s="1"/>
  <c r="I144" i="39" s="1"/>
  <c r="I145" i="39" s="1"/>
  <c r="I146" i="39" s="1"/>
  <c r="I147" i="39" s="1"/>
  <c r="I148" i="39" s="1"/>
  <c r="I149" i="39" s="1"/>
  <c r="I150" i="39" s="1"/>
  <c r="I151" i="39" s="1"/>
  <c r="I152" i="39" s="1"/>
  <c r="I153" i="39" s="1"/>
  <c r="I154" i="39" s="1"/>
  <c r="I155" i="39" s="1"/>
  <c r="F101" i="41"/>
  <c r="F102" i="41" s="1"/>
  <c r="F103" i="41" s="1"/>
  <c r="F104" i="41" s="1"/>
  <c r="F105" i="41" s="1"/>
  <c r="F106" i="41" s="1"/>
  <c r="F107" i="41" s="1"/>
  <c r="F108" i="41" s="1"/>
  <c r="F109" i="41" s="1"/>
  <c r="F110" i="41" s="1"/>
  <c r="F111" i="41" s="1"/>
  <c r="F112" i="41" s="1"/>
  <c r="F113" i="41" s="1"/>
  <c r="F114" i="41" s="1"/>
  <c r="F115" i="41" s="1"/>
  <c r="F116" i="41" s="1"/>
  <c r="F117" i="41" s="1"/>
  <c r="I158" i="41"/>
  <c r="I159" i="41" s="1"/>
  <c r="I160" i="41" s="1"/>
  <c r="I161" i="41" s="1"/>
  <c r="I162" i="41" s="1"/>
  <c r="I163" i="41" s="1"/>
  <c r="I164" i="41" s="1"/>
  <c r="I165" i="41" s="1"/>
  <c r="I166" i="41" s="1"/>
  <c r="I167" i="41" s="1"/>
  <c r="I168" i="41" s="1"/>
  <c r="I169" i="41" s="1"/>
  <c r="I170" i="41" s="1"/>
  <c r="I171" i="41" s="1"/>
  <c r="I172" i="41" s="1"/>
  <c r="I173" i="41" s="1"/>
  <c r="I174" i="41" s="1"/>
  <c r="J139" i="39"/>
  <c r="J140" i="39" s="1"/>
  <c r="J141" i="39" s="1"/>
  <c r="J142" i="39" s="1"/>
  <c r="J143" i="39" s="1"/>
  <c r="J144" i="39" s="1"/>
  <c r="J145" i="39" s="1"/>
  <c r="J146" i="39" s="1"/>
  <c r="J147" i="39" s="1"/>
  <c r="J148" i="39" s="1"/>
  <c r="J149" i="39" s="1"/>
  <c r="J150" i="39" s="1"/>
  <c r="J151" i="39" s="1"/>
  <c r="J152" i="39" s="1"/>
  <c r="J153" i="39" s="1"/>
  <c r="J154" i="39" s="1"/>
  <c r="J155" i="39" s="1"/>
  <c r="K196" i="39"/>
  <c r="K197" i="39" s="1"/>
  <c r="K198" i="39" s="1"/>
  <c r="K199" i="39" s="1"/>
  <c r="K200" i="39" s="1"/>
  <c r="K201" i="39" s="1"/>
  <c r="K202" i="39" s="1"/>
  <c r="K203" i="39" s="1"/>
  <c r="K204" i="39" s="1"/>
  <c r="K205" i="39" s="1"/>
  <c r="K206" i="39" s="1"/>
  <c r="K207" i="39" s="1"/>
  <c r="K208" i="39" s="1"/>
  <c r="K209" i="39" s="1"/>
  <c r="K210" i="39" s="1"/>
  <c r="K211" i="39" s="1"/>
  <c r="K212" i="39" s="1"/>
  <c r="H139" i="39"/>
  <c r="H140" i="39" s="1"/>
  <c r="H141" i="39" s="1"/>
  <c r="J101" i="39"/>
  <c r="J102" i="39" s="1"/>
  <c r="J103" i="39" s="1"/>
  <c r="J104" i="39" s="1"/>
  <c r="J105" i="39" s="1"/>
  <c r="J106" i="39" s="1"/>
  <c r="J107" i="39" s="1"/>
  <c r="J108" i="39" s="1"/>
  <c r="J109" i="39" s="1"/>
  <c r="J110" i="39" s="1"/>
  <c r="J111" i="39" s="1"/>
  <c r="J112" i="39" s="1"/>
  <c r="J113" i="39" s="1"/>
  <c r="J114" i="39" s="1"/>
  <c r="J115" i="39" s="1"/>
  <c r="J116" i="39" s="1"/>
  <c r="J117" i="39" s="1"/>
  <c r="K101" i="41"/>
  <c r="K102" i="41" s="1"/>
  <c r="K103" i="41" s="1"/>
  <c r="K104" i="41" s="1"/>
  <c r="K105" i="41" s="1"/>
  <c r="K106" i="41" s="1"/>
  <c r="K107" i="41" s="1"/>
  <c r="K108" i="41" s="1"/>
  <c r="K109" i="41" s="1"/>
  <c r="K110" i="41" s="1"/>
  <c r="K111" i="41" s="1"/>
  <c r="K112" i="41" s="1"/>
  <c r="K113" i="41" s="1"/>
  <c r="K114" i="41" s="1"/>
  <c r="K115" i="41" s="1"/>
  <c r="K116" i="41" s="1"/>
  <c r="K117" i="41" s="1"/>
  <c r="K101" i="39"/>
  <c r="K102" i="39" s="1"/>
  <c r="K103" i="39" s="1"/>
  <c r="K104" i="39" s="1"/>
  <c r="K105" i="39" s="1"/>
  <c r="K106" i="39" s="1"/>
  <c r="K107" i="39" s="1"/>
  <c r="K108" i="39" s="1"/>
  <c r="K109" i="39" s="1"/>
  <c r="K110" i="39" s="1"/>
  <c r="K111" i="39" s="1"/>
  <c r="K112" i="39" s="1"/>
  <c r="K113" i="39" s="1"/>
  <c r="K114" i="39" s="1"/>
  <c r="K115" i="39" s="1"/>
  <c r="K116" i="39" s="1"/>
  <c r="K117" i="39" s="1"/>
  <c r="J196" i="39"/>
  <c r="J197" i="39" s="1"/>
  <c r="J198" i="39" s="1"/>
  <c r="J199" i="39" s="1"/>
  <c r="J200" i="39" s="1"/>
  <c r="J201" i="39" s="1"/>
  <c r="J202" i="39" s="1"/>
  <c r="J203" i="39" s="1"/>
  <c r="J204" i="39" s="1"/>
  <c r="J205" i="39" s="1"/>
  <c r="J206" i="39" s="1"/>
  <c r="J207" i="39" s="1"/>
  <c r="J208" i="39" s="1"/>
  <c r="J209" i="39" s="1"/>
  <c r="J210" i="39" s="1"/>
  <c r="J211" i="39" s="1"/>
  <c r="J212" i="39" s="1"/>
  <c r="I101" i="39"/>
  <c r="I102" i="39" s="1"/>
  <c r="I103" i="39" s="1"/>
  <c r="I104" i="39" s="1"/>
  <c r="I105" i="39" s="1"/>
  <c r="I106" i="39" s="1"/>
  <c r="I107" i="39" s="1"/>
  <c r="I108" i="39" s="1"/>
  <c r="I109" i="39" s="1"/>
  <c r="I110" i="39" s="1"/>
  <c r="I111" i="39" s="1"/>
  <c r="I112" i="39" s="1"/>
  <c r="I113" i="39" s="1"/>
  <c r="I114" i="39" s="1"/>
  <c r="I115" i="39" s="1"/>
  <c r="I116" i="39" s="1"/>
  <c r="I117" i="39" s="1"/>
  <c r="K177" i="41"/>
  <c r="K178" i="41" s="1"/>
  <c r="K179" i="41" s="1"/>
  <c r="K180" i="41" s="1"/>
  <c r="K181" i="41" s="1"/>
  <c r="K182" i="41" s="1"/>
  <c r="K183" i="41" s="1"/>
  <c r="K184" i="41" s="1"/>
  <c r="K185" i="41" s="1"/>
  <c r="K186" i="41" s="1"/>
  <c r="K187" i="41" s="1"/>
  <c r="K188" i="41" s="1"/>
  <c r="K189" i="41" s="1"/>
  <c r="K190" i="41" s="1"/>
  <c r="K191" i="41" s="1"/>
  <c r="K192" i="41" s="1"/>
  <c r="K193" i="41" s="1"/>
  <c r="F101" i="25"/>
  <c r="F102" i="25" s="1"/>
  <c r="F103" i="25" s="1"/>
  <c r="AK101" i="25"/>
  <c r="AK102" i="25" s="1"/>
  <c r="AK103" i="25" s="1"/>
  <c r="AK104" i="25" s="1"/>
  <c r="AK105" i="25" s="1"/>
  <c r="AK106" i="25" s="1"/>
  <c r="AK107" i="25" s="1"/>
  <c r="AK108" i="25" s="1"/>
  <c r="AK109" i="25" s="1"/>
  <c r="AK110" i="25" s="1"/>
  <c r="AK111" i="25" s="1"/>
  <c r="AK112" i="25" s="1"/>
  <c r="AK113" i="25" s="1"/>
  <c r="AK114" i="25" s="1"/>
  <c r="AK115" i="25" s="1"/>
  <c r="AK116" i="25" s="1"/>
  <c r="AK117" i="25" s="1"/>
  <c r="AC101" i="25"/>
  <c r="AC102" i="25" s="1"/>
  <c r="AC103" i="25" s="1"/>
  <c r="AC104" i="25" s="1"/>
  <c r="AC105" i="25" s="1"/>
  <c r="AC106" i="25" s="1"/>
  <c r="AC107" i="25" s="1"/>
  <c r="AC108" i="25" s="1"/>
  <c r="AC109" i="25" s="1"/>
  <c r="AC110" i="25" s="1"/>
  <c r="AC111" i="25" s="1"/>
  <c r="AC112" i="25" s="1"/>
  <c r="AC113" i="25" s="1"/>
  <c r="AC114" i="25" s="1"/>
  <c r="AC115" i="25" s="1"/>
  <c r="AC116" i="25" s="1"/>
  <c r="AC117" i="25" s="1"/>
  <c r="AB101" i="25"/>
  <c r="AB102" i="25" s="1"/>
  <c r="AB103" i="25" s="1"/>
  <c r="AB104" i="25" s="1"/>
  <c r="AB105" i="25" s="1"/>
  <c r="AB106" i="25" s="1"/>
  <c r="AB107" i="25" s="1"/>
  <c r="AB108" i="25" s="1"/>
  <c r="AB109" i="25" s="1"/>
  <c r="AB110" i="25" s="1"/>
  <c r="AB111" i="25" s="1"/>
  <c r="AB112" i="25" s="1"/>
  <c r="AB113" i="25" s="1"/>
  <c r="AB114" i="25" s="1"/>
  <c r="AB115" i="25" s="1"/>
  <c r="AB116" i="25" s="1"/>
  <c r="AB117" i="25" s="1"/>
  <c r="Y101" i="25"/>
  <c r="Y102" i="25" s="1"/>
  <c r="Y103" i="25" s="1"/>
  <c r="Y104" i="25" s="1"/>
  <c r="Y105" i="25" s="1"/>
  <c r="Y106" i="25" s="1"/>
  <c r="Y107" i="25" s="1"/>
  <c r="Y108" i="25" s="1"/>
  <c r="Y109" i="25" s="1"/>
  <c r="Y110" i="25" s="1"/>
  <c r="Y111" i="25" s="1"/>
  <c r="Y112" i="25" s="1"/>
  <c r="Y113" i="25" s="1"/>
  <c r="Y114" i="25" s="1"/>
  <c r="Y115" i="25" s="1"/>
  <c r="Y116" i="25" s="1"/>
  <c r="Y117" i="25" s="1"/>
  <c r="X101" i="25"/>
  <c r="X102" i="25" s="1"/>
  <c r="X103" i="25" s="1"/>
  <c r="X104" i="25" s="1"/>
  <c r="X105" i="25" s="1"/>
  <c r="X106" i="25" s="1"/>
  <c r="X107" i="25" s="1"/>
  <c r="X108" i="25" s="1"/>
  <c r="X109" i="25" s="1"/>
  <c r="X110" i="25" s="1"/>
  <c r="X111" i="25" s="1"/>
  <c r="X112" i="25" s="1"/>
  <c r="X113" i="25" s="1"/>
  <c r="X114" i="25" s="1"/>
  <c r="X115" i="25" s="1"/>
  <c r="X116" i="25" s="1"/>
  <c r="X117" i="25" s="1"/>
  <c r="AM103" i="25"/>
  <c r="AM104" i="25" s="1"/>
  <c r="AM105" i="25" s="1"/>
  <c r="AM106" i="25" s="1"/>
  <c r="AM107" i="25" s="1"/>
  <c r="AM108" i="25" s="1"/>
  <c r="AM109" i="25" s="1"/>
  <c r="AM110" i="25" s="1"/>
  <c r="AM111" i="25" s="1"/>
  <c r="AM112" i="25" s="1"/>
  <c r="AM113" i="25" s="1"/>
  <c r="AM114" i="25" s="1"/>
  <c r="AM115" i="25" s="1"/>
  <c r="AM116" i="25" s="1"/>
  <c r="AM117" i="25" s="1"/>
  <c r="Z101" i="25"/>
  <c r="Z102" i="25" s="1"/>
  <c r="Z103" i="25" s="1"/>
  <c r="Z104" i="25" s="1"/>
  <c r="Z105" i="25" s="1"/>
  <c r="Z106" i="25" s="1"/>
  <c r="Z107" i="25" s="1"/>
  <c r="Z108" i="25" s="1"/>
  <c r="Z109" i="25" s="1"/>
  <c r="Z110" i="25" s="1"/>
  <c r="Z111" i="25" s="1"/>
  <c r="Z112" i="25" s="1"/>
  <c r="Z113" i="25" s="1"/>
  <c r="Z114" i="25" s="1"/>
  <c r="Z115" i="25" s="1"/>
  <c r="Z116" i="25" s="1"/>
  <c r="Z117" i="25" s="1"/>
  <c r="AL101" i="25"/>
  <c r="AL102" i="25" s="1"/>
  <c r="AL103" i="25" s="1"/>
  <c r="AL104" i="25" s="1"/>
  <c r="AL105" i="25" s="1"/>
  <c r="AL106" i="25" s="1"/>
  <c r="AL107" i="25" s="1"/>
  <c r="AL108" i="25" s="1"/>
  <c r="AL109" i="25" s="1"/>
  <c r="AL110" i="25" s="1"/>
  <c r="AL111" i="25" s="1"/>
  <c r="AL112" i="25" s="1"/>
  <c r="AL113" i="25" s="1"/>
  <c r="AL114" i="25" s="1"/>
  <c r="AL115" i="25" s="1"/>
  <c r="AL116" i="25" s="1"/>
  <c r="AL117" i="25" s="1"/>
  <c r="H158" i="41"/>
  <c r="I177" i="39"/>
  <c r="I178" i="39" s="1"/>
  <c r="I179" i="39" s="1"/>
  <c r="I180" i="39" s="1"/>
  <c r="I181" i="39" s="1"/>
  <c r="I182" i="39" s="1"/>
  <c r="I183" i="39" s="1"/>
  <c r="I184" i="39" s="1"/>
  <c r="I185" i="39" s="1"/>
  <c r="I186" i="39" s="1"/>
  <c r="I187" i="39" s="1"/>
  <c r="I188" i="39" s="1"/>
  <c r="I189" i="39" s="1"/>
  <c r="I190" i="39" s="1"/>
  <c r="I191" i="39" s="1"/>
  <c r="I192" i="39" s="1"/>
  <c r="I193" i="39" s="1"/>
  <c r="AJ101" i="25"/>
  <c r="AJ102" i="25" s="1"/>
  <c r="AJ103" i="25" s="1"/>
  <c r="AJ104" i="25" s="1"/>
  <c r="AJ105" i="25" s="1"/>
  <c r="AJ106" i="25" s="1"/>
  <c r="AJ107" i="25" s="1"/>
  <c r="AJ108" i="25" s="1"/>
  <c r="AJ109" i="25" s="1"/>
  <c r="AJ110" i="25" s="1"/>
  <c r="AJ111" i="25" s="1"/>
  <c r="AJ112" i="25" s="1"/>
  <c r="AJ113" i="25" s="1"/>
  <c r="AJ114" i="25" s="1"/>
  <c r="AJ115" i="25" s="1"/>
  <c r="AJ116" i="25" s="1"/>
  <c r="AJ117" i="25" s="1"/>
  <c r="AI101" i="25"/>
  <c r="AI102" i="25" s="1"/>
  <c r="AI103" i="25" s="1"/>
  <c r="AI104" i="25" s="1"/>
  <c r="AI105" i="25" s="1"/>
  <c r="AI106" i="25" s="1"/>
  <c r="AI107" i="25" s="1"/>
  <c r="AI108" i="25" s="1"/>
  <c r="AI109" i="25" s="1"/>
  <c r="AI110" i="25" s="1"/>
  <c r="AI111" i="25" s="1"/>
  <c r="AI112" i="25" s="1"/>
  <c r="AI113" i="25" s="1"/>
  <c r="AI114" i="25" s="1"/>
  <c r="AI115" i="25" s="1"/>
  <c r="AI116" i="25" s="1"/>
  <c r="AI117" i="25" s="1"/>
  <c r="I101" i="41"/>
  <c r="I102" i="41" s="1"/>
  <c r="I103" i="41" s="1"/>
  <c r="I104" i="41" s="1"/>
  <c r="I105" i="41" s="1"/>
  <c r="I106" i="41" s="1"/>
  <c r="I107" i="41" s="1"/>
  <c r="I108" i="41" s="1"/>
  <c r="I109" i="41" s="1"/>
  <c r="I110" i="41" s="1"/>
  <c r="I111" i="41" s="1"/>
  <c r="I112" i="41" s="1"/>
  <c r="I113" i="41" s="1"/>
  <c r="I114" i="41" s="1"/>
  <c r="I115" i="41" s="1"/>
  <c r="I116" i="41" s="1"/>
  <c r="I117" i="41" s="1"/>
  <c r="K177" i="39"/>
  <c r="K178" i="39" s="1"/>
  <c r="K179" i="39" s="1"/>
  <c r="K180" i="39" s="1"/>
  <c r="K181" i="39" s="1"/>
  <c r="K182" i="39" s="1"/>
  <c r="K183" i="39" s="1"/>
  <c r="K184" i="39" s="1"/>
  <c r="K185" i="39" s="1"/>
  <c r="K186" i="39" s="1"/>
  <c r="K187" i="39" s="1"/>
  <c r="K188" i="39" s="1"/>
  <c r="K189" i="39" s="1"/>
  <c r="K190" i="39" s="1"/>
  <c r="K191" i="39" s="1"/>
  <c r="K192" i="39" s="1"/>
  <c r="K193" i="39" s="1"/>
  <c r="AA101" i="25"/>
  <c r="AA102" i="25" s="1"/>
  <c r="AA103" i="25" s="1"/>
  <c r="AA104" i="25" s="1"/>
  <c r="AA105" i="25" s="1"/>
  <c r="AA106" i="25" s="1"/>
  <c r="AA107" i="25" s="1"/>
  <c r="AA108" i="25" s="1"/>
  <c r="AA109" i="25" s="1"/>
  <c r="AA110" i="25" s="1"/>
  <c r="AA111" i="25" s="1"/>
  <c r="AA112" i="25" s="1"/>
  <c r="AA113" i="25" s="1"/>
  <c r="AA114" i="25" s="1"/>
  <c r="AA115" i="25" s="1"/>
  <c r="AA116" i="25" s="1"/>
  <c r="AA117" i="25" s="1"/>
  <c r="AH102" i="25"/>
  <c r="AH103" i="25" s="1"/>
  <c r="AH104" i="25" s="1"/>
  <c r="AH105" i="25" s="1"/>
  <c r="AH106" i="25" s="1"/>
  <c r="AH107" i="25" s="1"/>
  <c r="AH108" i="25" s="1"/>
  <c r="AH109" i="25" s="1"/>
  <c r="AH110" i="25" s="1"/>
  <c r="AH111" i="25" s="1"/>
  <c r="AH112" i="25" s="1"/>
  <c r="AH113" i="25" s="1"/>
  <c r="AH114" i="25" s="1"/>
  <c r="AH115" i="25" s="1"/>
  <c r="AH116" i="25" s="1"/>
  <c r="AH117" i="25" s="1"/>
  <c r="J348" i="47"/>
  <c r="J349" i="47" s="1"/>
  <c r="J350" i="47" s="1"/>
  <c r="J351" i="47" s="1"/>
  <c r="J352" i="47" s="1"/>
  <c r="J353" i="47" s="1"/>
  <c r="J354" i="47" s="1"/>
  <c r="J355" i="47" s="1"/>
  <c r="J356" i="47" s="1"/>
  <c r="J357" i="47" s="1"/>
  <c r="J358" i="47" s="1"/>
  <c r="J359" i="47" s="1"/>
  <c r="J360" i="47" s="1"/>
  <c r="J361" i="47" s="1"/>
  <c r="J362" i="47" s="1"/>
  <c r="J363" i="47" s="1"/>
  <c r="J364" i="47" s="1"/>
  <c r="J102" i="41"/>
  <c r="J103" i="41" s="1"/>
  <c r="J104" i="41" s="1"/>
  <c r="J105" i="41" s="1"/>
  <c r="J106" i="41" s="1"/>
  <c r="J107" i="41" s="1"/>
  <c r="J108" i="41" s="1"/>
  <c r="J109" i="41" s="1"/>
  <c r="J110" i="41" s="1"/>
  <c r="J111" i="41" s="1"/>
  <c r="J112" i="41" s="1"/>
  <c r="J113" i="41" s="1"/>
  <c r="J114" i="41" s="1"/>
  <c r="J115" i="41" s="1"/>
  <c r="J116" i="41" s="1"/>
  <c r="J117" i="41" s="1"/>
  <c r="H101" i="41"/>
  <c r="H102" i="41" s="1"/>
  <c r="H103" i="41" s="1"/>
  <c r="H104" i="41" s="1"/>
  <c r="H105" i="41" s="1"/>
  <c r="H106" i="41" s="1"/>
  <c r="H107" i="41" s="1"/>
  <c r="H108" i="41" s="1"/>
  <c r="H109" i="41" s="1"/>
  <c r="H110" i="41" s="1"/>
  <c r="H111" i="41" s="1"/>
  <c r="H112" i="41" s="1"/>
  <c r="H113" i="41" s="1"/>
  <c r="H114" i="41" s="1"/>
  <c r="H115" i="41" s="1"/>
  <c r="H116" i="41" s="1"/>
  <c r="H117" i="41" s="1"/>
  <c r="J158" i="41"/>
  <c r="J159" i="41" s="1"/>
  <c r="J160" i="41" s="1"/>
  <c r="J161" i="41" s="1"/>
  <c r="J162" i="41" s="1"/>
  <c r="J163" i="41" s="1"/>
  <c r="J164" i="41" s="1"/>
  <c r="J165" i="41" s="1"/>
  <c r="J166" i="41" s="1"/>
  <c r="J167" i="41" s="1"/>
  <c r="J168" i="41" s="1"/>
  <c r="J169" i="41" s="1"/>
  <c r="J170" i="41" s="1"/>
  <c r="J171" i="41" s="1"/>
  <c r="J172" i="41" s="1"/>
  <c r="J173" i="41" s="1"/>
  <c r="J174" i="41" s="1"/>
  <c r="G101" i="41"/>
  <c r="G102" i="41" s="1"/>
  <c r="G103" i="41" s="1"/>
  <c r="G104" i="41" s="1"/>
  <c r="G105" i="41" s="1"/>
  <c r="G106" i="41" s="1"/>
  <c r="G107" i="41" s="1"/>
  <c r="G108" i="41" s="1"/>
  <c r="G109" i="41" s="1"/>
  <c r="G110" i="41" s="1"/>
  <c r="G111" i="41" s="1"/>
  <c r="G112" i="41" s="1"/>
  <c r="G113" i="41" s="1"/>
  <c r="G114" i="41" s="1"/>
  <c r="G115" i="41" s="1"/>
  <c r="G116" i="41" s="1"/>
  <c r="G117" i="41" s="1"/>
  <c r="K348" i="47"/>
  <c r="K349" i="47" s="1"/>
  <c r="K350" i="47" s="1"/>
  <c r="K351" i="47" s="1"/>
  <c r="K352" i="47" s="1"/>
  <c r="K353" i="47" s="1"/>
  <c r="K354" i="47" s="1"/>
  <c r="K355" i="47" s="1"/>
  <c r="K356" i="47" s="1"/>
  <c r="K357" i="47" s="1"/>
  <c r="K358" i="47" s="1"/>
  <c r="K359" i="47" s="1"/>
  <c r="K360" i="47" s="1"/>
  <c r="K361" i="47" s="1"/>
  <c r="K362" i="47" s="1"/>
  <c r="K363" i="47" s="1"/>
  <c r="K364" i="47" s="1"/>
  <c r="S329" i="47"/>
  <c r="S330" i="47" s="1"/>
  <c r="S331" i="47" s="1"/>
  <c r="S332" i="47" s="1"/>
  <c r="S333" i="47" s="1"/>
  <c r="S334" i="47" s="1"/>
  <c r="S335" i="47" s="1"/>
  <c r="S336" i="47" s="1"/>
  <c r="S337" i="47" s="1"/>
  <c r="S338" i="47" s="1"/>
  <c r="S339" i="47" s="1"/>
  <c r="S340" i="47" s="1"/>
  <c r="S341" i="47" s="1"/>
  <c r="S342" i="47" s="1"/>
  <c r="S343" i="47" s="1"/>
  <c r="S344" i="47" s="1"/>
  <c r="S345" i="47" s="1"/>
  <c r="P43" i="47"/>
  <c r="Y81" i="47"/>
  <c r="Y24" i="47"/>
  <c r="S271" i="47"/>
  <c r="S272" i="47" s="1"/>
  <c r="S273" i="47" s="1"/>
  <c r="S274" i="47" s="1"/>
  <c r="S275" i="47" s="1"/>
  <c r="S276" i="47" s="1"/>
  <c r="S277" i="47" s="1"/>
  <c r="S278" i="47" s="1"/>
  <c r="S279" i="47" s="1"/>
  <c r="S280" i="47" s="1"/>
  <c r="S281" i="47" s="1"/>
  <c r="S282" i="47" s="1"/>
  <c r="S283" i="47" s="1"/>
  <c r="S284" i="47" s="1"/>
  <c r="S285" i="47" s="1"/>
  <c r="S286" i="47" s="1"/>
  <c r="S287" i="47" s="1"/>
  <c r="S288" i="47" s="1"/>
  <c r="S233" i="47"/>
  <c r="S234" i="47" s="1"/>
  <c r="S235" i="47" s="1"/>
  <c r="S236" i="47" s="1"/>
  <c r="S237" i="47" s="1"/>
  <c r="S238" i="47" s="1"/>
  <c r="S239" i="47" s="1"/>
  <c r="S240" i="47" s="1"/>
  <c r="S241" i="47" s="1"/>
  <c r="S242" i="47" s="1"/>
  <c r="S243" i="47" s="1"/>
  <c r="S244" i="47" s="1"/>
  <c r="S245" i="47" s="1"/>
  <c r="S246" i="47" s="1"/>
  <c r="S247" i="47" s="1"/>
  <c r="S248" i="47" s="1"/>
  <c r="S249" i="47" s="1"/>
  <c r="S250" i="47" s="1"/>
  <c r="S309" i="47"/>
  <c r="S310" i="47" s="1"/>
  <c r="S311" i="47" s="1"/>
  <c r="S312" i="47" s="1"/>
  <c r="S313" i="47" s="1"/>
  <c r="S314" i="47" s="1"/>
  <c r="S315" i="47" s="1"/>
  <c r="S316" i="47" s="1"/>
  <c r="S317" i="47" s="1"/>
  <c r="S318" i="47" s="1"/>
  <c r="S319" i="47" s="1"/>
  <c r="S320" i="47" s="1"/>
  <c r="S321" i="47" s="1"/>
  <c r="S322" i="47" s="1"/>
  <c r="S323" i="47" s="1"/>
  <c r="S324" i="47" s="1"/>
  <c r="S325" i="47" s="1"/>
  <c r="S326" i="47" s="1"/>
  <c r="Z24" i="47"/>
  <c r="Z214" i="47" s="1"/>
  <c r="Z215" i="47" s="1"/>
  <c r="Z216" i="47" s="1"/>
  <c r="Z217" i="47" s="1"/>
  <c r="Z218" i="47" s="1"/>
  <c r="Z219" i="47" s="1"/>
  <c r="Z220" i="47" s="1"/>
  <c r="Z221" i="47" s="1"/>
  <c r="Z222" i="47" s="1"/>
  <c r="Z223" i="47" s="1"/>
  <c r="Z224" i="47" s="1"/>
  <c r="Z225" i="47" s="1"/>
  <c r="Z226" i="47" s="1"/>
  <c r="Z227" i="47" s="1"/>
  <c r="Z228" i="47" s="1"/>
  <c r="Z229" i="47" s="1"/>
  <c r="Z230" i="47" s="1"/>
  <c r="Z231" i="47" s="1"/>
  <c r="Z43" i="47"/>
  <c r="T24" i="47"/>
  <c r="Q348" i="47"/>
  <c r="S348" i="47"/>
  <c r="S349" i="47" s="1"/>
  <c r="S350" i="47" s="1"/>
  <c r="S351" i="47" s="1"/>
  <c r="S352" i="47" s="1"/>
  <c r="S353" i="47" s="1"/>
  <c r="S354" i="47" s="1"/>
  <c r="S355" i="47" s="1"/>
  <c r="S356" i="47" s="1"/>
  <c r="S357" i="47" s="1"/>
  <c r="S358" i="47" s="1"/>
  <c r="S359" i="47" s="1"/>
  <c r="S360" i="47" s="1"/>
  <c r="S361" i="47" s="1"/>
  <c r="S362" i="47" s="1"/>
  <c r="S363" i="47" s="1"/>
  <c r="S364" i="47" s="1"/>
  <c r="AC81" i="47"/>
  <c r="AC24" i="47"/>
  <c r="AA81" i="47"/>
  <c r="AA24" i="47"/>
  <c r="Q309" i="47"/>
  <c r="Q290" i="47"/>
  <c r="S290" i="47"/>
  <c r="S291" i="47" s="1"/>
  <c r="S292" i="47" s="1"/>
  <c r="S293" i="47" s="1"/>
  <c r="S294" i="47" s="1"/>
  <c r="S295" i="47" s="1"/>
  <c r="S296" i="47" s="1"/>
  <c r="S297" i="47" s="1"/>
  <c r="S298" i="47" s="1"/>
  <c r="S299" i="47" s="1"/>
  <c r="S300" i="47" s="1"/>
  <c r="S301" i="47" s="1"/>
  <c r="S302" i="47" s="1"/>
  <c r="S303" i="47" s="1"/>
  <c r="S304" i="47" s="1"/>
  <c r="S305" i="47" s="1"/>
  <c r="S306" i="47" s="1"/>
  <c r="S307" i="47" s="1"/>
  <c r="S252" i="47"/>
  <c r="S253" i="47" s="1"/>
  <c r="S254" i="47" s="1"/>
  <c r="S255" i="47" s="1"/>
  <c r="S256" i="47" s="1"/>
  <c r="S257" i="47" s="1"/>
  <c r="S258" i="47" s="1"/>
  <c r="S259" i="47" s="1"/>
  <c r="S260" i="47" s="1"/>
  <c r="S261" i="47" s="1"/>
  <c r="S262" i="47" s="1"/>
  <c r="S263" i="47" s="1"/>
  <c r="S264" i="47" s="1"/>
  <c r="S265" i="47" s="1"/>
  <c r="S266" i="47" s="1"/>
  <c r="S267" i="47" s="1"/>
  <c r="S268" i="47" s="1"/>
  <c r="S269" i="47" s="1"/>
  <c r="AB24" i="47"/>
  <c r="R329" i="47"/>
  <c r="R330" i="47" s="1"/>
  <c r="R331" i="47" s="1"/>
  <c r="R332" i="47" s="1"/>
  <c r="R333" i="47" s="1"/>
  <c r="R334" i="47" s="1"/>
  <c r="R335" i="47" s="1"/>
  <c r="R336" i="47" s="1"/>
  <c r="R337" i="47" s="1"/>
  <c r="R338" i="47" s="1"/>
  <c r="R339" i="47" s="1"/>
  <c r="R340" i="47" s="1"/>
  <c r="R341" i="47" s="1"/>
  <c r="R342" i="47" s="1"/>
  <c r="R343" i="47" s="1"/>
  <c r="R344" i="47" s="1"/>
  <c r="R345" i="47" s="1"/>
  <c r="T348" i="47"/>
  <c r="T349" i="47" s="1"/>
  <c r="T350" i="47" s="1"/>
  <c r="T351" i="47" s="1"/>
  <c r="T352" i="47" s="1"/>
  <c r="T353" i="47" s="1"/>
  <c r="T354" i="47" s="1"/>
  <c r="T355" i="47" s="1"/>
  <c r="T356" i="47" s="1"/>
  <c r="T357" i="47" s="1"/>
  <c r="T358" i="47" s="1"/>
  <c r="T359" i="47" s="1"/>
  <c r="T360" i="47" s="1"/>
  <c r="T361" i="47" s="1"/>
  <c r="T362" i="47" s="1"/>
  <c r="T363" i="47" s="1"/>
  <c r="T364" i="47" s="1"/>
  <c r="H348" i="47"/>
  <c r="H349" i="47" s="1"/>
  <c r="H350" i="47" s="1"/>
  <c r="O43" i="47"/>
  <c r="O6" i="47"/>
  <c r="R24" i="47"/>
  <c r="R43" i="47" s="1"/>
  <c r="S214" i="47"/>
  <c r="S215" i="47" s="1"/>
  <c r="S216" i="47" s="1"/>
  <c r="S217" i="47" s="1"/>
  <c r="S218" i="47" s="1"/>
  <c r="S219" i="47" s="1"/>
  <c r="S220" i="47" s="1"/>
  <c r="S221" i="47" s="1"/>
  <c r="S222" i="47" s="1"/>
  <c r="S223" i="47" s="1"/>
  <c r="S224" i="47" s="1"/>
  <c r="S225" i="47" s="1"/>
  <c r="S226" i="47" s="1"/>
  <c r="S227" i="47" s="1"/>
  <c r="S228" i="47" s="1"/>
  <c r="S229" i="47" s="1"/>
  <c r="S230" i="47" s="1"/>
  <c r="S231" i="47" s="1"/>
  <c r="R348" i="47"/>
  <c r="R349" i="47" s="1"/>
  <c r="R350" i="47" s="1"/>
  <c r="R351" i="47" s="1"/>
  <c r="R352" i="47" s="1"/>
  <c r="R353" i="47" s="1"/>
  <c r="R354" i="47" s="1"/>
  <c r="R355" i="47" s="1"/>
  <c r="R356" i="47" s="1"/>
  <c r="R357" i="47" s="1"/>
  <c r="R358" i="47" s="1"/>
  <c r="R359" i="47" s="1"/>
  <c r="R360" i="47" s="1"/>
  <c r="R361" i="47" s="1"/>
  <c r="R362" i="47" s="1"/>
  <c r="R363" i="47" s="1"/>
  <c r="R364" i="47" s="1"/>
  <c r="Q329" i="47"/>
  <c r="I252" i="47"/>
  <c r="I253" i="47" s="1"/>
  <c r="I254" i="47" s="1"/>
  <c r="I255" i="47" s="1"/>
  <c r="I256" i="47" s="1"/>
  <c r="I257" i="47" s="1"/>
  <c r="I258" i="47" s="1"/>
  <c r="I259" i="47" s="1"/>
  <c r="I260" i="47" s="1"/>
  <c r="I261" i="47" s="1"/>
  <c r="I262" i="47" s="1"/>
  <c r="I263" i="47" s="1"/>
  <c r="I264" i="47" s="1"/>
  <c r="I265" i="47" s="1"/>
  <c r="I266" i="47" s="1"/>
  <c r="I267" i="47" s="1"/>
  <c r="I268" i="47" s="1"/>
  <c r="I269" i="47" s="1"/>
  <c r="I215" i="47"/>
  <c r="I216" i="47" s="1"/>
  <c r="I217" i="47" s="1"/>
  <c r="I218" i="47" s="1"/>
  <c r="I219" i="47" s="1"/>
  <c r="I220" i="47" s="1"/>
  <c r="I221" i="47" s="1"/>
  <c r="I222" i="47" s="1"/>
  <c r="I223" i="47" s="1"/>
  <c r="I224" i="47" s="1"/>
  <c r="I225" i="47" s="1"/>
  <c r="I226" i="47" s="1"/>
  <c r="I227" i="47" s="1"/>
  <c r="I228" i="47" s="1"/>
  <c r="I229" i="47" s="1"/>
  <c r="I230" i="47" s="1"/>
  <c r="I231" i="47" s="1"/>
  <c r="S177" i="47"/>
  <c r="S178" i="47" s="1"/>
  <c r="S179" i="47" s="1"/>
  <c r="S180" i="47" s="1"/>
  <c r="S181" i="47" s="1"/>
  <c r="S182" i="47" s="1"/>
  <c r="S183" i="47" s="1"/>
  <c r="S184" i="47" s="1"/>
  <c r="S185" i="47" s="1"/>
  <c r="S186" i="47" s="1"/>
  <c r="S187" i="47" s="1"/>
  <c r="S188" i="47" s="1"/>
  <c r="S189" i="47" s="1"/>
  <c r="S190" i="47" s="1"/>
  <c r="S191" i="47" s="1"/>
  <c r="S192" i="47" s="1"/>
  <c r="S193" i="47" s="1"/>
  <c r="F408" i="47"/>
  <c r="G24" i="47"/>
  <c r="K24" i="47"/>
  <c r="K214" i="47" s="1"/>
  <c r="K215" i="47" s="1"/>
  <c r="K216" i="47" s="1"/>
  <c r="K217" i="47" s="1"/>
  <c r="K218" i="47" s="1"/>
  <c r="K219" i="47" s="1"/>
  <c r="K220" i="47" s="1"/>
  <c r="K221" i="47" s="1"/>
  <c r="K222" i="47" s="1"/>
  <c r="K223" i="47" s="1"/>
  <c r="K224" i="47" s="1"/>
  <c r="K225" i="47" s="1"/>
  <c r="K226" i="47" s="1"/>
  <c r="K227" i="47" s="1"/>
  <c r="K228" i="47" s="1"/>
  <c r="K229" i="47" s="1"/>
  <c r="K230" i="47" s="1"/>
  <c r="K231" i="47" s="1"/>
  <c r="F414" i="47"/>
  <c r="H24" i="47"/>
  <c r="I43" i="47"/>
  <c r="I309" i="47" s="1"/>
  <c r="I310" i="47" s="1"/>
  <c r="I311" i="47" s="1"/>
  <c r="I312" i="47" s="1"/>
  <c r="I313" i="47" s="1"/>
  <c r="I314" i="47" s="1"/>
  <c r="I315" i="47" s="1"/>
  <c r="I316" i="47" s="1"/>
  <c r="I317" i="47" s="1"/>
  <c r="I318" i="47" s="1"/>
  <c r="I319" i="47" s="1"/>
  <c r="I320" i="47" s="1"/>
  <c r="I321" i="47" s="1"/>
  <c r="I322" i="47" s="1"/>
  <c r="I323" i="47" s="1"/>
  <c r="I324" i="47" s="1"/>
  <c r="I325" i="47" s="1"/>
  <c r="I326" i="47" s="1"/>
  <c r="F421" i="47"/>
  <c r="Q100" i="47"/>
  <c r="AJ100" i="47"/>
  <c r="J24" i="47"/>
  <c r="J214" i="47" s="1"/>
  <c r="J215" i="47" s="1"/>
  <c r="J216" i="47" s="1"/>
  <c r="J217" i="47" s="1"/>
  <c r="J218" i="47" s="1"/>
  <c r="J219" i="47" s="1"/>
  <c r="J220" i="47" s="1"/>
  <c r="J221" i="47" s="1"/>
  <c r="J222" i="47" s="1"/>
  <c r="J223" i="47" s="1"/>
  <c r="J224" i="47" s="1"/>
  <c r="J225" i="47" s="1"/>
  <c r="J226" i="47" s="1"/>
  <c r="J227" i="47" s="1"/>
  <c r="J228" i="47" s="1"/>
  <c r="J229" i="47" s="1"/>
  <c r="J230" i="47" s="1"/>
  <c r="J231" i="47" s="1"/>
  <c r="AM409" i="47"/>
  <c r="AB416" i="47"/>
  <c r="AB410" i="47"/>
  <c r="X417" i="47"/>
  <c r="AA406" i="47"/>
  <c r="F413" i="47"/>
  <c r="J420" i="47"/>
  <c r="AA408" i="47"/>
  <c r="Q411" i="47"/>
  <c r="AJ414" i="47"/>
  <c r="Q418" i="47"/>
  <c r="P405" i="47"/>
  <c r="Q409" i="47"/>
  <c r="J412" i="47"/>
  <c r="AB415" i="47"/>
  <c r="Q419" i="47"/>
  <c r="AA100" i="47"/>
  <c r="AI405" i="47"/>
  <c r="I407" i="47"/>
  <c r="I408" i="47"/>
  <c r="AB408" i="47"/>
  <c r="T409" i="47"/>
  <c r="F410" i="47"/>
  <c r="AI410" i="47"/>
  <c r="X411" i="47"/>
  <c r="Q412" i="47"/>
  <c r="Q413" i="47"/>
  <c r="J414" i="47"/>
  <c r="F415" i="47"/>
  <c r="F416" i="47"/>
  <c r="AJ416" i="47"/>
  <c r="AB417" i="47"/>
  <c r="AB418" i="47"/>
  <c r="X419" i="47"/>
  <c r="Q420" i="47"/>
  <c r="Q421" i="47"/>
  <c r="R100" i="47"/>
  <c r="AK100" i="47"/>
  <c r="AM405" i="47"/>
  <c r="P407" i="47"/>
  <c r="F409" i="47"/>
  <c r="Q410" i="47"/>
  <c r="AB411" i="47"/>
  <c r="AB412" i="47"/>
  <c r="X413" i="47"/>
  <c r="Q414" i="47"/>
  <c r="Q415" i="47"/>
  <c r="J416" i="47"/>
  <c r="F417" i="47"/>
  <c r="F418" i="47"/>
  <c r="AJ418" i="47"/>
  <c r="AB419" i="47"/>
  <c r="AB420" i="47"/>
  <c r="X421" i="47"/>
  <c r="AM100" i="47"/>
  <c r="I405" i="47"/>
  <c r="T406" i="47"/>
  <c r="Q408" i="47"/>
  <c r="AB409" i="47"/>
  <c r="F411" i="47"/>
  <c r="F412" i="47"/>
  <c r="AJ412" i="47"/>
  <c r="AB413" i="47"/>
  <c r="AB414" i="47"/>
  <c r="X415" i="47"/>
  <c r="Q416" i="47"/>
  <c r="Q417" i="47"/>
  <c r="J418" i="47"/>
  <c r="F419" i="47"/>
  <c r="F420" i="47"/>
  <c r="AJ420" i="47"/>
  <c r="AB421" i="47"/>
  <c r="S81" i="47"/>
  <c r="S100" i="47" s="1"/>
  <c r="AL81" i="47"/>
  <c r="AL100" i="47" s="1"/>
  <c r="P119" i="47"/>
  <c r="AJ64" i="47"/>
  <c r="AA64" i="47"/>
  <c r="H100" i="47"/>
  <c r="Z81" i="47"/>
  <c r="Z100" i="47" s="1"/>
  <c r="K100" i="47"/>
  <c r="K63" i="47"/>
  <c r="AC63" i="47"/>
  <c r="AC100" i="47"/>
  <c r="AK63" i="47"/>
  <c r="AM70" i="47"/>
  <c r="O81" i="47"/>
  <c r="AH81" i="47"/>
  <c r="AH119" i="47"/>
  <c r="AH6" i="47" s="1"/>
  <c r="G6" i="47"/>
  <c r="H64" i="47"/>
  <c r="R63" i="47"/>
  <c r="I64" i="47"/>
  <c r="Q71" i="47"/>
  <c r="I291" i="47"/>
  <c r="I292" i="47" s="1"/>
  <c r="I293" i="47" s="1"/>
  <c r="I294" i="47" s="1"/>
  <c r="I295" i="47" s="1"/>
  <c r="I296" i="47" s="1"/>
  <c r="I297" i="47" s="1"/>
  <c r="I298" i="47" s="1"/>
  <c r="I299" i="47" s="1"/>
  <c r="I300" i="47" s="1"/>
  <c r="I301" i="47" s="1"/>
  <c r="I302" i="47" s="1"/>
  <c r="I303" i="47" s="1"/>
  <c r="I304" i="47" s="1"/>
  <c r="I305" i="47" s="1"/>
  <c r="I306" i="47" s="1"/>
  <c r="I307" i="47" s="1"/>
  <c r="AI119" i="47"/>
  <c r="AI6" i="47" s="1"/>
  <c r="S63" i="47"/>
  <c r="AL63" i="47"/>
  <c r="J64" i="47"/>
  <c r="AB64" i="47"/>
  <c r="T81" i="47"/>
  <c r="T100" i="47" s="1"/>
  <c r="AB81" i="47"/>
  <c r="AA177" i="47"/>
  <c r="AA178" i="47" s="1"/>
  <c r="AA179" i="47" s="1"/>
  <c r="AA180" i="47" s="1"/>
  <c r="AA181" i="47" s="1"/>
  <c r="AA182" i="47" s="1"/>
  <c r="AA183" i="47" s="1"/>
  <c r="AA184" i="47" s="1"/>
  <c r="AA185" i="47" s="1"/>
  <c r="AA186" i="47" s="1"/>
  <c r="AA187" i="47" s="1"/>
  <c r="AA188" i="47" s="1"/>
  <c r="AA189" i="47" s="1"/>
  <c r="AA190" i="47" s="1"/>
  <c r="AA191" i="47" s="1"/>
  <c r="AA192" i="47" s="1"/>
  <c r="AA193" i="47" s="1"/>
  <c r="X119" i="47"/>
  <c r="J329" i="47"/>
  <c r="J330" i="47" s="1"/>
  <c r="J331" i="47" s="1"/>
  <c r="J332" i="47" s="1"/>
  <c r="J333" i="47" s="1"/>
  <c r="J334" i="47" s="1"/>
  <c r="J335" i="47" s="1"/>
  <c r="J336" i="47" s="1"/>
  <c r="J337" i="47" s="1"/>
  <c r="J338" i="47" s="1"/>
  <c r="J339" i="47" s="1"/>
  <c r="J340" i="47" s="1"/>
  <c r="J341" i="47" s="1"/>
  <c r="J342" i="47" s="1"/>
  <c r="J343" i="47" s="1"/>
  <c r="J344" i="47" s="1"/>
  <c r="J345" i="47" s="1"/>
  <c r="AJ177" i="47"/>
  <c r="AJ178" i="47" s="1"/>
  <c r="AJ179" i="47" s="1"/>
  <c r="AJ180" i="47" s="1"/>
  <c r="AJ181" i="47" s="1"/>
  <c r="AJ182" i="47" s="1"/>
  <c r="AJ183" i="47" s="1"/>
  <c r="AJ184" i="47" s="1"/>
  <c r="AJ185" i="47" s="1"/>
  <c r="AJ186" i="47" s="1"/>
  <c r="AJ187" i="47" s="1"/>
  <c r="AJ188" i="47" s="1"/>
  <c r="AJ189" i="47" s="1"/>
  <c r="AJ190" i="47" s="1"/>
  <c r="AJ191" i="47" s="1"/>
  <c r="AJ192" i="47" s="1"/>
  <c r="AJ193" i="47" s="1"/>
  <c r="AB177" i="47"/>
  <c r="AB178" i="47" s="1"/>
  <c r="AB179" i="47" s="1"/>
  <c r="AB180" i="47" s="1"/>
  <c r="AB181" i="47" s="1"/>
  <c r="AB182" i="47" s="1"/>
  <c r="AB183" i="47" s="1"/>
  <c r="AB184" i="47" s="1"/>
  <c r="AB185" i="47" s="1"/>
  <c r="AB186" i="47" s="1"/>
  <c r="AB187" i="47" s="1"/>
  <c r="AB188" i="47" s="1"/>
  <c r="AB189" i="47" s="1"/>
  <c r="AB190" i="47" s="1"/>
  <c r="AB191" i="47" s="1"/>
  <c r="AB192" i="47" s="1"/>
  <c r="AB193" i="47" s="1"/>
  <c r="X177" i="47"/>
  <c r="X178" i="47" s="1"/>
  <c r="X179" i="47" s="1"/>
  <c r="X180" i="47" s="1"/>
  <c r="X181" i="47" s="1"/>
  <c r="X182" i="47" s="1"/>
  <c r="X183" i="47" s="1"/>
  <c r="X184" i="47" s="1"/>
  <c r="X185" i="47" s="1"/>
  <c r="X186" i="47" s="1"/>
  <c r="X187" i="47" s="1"/>
  <c r="X188" i="47" s="1"/>
  <c r="X189" i="47" s="1"/>
  <c r="X190" i="47" s="1"/>
  <c r="X191" i="47" s="1"/>
  <c r="X192" i="47" s="1"/>
  <c r="X193" i="47" s="1"/>
  <c r="Q177" i="47"/>
  <c r="Q178" i="47" s="1"/>
  <c r="Q179" i="47" s="1"/>
  <c r="Q180" i="47" s="1"/>
  <c r="Q181" i="47" s="1"/>
  <c r="Q182" i="47" s="1"/>
  <c r="Q183" i="47" s="1"/>
  <c r="Q184" i="47" s="1"/>
  <c r="Q185" i="47" s="1"/>
  <c r="Q186" i="47" s="1"/>
  <c r="Q187" i="47" s="1"/>
  <c r="Q188" i="47" s="1"/>
  <c r="Q189" i="47" s="1"/>
  <c r="Q190" i="47" s="1"/>
  <c r="Q191" i="47" s="1"/>
  <c r="Q192" i="47" s="1"/>
  <c r="Q193" i="47" s="1"/>
  <c r="J177" i="47"/>
  <c r="J178" i="47" s="1"/>
  <c r="J179" i="47" s="1"/>
  <c r="J180" i="47" s="1"/>
  <c r="J181" i="47" s="1"/>
  <c r="J182" i="47" s="1"/>
  <c r="J183" i="47" s="1"/>
  <c r="J184" i="47" s="1"/>
  <c r="J185" i="47" s="1"/>
  <c r="J186" i="47" s="1"/>
  <c r="J187" i="47" s="1"/>
  <c r="J188" i="47" s="1"/>
  <c r="J189" i="47" s="1"/>
  <c r="J190" i="47" s="1"/>
  <c r="J191" i="47" s="1"/>
  <c r="J192" i="47" s="1"/>
  <c r="J193" i="47" s="1"/>
  <c r="F177" i="47"/>
  <c r="F178" i="47" s="1"/>
  <c r="F179" i="47" s="1"/>
  <c r="F180" i="47" s="1"/>
  <c r="F181" i="47" s="1"/>
  <c r="F182" i="47" s="1"/>
  <c r="F183" i="47" s="1"/>
  <c r="F184" i="47" s="1"/>
  <c r="F185" i="47" s="1"/>
  <c r="F186" i="47" s="1"/>
  <c r="F187" i="47" s="1"/>
  <c r="F188" i="47" s="1"/>
  <c r="F189" i="47" s="1"/>
  <c r="F190" i="47" s="1"/>
  <c r="F191" i="47" s="1"/>
  <c r="F192" i="47" s="1"/>
  <c r="F193" i="47" s="1"/>
  <c r="AI177" i="47"/>
  <c r="AI178" i="47" s="1"/>
  <c r="AI179" i="47" s="1"/>
  <c r="AI180" i="47" s="1"/>
  <c r="AI181" i="47" s="1"/>
  <c r="AI182" i="47" s="1"/>
  <c r="AI183" i="47" s="1"/>
  <c r="AI184" i="47" s="1"/>
  <c r="AI185" i="47" s="1"/>
  <c r="AI186" i="47" s="1"/>
  <c r="AI187" i="47" s="1"/>
  <c r="AI188" i="47" s="1"/>
  <c r="AI189" i="47" s="1"/>
  <c r="AI190" i="47" s="1"/>
  <c r="AI191" i="47" s="1"/>
  <c r="AI192" i="47" s="1"/>
  <c r="AI193" i="47" s="1"/>
  <c r="Z177" i="47"/>
  <c r="Z178" i="47" s="1"/>
  <c r="Z179" i="47" s="1"/>
  <c r="Z180" i="47" s="1"/>
  <c r="Z181" i="47" s="1"/>
  <c r="Z182" i="47" s="1"/>
  <c r="Z183" i="47" s="1"/>
  <c r="Z184" i="47" s="1"/>
  <c r="Z185" i="47" s="1"/>
  <c r="Z186" i="47" s="1"/>
  <c r="Z187" i="47" s="1"/>
  <c r="Z188" i="47" s="1"/>
  <c r="Z189" i="47" s="1"/>
  <c r="Z190" i="47" s="1"/>
  <c r="Z191" i="47" s="1"/>
  <c r="Z192" i="47" s="1"/>
  <c r="Z193" i="47" s="1"/>
  <c r="R177" i="47"/>
  <c r="R178" i="47" s="1"/>
  <c r="R179" i="47" s="1"/>
  <c r="R180" i="47" s="1"/>
  <c r="R181" i="47" s="1"/>
  <c r="R182" i="47" s="1"/>
  <c r="R183" i="47" s="1"/>
  <c r="R184" i="47" s="1"/>
  <c r="R185" i="47" s="1"/>
  <c r="R186" i="47" s="1"/>
  <c r="R187" i="47" s="1"/>
  <c r="R188" i="47" s="1"/>
  <c r="R189" i="47" s="1"/>
  <c r="R190" i="47" s="1"/>
  <c r="R191" i="47" s="1"/>
  <c r="R192" i="47" s="1"/>
  <c r="R193" i="47" s="1"/>
  <c r="I177" i="47"/>
  <c r="I178" i="47" s="1"/>
  <c r="I179" i="47" s="1"/>
  <c r="I180" i="47" s="1"/>
  <c r="I181" i="47" s="1"/>
  <c r="I182" i="47" s="1"/>
  <c r="I183" i="47" s="1"/>
  <c r="I184" i="47" s="1"/>
  <c r="I185" i="47" s="1"/>
  <c r="I186" i="47" s="1"/>
  <c r="I187" i="47" s="1"/>
  <c r="I188" i="47" s="1"/>
  <c r="I189" i="47" s="1"/>
  <c r="I190" i="47" s="1"/>
  <c r="I191" i="47" s="1"/>
  <c r="I192" i="47" s="1"/>
  <c r="I193" i="47" s="1"/>
  <c r="AM177" i="47"/>
  <c r="AM178" i="47" s="1"/>
  <c r="AM179" i="47" s="1"/>
  <c r="AM180" i="47" s="1"/>
  <c r="AM181" i="47" s="1"/>
  <c r="AM182" i="47" s="1"/>
  <c r="AM183" i="47" s="1"/>
  <c r="AM184" i="47" s="1"/>
  <c r="AM185" i="47" s="1"/>
  <c r="AM186" i="47" s="1"/>
  <c r="AM187" i="47" s="1"/>
  <c r="AM188" i="47" s="1"/>
  <c r="AM189" i="47" s="1"/>
  <c r="AM190" i="47" s="1"/>
  <c r="AM191" i="47" s="1"/>
  <c r="AM192" i="47" s="1"/>
  <c r="AM193" i="47" s="1"/>
  <c r="AH177" i="47"/>
  <c r="AH178" i="47" s="1"/>
  <c r="AH179" i="47" s="1"/>
  <c r="AH180" i="47" s="1"/>
  <c r="AH181" i="47" s="1"/>
  <c r="AH182" i="47" s="1"/>
  <c r="AH183" i="47" s="1"/>
  <c r="AH184" i="47" s="1"/>
  <c r="AH185" i="47" s="1"/>
  <c r="AH186" i="47" s="1"/>
  <c r="AH187" i="47" s="1"/>
  <c r="AH188" i="47" s="1"/>
  <c r="AH189" i="47" s="1"/>
  <c r="AH190" i="47" s="1"/>
  <c r="AH191" i="47" s="1"/>
  <c r="AH192" i="47" s="1"/>
  <c r="AH193" i="47" s="1"/>
  <c r="Y177" i="47"/>
  <c r="Y178" i="47" s="1"/>
  <c r="Y179" i="47" s="1"/>
  <c r="Y180" i="47" s="1"/>
  <c r="Y181" i="47" s="1"/>
  <c r="Y182" i="47" s="1"/>
  <c r="Y183" i="47" s="1"/>
  <c r="Y184" i="47" s="1"/>
  <c r="Y185" i="47" s="1"/>
  <c r="Y186" i="47" s="1"/>
  <c r="Y187" i="47" s="1"/>
  <c r="Y188" i="47" s="1"/>
  <c r="Y189" i="47" s="1"/>
  <c r="Y190" i="47" s="1"/>
  <c r="Y191" i="47" s="1"/>
  <c r="Y192" i="47" s="1"/>
  <c r="Y193" i="47" s="1"/>
  <c r="P177" i="47"/>
  <c r="P178" i="47" s="1"/>
  <c r="P179" i="47" s="1"/>
  <c r="P180" i="47" s="1"/>
  <c r="P181" i="47" s="1"/>
  <c r="P182" i="47" s="1"/>
  <c r="P183" i="47" s="1"/>
  <c r="P184" i="47" s="1"/>
  <c r="P185" i="47" s="1"/>
  <c r="P186" i="47" s="1"/>
  <c r="P187" i="47" s="1"/>
  <c r="P188" i="47" s="1"/>
  <c r="P189" i="47" s="1"/>
  <c r="P190" i="47" s="1"/>
  <c r="P191" i="47" s="1"/>
  <c r="P192" i="47" s="1"/>
  <c r="P193" i="47" s="1"/>
  <c r="H177" i="47"/>
  <c r="H178" i="47" s="1"/>
  <c r="H179" i="47" s="1"/>
  <c r="H180" i="47" s="1"/>
  <c r="H181" i="47" s="1"/>
  <c r="H182" i="47" s="1"/>
  <c r="H183" i="47" s="1"/>
  <c r="H184" i="47" s="1"/>
  <c r="H185" i="47" s="1"/>
  <c r="H186" i="47" s="1"/>
  <c r="H187" i="47" s="1"/>
  <c r="H188" i="47" s="1"/>
  <c r="H189" i="47" s="1"/>
  <c r="H190" i="47" s="1"/>
  <c r="H191" i="47" s="1"/>
  <c r="H192" i="47" s="1"/>
  <c r="H193" i="47" s="1"/>
  <c r="AL177" i="47"/>
  <c r="AL178" i="47" s="1"/>
  <c r="AL179" i="47" s="1"/>
  <c r="AL180" i="47" s="1"/>
  <c r="AL181" i="47" s="1"/>
  <c r="AL182" i="47" s="1"/>
  <c r="AL183" i="47" s="1"/>
  <c r="AL184" i="47" s="1"/>
  <c r="AL185" i="47" s="1"/>
  <c r="AL186" i="47" s="1"/>
  <c r="AL187" i="47" s="1"/>
  <c r="AL188" i="47" s="1"/>
  <c r="AL189" i="47" s="1"/>
  <c r="AL190" i="47" s="1"/>
  <c r="AL191" i="47" s="1"/>
  <c r="AL192" i="47" s="1"/>
  <c r="AL193" i="47" s="1"/>
  <c r="AC177" i="47"/>
  <c r="AC178" i="47" s="1"/>
  <c r="AC179" i="47" s="1"/>
  <c r="AC180" i="47" s="1"/>
  <c r="AC181" i="47" s="1"/>
  <c r="AC182" i="47" s="1"/>
  <c r="AC183" i="47" s="1"/>
  <c r="AC184" i="47" s="1"/>
  <c r="AC185" i="47" s="1"/>
  <c r="AC186" i="47" s="1"/>
  <c r="AC187" i="47" s="1"/>
  <c r="AC188" i="47" s="1"/>
  <c r="AC189" i="47" s="1"/>
  <c r="AC190" i="47" s="1"/>
  <c r="AC191" i="47" s="1"/>
  <c r="AC192" i="47" s="1"/>
  <c r="AC193" i="47" s="1"/>
  <c r="T177" i="47"/>
  <c r="T178" i="47" s="1"/>
  <c r="T179" i="47" s="1"/>
  <c r="T180" i="47" s="1"/>
  <c r="T181" i="47" s="1"/>
  <c r="T182" i="47" s="1"/>
  <c r="T183" i="47" s="1"/>
  <c r="T184" i="47" s="1"/>
  <c r="T185" i="47" s="1"/>
  <c r="T186" i="47" s="1"/>
  <c r="T187" i="47" s="1"/>
  <c r="T188" i="47" s="1"/>
  <c r="T189" i="47" s="1"/>
  <c r="T190" i="47" s="1"/>
  <c r="T191" i="47" s="1"/>
  <c r="T192" i="47" s="1"/>
  <c r="T193" i="47" s="1"/>
  <c r="O177" i="47"/>
  <c r="O178" i="47" s="1"/>
  <c r="O179" i="47" s="1"/>
  <c r="O180" i="47" s="1"/>
  <c r="O181" i="47" s="1"/>
  <c r="O182" i="47" s="1"/>
  <c r="O183" i="47" s="1"/>
  <c r="O184" i="47" s="1"/>
  <c r="O185" i="47" s="1"/>
  <c r="O186" i="47" s="1"/>
  <c r="O187" i="47" s="1"/>
  <c r="O188" i="47" s="1"/>
  <c r="O189" i="47" s="1"/>
  <c r="O190" i="47" s="1"/>
  <c r="O191" i="47" s="1"/>
  <c r="O192" i="47" s="1"/>
  <c r="O193" i="47" s="1"/>
  <c r="G177" i="47"/>
  <c r="G178" i="47" s="1"/>
  <c r="G179" i="47" s="1"/>
  <c r="G180" i="47" s="1"/>
  <c r="G181" i="47" s="1"/>
  <c r="G182" i="47" s="1"/>
  <c r="G183" i="47" s="1"/>
  <c r="G184" i="47" s="1"/>
  <c r="G185" i="47" s="1"/>
  <c r="G186" i="47" s="1"/>
  <c r="G187" i="47" s="1"/>
  <c r="G188" i="47" s="1"/>
  <c r="G189" i="47" s="1"/>
  <c r="G190" i="47" s="1"/>
  <c r="G191" i="47" s="1"/>
  <c r="G192" i="47" s="1"/>
  <c r="G193" i="47" s="1"/>
  <c r="T63" i="47"/>
  <c r="P81" i="47"/>
  <c r="X81" i="47"/>
  <c r="Y119" i="47"/>
  <c r="AK177" i="47"/>
  <c r="AK178" i="47" s="1"/>
  <c r="AK179" i="47" s="1"/>
  <c r="AK180" i="47" s="1"/>
  <c r="AK181" i="47" s="1"/>
  <c r="AK182" i="47" s="1"/>
  <c r="AK183" i="47" s="1"/>
  <c r="AK184" i="47" s="1"/>
  <c r="AK185" i="47" s="1"/>
  <c r="AK186" i="47" s="1"/>
  <c r="AK187" i="47" s="1"/>
  <c r="AK188" i="47" s="1"/>
  <c r="AK189" i="47" s="1"/>
  <c r="AK190" i="47" s="1"/>
  <c r="AK191" i="47" s="1"/>
  <c r="AK192" i="47" s="1"/>
  <c r="AK193" i="47" s="1"/>
  <c r="J100" i="47"/>
  <c r="AB100" i="47"/>
  <c r="Z63" i="47"/>
  <c r="I81" i="47"/>
  <c r="I100" i="47" s="1"/>
  <c r="AI81" i="47"/>
  <c r="K177" i="47"/>
  <c r="K178" i="47" s="1"/>
  <c r="K179" i="47" s="1"/>
  <c r="K180" i="47" s="1"/>
  <c r="K181" i="47" s="1"/>
  <c r="K182" i="47" s="1"/>
  <c r="K183" i="47" s="1"/>
  <c r="K184" i="47" s="1"/>
  <c r="K185" i="47" s="1"/>
  <c r="K186" i="47" s="1"/>
  <c r="K187" i="47" s="1"/>
  <c r="K188" i="47" s="1"/>
  <c r="K189" i="47" s="1"/>
  <c r="K190" i="47" s="1"/>
  <c r="K191" i="47" s="1"/>
  <c r="K192" i="47" s="1"/>
  <c r="K193" i="47" s="1"/>
  <c r="K329" i="47"/>
  <c r="K330" i="47" s="1"/>
  <c r="K331" i="47" s="1"/>
  <c r="K332" i="47" s="1"/>
  <c r="K333" i="47" s="1"/>
  <c r="K334" i="47" s="1"/>
  <c r="K335" i="47" s="1"/>
  <c r="K336" i="47" s="1"/>
  <c r="K337" i="47" s="1"/>
  <c r="K338" i="47" s="1"/>
  <c r="K339" i="47" s="1"/>
  <c r="K340" i="47" s="1"/>
  <c r="K341" i="47" s="1"/>
  <c r="K342" i="47" s="1"/>
  <c r="K343" i="47" s="1"/>
  <c r="K344" i="47" s="1"/>
  <c r="K345" i="47" s="1"/>
  <c r="H329" i="47"/>
  <c r="I329" i="47"/>
  <c r="I330" i="47" s="1"/>
  <c r="I331" i="47" s="1"/>
  <c r="I332" i="47" s="1"/>
  <c r="I333" i="47" s="1"/>
  <c r="I334" i="47" s="1"/>
  <c r="I335" i="47" s="1"/>
  <c r="I336" i="47" s="1"/>
  <c r="I337" i="47" s="1"/>
  <c r="I338" i="47" s="1"/>
  <c r="I339" i="47" s="1"/>
  <c r="I340" i="47" s="1"/>
  <c r="I341" i="47" s="1"/>
  <c r="I342" i="47" s="1"/>
  <c r="I343" i="47" s="1"/>
  <c r="I344" i="47" s="1"/>
  <c r="I345" i="47" s="1"/>
  <c r="G421" i="47"/>
  <c r="G420" i="47"/>
  <c r="G419" i="47"/>
  <c r="G418" i="47"/>
  <c r="G417" i="47"/>
  <c r="G416" i="47"/>
  <c r="G415" i="47"/>
  <c r="G414" i="47"/>
  <c r="G413" i="47"/>
  <c r="G412" i="47"/>
  <c r="G411" i="47"/>
  <c r="G410" i="47"/>
  <c r="G409" i="47"/>
  <c r="G408" i="47"/>
  <c r="K421" i="47"/>
  <c r="K420" i="47"/>
  <c r="K419" i="47"/>
  <c r="K418" i="47"/>
  <c r="K417" i="47"/>
  <c r="K416" i="47"/>
  <c r="K415" i="47"/>
  <c r="K414" i="47"/>
  <c r="K413" i="47"/>
  <c r="K412" i="47"/>
  <c r="K411" i="47"/>
  <c r="K410" i="47"/>
  <c r="K409" i="47"/>
  <c r="K408" i="47"/>
  <c r="R421" i="47"/>
  <c r="R420" i="47"/>
  <c r="R419" i="47"/>
  <c r="R418" i="47"/>
  <c r="R417" i="47"/>
  <c r="R416" i="47"/>
  <c r="R415" i="47"/>
  <c r="R414" i="47"/>
  <c r="R413" i="47"/>
  <c r="R412" i="47"/>
  <c r="R411" i="47"/>
  <c r="R410" i="47"/>
  <c r="R409" i="47"/>
  <c r="R408" i="47"/>
  <c r="Y421" i="47"/>
  <c r="Y420" i="47"/>
  <c r="Y419" i="47"/>
  <c r="Y418" i="47"/>
  <c r="Y417" i="47"/>
  <c r="Y416" i="47"/>
  <c r="Y415" i="47"/>
  <c r="Y414" i="47"/>
  <c r="Y413" i="47"/>
  <c r="Y412" i="47"/>
  <c r="Y411" i="47"/>
  <c r="Y410" i="47"/>
  <c r="Y409" i="47"/>
  <c r="Y408" i="47"/>
  <c r="AC421" i="47"/>
  <c r="AC420" i="47"/>
  <c r="AC419" i="47"/>
  <c r="AC418" i="47"/>
  <c r="AC417" i="47"/>
  <c r="AC416" i="47"/>
  <c r="AC415" i="47"/>
  <c r="AC414" i="47"/>
  <c r="AC413" i="47"/>
  <c r="AC412" i="47"/>
  <c r="AC411" i="47"/>
  <c r="AC410" i="47"/>
  <c r="AC409" i="47"/>
  <c r="AC408" i="47"/>
  <c r="AK421" i="47"/>
  <c r="AK420" i="47"/>
  <c r="AK419" i="47"/>
  <c r="AK418" i="47"/>
  <c r="AK417" i="47"/>
  <c r="AK416" i="47"/>
  <c r="AK415" i="47"/>
  <c r="AK414" i="47"/>
  <c r="AK413" i="47"/>
  <c r="AK412" i="47"/>
  <c r="AK411" i="47"/>
  <c r="AK410" i="47"/>
  <c r="AK409" i="47"/>
  <c r="AK408" i="47"/>
  <c r="AK407" i="47"/>
  <c r="H405" i="47"/>
  <c r="Y405" i="47"/>
  <c r="AH405" i="47"/>
  <c r="K406" i="47"/>
  <c r="AK406" i="47"/>
  <c r="Y407" i="47"/>
  <c r="H421" i="47"/>
  <c r="H420" i="47"/>
  <c r="H419" i="47"/>
  <c r="H418" i="47"/>
  <c r="H417" i="47"/>
  <c r="H416" i="47"/>
  <c r="H415" i="47"/>
  <c r="H414" i="47"/>
  <c r="H413" i="47"/>
  <c r="H412" i="47"/>
  <c r="H411" i="47"/>
  <c r="H410" i="47"/>
  <c r="H409" i="47"/>
  <c r="H408" i="47"/>
  <c r="O421" i="47"/>
  <c r="O420" i="47"/>
  <c r="O419" i="47"/>
  <c r="O418" i="47"/>
  <c r="O417" i="47"/>
  <c r="O416" i="47"/>
  <c r="O415" i="47"/>
  <c r="O414" i="47"/>
  <c r="O413" i="47"/>
  <c r="O412" i="47"/>
  <c r="O411" i="47"/>
  <c r="O410" i="47"/>
  <c r="O409" i="47"/>
  <c r="O408" i="47"/>
  <c r="S421" i="47"/>
  <c r="S420" i="47"/>
  <c r="S419" i="47"/>
  <c r="S418" i="47"/>
  <c r="S417" i="47"/>
  <c r="S416" i="47"/>
  <c r="S415" i="47"/>
  <c r="S414" i="47"/>
  <c r="S413" i="47"/>
  <c r="S412" i="47"/>
  <c r="S411" i="47"/>
  <c r="S410" i="47"/>
  <c r="S409" i="47"/>
  <c r="S408" i="47"/>
  <c r="Z421" i="47"/>
  <c r="Z420" i="47"/>
  <c r="Z419" i="47"/>
  <c r="Z418" i="47"/>
  <c r="Z417" i="47"/>
  <c r="Z416" i="47"/>
  <c r="Z415" i="47"/>
  <c r="Z414" i="47"/>
  <c r="Z413" i="47"/>
  <c r="Z412" i="47"/>
  <c r="Z411" i="47"/>
  <c r="Z410" i="47"/>
  <c r="Z409" i="47"/>
  <c r="Z408" i="47"/>
  <c r="AH421" i="47"/>
  <c r="AH420" i="47"/>
  <c r="AH419" i="47"/>
  <c r="AH418" i="47"/>
  <c r="AH417" i="47"/>
  <c r="AH416" i="47"/>
  <c r="AH415" i="47"/>
  <c r="AH414" i="47"/>
  <c r="AH413" i="47"/>
  <c r="AH412" i="47"/>
  <c r="AH411" i="47"/>
  <c r="AH410" i="47"/>
  <c r="AH409" i="47"/>
  <c r="AH408" i="47"/>
  <c r="AL421" i="47"/>
  <c r="AL420" i="47"/>
  <c r="AL419" i="47"/>
  <c r="AL418" i="47"/>
  <c r="AL417" i="47"/>
  <c r="AL416" i="47"/>
  <c r="AL415" i="47"/>
  <c r="AL414" i="47"/>
  <c r="AL413" i="47"/>
  <c r="AL412" i="47"/>
  <c r="AL411" i="47"/>
  <c r="AL410" i="47"/>
  <c r="AL409" i="47"/>
  <c r="AL408" i="47"/>
  <c r="AL407" i="47"/>
  <c r="R405" i="47"/>
  <c r="Z405" i="47"/>
  <c r="G406" i="47"/>
  <c r="O406" i="47"/>
  <c r="AC406" i="47"/>
  <c r="AL406" i="47"/>
  <c r="R407" i="47"/>
  <c r="Z407" i="47"/>
  <c r="I421" i="47"/>
  <c r="I420" i="47"/>
  <c r="I419" i="47"/>
  <c r="I418" i="47"/>
  <c r="I417" i="47"/>
  <c r="I416" i="47"/>
  <c r="I415" i="47"/>
  <c r="I414" i="47"/>
  <c r="I413" i="47"/>
  <c r="I412" i="47"/>
  <c r="P421" i="47"/>
  <c r="P420" i="47"/>
  <c r="P419" i="47"/>
  <c r="P418" i="47"/>
  <c r="P417" i="47"/>
  <c r="P416" i="47"/>
  <c r="P415" i="47"/>
  <c r="P414" i="47"/>
  <c r="P413" i="47"/>
  <c r="P412" i="47"/>
  <c r="P411" i="47"/>
  <c r="T421" i="47"/>
  <c r="T420" i="47"/>
  <c r="T419" i="47"/>
  <c r="T418" i="47"/>
  <c r="T417" i="47"/>
  <c r="T416" i="47"/>
  <c r="T415" i="47"/>
  <c r="T414" i="47"/>
  <c r="T413" i="47"/>
  <c r="T412" i="47"/>
  <c r="T411" i="47"/>
  <c r="AA421" i="47"/>
  <c r="AA420" i="47"/>
  <c r="AA419" i="47"/>
  <c r="AA418" i="47"/>
  <c r="AA417" i="47"/>
  <c r="AA416" i="47"/>
  <c r="AA415" i="47"/>
  <c r="AA414" i="47"/>
  <c r="AA413" i="47"/>
  <c r="AA412" i="47"/>
  <c r="AA411" i="47"/>
  <c r="AI421" i="47"/>
  <c r="AI420" i="47"/>
  <c r="AI419" i="47"/>
  <c r="AI418" i="47"/>
  <c r="AI417" i="47"/>
  <c r="AI416" i="47"/>
  <c r="AI415" i="47"/>
  <c r="AI414" i="47"/>
  <c r="AI413" i="47"/>
  <c r="AI412" i="47"/>
  <c r="AI411" i="47"/>
  <c r="AM421" i="47"/>
  <c r="AM420" i="47"/>
  <c r="AM419" i="47"/>
  <c r="AM418" i="47"/>
  <c r="AM417" i="47"/>
  <c r="AM416" i="47"/>
  <c r="AM415" i="47"/>
  <c r="AM414" i="47"/>
  <c r="AM413" i="47"/>
  <c r="AM412" i="47"/>
  <c r="AM411" i="47"/>
  <c r="K405" i="47"/>
  <c r="S405" i="47"/>
  <c r="AA405" i="47"/>
  <c r="AK405" i="47"/>
  <c r="H406" i="47"/>
  <c r="P406" i="47"/>
  <c r="Y406" i="47"/>
  <c r="AH406" i="47"/>
  <c r="AM406" i="47"/>
  <c r="K407" i="47"/>
  <c r="S407" i="47"/>
  <c r="AA407" i="47"/>
  <c r="AM407" i="47"/>
  <c r="AI408" i="47"/>
  <c r="P409" i="47"/>
  <c r="I410" i="47"/>
  <c r="AA410" i="47"/>
  <c r="G405" i="47"/>
  <c r="O405" i="47"/>
  <c r="T405" i="47"/>
  <c r="AC405" i="47"/>
  <c r="AL405" i="47"/>
  <c r="I406" i="47"/>
  <c r="R406" i="47"/>
  <c r="Z406" i="47"/>
  <c r="AI406" i="47"/>
  <c r="G407" i="47"/>
  <c r="O407" i="47"/>
  <c r="T407" i="47"/>
  <c r="AC407" i="47"/>
  <c r="T408" i="47"/>
  <c r="AM408" i="47"/>
  <c r="AI409" i="47"/>
  <c r="P410" i="47"/>
  <c r="I411" i="47"/>
  <c r="F405" i="47"/>
  <c r="J405" i="47"/>
  <c r="Q405" i="47"/>
  <c r="X405" i="47"/>
  <c r="AB405" i="47"/>
  <c r="AJ405" i="47"/>
  <c r="F406" i="47"/>
  <c r="J406" i="47"/>
  <c r="Q406" i="47"/>
  <c r="X406" i="47"/>
  <c r="AB406" i="47"/>
  <c r="AJ406" i="47"/>
  <c r="J407" i="47"/>
  <c r="X407" i="47"/>
  <c r="AJ407" i="47"/>
  <c r="J408" i="47"/>
  <c r="X408" i="47"/>
  <c r="AJ408" i="47"/>
  <c r="J409" i="47"/>
  <c r="X409" i="47"/>
  <c r="AJ409" i="47"/>
  <c r="J410" i="47"/>
  <c r="X410" i="47"/>
  <c r="AJ410" i="47"/>
  <c r="J411" i="47"/>
  <c r="AJ411" i="47"/>
  <c r="X412" i="47"/>
  <c r="J413" i="47"/>
  <c r="AJ413" i="47"/>
  <c r="X414" i="47"/>
  <c r="J415" i="47"/>
  <c r="AJ415" i="47"/>
  <c r="X416" i="47"/>
  <c r="J417" i="47"/>
  <c r="AJ417" i="47"/>
  <c r="X418" i="47"/>
  <c r="J419" i="47"/>
  <c r="AJ419" i="47"/>
  <c r="AJ81" i="25"/>
  <c r="AJ119" i="25" s="1"/>
  <c r="AL81" i="25"/>
  <c r="AL119" i="25" s="1"/>
  <c r="AH6" i="25"/>
  <c r="U4" i="45"/>
  <c r="U42" i="45" s="1"/>
  <c r="V4" i="45"/>
  <c r="V42" i="45" s="1"/>
  <c r="W4" i="45"/>
  <c r="W42" i="45" s="1"/>
  <c r="T4" i="45"/>
  <c r="T42" i="45" s="1"/>
  <c r="X42" i="45" s="1"/>
  <c r="AJ62" i="25"/>
  <c r="AK62" i="25"/>
  <c r="AL62" i="25"/>
  <c r="AM62" i="25"/>
  <c r="Y6" i="25"/>
  <c r="Z62" i="25"/>
  <c r="AC62" i="25"/>
  <c r="AA62" i="25"/>
  <c r="AB62" i="25"/>
  <c r="L195" i="25"/>
  <c r="T43" i="25"/>
  <c r="T62" i="25" s="1"/>
  <c r="G81" i="25"/>
  <c r="H81" i="25" s="1"/>
  <c r="H119" i="25" s="1"/>
  <c r="T101" i="25"/>
  <c r="T102" i="25" s="1"/>
  <c r="T103" i="25" s="1"/>
  <c r="T104" i="25" s="1"/>
  <c r="T105" i="25" s="1"/>
  <c r="T106" i="25" s="1"/>
  <c r="T107" i="25" s="1"/>
  <c r="T108" i="25" s="1"/>
  <c r="T109" i="25" s="1"/>
  <c r="T110" i="25" s="1"/>
  <c r="T111" i="25" s="1"/>
  <c r="T112" i="25" s="1"/>
  <c r="T113" i="25" s="1"/>
  <c r="T114" i="25" s="1"/>
  <c r="T115" i="25" s="1"/>
  <c r="T116" i="25" s="1"/>
  <c r="T117" i="25" s="1"/>
  <c r="S101" i="25"/>
  <c r="S102" i="25" s="1"/>
  <c r="S103" i="25" s="1"/>
  <c r="S104" i="25" s="1"/>
  <c r="S105" i="25" s="1"/>
  <c r="S106" i="25" s="1"/>
  <c r="S107" i="25" s="1"/>
  <c r="S108" i="25" s="1"/>
  <c r="S109" i="25" s="1"/>
  <c r="S110" i="25" s="1"/>
  <c r="S111" i="25" s="1"/>
  <c r="S112" i="25" s="1"/>
  <c r="S113" i="25" s="1"/>
  <c r="S114" i="25" s="1"/>
  <c r="S115" i="25" s="1"/>
  <c r="S116" i="25" s="1"/>
  <c r="S117" i="25" s="1"/>
  <c r="R101" i="25"/>
  <c r="R102" i="25" s="1"/>
  <c r="R103" i="25" s="1"/>
  <c r="R104" i="25" s="1"/>
  <c r="R105" i="25" s="1"/>
  <c r="R106" i="25" s="1"/>
  <c r="R107" i="25" s="1"/>
  <c r="R108" i="25" s="1"/>
  <c r="R109" i="25" s="1"/>
  <c r="R110" i="25" s="1"/>
  <c r="R111" i="25" s="1"/>
  <c r="R112" i="25" s="1"/>
  <c r="R113" i="25" s="1"/>
  <c r="R114" i="25" s="1"/>
  <c r="R115" i="25" s="1"/>
  <c r="R116" i="25" s="1"/>
  <c r="R117" i="25" s="1"/>
  <c r="R43" i="25"/>
  <c r="R62" i="25" s="1"/>
  <c r="Q101" i="25"/>
  <c r="Q102" i="25" s="1"/>
  <c r="Q103" i="25" s="1"/>
  <c r="Q104" i="25" s="1"/>
  <c r="Q105" i="25" s="1"/>
  <c r="Q106" i="25" s="1"/>
  <c r="Q107" i="25" s="1"/>
  <c r="Q108" i="25" s="1"/>
  <c r="Q109" i="25" s="1"/>
  <c r="Q110" i="25" s="1"/>
  <c r="Q111" i="25" s="1"/>
  <c r="Q112" i="25" s="1"/>
  <c r="Q113" i="25" s="1"/>
  <c r="Q114" i="25" s="1"/>
  <c r="Q115" i="25" s="1"/>
  <c r="Q116" i="25" s="1"/>
  <c r="Q117" i="25" s="1"/>
  <c r="K176" i="25"/>
  <c r="P101" i="25"/>
  <c r="P102" i="25" s="1"/>
  <c r="P103" i="25" s="1"/>
  <c r="P104" i="25" s="1"/>
  <c r="P105" i="25" s="1"/>
  <c r="P106" i="25" s="1"/>
  <c r="P107" i="25" s="1"/>
  <c r="P108" i="25" s="1"/>
  <c r="P109" i="25" s="1"/>
  <c r="P110" i="25" s="1"/>
  <c r="P111" i="25" s="1"/>
  <c r="P112" i="25" s="1"/>
  <c r="P113" i="25" s="1"/>
  <c r="P114" i="25" s="1"/>
  <c r="P115" i="25" s="1"/>
  <c r="P116" i="25" s="1"/>
  <c r="P117" i="25" s="1"/>
  <c r="H138" i="25"/>
  <c r="H139" i="25" s="1"/>
  <c r="H140" i="25" s="1"/>
  <c r="H141" i="25" s="1"/>
  <c r="H142" i="25" s="1"/>
  <c r="H143" i="25" s="1"/>
  <c r="H144" i="25" s="1"/>
  <c r="H145" i="25" s="1"/>
  <c r="H146" i="25" s="1"/>
  <c r="H147" i="25" s="1"/>
  <c r="H148" i="25" s="1"/>
  <c r="H149" i="25" s="1"/>
  <c r="H150" i="25" s="1"/>
  <c r="H151" i="25" s="1"/>
  <c r="H152" i="25" s="1"/>
  <c r="H153" i="25" s="1"/>
  <c r="H154" i="25" s="1"/>
  <c r="H155" i="25" s="1"/>
  <c r="O101" i="25"/>
  <c r="O102" i="25" s="1"/>
  <c r="O103" i="25" s="1"/>
  <c r="O104" i="25" s="1"/>
  <c r="O105" i="25" s="1"/>
  <c r="O106" i="25" s="1"/>
  <c r="O107" i="25" s="1"/>
  <c r="O108" i="25" s="1"/>
  <c r="O109" i="25" s="1"/>
  <c r="O110" i="25" s="1"/>
  <c r="O111" i="25" s="1"/>
  <c r="O112" i="25" s="1"/>
  <c r="O113" i="25" s="1"/>
  <c r="O114" i="25" s="1"/>
  <c r="O115" i="25" s="1"/>
  <c r="O116" i="25" s="1"/>
  <c r="O117" i="25" s="1"/>
  <c r="S62" i="25"/>
  <c r="P81" i="25"/>
  <c r="P6" i="25" s="1"/>
  <c r="P44" i="25" s="1"/>
  <c r="O81" i="25"/>
  <c r="Q62" i="25"/>
  <c r="I82" i="41"/>
  <c r="J82" i="41"/>
  <c r="K82" i="41"/>
  <c r="H82" i="41"/>
  <c r="H196" i="29"/>
  <c r="H197" i="29" s="1"/>
  <c r="H198" i="29" s="1"/>
  <c r="K196" i="29"/>
  <c r="K197" i="29" s="1"/>
  <c r="K198" i="29" s="1"/>
  <c r="K199" i="29" s="1"/>
  <c r="K200" i="29" s="1"/>
  <c r="K201" i="29" s="1"/>
  <c r="K202" i="29" s="1"/>
  <c r="K203" i="29" s="1"/>
  <c r="K204" i="29" s="1"/>
  <c r="K205" i="29" s="1"/>
  <c r="K206" i="29" s="1"/>
  <c r="K207" i="29" s="1"/>
  <c r="K208" i="29" s="1"/>
  <c r="K209" i="29" s="1"/>
  <c r="K210" i="29" s="1"/>
  <c r="K211" i="29" s="1"/>
  <c r="K212" i="29" s="1"/>
  <c r="J196" i="29"/>
  <c r="J197" i="29" s="1"/>
  <c r="J198" i="29" s="1"/>
  <c r="J199" i="29" s="1"/>
  <c r="J200" i="29" s="1"/>
  <c r="J201" i="29" s="1"/>
  <c r="J202" i="29" s="1"/>
  <c r="J203" i="29" s="1"/>
  <c r="J204" i="29" s="1"/>
  <c r="J205" i="29" s="1"/>
  <c r="J206" i="29" s="1"/>
  <c r="J207" i="29" s="1"/>
  <c r="J208" i="29" s="1"/>
  <c r="J209" i="29" s="1"/>
  <c r="J210" i="29" s="1"/>
  <c r="J211" i="29" s="1"/>
  <c r="J212" i="29" s="1"/>
  <c r="I196" i="29"/>
  <c r="I197" i="29" s="1"/>
  <c r="I198" i="29" s="1"/>
  <c r="I199" i="29" s="1"/>
  <c r="I200" i="29" s="1"/>
  <c r="I201" i="29" s="1"/>
  <c r="I202" i="29" s="1"/>
  <c r="I203" i="29" s="1"/>
  <c r="I204" i="29" s="1"/>
  <c r="I205" i="29" s="1"/>
  <c r="I206" i="29" s="1"/>
  <c r="I207" i="29" s="1"/>
  <c r="I208" i="29" s="1"/>
  <c r="I209" i="29" s="1"/>
  <c r="I210" i="29" s="1"/>
  <c r="I211" i="29" s="1"/>
  <c r="I212" i="29" s="1"/>
  <c r="F101" i="29"/>
  <c r="F102" i="29" s="1"/>
  <c r="F103" i="29" s="1"/>
  <c r="F104" i="29" s="1"/>
  <c r="F105" i="29" s="1"/>
  <c r="F106" i="29" s="1"/>
  <c r="F107" i="29" s="1"/>
  <c r="F108" i="29" s="1"/>
  <c r="F109" i="29" s="1"/>
  <c r="F110" i="29" s="1"/>
  <c r="F111" i="29" s="1"/>
  <c r="F112" i="29" s="1"/>
  <c r="F113" i="29" s="1"/>
  <c r="F114" i="29" s="1"/>
  <c r="F115" i="29" s="1"/>
  <c r="F116" i="29" s="1"/>
  <c r="F117" i="29" s="1"/>
  <c r="I101" i="29"/>
  <c r="I102" i="29" s="1"/>
  <c r="I103" i="29" s="1"/>
  <c r="I104" i="29" s="1"/>
  <c r="I105" i="29" s="1"/>
  <c r="I106" i="29" s="1"/>
  <c r="I107" i="29" s="1"/>
  <c r="I108" i="29" s="1"/>
  <c r="I109" i="29" s="1"/>
  <c r="I110" i="29" s="1"/>
  <c r="I111" i="29" s="1"/>
  <c r="I112" i="29" s="1"/>
  <c r="I113" i="29" s="1"/>
  <c r="I114" i="29" s="1"/>
  <c r="I115" i="29" s="1"/>
  <c r="I116" i="29" s="1"/>
  <c r="I117" i="29" s="1"/>
  <c r="F81" i="29"/>
  <c r="F43" i="29"/>
  <c r="K176" i="29"/>
  <c r="K177" i="29" s="1"/>
  <c r="K178" i="29" s="1"/>
  <c r="K179" i="29" s="1"/>
  <c r="K180" i="29" s="1"/>
  <c r="K181" i="29" s="1"/>
  <c r="K182" i="29" s="1"/>
  <c r="K183" i="29" s="1"/>
  <c r="K184" i="29" s="1"/>
  <c r="K185" i="29" s="1"/>
  <c r="K186" i="29" s="1"/>
  <c r="K187" i="29" s="1"/>
  <c r="K188" i="29" s="1"/>
  <c r="K189" i="29" s="1"/>
  <c r="K190" i="29" s="1"/>
  <c r="K191" i="29" s="1"/>
  <c r="K192" i="29" s="1"/>
  <c r="K193" i="29" s="1"/>
  <c r="K157" i="29"/>
  <c r="K158" i="29" s="1"/>
  <c r="K159" i="29" s="1"/>
  <c r="K160" i="29" s="1"/>
  <c r="K161" i="29" s="1"/>
  <c r="K162" i="29" s="1"/>
  <c r="K163" i="29" s="1"/>
  <c r="K164" i="29" s="1"/>
  <c r="K165" i="29" s="1"/>
  <c r="K166" i="29" s="1"/>
  <c r="K167" i="29" s="1"/>
  <c r="K168" i="29" s="1"/>
  <c r="K169" i="29" s="1"/>
  <c r="K170" i="29" s="1"/>
  <c r="K171" i="29" s="1"/>
  <c r="K172" i="29" s="1"/>
  <c r="K173" i="29" s="1"/>
  <c r="K174" i="29" s="1"/>
  <c r="K43" i="29"/>
  <c r="K44" i="29"/>
  <c r="J176" i="29"/>
  <c r="J177" i="29" s="1"/>
  <c r="J178" i="29" s="1"/>
  <c r="J179" i="29" s="1"/>
  <c r="J180" i="29" s="1"/>
  <c r="J181" i="29" s="1"/>
  <c r="J182" i="29" s="1"/>
  <c r="J183" i="29" s="1"/>
  <c r="J184" i="29" s="1"/>
  <c r="J185" i="29" s="1"/>
  <c r="J186" i="29" s="1"/>
  <c r="J187" i="29" s="1"/>
  <c r="J188" i="29" s="1"/>
  <c r="J189" i="29" s="1"/>
  <c r="J190" i="29" s="1"/>
  <c r="J191" i="29" s="1"/>
  <c r="J192" i="29" s="1"/>
  <c r="J193" i="29" s="1"/>
  <c r="J157" i="29"/>
  <c r="J158" i="29" s="1"/>
  <c r="J159" i="29" s="1"/>
  <c r="J160" i="29" s="1"/>
  <c r="J161" i="29" s="1"/>
  <c r="J162" i="29" s="1"/>
  <c r="J163" i="29" s="1"/>
  <c r="J164" i="29" s="1"/>
  <c r="J165" i="29" s="1"/>
  <c r="J166" i="29" s="1"/>
  <c r="J167" i="29" s="1"/>
  <c r="J168" i="29" s="1"/>
  <c r="J169" i="29" s="1"/>
  <c r="J170" i="29" s="1"/>
  <c r="J171" i="29" s="1"/>
  <c r="J172" i="29" s="1"/>
  <c r="J173" i="29" s="1"/>
  <c r="J174" i="29" s="1"/>
  <c r="J43" i="29"/>
  <c r="J44" i="29"/>
  <c r="I176" i="29"/>
  <c r="I177" i="29" s="1"/>
  <c r="I178" i="29" s="1"/>
  <c r="I179" i="29" s="1"/>
  <c r="I180" i="29" s="1"/>
  <c r="I181" i="29" s="1"/>
  <c r="I182" i="29" s="1"/>
  <c r="I183" i="29" s="1"/>
  <c r="I184" i="29" s="1"/>
  <c r="I185" i="29" s="1"/>
  <c r="I186" i="29" s="1"/>
  <c r="I187" i="29" s="1"/>
  <c r="I188" i="29" s="1"/>
  <c r="I189" i="29" s="1"/>
  <c r="I190" i="29" s="1"/>
  <c r="I191" i="29" s="1"/>
  <c r="I192" i="29" s="1"/>
  <c r="I193" i="29" s="1"/>
  <c r="I157" i="29"/>
  <c r="I158" i="29" s="1"/>
  <c r="I159" i="29" s="1"/>
  <c r="I160" i="29" s="1"/>
  <c r="I161" i="29" s="1"/>
  <c r="I162" i="29" s="1"/>
  <c r="I163" i="29" s="1"/>
  <c r="I164" i="29" s="1"/>
  <c r="I165" i="29" s="1"/>
  <c r="I166" i="29" s="1"/>
  <c r="I167" i="29" s="1"/>
  <c r="I168" i="29" s="1"/>
  <c r="I169" i="29" s="1"/>
  <c r="I170" i="29" s="1"/>
  <c r="I171" i="29" s="1"/>
  <c r="I172" i="29" s="1"/>
  <c r="I173" i="29" s="1"/>
  <c r="I174" i="29" s="1"/>
  <c r="I43" i="29"/>
  <c r="I44" i="29"/>
  <c r="H176" i="29"/>
  <c r="H157" i="29"/>
  <c r="H43" i="29"/>
  <c r="H44" i="29"/>
  <c r="G81" i="29"/>
  <c r="G43" i="29"/>
  <c r="J62" i="29"/>
  <c r="J25" i="29"/>
  <c r="J26" i="29" s="1"/>
  <c r="J27" i="29" s="1"/>
  <c r="J28" i="29" s="1"/>
  <c r="J29" i="29" s="1"/>
  <c r="J30" i="29" s="1"/>
  <c r="J31" i="29" s="1"/>
  <c r="J32" i="29" s="1"/>
  <c r="J33" i="29" s="1"/>
  <c r="J34" i="29" s="1"/>
  <c r="J35" i="29" s="1"/>
  <c r="J36" i="29" s="1"/>
  <c r="J37" i="29" s="1"/>
  <c r="J38" i="29" s="1"/>
  <c r="J39" i="29" s="1"/>
  <c r="J40" i="29" s="1"/>
  <c r="J41" i="29" s="1"/>
  <c r="I62" i="29"/>
  <c r="I25" i="29"/>
  <c r="I26" i="29" s="1"/>
  <c r="I27" i="29" s="1"/>
  <c r="I28" i="29" s="1"/>
  <c r="I29" i="29" s="1"/>
  <c r="I30" i="29" s="1"/>
  <c r="I31" i="29" s="1"/>
  <c r="I32" i="29" s="1"/>
  <c r="I33" i="29" s="1"/>
  <c r="I34" i="29" s="1"/>
  <c r="I35" i="29" s="1"/>
  <c r="I36" i="29" s="1"/>
  <c r="I37" i="29" s="1"/>
  <c r="I38" i="29" s="1"/>
  <c r="I39" i="29" s="1"/>
  <c r="I40" i="29" s="1"/>
  <c r="I41" i="29" s="1"/>
  <c r="H62" i="29"/>
  <c r="H25" i="29"/>
  <c r="K62" i="29"/>
  <c r="K25" i="29"/>
  <c r="K26" i="29" s="1"/>
  <c r="K27" i="29" s="1"/>
  <c r="K28" i="29" s="1"/>
  <c r="K29" i="29" s="1"/>
  <c r="K30" i="29" s="1"/>
  <c r="K31" i="29" s="1"/>
  <c r="K32" i="29" s="1"/>
  <c r="K33" i="29" s="1"/>
  <c r="K34" i="29" s="1"/>
  <c r="K35" i="29" s="1"/>
  <c r="K36" i="29" s="1"/>
  <c r="K37" i="29" s="1"/>
  <c r="K38" i="29" s="1"/>
  <c r="K39" i="29" s="1"/>
  <c r="K40" i="29" s="1"/>
  <c r="K41" i="29" s="1"/>
  <c r="G101" i="29"/>
  <c r="G102" i="29" s="1"/>
  <c r="G103" i="29" s="1"/>
  <c r="G104" i="29" s="1"/>
  <c r="G105" i="29" s="1"/>
  <c r="G106" i="29" s="1"/>
  <c r="G107" i="29" s="1"/>
  <c r="G108" i="29" s="1"/>
  <c r="G109" i="29" s="1"/>
  <c r="G110" i="29" s="1"/>
  <c r="G111" i="29" s="1"/>
  <c r="G112" i="29" s="1"/>
  <c r="G113" i="29" s="1"/>
  <c r="G114" i="29" s="1"/>
  <c r="G115" i="29" s="1"/>
  <c r="G116" i="29" s="1"/>
  <c r="G117" i="29" s="1"/>
  <c r="H101" i="29"/>
  <c r="H102" i="29" s="1"/>
  <c r="H103" i="29" s="1"/>
  <c r="H104" i="29" s="1"/>
  <c r="H105" i="29" s="1"/>
  <c r="H106" i="29" s="1"/>
  <c r="H107" i="29" s="1"/>
  <c r="H108" i="29" s="1"/>
  <c r="H109" i="29" s="1"/>
  <c r="H110" i="29" s="1"/>
  <c r="H111" i="29" s="1"/>
  <c r="H112" i="29" s="1"/>
  <c r="H113" i="29" s="1"/>
  <c r="H114" i="29" s="1"/>
  <c r="H115" i="29" s="1"/>
  <c r="H116" i="29" s="1"/>
  <c r="H117" i="29" s="1"/>
  <c r="J101" i="29"/>
  <c r="J102" i="29" s="1"/>
  <c r="J103" i="29" s="1"/>
  <c r="J104" i="29" s="1"/>
  <c r="J105" i="29" s="1"/>
  <c r="J106" i="29" s="1"/>
  <c r="J107" i="29" s="1"/>
  <c r="J108" i="29" s="1"/>
  <c r="J109" i="29" s="1"/>
  <c r="J110" i="29" s="1"/>
  <c r="J111" i="29" s="1"/>
  <c r="J112" i="29" s="1"/>
  <c r="J113" i="29" s="1"/>
  <c r="J114" i="29" s="1"/>
  <c r="J115" i="29" s="1"/>
  <c r="J116" i="29" s="1"/>
  <c r="J117" i="29" s="1"/>
  <c r="K101" i="29"/>
  <c r="K102" i="29" s="1"/>
  <c r="K103" i="29" s="1"/>
  <c r="K104" i="29" s="1"/>
  <c r="K105" i="29" s="1"/>
  <c r="K106" i="29" s="1"/>
  <c r="K107" i="29" s="1"/>
  <c r="K108" i="29" s="1"/>
  <c r="K109" i="29" s="1"/>
  <c r="K110" i="29" s="1"/>
  <c r="K111" i="29" s="1"/>
  <c r="K112" i="29" s="1"/>
  <c r="K113" i="29" s="1"/>
  <c r="K114" i="29" s="1"/>
  <c r="K115" i="29" s="1"/>
  <c r="K116" i="29" s="1"/>
  <c r="K117" i="29" s="1"/>
  <c r="F254" i="29"/>
  <c r="F255" i="29"/>
  <c r="F256" i="29"/>
  <c r="F257" i="29"/>
  <c r="F258" i="29"/>
  <c r="F259" i="29"/>
  <c r="F260" i="29"/>
  <c r="F261" i="29"/>
  <c r="F262" i="29"/>
  <c r="F263" i="29"/>
  <c r="F264" i="29"/>
  <c r="F265" i="29"/>
  <c r="F266" i="29"/>
  <c r="F267" i="29"/>
  <c r="F268" i="29"/>
  <c r="F269" i="29"/>
  <c r="F253" i="29"/>
  <c r="G254" i="29"/>
  <c r="G255" i="29"/>
  <c r="G256" i="29"/>
  <c r="G257" i="29"/>
  <c r="G258" i="29"/>
  <c r="G259" i="29"/>
  <c r="G260" i="29"/>
  <c r="G261" i="29"/>
  <c r="G262" i="29"/>
  <c r="G263" i="29"/>
  <c r="G264" i="29"/>
  <c r="G265" i="29"/>
  <c r="G266" i="29"/>
  <c r="G267" i="29"/>
  <c r="G268" i="29"/>
  <c r="G269" i="29"/>
  <c r="G253" i="29"/>
  <c r="H254" i="29"/>
  <c r="H255" i="29"/>
  <c r="H256" i="29"/>
  <c r="H257" i="29"/>
  <c r="H258" i="29"/>
  <c r="H259" i="29"/>
  <c r="H260" i="29"/>
  <c r="H261" i="29"/>
  <c r="H262" i="29"/>
  <c r="H263" i="29"/>
  <c r="H264" i="29"/>
  <c r="H265" i="29"/>
  <c r="H266" i="29"/>
  <c r="H267" i="29"/>
  <c r="H268" i="29"/>
  <c r="H269" i="29"/>
  <c r="H253" i="29"/>
  <c r="I254" i="29"/>
  <c r="I255" i="29"/>
  <c r="I256" i="29"/>
  <c r="I257" i="29"/>
  <c r="I258" i="29"/>
  <c r="I259" i="29"/>
  <c r="I260" i="29"/>
  <c r="I261" i="29"/>
  <c r="I262" i="29"/>
  <c r="I263" i="29"/>
  <c r="I264" i="29"/>
  <c r="I265" i="29"/>
  <c r="I266" i="29"/>
  <c r="I267" i="29"/>
  <c r="I268" i="29"/>
  <c r="I269" i="29"/>
  <c r="I253" i="29"/>
  <c r="J254" i="29"/>
  <c r="J255" i="29"/>
  <c r="J256" i="29"/>
  <c r="J257" i="29"/>
  <c r="J258" i="29"/>
  <c r="J259" i="29"/>
  <c r="J260" i="29"/>
  <c r="J261" i="29"/>
  <c r="J262" i="29"/>
  <c r="J263" i="29"/>
  <c r="J264" i="29"/>
  <c r="J265" i="29"/>
  <c r="J266" i="29"/>
  <c r="J267" i="29"/>
  <c r="J268" i="29"/>
  <c r="J269" i="29"/>
  <c r="J253" i="29"/>
  <c r="K254" i="29"/>
  <c r="K255" i="29"/>
  <c r="K256" i="29"/>
  <c r="K257" i="29"/>
  <c r="K258" i="29"/>
  <c r="K259" i="29"/>
  <c r="K260" i="29"/>
  <c r="K261" i="29"/>
  <c r="K262" i="29"/>
  <c r="K263" i="29"/>
  <c r="K264" i="29"/>
  <c r="K265" i="29"/>
  <c r="K266" i="29"/>
  <c r="K267" i="29"/>
  <c r="K268" i="29"/>
  <c r="K269" i="29"/>
  <c r="K253" i="29"/>
  <c r="K196" i="37"/>
  <c r="K197" i="37" s="1"/>
  <c r="K198" i="37" s="1"/>
  <c r="K199" i="37" s="1"/>
  <c r="K200" i="37" s="1"/>
  <c r="K201" i="37" s="1"/>
  <c r="K202" i="37" s="1"/>
  <c r="K203" i="37" s="1"/>
  <c r="K204" i="37" s="1"/>
  <c r="K205" i="37" s="1"/>
  <c r="K206" i="37" s="1"/>
  <c r="K207" i="37" s="1"/>
  <c r="K208" i="37" s="1"/>
  <c r="K209" i="37" s="1"/>
  <c r="K210" i="37" s="1"/>
  <c r="K211" i="37" s="1"/>
  <c r="K212" i="37" s="1"/>
  <c r="J196" i="37"/>
  <c r="J197" i="37" s="1"/>
  <c r="J198" i="37" s="1"/>
  <c r="J199" i="37" s="1"/>
  <c r="J200" i="37" s="1"/>
  <c r="J201" i="37" s="1"/>
  <c r="J202" i="37" s="1"/>
  <c r="J203" i="37" s="1"/>
  <c r="J204" i="37" s="1"/>
  <c r="J205" i="37" s="1"/>
  <c r="J206" i="37" s="1"/>
  <c r="J207" i="37" s="1"/>
  <c r="J208" i="37" s="1"/>
  <c r="J209" i="37" s="1"/>
  <c r="J210" i="37" s="1"/>
  <c r="J211" i="37" s="1"/>
  <c r="J212" i="37" s="1"/>
  <c r="I196" i="37"/>
  <c r="I197" i="37" s="1"/>
  <c r="I198" i="37" s="1"/>
  <c r="I199" i="37" s="1"/>
  <c r="I200" i="37" s="1"/>
  <c r="I201" i="37" s="1"/>
  <c r="I202" i="37" s="1"/>
  <c r="I203" i="37" s="1"/>
  <c r="I204" i="37" s="1"/>
  <c r="I205" i="37" s="1"/>
  <c r="I206" i="37" s="1"/>
  <c r="I207" i="37" s="1"/>
  <c r="I208" i="37" s="1"/>
  <c r="I209" i="37" s="1"/>
  <c r="I210" i="37" s="1"/>
  <c r="I211" i="37" s="1"/>
  <c r="I212" i="37" s="1"/>
  <c r="H196" i="37"/>
  <c r="H197" i="37" s="1"/>
  <c r="H101" i="37"/>
  <c r="K101" i="37"/>
  <c r="K102" i="37" s="1"/>
  <c r="G101" i="37"/>
  <c r="G102" i="37" s="1"/>
  <c r="G103" i="37" s="1"/>
  <c r="G104" i="37" s="1"/>
  <c r="G105" i="37" s="1"/>
  <c r="G106" i="37" s="1"/>
  <c r="G107" i="37" s="1"/>
  <c r="G108" i="37" s="1"/>
  <c r="G109" i="37" s="1"/>
  <c r="G110" i="37" s="1"/>
  <c r="G111" i="37" s="1"/>
  <c r="G112" i="37" s="1"/>
  <c r="G113" i="37" s="1"/>
  <c r="G114" i="37" s="1"/>
  <c r="G115" i="37" s="1"/>
  <c r="G116" i="37" s="1"/>
  <c r="G117" i="37" s="1"/>
  <c r="F81" i="37"/>
  <c r="F6" i="37" s="1"/>
  <c r="F43" i="37"/>
  <c r="G81" i="37"/>
  <c r="G6" i="37" s="1"/>
  <c r="G43" i="37"/>
  <c r="H176" i="37"/>
  <c r="H157" i="37"/>
  <c r="H158" i="37" s="1"/>
  <c r="H159" i="37" s="1"/>
  <c r="H160" i="37" s="1"/>
  <c r="H161" i="37" s="1"/>
  <c r="H162" i="37" s="1"/>
  <c r="H163" i="37" s="1"/>
  <c r="H164" i="37" s="1"/>
  <c r="H165" i="37" s="1"/>
  <c r="H166" i="37" s="1"/>
  <c r="H167" i="37" s="1"/>
  <c r="H168" i="37" s="1"/>
  <c r="H169" i="37" s="1"/>
  <c r="H170" i="37" s="1"/>
  <c r="H171" i="37" s="1"/>
  <c r="H172" i="37" s="1"/>
  <c r="H173" i="37" s="1"/>
  <c r="H174" i="37" s="1"/>
  <c r="H43" i="37"/>
  <c r="I176" i="37"/>
  <c r="I177" i="37" s="1"/>
  <c r="I178" i="37" s="1"/>
  <c r="I179" i="37" s="1"/>
  <c r="I180" i="37" s="1"/>
  <c r="I181" i="37" s="1"/>
  <c r="I182" i="37" s="1"/>
  <c r="I183" i="37" s="1"/>
  <c r="I184" i="37" s="1"/>
  <c r="I185" i="37" s="1"/>
  <c r="I186" i="37" s="1"/>
  <c r="I187" i="37" s="1"/>
  <c r="I188" i="37" s="1"/>
  <c r="I189" i="37" s="1"/>
  <c r="I190" i="37" s="1"/>
  <c r="I191" i="37" s="1"/>
  <c r="I192" i="37" s="1"/>
  <c r="I193" i="37" s="1"/>
  <c r="I43" i="37"/>
  <c r="I62" i="37" s="1"/>
  <c r="I157" i="37"/>
  <c r="I158" i="37" s="1"/>
  <c r="I159" i="37" s="1"/>
  <c r="I160" i="37" s="1"/>
  <c r="I161" i="37" s="1"/>
  <c r="I162" i="37" s="1"/>
  <c r="I163" i="37" s="1"/>
  <c r="I164" i="37" s="1"/>
  <c r="I165" i="37" s="1"/>
  <c r="I166" i="37" s="1"/>
  <c r="I167" i="37" s="1"/>
  <c r="I168" i="37" s="1"/>
  <c r="I169" i="37" s="1"/>
  <c r="I170" i="37" s="1"/>
  <c r="I171" i="37" s="1"/>
  <c r="I172" i="37" s="1"/>
  <c r="I173" i="37" s="1"/>
  <c r="I174" i="37" s="1"/>
  <c r="J176" i="37"/>
  <c r="J177" i="37" s="1"/>
  <c r="J178" i="37" s="1"/>
  <c r="J179" i="37" s="1"/>
  <c r="J180" i="37" s="1"/>
  <c r="J181" i="37" s="1"/>
  <c r="J182" i="37" s="1"/>
  <c r="J183" i="37" s="1"/>
  <c r="J184" i="37" s="1"/>
  <c r="J185" i="37" s="1"/>
  <c r="J186" i="37" s="1"/>
  <c r="J187" i="37" s="1"/>
  <c r="J188" i="37" s="1"/>
  <c r="J189" i="37" s="1"/>
  <c r="J190" i="37" s="1"/>
  <c r="J191" i="37" s="1"/>
  <c r="J192" i="37" s="1"/>
  <c r="J193" i="37" s="1"/>
  <c r="J157" i="37"/>
  <c r="J158" i="37" s="1"/>
  <c r="J159" i="37" s="1"/>
  <c r="J160" i="37" s="1"/>
  <c r="J161" i="37" s="1"/>
  <c r="J162" i="37" s="1"/>
  <c r="J163" i="37" s="1"/>
  <c r="J164" i="37" s="1"/>
  <c r="J165" i="37" s="1"/>
  <c r="J166" i="37" s="1"/>
  <c r="J167" i="37" s="1"/>
  <c r="J168" i="37" s="1"/>
  <c r="J169" i="37" s="1"/>
  <c r="J170" i="37" s="1"/>
  <c r="J171" i="37" s="1"/>
  <c r="J172" i="37" s="1"/>
  <c r="J173" i="37" s="1"/>
  <c r="J174" i="37" s="1"/>
  <c r="J43" i="37"/>
  <c r="K177" i="37"/>
  <c r="K178" i="37" s="1"/>
  <c r="K179" i="37" s="1"/>
  <c r="K180" i="37" s="1"/>
  <c r="K181" i="37" s="1"/>
  <c r="K182" i="37" s="1"/>
  <c r="K183" i="37" s="1"/>
  <c r="K184" i="37" s="1"/>
  <c r="K185" i="37" s="1"/>
  <c r="K186" i="37" s="1"/>
  <c r="K187" i="37" s="1"/>
  <c r="K188" i="37" s="1"/>
  <c r="K189" i="37" s="1"/>
  <c r="K190" i="37" s="1"/>
  <c r="K191" i="37" s="1"/>
  <c r="K192" i="37" s="1"/>
  <c r="K193" i="37" s="1"/>
  <c r="K157" i="37"/>
  <c r="K158" i="37" s="1"/>
  <c r="K159" i="37" s="1"/>
  <c r="K160" i="37" s="1"/>
  <c r="K161" i="37" s="1"/>
  <c r="K162" i="37" s="1"/>
  <c r="K163" i="37" s="1"/>
  <c r="K164" i="37" s="1"/>
  <c r="K165" i="37" s="1"/>
  <c r="K166" i="37" s="1"/>
  <c r="K167" i="37" s="1"/>
  <c r="K168" i="37" s="1"/>
  <c r="K169" i="37" s="1"/>
  <c r="K170" i="37" s="1"/>
  <c r="K171" i="37" s="1"/>
  <c r="K172" i="37" s="1"/>
  <c r="K173" i="37" s="1"/>
  <c r="K174" i="37" s="1"/>
  <c r="K43" i="37"/>
  <c r="J25" i="37"/>
  <c r="J26" i="37" s="1"/>
  <c r="J27" i="37" s="1"/>
  <c r="J28" i="37" s="1"/>
  <c r="J29" i="37" s="1"/>
  <c r="J30" i="37" s="1"/>
  <c r="J31" i="37" s="1"/>
  <c r="J32" i="37" s="1"/>
  <c r="J33" i="37" s="1"/>
  <c r="J34" i="37" s="1"/>
  <c r="J35" i="37" s="1"/>
  <c r="J36" i="37" s="1"/>
  <c r="J37" i="37" s="1"/>
  <c r="J38" i="37" s="1"/>
  <c r="J39" i="37" s="1"/>
  <c r="J40" i="37" s="1"/>
  <c r="J41" i="37" s="1"/>
  <c r="J62" i="37"/>
  <c r="K25" i="37"/>
  <c r="K26" i="37" s="1"/>
  <c r="K27" i="37" s="1"/>
  <c r="K28" i="37" s="1"/>
  <c r="K29" i="37" s="1"/>
  <c r="K30" i="37" s="1"/>
  <c r="K31" i="37" s="1"/>
  <c r="K32" i="37" s="1"/>
  <c r="K33" i="37" s="1"/>
  <c r="K34" i="37" s="1"/>
  <c r="K35" i="37" s="1"/>
  <c r="K36" i="37" s="1"/>
  <c r="K37" i="37" s="1"/>
  <c r="K38" i="37" s="1"/>
  <c r="K39" i="37" s="1"/>
  <c r="K40" i="37" s="1"/>
  <c r="K41" i="37" s="1"/>
  <c r="K62" i="37"/>
  <c r="H62" i="37"/>
  <c r="F101" i="37"/>
  <c r="F102" i="37" s="1"/>
  <c r="F103" i="37" s="1"/>
  <c r="F104" i="37" s="1"/>
  <c r="F105" i="37" s="1"/>
  <c r="F106" i="37" s="1"/>
  <c r="F107" i="37" s="1"/>
  <c r="F108" i="37" s="1"/>
  <c r="F109" i="37" s="1"/>
  <c r="F110" i="37" s="1"/>
  <c r="F111" i="37" s="1"/>
  <c r="F112" i="37" s="1"/>
  <c r="F113" i="37" s="1"/>
  <c r="F114" i="37" s="1"/>
  <c r="F115" i="37" s="1"/>
  <c r="F116" i="37" s="1"/>
  <c r="F117" i="37" s="1"/>
  <c r="F254" i="37"/>
  <c r="F255" i="37"/>
  <c r="F256" i="37"/>
  <c r="F257" i="37"/>
  <c r="F258" i="37"/>
  <c r="F259" i="37"/>
  <c r="F260" i="37"/>
  <c r="F261" i="37"/>
  <c r="F262" i="37"/>
  <c r="F263" i="37"/>
  <c r="F264" i="37"/>
  <c r="F265" i="37"/>
  <c r="F266" i="37"/>
  <c r="F267" i="37"/>
  <c r="F268" i="37"/>
  <c r="F269" i="37"/>
  <c r="F253" i="37"/>
  <c r="G254" i="37"/>
  <c r="G255" i="37"/>
  <c r="G256" i="37"/>
  <c r="G257" i="37"/>
  <c r="G258" i="37"/>
  <c r="G259" i="37"/>
  <c r="G260" i="37"/>
  <c r="G261" i="37"/>
  <c r="G262" i="37"/>
  <c r="G263" i="37"/>
  <c r="G264" i="37"/>
  <c r="G265" i="37"/>
  <c r="G266" i="37"/>
  <c r="G267" i="37"/>
  <c r="G268" i="37"/>
  <c r="G269" i="37"/>
  <c r="G253" i="37"/>
  <c r="H254" i="37"/>
  <c r="H255" i="37"/>
  <c r="H256" i="37"/>
  <c r="H257" i="37"/>
  <c r="H258" i="37"/>
  <c r="H259" i="37"/>
  <c r="H260" i="37"/>
  <c r="H261" i="37"/>
  <c r="H262" i="37"/>
  <c r="H263" i="37"/>
  <c r="H264" i="37"/>
  <c r="H265" i="37"/>
  <c r="H266" i="37"/>
  <c r="H267" i="37"/>
  <c r="H268" i="37"/>
  <c r="H269" i="37"/>
  <c r="H253" i="37"/>
  <c r="I254" i="37"/>
  <c r="I255" i="37"/>
  <c r="I256" i="37"/>
  <c r="I257" i="37"/>
  <c r="I258" i="37"/>
  <c r="I259" i="37"/>
  <c r="I260" i="37"/>
  <c r="I261" i="37"/>
  <c r="I262" i="37"/>
  <c r="I263" i="37"/>
  <c r="I264" i="37"/>
  <c r="I265" i="37"/>
  <c r="I266" i="37"/>
  <c r="I267" i="37"/>
  <c r="I268" i="37"/>
  <c r="I269" i="37"/>
  <c r="I253" i="37"/>
  <c r="J254" i="37"/>
  <c r="J255" i="37"/>
  <c r="J256" i="37"/>
  <c r="J257" i="37"/>
  <c r="J258" i="37"/>
  <c r="J259" i="37"/>
  <c r="J260" i="37"/>
  <c r="J261" i="37"/>
  <c r="J262" i="37"/>
  <c r="J263" i="37"/>
  <c r="J264" i="37"/>
  <c r="J265" i="37"/>
  <c r="J266" i="37"/>
  <c r="J267" i="37"/>
  <c r="J268" i="37"/>
  <c r="J269" i="37"/>
  <c r="J253" i="37"/>
  <c r="K254" i="37"/>
  <c r="K255" i="37"/>
  <c r="K256" i="37"/>
  <c r="K257" i="37"/>
  <c r="K258" i="37"/>
  <c r="K259" i="37"/>
  <c r="K260" i="37"/>
  <c r="K261" i="37"/>
  <c r="K262" i="37"/>
  <c r="K263" i="37"/>
  <c r="K264" i="37"/>
  <c r="K265" i="37"/>
  <c r="K266" i="37"/>
  <c r="K267" i="37"/>
  <c r="K268" i="37"/>
  <c r="K269" i="37"/>
  <c r="K253" i="37"/>
  <c r="K138" i="41"/>
  <c r="K139" i="41" s="1"/>
  <c r="K140" i="41" s="1"/>
  <c r="K141" i="41" s="1"/>
  <c r="K142" i="41" s="1"/>
  <c r="K143" i="41" s="1"/>
  <c r="K144" i="41" s="1"/>
  <c r="K145" i="41" s="1"/>
  <c r="K146" i="41" s="1"/>
  <c r="K147" i="41" s="1"/>
  <c r="K148" i="41" s="1"/>
  <c r="K149" i="41" s="1"/>
  <c r="K150" i="41" s="1"/>
  <c r="K151" i="41" s="1"/>
  <c r="K152" i="41" s="1"/>
  <c r="K153" i="41" s="1"/>
  <c r="K154" i="41" s="1"/>
  <c r="K155" i="41" s="1"/>
  <c r="K138" i="25"/>
  <c r="K139" i="25" s="1"/>
  <c r="K140" i="25" s="1"/>
  <c r="K141" i="25" s="1"/>
  <c r="K142" i="25" s="1"/>
  <c r="K143" i="25" s="1"/>
  <c r="K144" i="25" s="1"/>
  <c r="K145" i="25" s="1"/>
  <c r="K146" i="25" s="1"/>
  <c r="K147" i="25" s="1"/>
  <c r="K148" i="25" s="1"/>
  <c r="K149" i="25" s="1"/>
  <c r="K150" i="25" s="1"/>
  <c r="K151" i="25" s="1"/>
  <c r="K152" i="25" s="1"/>
  <c r="K153" i="25" s="1"/>
  <c r="K154" i="25" s="1"/>
  <c r="K155" i="25" s="1"/>
  <c r="K157" i="25"/>
  <c r="K158" i="25" s="1"/>
  <c r="K159" i="25" s="1"/>
  <c r="K160" i="25" s="1"/>
  <c r="K161" i="25" s="1"/>
  <c r="K162" i="25" s="1"/>
  <c r="K163" i="25" s="1"/>
  <c r="K164" i="25" s="1"/>
  <c r="K165" i="25" s="1"/>
  <c r="K166" i="25" s="1"/>
  <c r="K167" i="25" s="1"/>
  <c r="K168" i="25" s="1"/>
  <c r="K169" i="25" s="1"/>
  <c r="K170" i="25" s="1"/>
  <c r="K171" i="25" s="1"/>
  <c r="K172" i="25" s="1"/>
  <c r="K173" i="25" s="1"/>
  <c r="K174" i="25" s="1"/>
  <c r="K138" i="37"/>
  <c r="K139" i="37" s="1"/>
  <c r="K140" i="37" s="1"/>
  <c r="K141" i="37" s="1"/>
  <c r="K142" i="37" s="1"/>
  <c r="K143" i="37" s="1"/>
  <c r="K144" i="37" s="1"/>
  <c r="K145" i="37" s="1"/>
  <c r="K146" i="37" s="1"/>
  <c r="K147" i="37" s="1"/>
  <c r="K148" i="37" s="1"/>
  <c r="K149" i="37" s="1"/>
  <c r="K150" i="37" s="1"/>
  <c r="K151" i="37" s="1"/>
  <c r="K152" i="37" s="1"/>
  <c r="K153" i="37" s="1"/>
  <c r="K154" i="37" s="1"/>
  <c r="K155" i="37" s="1"/>
  <c r="K138" i="29"/>
  <c r="K139" i="29" s="1"/>
  <c r="K140" i="29" s="1"/>
  <c r="K141" i="29" s="1"/>
  <c r="K142" i="29" s="1"/>
  <c r="K143" i="29" s="1"/>
  <c r="K144" i="29" s="1"/>
  <c r="K145" i="29" s="1"/>
  <c r="K146" i="29" s="1"/>
  <c r="K147" i="29" s="1"/>
  <c r="K148" i="29" s="1"/>
  <c r="K149" i="29" s="1"/>
  <c r="K150" i="29" s="1"/>
  <c r="K151" i="29" s="1"/>
  <c r="K152" i="29" s="1"/>
  <c r="K153" i="29" s="1"/>
  <c r="K154" i="29" s="1"/>
  <c r="K155" i="29" s="1"/>
  <c r="J43" i="25"/>
  <c r="J176" i="25"/>
  <c r="J177" i="25" s="1"/>
  <c r="J178" i="25" s="1"/>
  <c r="J179" i="25" s="1"/>
  <c r="J180" i="25" s="1"/>
  <c r="J181" i="25" s="1"/>
  <c r="J182" i="25" s="1"/>
  <c r="J183" i="25" s="1"/>
  <c r="J184" i="25" s="1"/>
  <c r="J185" i="25" s="1"/>
  <c r="J186" i="25" s="1"/>
  <c r="J187" i="25" s="1"/>
  <c r="J188" i="25" s="1"/>
  <c r="J189" i="25" s="1"/>
  <c r="J190" i="25" s="1"/>
  <c r="J191" i="25" s="1"/>
  <c r="J192" i="25" s="1"/>
  <c r="J193" i="25" s="1"/>
  <c r="J138" i="41"/>
  <c r="J139" i="41" s="1"/>
  <c r="J140" i="41" s="1"/>
  <c r="J141" i="41" s="1"/>
  <c r="J142" i="41" s="1"/>
  <c r="J143" i="41" s="1"/>
  <c r="J144" i="41" s="1"/>
  <c r="J145" i="41" s="1"/>
  <c r="J146" i="41" s="1"/>
  <c r="J147" i="41" s="1"/>
  <c r="J148" i="41" s="1"/>
  <c r="J149" i="41" s="1"/>
  <c r="J150" i="41" s="1"/>
  <c r="J151" i="41" s="1"/>
  <c r="J152" i="41" s="1"/>
  <c r="J153" i="41" s="1"/>
  <c r="J154" i="41" s="1"/>
  <c r="J155" i="41" s="1"/>
  <c r="J138" i="25"/>
  <c r="J139" i="25" s="1"/>
  <c r="J140" i="25" s="1"/>
  <c r="J141" i="25" s="1"/>
  <c r="J142" i="25" s="1"/>
  <c r="J143" i="25" s="1"/>
  <c r="J144" i="25" s="1"/>
  <c r="J145" i="25" s="1"/>
  <c r="J146" i="25" s="1"/>
  <c r="J147" i="25" s="1"/>
  <c r="J148" i="25" s="1"/>
  <c r="J149" i="25" s="1"/>
  <c r="J150" i="25" s="1"/>
  <c r="J151" i="25" s="1"/>
  <c r="J152" i="25" s="1"/>
  <c r="J153" i="25" s="1"/>
  <c r="J154" i="25" s="1"/>
  <c r="J155" i="25" s="1"/>
  <c r="J157" i="25"/>
  <c r="J158" i="25" s="1"/>
  <c r="J159" i="25" s="1"/>
  <c r="J160" i="25" s="1"/>
  <c r="J161" i="25" s="1"/>
  <c r="J162" i="25" s="1"/>
  <c r="J163" i="25" s="1"/>
  <c r="J164" i="25" s="1"/>
  <c r="J165" i="25" s="1"/>
  <c r="J166" i="25" s="1"/>
  <c r="J167" i="25" s="1"/>
  <c r="J168" i="25" s="1"/>
  <c r="J169" i="25" s="1"/>
  <c r="J170" i="25" s="1"/>
  <c r="J171" i="25" s="1"/>
  <c r="J172" i="25" s="1"/>
  <c r="J173" i="25" s="1"/>
  <c r="J174" i="25" s="1"/>
  <c r="J138" i="37"/>
  <c r="J139" i="37" s="1"/>
  <c r="J140" i="37" s="1"/>
  <c r="J141" i="37" s="1"/>
  <c r="J142" i="37" s="1"/>
  <c r="J143" i="37" s="1"/>
  <c r="J144" i="37" s="1"/>
  <c r="J145" i="37" s="1"/>
  <c r="J146" i="37" s="1"/>
  <c r="J147" i="37" s="1"/>
  <c r="J148" i="37" s="1"/>
  <c r="J149" i="37" s="1"/>
  <c r="J150" i="37" s="1"/>
  <c r="J151" i="37" s="1"/>
  <c r="J152" i="37" s="1"/>
  <c r="J153" i="37" s="1"/>
  <c r="J154" i="37" s="1"/>
  <c r="J155" i="37" s="1"/>
  <c r="J138" i="29"/>
  <c r="J139" i="29" s="1"/>
  <c r="J140" i="29" s="1"/>
  <c r="J141" i="29" s="1"/>
  <c r="J142" i="29" s="1"/>
  <c r="J143" i="29" s="1"/>
  <c r="J144" i="29" s="1"/>
  <c r="J145" i="29" s="1"/>
  <c r="J146" i="29" s="1"/>
  <c r="J147" i="29" s="1"/>
  <c r="J148" i="29" s="1"/>
  <c r="J149" i="29" s="1"/>
  <c r="J150" i="29" s="1"/>
  <c r="J151" i="29" s="1"/>
  <c r="J152" i="29" s="1"/>
  <c r="J153" i="29" s="1"/>
  <c r="J154" i="29" s="1"/>
  <c r="J155" i="29" s="1"/>
  <c r="I176" i="25"/>
  <c r="I177" i="25" s="1"/>
  <c r="I178" i="25" s="1"/>
  <c r="I179" i="25" s="1"/>
  <c r="I180" i="25" s="1"/>
  <c r="I181" i="25" s="1"/>
  <c r="I182" i="25" s="1"/>
  <c r="I183" i="25" s="1"/>
  <c r="I184" i="25" s="1"/>
  <c r="I185" i="25" s="1"/>
  <c r="I186" i="25" s="1"/>
  <c r="I187" i="25" s="1"/>
  <c r="I188" i="25" s="1"/>
  <c r="I189" i="25" s="1"/>
  <c r="I190" i="25" s="1"/>
  <c r="I191" i="25" s="1"/>
  <c r="I192" i="25" s="1"/>
  <c r="I193" i="25" s="1"/>
  <c r="I138" i="41"/>
  <c r="I139" i="41" s="1"/>
  <c r="I140" i="41" s="1"/>
  <c r="I141" i="41" s="1"/>
  <c r="I142" i="41" s="1"/>
  <c r="I143" i="41" s="1"/>
  <c r="I144" i="41" s="1"/>
  <c r="I145" i="41" s="1"/>
  <c r="I146" i="41" s="1"/>
  <c r="I147" i="41" s="1"/>
  <c r="I148" i="41" s="1"/>
  <c r="I149" i="41" s="1"/>
  <c r="I150" i="41" s="1"/>
  <c r="I151" i="41" s="1"/>
  <c r="I152" i="41" s="1"/>
  <c r="I153" i="41" s="1"/>
  <c r="I154" i="41" s="1"/>
  <c r="I155" i="41" s="1"/>
  <c r="I138" i="25"/>
  <c r="I139" i="25" s="1"/>
  <c r="I140" i="25" s="1"/>
  <c r="I141" i="25" s="1"/>
  <c r="I142" i="25" s="1"/>
  <c r="I143" i="25" s="1"/>
  <c r="I144" i="25" s="1"/>
  <c r="I145" i="25" s="1"/>
  <c r="I146" i="25" s="1"/>
  <c r="I147" i="25" s="1"/>
  <c r="I148" i="25" s="1"/>
  <c r="I149" i="25" s="1"/>
  <c r="I150" i="25" s="1"/>
  <c r="I151" i="25" s="1"/>
  <c r="I152" i="25" s="1"/>
  <c r="I153" i="25" s="1"/>
  <c r="I154" i="25" s="1"/>
  <c r="I155" i="25" s="1"/>
  <c r="I157" i="25"/>
  <c r="I158" i="25" s="1"/>
  <c r="I159" i="25" s="1"/>
  <c r="I160" i="25" s="1"/>
  <c r="I161" i="25" s="1"/>
  <c r="I162" i="25" s="1"/>
  <c r="I163" i="25" s="1"/>
  <c r="I164" i="25" s="1"/>
  <c r="I165" i="25" s="1"/>
  <c r="I166" i="25" s="1"/>
  <c r="I167" i="25" s="1"/>
  <c r="I168" i="25" s="1"/>
  <c r="I169" i="25" s="1"/>
  <c r="I170" i="25" s="1"/>
  <c r="I171" i="25" s="1"/>
  <c r="I172" i="25" s="1"/>
  <c r="I173" i="25" s="1"/>
  <c r="I174" i="25" s="1"/>
  <c r="I138" i="37"/>
  <c r="I139" i="37" s="1"/>
  <c r="I140" i="37" s="1"/>
  <c r="I141" i="37" s="1"/>
  <c r="I142" i="37" s="1"/>
  <c r="I143" i="37" s="1"/>
  <c r="I144" i="37" s="1"/>
  <c r="I145" i="37" s="1"/>
  <c r="I146" i="37" s="1"/>
  <c r="I147" i="37" s="1"/>
  <c r="I148" i="37" s="1"/>
  <c r="I149" i="37" s="1"/>
  <c r="I150" i="37" s="1"/>
  <c r="I151" i="37" s="1"/>
  <c r="I152" i="37" s="1"/>
  <c r="I153" i="37" s="1"/>
  <c r="I154" i="37" s="1"/>
  <c r="I155" i="37" s="1"/>
  <c r="I138" i="29"/>
  <c r="I139" i="29" s="1"/>
  <c r="I140" i="29" s="1"/>
  <c r="I141" i="29" s="1"/>
  <c r="I142" i="29" s="1"/>
  <c r="I143" i="29" s="1"/>
  <c r="I144" i="29" s="1"/>
  <c r="I145" i="29" s="1"/>
  <c r="I146" i="29" s="1"/>
  <c r="I147" i="29" s="1"/>
  <c r="I148" i="29" s="1"/>
  <c r="I149" i="29" s="1"/>
  <c r="I150" i="29" s="1"/>
  <c r="I151" i="29" s="1"/>
  <c r="I152" i="29" s="1"/>
  <c r="I153" i="29" s="1"/>
  <c r="I154" i="29" s="1"/>
  <c r="I155" i="29" s="1"/>
  <c r="H43" i="25"/>
  <c r="H62" i="25" s="1"/>
  <c r="H177" i="25"/>
  <c r="H178" i="25" s="1"/>
  <c r="H179" i="25" s="1"/>
  <c r="H180" i="25" s="1"/>
  <c r="H181" i="25" s="1"/>
  <c r="H182" i="25" s="1"/>
  <c r="H183" i="25" s="1"/>
  <c r="H184" i="25" s="1"/>
  <c r="H185" i="25" s="1"/>
  <c r="H186" i="25" s="1"/>
  <c r="H187" i="25" s="1"/>
  <c r="H188" i="25" s="1"/>
  <c r="H189" i="25" s="1"/>
  <c r="H190" i="25" s="1"/>
  <c r="H191" i="25" s="1"/>
  <c r="H192" i="25" s="1"/>
  <c r="H193" i="25" s="1"/>
  <c r="H138" i="41"/>
  <c r="H157" i="25"/>
  <c r="H158" i="25" s="1"/>
  <c r="H159" i="25" s="1"/>
  <c r="H160" i="25" s="1"/>
  <c r="H161" i="25" s="1"/>
  <c r="H162" i="25" s="1"/>
  <c r="H163" i="25" s="1"/>
  <c r="H164" i="25" s="1"/>
  <c r="H165" i="25" s="1"/>
  <c r="H166" i="25" s="1"/>
  <c r="H167" i="25" s="1"/>
  <c r="H168" i="25" s="1"/>
  <c r="H138" i="37"/>
  <c r="H139" i="37" s="1"/>
  <c r="H140" i="37" s="1"/>
  <c r="H141" i="37" s="1"/>
  <c r="H142" i="37" s="1"/>
  <c r="H143" i="37" s="1"/>
  <c r="H144" i="37" s="1"/>
  <c r="H145" i="37" s="1"/>
  <c r="H146" i="37" s="1"/>
  <c r="H147" i="37" s="1"/>
  <c r="H148" i="37" s="1"/>
  <c r="H149" i="37" s="1"/>
  <c r="H150" i="37" s="1"/>
  <c r="H151" i="37" s="1"/>
  <c r="H152" i="37" s="1"/>
  <c r="H153" i="37" s="1"/>
  <c r="H154" i="37" s="1"/>
  <c r="H155" i="37" s="1"/>
  <c r="H138" i="29"/>
  <c r="I196" i="25"/>
  <c r="I197" i="25" s="1"/>
  <c r="J196" i="25"/>
  <c r="J197" i="25" s="1"/>
  <c r="J198" i="25" s="1"/>
  <c r="J199" i="25" s="1"/>
  <c r="J200" i="25" s="1"/>
  <c r="J201" i="25" s="1"/>
  <c r="J202" i="25" s="1"/>
  <c r="J203" i="25" s="1"/>
  <c r="J204" i="25" s="1"/>
  <c r="J205" i="25" s="1"/>
  <c r="J206" i="25" s="1"/>
  <c r="J207" i="25" s="1"/>
  <c r="J208" i="25" s="1"/>
  <c r="J209" i="25" s="1"/>
  <c r="J210" i="25" s="1"/>
  <c r="J211" i="25" s="1"/>
  <c r="J212" i="25" s="1"/>
  <c r="K196" i="25"/>
  <c r="K197" i="25" s="1"/>
  <c r="K198" i="25" s="1"/>
  <c r="K199" i="25" s="1"/>
  <c r="K200" i="25" s="1"/>
  <c r="K201" i="25" s="1"/>
  <c r="K202" i="25" s="1"/>
  <c r="K203" i="25" s="1"/>
  <c r="K204" i="25" s="1"/>
  <c r="K205" i="25" s="1"/>
  <c r="K206" i="25" s="1"/>
  <c r="K207" i="25" s="1"/>
  <c r="K208" i="25" s="1"/>
  <c r="K209" i="25" s="1"/>
  <c r="K210" i="25" s="1"/>
  <c r="K211" i="25" s="1"/>
  <c r="K212" i="25" s="1"/>
  <c r="H196" i="25"/>
  <c r="H197" i="25" s="1"/>
  <c r="H198" i="25" s="1"/>
  <c r="H199" i="25" s="1"/>
  <c r="H101" i="25"/>
  <c r="H102" i="25" s="1"/>
  <c r="H103" i="25" s="1"/>
  <c r="H104" i="25" s="1"/>
  <c r="H105" i="25" s="1"/>
  <c r="H106" i="25" s="1"/>
  <c r="H107" i="25" s="1"/>
  <c r="H108" i="25" s="1"/>
  <c r="H109" i="25" s="1"/>
  <c r="H110" i="25" s="1"/>
  <c r="H111" i="25" s="1"/>
  <c r="H112" i="25" s="1"/>
  <c r="H113" i="25" s="1"/>
  <c r="H114" i="25" s="1"/>
  <c r="H115" i="25" s="1"/>
  <c r="H116" i="25" s="1"/>
  <c r="H117" i="25" s="1"/>
  <c r="K101" i="25"/>
  <c r="K102" i="25" s="1"/>
  <c r="K103" i="25" s="1"/>
  <c r="K104" i="25" s="1"/>
  <c r="K105" i="25" s="1"/>
  <c r="K106" i="25" s="1"/>
  <c r="K107" i="25" s="1"/>
  <c r="K108" i="25" s="1"/>
  <c r="K109" i="25" s="1"/>
  <c r="K110" i="25" s="1"/>
  <c r="K111" i="25" s="1"/>
  <c r="K112" i="25" s="1"/>
  <c r="K113" i="25" s="1"/>
  <c r="K114" i="25" s="1"/>
  <c r="K115" i="25" s="1"/>
  <c r="K116" i="25" s="1"/>
  <c r="K117" i="25" s="1"/>
  <c r="F260" i="25"/>
  <c r="F258" i="25"/>
  <c r="F259" i="25"/>
  <c r="F267" i="25"/>
  <c r="K257" i="25"/>
  <c r="K260" i="25"/>
  <c r="G257" i="25"/>
  <c r="G255" i="25"/>
  <c r="G256" i="25"/>
  <c r="G261" i="25"/>
  <c r="G263" i="25"/>
  <c r="G265" i="25"/>
  <c r="G266" i="25"/>
  <c r="G268" i="25"/>
  <c r="G269" i="25"/>
  <c r="F43" i="25"/>
  <c r="K177" i="25"/>
  <c r="F7" i="41"/>
  <c r="K7" i="41"/>
  <c r="J7" i="41"/>
  <c r="I7" i="41"/>
  <c r="H7" i="41"/>
  <c r="G7" i="41"/>
  <c r="F6" i="39"/>
  <c r="F82" i="29"/>
  <c r="F44" i="29"/>
  <c r="G82" i="29"/>
  <c r="G7" i="29" s="1"/>
  <c r="G44" i="29"/>
  <c r="G83" i="29"/>
  <c r="G45" i="29"/>
  <c r="L119" i="39"/>
  <c r="L214" i="39"/>
  <c r="L233" i="39"/>
  <c r="I81" i="37"/>
  <c r="J81" i="37"/>
  <c r="K81" i="37"/>
  <c r="H81" i="37"/>
  <c r="I6" i="37"/>
  <c r="I119" i="37"/>
  <c r="L195" i="29"/>
  <c r="H63" i="29"/>
  <c r="H26" i="29"/>
  <c r="H27" i="37"/>
  <c r="L195" i="37"/>
  <c r="L157" i="37"/>
  <c r="I101" i="37"/>
  <c r="J101" i="37"/>
  <c r="J81" i="29"/>
  <c r="J119" i="29" s="1"/>
  <c r="K81" i="29"/>
  <c r="K119" i="29" s="1"/>
  <c r="J257" i="25"/>
  <c r="J62" i="25"/>
  <c r="F265" i="25"/>
  <c r="I262" i="25"/>
  <c r="J25" i="25"/>
  <c r="J26" i="25" s="1"/>
  <c r="J27" i="25" s="1"/>
  <c r="J28" i="25" s="1"/>
  <c r="J29" i="25" s="1"/>
  <c r="J30" i="25" s="1"/>
  <c r="J31" i="25" s="1"/>
  <c r="J32" i="25" s="1"/>
  <c r="J33" i="25" s="1"/>
  <c r="J34" i="25" s="1"/>
  <c r="J35" i="25" s="1"/>
  <c r="J36" i="25" s="1"/>
  <c r="J37" i="25" s="1"/>
  <c r="J38" i="25" s="1"/>
  <c r="J39" i="25" s="1"/>
  <c r="J40" i="25" s="1"/>
  <c r="J41" i="25" s="1"/>
  <c r="F264" i="25"/>
  <c r="I261" i="25"/>
  <c r="J265" i="25"/>
  <c r="J254" i="25"/>
  <c r="J101" i="25"/>
  <c r="J102" i="25" s="1"/>
  <c r="J103" i="25" s="1"/>
  <c r="J104" i="25" s="1"/>
  <c r="J105" i="25" s="1"/>
  <c r="J106" i="25" s="1"/>
  <c r="J107" i="25" s="1"/>
  <c r="J108" i="25" s="1"/>
  <c r="J109" i="25" s="1"/>
  <c r="J110" i="25" s="1"/>
  <c r="J111" i="25" s="1"/>
  <c r="J112" i="25" s="1"/>
  <c r="J113" i="25" s="1"/>
  <c r="J114" i="25" s="1"/>
  <c r="J115" i="25" s="1"/>
  <c r="J116" i="25" s="1"/>
  <c r="J117" i="25" s="1"/>
  <c r="F257" i="25"/>
  <c r="J264" i="25"/>
  <c r="G260" i="25"/>
  <c r="I253" i="25"/>
  <c r="I254" i="25"/>
  <c r="I101" i="25"/>
  <c r="I102" i="25" s="1"/>
  <c r="I103" i="25" s="1"/>
  <c r="I104" i="25" s="1"/>
  <c r="I105" i="25" s="1"/>
  <c r="I106" i="25" s="1"/>
  <c r="I107" i="25" s="1"/>
  <c r="I108" i="25" s="1"/>
  <c r="I109" i="25" s="1"/>
  <c r="I110" i="25" s="1"/>
  <c r="I111" i="25" s="1"/>
  <c r="I112" i="25" s="1"/>
  <c r="I113" i="25" s="1"/>
  <c r="I114" i="25" s="1"/>
  <c r="I115" i="25" s="1"/>
  <c r="I116" i="25" s="1"/>
  <c r="I117" i="25" s="1"/>
  <c r="F256" i="25"/>
  <c r="G264" i="25"/>
  <c r="G258" i="25"/>
  <c r="G253" i="25"/>
  <c r="G101" i="25"/>
  <c r="G102" i="25" s="1"/>
  <c r="G103" i="25" s="1"/>
  <c r="G104" i="25" s="1"/>
  <c r="G105" i="25" s="1"/>
  <c r="G106" i="25" s="1"/>
  <c r="G107" i="25" s="1"/>
  <c r="G108" i="25" s="1"/>
  <c r="G109" i="25" s="1"/>
  <c r="G110" i="25" s="1"/>
  <c r="G111" i="25" s="1"/>
  <c r="G112" i="25" s="1"/>
  <c r="G113" i="25" s="1"/>
  <c r="G114" i="25" s="1"/>
  <c r="G115" i="25" s="1"/>
  <c r="G116" i="25" s="1"/>
  <c r="G117" i="25" s="1"/>
  <c r="F266" i="25"/>
  <c r="K268" i="25"/>
  <c r="J262" i="25"/>
  <c r="J256" i="25"/>
  <c r="I269" i="25"/>
  <c r="F263" i="25"/>
  <c r="F255" i="25"/>
  <c r="J268" i="25"/>
  <c r="G267" i="25"/>
  <c r="I265" i="25"/>
  <c r="K263" i="25"/>
  <c r="H262" i="25"/>
  <c r="J260" i="25"/>
  <c r="G259" i="25"/>
  <c r="I257" i="25"/>
  <c r="K255" i="25"/>
  <c r="H254" i="25"/>
  <c r="H267" i="25"/>
  <c r="F253" i="25"/>
  <c r="F262" i="25"/>
  <c r="F254" i="25"/>
  <c r="I268" i="25"/>
  <c r="K266" i="25"/>
  <c r="H265" i="25"/>
  <c r="J263" i="25"/>
  <c r="G262" i="25"/>
  <c r="I260" i="25"/>
  <c r="K258" i="25"/>
  <c r="H257" i="25"/>
  <c r="J255" i="25"/>
  <c r="G254" i="25"/>
  <c r="F261" i="25"/>
  <c r="K269" i="25"/>
  <c r="H268" i="25"/>
  <c r="J266" i="25"/>
  <c r="I263" i="25"/>
  <c r="K261" i="25"/>
  <c r="H260" i="25"/>
  <c r="J258" i="25"/>
  <c r="I255" i="25"/>
  <c r="K253" i="25"/>
  <c r="H259" i="25"/>
  <c r="F268" i="25"/>
  <c r="J269" i="25"/>
  <c r="I266" i="25"/>
  <c r="K264" i="25"/>
  <c r="H263" i="25"/>
  <c r="J261" i="25"/>
  <c r="I258" i="25"/>
  <c r="K256" i="25"/>
  <c r="H255" i="25"/>
  <c r="J253" i="25"/>
  <c r="K267" i="25"/>
  <c r="H266" i="25"/>
  <c r="K259" i="25"/>
  <c r="H258" i="25"/>
  <c r="H269" i="25"/>
  <c r="J267" i="25"/>
  <c r="I264" i="25"/>
  <c r="K262" i="25"/>
  <c r="H261" i="25"/>
  <c r="I256" i="25"/>
  <c r="K254" i="25"/>
  <c r="H253" i="25"/>
  <c r="I267" i="25"/>
  <c r="K265" i="25"/>
  <c r="H264" i="25"/>
  <c r="I26" i="25"/>
  <c r="G43" i="25"/>
  <c r="K43" i="25"/>
  <c r="K62" i="25" s="1"/>
  <c r="I43" i="25"/>
  <c r="I62" i="25" s="1"/>
  <c r="L31" i="23"/>
  <c r="J32" i="23"/>
  <c r="H33" i="23"/>
  <c r="R33" i="23"/>
  <c r="P34" i="23"/>
  <c r="M35" i="23"/>
  <c r="J36" i="23"/>
  <c r="H37" i="23"/>
  <c r="R37" i="23"/>
  <c r="I38" i="23"/>
  <c r="J39" i="23"/>
  <c r="D40" i="23"/>
  <c r="N40" i="23"/>
  <c r="M41" i="23"/>
  <c r="L42" i="23"/>
  <c r="J43" i="23"/>
  <c r="F36" i="23"/>
  <c r="F32" i="23"/>
  <c r="F28" i="23"/>
  <c r="F24" i="23"/>
  <c r="D37" i="23"/>
  <c r="D29" i="23"/>
  <c r="J29" i="23"/>
  <c r="H27" i="23"/>
  <c r="I24" i="23"/>
  <c r="N30" i="23"/>
  <c r="L28" i="23"/>
  <c r="M25" i="23"/>
  <c r="N22" i="23"/>
  <c r="P29" i="23"/>
  <c r="Q26" i="23"/>
  <c r="R23" i="23"/>
  <c r="M31" i="23"/>
  <c r="L32" i="23"/>
  <c r="I33" i="23"/>
  <c r="Q34" i="23"/>
  <c r="N35" i="23"/>
  <c r="L36" i="23"/>
  <c r="I37" i="23"/>
  <c r="J38" i="23"/>
  <c r="L39" i="23"/>
  <c r="E40" i="23"/>
  <c r="P40" i="23"/>
  <c r="D41" i="23"/>
  <c r="N41" i="23"/>
  <c r="M42" i="23"/>
  <c r="L43" i="23"/>
  <c r="E36" i="23"/>
  <c r="E32" i="23"/>
  <c r="E28" i="23"/>
  <c r="E24" i="23"/>
  <c r="D36" i="23"/>
  <c r="D28" i="23"/>
  <c r="I29" i="23"/>
  <c r="J26" i="23"/>
  <c r="H24" i="23"/>
  <c r="M30" i="23"/>
  <c r="N27" i="23"/>
  <c r="L25" i="23"/>
  <c r="M22" i="23"/>
  <c r="R28" i="23"/>
  <c r="P26" i="23"/>
  <c r="Q23" i="23"/>
  <c r="N33" i="23"/>
  <c r="J40" i="23"/>
  <c r="J42" i="23"/>
  <c r="E37" i="23"/>
  <c r="E25" i="23"/>
  <c r="D22" i="23"/>
  <c r="N31" i="23"/>
  <c r="M32" i="23"/>
  <c r="J33" i="23"/>
  <c r="P35" i="23"/>
  <c r="M36" i="23"/>
  <c r="J37" i="23"/>
  <c r="L38" i="23"/>
  <c r="M39" i="23"/>
  <c r="F40" i="23"/>
  <c r="Q40" i="23"/>
  <c r="E41" i="23"/>
  <c r="P41" i="23"/>
  <c r="D42" i="23"/>
  <c r="N42" i="23"/>
  <c r="M43" i="23"/>
  <c r="F35" i="23"/>
  <c r="F31" i="23"/>
  <c r="F27" i="23"/>
  <c r="F23" i="23"/>
  <c r="D35" i="23"/>
  <c r="D27" i="23"/>
  <c r="H29" i="23"/>
  <c r="I26" i="23"/>
  <c r="J23" i="23"/>
  <c r="L30" i="23"/>
  <c r="M27" i="23"/>
  <c r="N24" i="23"/>
  <c r="L22" i="23"/>
  <c r="Q28" i="23"/>
  <c r="R25" i="23"/>
  <c r="P23" i="23"/>
  <c r="Q33" i="23"/>
  <c r="N34" i="23"/>
  <c r="Q37" i="23"/>
  <c r="E33" i="23"/>
  <c r="E29" i="23"/>
  <c r="D38" i="23"/>
  <c r="N25" i="23"/>
  <c r="L23" i="23"/>
  <c r="Q29" i="23"/>
  <c r="P24" i="23"/>
  <c r="P31" i="23"/>
  <c r="N32" i="23"/>
  <c r="L33" i="23"/>
  <c r="Q35" i="23"/>
  <c r="N36" i="23"/>
  <c r="L37" i="23"/>
  <c r="M38" i="23"/>
  <c r="N39" i="23"/>
  <c r="H40" i="23"/>
  <c r="F41" i="23"/>
  <c r="Q41" i="23"/>
  <c r="E42" i="23"/>
  <c r="P42" i="23"/>
  <c r="D43" i="23"/>
  <c r="N43" i="23"/>
  <c r="E35" i="23"/>
  <c r="E31" i="23"/>
  <c r="E27" i="23"/>
  <c r="E23" i="23"/>
  <c r="D34" i="23"/>
  <c r="D26" i="23"/>
  <c r="J28" i="23"/>
  <c r="H26" i="23"/>
  <c r="I23" i="23"/>
  <c r="N29" i="23"/>
  <c r="L27" i="23"/>
  <c r="M24" i="23"/>
  <c r="R30" i="23"/>
  <c r="P28" i="23"/>
  <c r="Q25" i="23"/>
  <c r="R22" i="23"/>
  <c r="Q31" i="23"/>
  <c r="P32" i="23"/>
  <c r="M33" i="23"/>
  <c r="P36" i="23"/>
  <c r="M37" i="23"/>
  <c r="N38" i="23"/>
  <c r="E39" i="23"/>
  <c r="P39" i="23"/>
  <c r="F42" i="23"/>
  <c r="Q42" i="23"/>
  <c r="E43" i="23"/>
  <c r="P43" i="23"/>
  <c r="F34" i="23"/>
  <c r="F30" i="23"/>
  <c r="F26" i="23"/>
  <c r="F22" i="23"/>
  <c r="D33" i="23"/>
  <c r="D25" i="23"/>
  <c r="N26" i="23"/>
  <c r="Q30" i="23"/>
  <c r="P25" i="23"/>
  <c r="Q22" i="23"/>
  <c r="N37" i="23"/>
  <c r="E34" i="23"/>
  <c r="E30" i="23"/>
  <c r="E26" i="23"/>
  <c r="D32" i="23"/>
  <c r="D24" i="23"/>
  <c r="N23" i="23"/>
  <c r="P30" i="23"/>
  <c r="Q27" i="23"/>
  <c r="P22" i="23"/>
  <c r="P33" i="23"/>
  <c r="P37" i="23"/>
  <c r="F38" i="23"/>
  <c r="Q38" i="23"/>
  <c r="F37" i="23"/>
  <c r="F33" i="23"/>
  <c r="F29" i="23"/>
  <c r="D39" i="23"/>
  <c r="D31" i="23"/>
  <c r="AJ122" i="55" l="1"/>
  <c r="AL122" i="55"/>
  <c r="AM122" i="55"/>
  <c r="AK122" i="55"/>
  <c r="X44" i="55"/>
  <c r="X82" i="55"/>
  <c r="X101" i="55" s="1"/>
  <c r="AH44" i="55"/>
  <c r="AI44" i="55"/>
  <c r="AH82" i="55"/>
  <c r="AH7" i="55" s="1"/>
  <c r="AI82" i="55"/>
  <c r="AI7" i="55" s="1"/>
  <c r="G101" i="55"/>
  <c r="Z138" i="55"/>
  <c r="Z233" i="55"/>
  <c r="AA6" i="55"/>
  <c r="AA100" i="55"/>
  <c r="AC233" i="55"/>
  <c r="E25" i="27"/>
  <c r="E82" i="27" s="1"/>
  <c r="AB233" i="55"/>
  <c r="Y7" i="55"/>
  <c r="U25" i="27" s="1"/>
  <c r="Y101" i="55"/>
  <c r="AJ100" i="55"/>
  <c r="AJ138" i="55" s="1"/>
  <c r="L25" i="27"/>
  <c r="O101" i="55"/>
  <c r="I158" i="55"/>
  <c r="I159" i="55" s="1"/>
  <c r="I160" i="55" s="1"/>
  <c r="I161" i="55" s="1"/>
  <c r="I162" i="55" s="1"/>
  <c r="I163" i="55" s="1"/>
  <c r="I164" i="55" s="1"/>
  <c r="I165" i="55" s="1"/>
  <c r="I166" i="55" s="1"/>
  <c r="I167" i="55" s="1"/>
  <c r="I168" i="55" s="1"/>
  <c r="I169" i="55" s="1"/>
  <c r="I170" i="55" s="1"/>
  <c r="I171" i="55" s="1"/>
  <c r="I172" i="55" s="1"/>
  <c r="I173" i="55" s="1"/>
  <c r="I174" i="55" s="1"/>
  <c r="L196" i="55"/>
  <c r="L177" i="55"/>
  <c r="Z180" i="55"/>
  <c r="AD179" i="55"/>
  <c r="L176" i="55"/>
  <c r="AJ198" i="55"/>
  <c r="AN197" i="55"/>
  <c r="L195" i="55"/>
  <c r="Z199" i="55"/>
  <c r="AD198" i="55"/>
  <c r="AJ221" i="55"/>
  <c r="AN220" i="55"/>
  <c r="AD219" i="55"/>
  <c r="Z220" i="55"/>
  <c r="H122" i="55"/>
  <c r="AJ6" i="55"/>
  <c r="H178" i="55"/>
  <c r="L178" i="55" s="1"/>
  <c r="AK6" i="55"/>
  <c r="AE24" i="27" s="1"/>
  <c r="AJ28" i="55"/>
  <c r="H217" i="55"/>
  <c r="L217" i="55" s="1"/>
  <c r="Z28" i="55"/>
  <c r="Q217" i="55"/>
  <c r="U217" i="55" s="1"/>
  <c r="Z159" i="55"/>
  <c r="AD159" i="55" s="1"/>
  <c r="AB28" i="55"/>
  <c r="I29" i="55"/>
  <c r="Z6" i="55"/>
  <c r="V24" i="27" s="1"/>
  <c r="AJ158" i="55"/>
  <c r="AN158" i="55" s="1"/>
  <c r="AL6" i="55"/>
  <c r="AF24" i="27" s="1"/>
  <c r="R27" i="55"/>
  <c r="AC6" i="55"/>
  <c r="Y24" i="27" s="1"/>
  <c r="P82" i="55"/>
  <c r="P7" i="55" s="1"/>
  <c r="P44" i="55"/>
  <c r="Q27" i="55"/>
  <c r="AM27" i="55"/>
  <c r="AL27" i="55"/>
  <c r="H197" i="55"/>
  <c r="L197" i="55" s="1"/>
  <c r="Q158" i="55"/>
  <c r="U158" i="55" s="1"/>
  <c r="S27" i="55"/>
  <c r="AC27" i="55"/>
  <c r="AK29" i="55"/>
  <c r="K28" i="55"/>
  <c r="H28" i="55"/>
  <c r="Q177" i="55"/>
  <c r="U177" i="55" s="1"/>
  <c r="T27" i="55"/>
  <c r="H159" i="55"/>
  <c r="H160" i="55" s="1"/>
  <c r="Q196" i="55"/>
  <c r="U196" i="55" s="1"/>
  <c r="AM6" i="55"/>
  <c r="AG24" i="27" s="1"/>
  <c r="AA29" i="55"/>
  <c r="J28" i="55"/>
  <c r="AB6" i="55"/>
  <c r="X24" i="27" s="1"/>
  <c r="G45" i="55"/>
  <c r="H214" i="47"/>
  <c r="H215" i="47" s="1"/>
  <c r="L328" i="47"/>
  <c r="AB43" i="47"/>
  <c r="AB214" i="47"/>
  <c r="AB215" i="47" s="1"/>
  <c r="AB216" i="47" s="1"/>
  <c r="AB217" i="47" s="1"/>
  <c r="AB218" i="47" s="1"/>
  <c r="AB219" i="47" s="1"/>
  <c r="AB220" i="47" s="1"/>
  <c r="AB221" i="47" s="1"/>
  <c r="AB222" i="47" s="1"/>
  <c r="AB223" i="47" s="1"/>
  <c r="AB224" i="47" s="1"/>
  <c r="AB225" i="47" s="1"/>
  <c r="AB226" i="47" s="1"/>
  <c r="AB227" i="47" s="1"/>
  <c r="AB228" i="47" s="1"/>
  <c r="AB229" i="47" s="1"/>
  <c r="AB230" i="47" s="1"/>
  <c r="AB231" i="47" s="1"/>
  <c r="AA214" i="47"/>
  <c r="AA215" i="47" s="1"/>
  <c r="AA216" i="47" s="1"/>
  <c r="AA217" i="47" s="1"/>
  <c r="AA218" i="47" s="1"/>
  <c r="AA219" i="47" s="1"/>
  <c r="AA220" i="47" s="1"/>
  <c r="AA221" i="47" s="1"/>
  <c r="AA222" i="47" s="1"/>
  <c r="AA223" i="47" s="1"/>
  <c r="AA224" i="47" s="1"/>
  <c r="AA225" i="47" s="1"/>
  <c r="AA226" i="47" s="1"/>
  <c r="AA227" i="47" s="1"/>
  <c r="AA228" i="47" s="1"/>
  <c r="AA229" i="47" s="1"/>
  <c r="AA230" i="47" s="1"/>
  <c r="AA231" i="47" s="1"/>
  <c r="AA43" i="47"/>
  <c r="AC43" i="47"/>
  <c r="AC214" i="47"/>
  <c r="AC215" i="47" s="1"/>
  <c r="AC216" i="47" s="1"/>
  <c r="AC217" i="47" s="1"/>
  <c r="AC218" i="47" s="1"/>
  <c r="AC219" i="47" s="1"/>
  <c r="AC220" i="47" s="1"/>
  <c r="AC221" i="47" s="1"/>
  <c r="AC222" i="47" s="1"/>
  <c r="AC223" i="47" s="1"/>
  <c r="AC224" i="47" s="1"/>
  <c r="AC225" i="47" s="1"/>
  <c r="AC226" i="47" s="1"/>
  <c r="AC227" i="47" s="1"/>
  <c r="AC228" i="47" s="1"/>
  <c r="AC229" i="47" s="1"/>
  <c r="AC230" i="47" s="1"/>
  <c r="AC231" i="47" s="1"/>
  <c r="Z271" i="47"/>
  <c r="Z272" i="47" s="1"/>
  <c r="Z273" i="47" s="1"/>
  <c r="Z274" i="47" s="1"/>
  <c r="Z275" i="47" s="1"/>
  <c r="Z276" i="47" s="1"/>
  <c r="Z277" i="47" s="1"/>
  <c r="Z278" i="47" s="1"/>
  <c r="Z279" i="47" s="1"/>
  <c r="Z280" i="47" s="1"/>
  <c r="Z281" i="47" s="1"/>
  <c r="Z282" i="47" s="1"/>
  <c r="Z283" i="47" s="1"/>
  <c r="Z284" i="47" s="1"/>
  <c r="Z285" i="47" s="1"/>
  <c r="Z286" i="47" s="1"/>
  <c r="Z287" i="47" s="1"/>
  <c r="Z288" i="47" s="1"/>
  <c r="Z233" i="47"/>
  <c r="Z234" i="47" s="1"/>
  <c r="Z235" i="47" s="1"/>
  <c r="Z236" i="47" s="1"/>
  <c r="Z237" i="47" s="1"/>
  <c r="Z238" i="47" s="1"/>
  <c r="Z239" i="47" s="1"/>
  <c r="Z240" i="47" s="1"/>
  <c r="Z241" i="47" s="1"/>
  <c r="Z242" i="47" s="1"/>
  <c r="Z243" i="47" s="1"/>
  <c r="Z244" i="47" s="1"/>
  <c r="Z245" i="47" s="1"/>
  <c r="Z246" i="47" s="1"/>
  <c r="Z247" i="47" s="1"/>
  <c r="Z248" i="47" s="1"/>
  <c r="Z249" i="47" s="1"/>
  <c r="Z250" i="47" s="1"/>
  <c r="AM214" i="47"/>
  <c r="AM215" i="47" s="1"/>
  <c r="AM216" i="47" s="1"/>
  <c r="AM217" i="47" s="1"/>
  <c r="AM218" i="47" s="1"/>
  <c r="AM219" i="47" s="1"/>
  <c r="AM220" i="47" s="1"/>
  <c r="AM221" i="47" s="1"/>
  <c r="AM222" i="47" s="1"/>
  <c r="AM223" i="47" s="1"/>
  <c r="AM224" i="47" s="1"/>
  <c r="AM225" i="47" s="1"/>
  <c r="AM226" i="47" s="1"/>
  <c r="AM227" i="47" s="1"/>
  <c r="AM228" i="47" s="1"/>
  <c r="AM229" i="47" s="1"/>
  <c r="AM230" i="47" s="1"/>
  <c r="AM231" i="47" s="1"/>
  <c r="AM43" i="47"/>
  <c r="AM233" i="47" s="1"/>
  <c r="AM234" i="47" s="1"/>
  <c r="AM235" i="47" s="1"/>
  <c r="AM236" i="47" s="1"/>
  <c r="AM237" i="47" s="1"/>
  <c r="AM238" i="47" s="1"/>
  <c r="AM239" i="47" s="1"/>
  <c r="AM240" i="47" s="1"/>
  <c r="AM241" i="47" s="1"/>
  <c r="AM242" i="47" s="1"/>
  <c r="AM243" i="47" s="1"/>
  <c r="AM244" i="47" s="1"/>
  <c r="AM245" i="47" s="1"/>
  <c r="AM246" i="47" s="1"/>
  <c r="AM247" i="47" s="1"/>
  <c r="AM248" i="47" s="1"/>
  <c r="AM249" i="47" s="1"/>
  <c r="AM250" i="47" s="1"/>
  <c r="AL214" i="47"/>
  <c r="AL215" i="47" s="1"/>
  <c r="AL216" i="47" s="1"/>
  <c r="AL217" i="47" s="1"/>
  <c r="AL218" i="47" s="1"/>
  <c r="AL219" i="47" s="1"/>
  <c r="AL220" i="47" s="1"/>
  <c r="AL221" i="47" s="1"/>
  <c r="AL222" i="47" s="1"/>
  <c r="AL223" i="47" s="1"/>
  <c r="AL224" i="47" s="1"/>
  <c r="AL225" i="47" s="1"/>
  <c r="AL226" i="47" s="1"/>
  <c r="AL227" i="47" s="1"/>
  <c r="AL228" i="47" s="1"/>
  <c r="AL229" i="47" s="1"/>
  <c r="AL230" i="47" s="1"/>
  <c r="AL231" i="47" s="1"/>
  <c r="AL43" i="47"/>
  <c r="AL233" i="47" s="1"/>
  <c r="AL234" i="47" s="1"/>
  <c r="AL235" i="47" s="1"/>
  <c r="AL236" i="47" s="1"/>
  <c r="AL237" i="47" s="1"/>
  <c r="AL238" i="47" s="1"/>
  <c r="AL239" i="47" s="1"/>
  <c r="AL240" i="47" s="1"/>
  <c r="AL241" i="47" s="1"/>
  <c r="AL242" i="47" s="1"/>
  <c r="AL243" i="47" s="1"/>
  <c r="AL244" i="47" s="1"/>
  <c r="AL245" i="47" s="1"/>
  <c r="AL246" i="47" s="1"/>
  <c r="AL247" i="47" s="1"/>
  <c r="AL248" i="47" s="1"/>
  <c r="AL249" i="47" s="1"/>
  <c r="AL250" i="47" s="1"/>
  <c r="AK214" i="47"/>
  <c r="AK215" i="47" s="1"/>
  <c r="AK216" i="47" s="1"/>
  <c r="AK217" i="47" s="1"/>
  <c r="AK218" i="47" s="1"/>
  <c r="AK219" i="47" s="1"/>
  <c r="AK220" i="47" s="1"/>
  <c r="AK221" i="47" s="1"/>
  <c r="AK222" i="47" s="1"/>
  <c r="AK223" i="47" s="1"/>
  <c r="AK224" i="47" s="1"/>
  <c r="AK225" i="47" s="1"/>
  <c r="AK226" i="47" s="1"/>
  <c r="AK227" i="47" s="1"/>
  <c r="AK228" i="47" s="1"/>
  <c r="AK229" i="47" s="1"/>
  <c r="AK230" i="47" s="1"/>
  <c r="AK231" i="47" s="1"/>
  <c r="AK43" i="47"/>
  <c r="AK233" i="47" s="1"/>
  <c r="AK234" i="47" s="1"/>
  <c r="AK235" i="47" s="1"/>
  <c r="AK236" i="47" s="1"/>
  <c r="AK237" i="47" s="1"/>
  <c r="AK238" i="47" s="1"/>
  <c r="AK239" i="47" s="1"/>
  <c r="AK240" i="47" s="1"/>
  <c r="AK241" i="47" s="1"/>
  <c r="AK242" i="47" s="1"/>
  <c r="AK243" i="47" s="1"/>
  <c r="AK244" i="47" s="1"/>
  <c r="AK245" i="47" s="1"/>
  <c r="AK246" i="47" s="1"/>
  <c r="AK247" i="47" s="1"/>
  <c r="AK248" i="47" s="1"/>
  <c r="AK249" i="47" s="1"/>
  <c r="AK250" i="47" s="1"/>
  <c r="AJ214" i="47"/>
  <c r="AJ215" i="47" s="1"/>
  <c r="AJ216" i="47" s="1"/>
  <c r="AJ217" i="47" s="1"/>
  <c r="AJ218" i="47" s="1"/>
  <c r="AJ219" i="47" s="1"/>
  <c r="AJ220" i="47" s="1"/>
  <c r="AJ221" i="47" s="1"/>
  <c r="AJ222" i="47" s="1"/>
  <c r="AJ223" i="47" s="1"/>
  <c r="AJ224" i="47" s="1"/>
  <c r="AJ225" i="47" s="1"/>
  <c r="AJ226" i="47" s="1"/>
  <c r="AJ227" i="47" s="1"/>
  <c r="AJ228" i="47" s="1"/>
  <c r="AJ229" i="47" s="1"/>
  <c r="AJ230" i="47" s="1"/>
  <c r="AJ231" i="47" s="1"/>
  <c r="AJ43" i="47"/>
  <c r="AJ233" i="47" s="1"/>
  <c r="AJ234" i="47" s="1"/>
  <c r="AJ235" i="47" s="1"/>
  <c r="AJ236" i="47" s="1"/>
  <c r="AJ237" i="47" s="1"/>
  <c r="AJ238" i="47" s="1"/>
  <c r="AJ239" i="47" s="1"/>
  <c r="AJ240" i="47" s="1"/>
  <c r="AJ241" i="47" s="1"/>
  <c r="AJ242" i="47" s="1"/>
  <c r="AJ243" i="47" s="1"/>
  <c r="AJ244" i="47" s="1"/>
  <c r="AJ245" i="47" s="1"/>
  <c r="AJ246" i="47" s="1"/>
  <c r="AJ247" i="47" s="1"/>
  <c r="AJ248" i="47" s="1"/>
  <c r="AJ249" i="47" s="1"/>
  <c r="AJ250" i="47" s="1"/>
  <c r="AI138" i="47"/>
  <c r="AI43" i="47"/>
  <c r="AI157" i="47" s="1"/>
  <c r="AH138" i="47"/>
  <c r="AH43" i="47"/>
  <c r="AH157" i="47" s="1"/>
  <c r="Q271" i="47"/>
  <c r="Q272" i="47" s="1"/>
  <c r="Q233" i="47"/>
  <c r="Q234" i="47" s="1"/>
  <c r="Q252" i="47"/>
  <c r="Q214" i="47"/>
  <c r="Q215" i="47" s="1"/>
  <c r="F120" i="47"/>
  <c r="F138" i="47"/>
  <c r="F157" i="47" s="1"/>
  <c r="AH44" i="53"/>
  <c r="AH158" i="53" s="1"/>
  <c r="AB6" i="53"/>
  <c r="AB138" i="53"/>
  <c r="AB157" i="53" s="1"/>
  <c r="I195" i="53"/>
  <c r="I6" i="53"/>
  <c r="I25" i="53" s="1"/>
  <c r="I44" i="53" s="1"/>
  <c r="AM157" i="53"/>
  <c r="AM366" i="53" s="1"/>
  <c r="AH121" i="53"/>
  <c r="AH83" i="53"/>
  <c r="AH26" i="53"/>
  <c r="AH140" i="53" s="1"/>
  <c r="AH8" i="53"/>
  <c r="I68" i="53"/>
  <c r="AK66" i="53"/>
  <c r="Q65" i="53"/>
  <c r="Q310" i="53"/>
  <c r="U309" i="53"/>
  <c r="G121" i="53"/>
  <c r="G83" i="53"/>
  <c r="G26" i="53"/>
  <c r="G45" i="53" s="1"/>
  <c r="G8" i="53"/>
  <c r="AL157" i="53"/>
  <c r="AB366" i="53"/>
  <c r="AB385" i="53" s="1"/>
  <c r="AC66" i="53"/>
  <c r="X120" i="53"/>
  <c r="X82" i="53"/>
  <c r="X25" i="53"/>
  <c r="X44" i="53" s="1"/>
  <c r="H66" i="53"/>
  <c r="H331" i="53"/>
  <c r="Q291" i="53"/>
  <c r="U290" i="53"/>
  <c r="AA195" i="53"/>
  <c r="AA138" i="53"/>
  <c r="AA157" i="53" s="1"/>
  <c r="AA6" i="53"/>
  <c r="F139" i="53"/>
  <c r="F158" i="53" s="1"/>
  <c r="L290" i="53"/>
  <c r="H291" i="53"/>
  <c r="R66" i="53"/>
  <c r="AB82" i="53"/>
  <c r="AB101" i="53" s="1"/>
  <c r="AB25" i="53"/>
  <c r="AB44" i="53" s="1"/>
  <c r="T66" i="53"/>
  <c r="I82" i="53"/>
  <c r="I101" i="53" s="1"/>
  <c r="T138" i="53"/>
  <c r="T157" i="53" s="1"/>
  <c r="T195" i="53"/>
  <c r="T6" i="53"/>
  <c r="AM66" i="53"/>
  <c r="Q82" i="53"/>
  <c r="Q101" i="53" s="1"/>
  <c r="Q25" i="53"/>
  <c r="Q44" i="53" s="1"/>
  <c r="H195" i="53"/>
  <c r="H138" i="53"/>
  <c r="H157" i="53" s="1"/>
  <c r="H6" i="53"/>
  <c r="AJ195" i="53"/>
  <c r="AJ6" i="53"/>
  <c r="AJ65" i="53"/>
  <c r="K195" i="53"/>
  <c r="K138" i="53"/>
  <c r="K157" i="53" s="1"/>
  <c r="K6" i="53"/>
  <c r="AI44" i="53"/>
  <c r="AI158" i="53" s="1"/>
  <c r="Z66" i="53"/>
  <c r="S67" i="53"/>
  <c r="H253" i="53"/>
  <c r="L252" i="53"/>
  <c r="AA67" i="53"/>
  <c r="AI121" i="53"/>
  <c r="AI8" i="53" s="1"/>
  <c r="AI83" i="53"/>
  <c r="AI26" i="53"/>
  <c r="AI140" i="53" s="1"/>
  <c r="L233" i="53"/>
  <c r="H234" i="53"/>
  <c r="Y121" i="53"/>
  <c r="Y8" i="53" s="1"/>
  <c r="Y83" i="53"/>
  <c r="Y26" i="53"/>
  <c r="Y45" i="53" s="1"/>
  <c r="F121" i="53"/>
  <c r="F83" i="53"/>
  <c r="F26" i="53"/>
  <c r="F45" i="53" s="1"/>
  <c r="AC82" i="53"/>
  <c r="AC101" i="53" s="1"/>
  <c r="AC25" i="53"/>
  <c r="AC44" i="53" s="1"/>
  <c r="AM195" i="53"/>
  <c r="AM385" i="53" s="1"/>
  <c r="AM6" i="53"/>
  <c r="Q331" i="53"/>
  <c r="L214" i="53"/>
  <c r="H215" i="53"/>
  <c r="AL366" i="53"/>
  <c r="AJ157" i="53"/>
  <c r="AJ366" i="53" s="1"/>
  <c r="R195" i="53"/>
  <c r="R138" i="53"/>
  <c r="R157" i="53" s="1"/>
  <c r="R6" i="53"/>
  <c r="L271" i="53"/>
  <c r="I366" i="53" s="1"/>
  <c r="H272" i="53"/>
  <c r="P121" i="53"/>
  <c r="P83" i="53"/>
  <c r="P26" i="53"/>
  <c r="P45" i="53"/>
  <c r="AB66" i="53"/>
  <c r="Q234" i="53"/>
  <c r="U233" i="53"/>
  <c r="S195" i="53"/>
  <c r="S138" i="53"/>
  <c r="S157" i="53" s="1"/>
  <c r="S6" i="53"/>
  <c r="Q272" i="53"/>
  <c r="U271" i="53"/>
  <c r="AK195" i="53"/>
  <c r="AK6" i="53"/>
  <c r="K65" i="53"/>
  <c r="H310" i="53"/>
  <c r="L309" i="53"/>
  <c r="O83" i="53"/>
  <c r="O121" i="53"/>
  <c r="O8" i="53" s="1"/>
  <c r="O26" i="53"/>
  <c r="O45" i="53" s="1"/>
  <c r="J68" i="53"/>
  <c r="Q253" i="53"/>
  <c r="U252" i="53"/>
  <c r="AC366" i="53"/>
  <c r="AC385" i="53" s="1"/>
  <c r="AL195" i="53"/>
  <c r="AL6" i="53"/>
  <c r="J195" i="53"/>
  <c r="J138" i="53"/>
  <c r="J157" i="53" s="1"/>
  <c r="J6" i="53"/>
  <c r="AL65" i="53"/>
  <c r="Z195" i="53"/>
  <c r="Z157" i="53"/>
  <c r="Z138" i="53"/>
  <c r="Z6" i="53"/>
  <c r="H350" i="53"/>
  <c r="AK157" i="53"/>
  <c r="AK366" i="53" s="1"/>
  <c r="U214" i="53"/>
  <c r="Q366" i="53" s="1"/>
  <c r="Q215" i="53"/>
  <c r="O139" i="53"/>
  <c r="O158" i="53" s="1"/>
  <c r="Q350" i="53"/>
  <c r="P139" i="53"/>
  <c r="P158" i="53" s="1"/>
  <c r="AK81" i="25"/>
  <c r="AK119" i="25" s="1"/>
  <c r="AB81" i="25"/>
  <c r="AB6" i="25" s="1"/>
  <c r="AB44" i="25" s="1"/>
  <c r="G106" i="27"/>
  <c r="G156" i="27"/>
  <c r="AH120" i="52"/>
  <c r="AH7" i="52" s="1"/>
  <c r="AH26" i="52" s="1"/>
  <c r="AH140" i="52" s="1"/>
  <c r="AH25" i="52"/>
  <c r="AH139" i="52" s="1"/>
  <c r="L214" i="47"/>
  <c r="T119" i="52"/>
  <c r="T6" i="52" s="1"/>
  <c r="Q119" i="52"/>
  <c r="Q6" i="52" s="1"/>
  <c r="Q82" i="52" s="1"/>
  <c r="Q101" i="52" s="1"/>
  <c r="P156" i="27"/>
  <c r="AC156" i="27"/>
  <c r="X138" i="52"/>
  <c r="X157" i="52" s="1"/>
  <c r="I119" i="52"/>
  <c r="I6" i="52" s="1"/>
  <c r="O7" i="52"/>
  <c r="O26" i="52" s="1"/>
  <c r="O45" i="52" s="1"/>
  <c r="R119" i="52"/>
  <c r="R138" i="52" s="1"/>
  <c r="R157" i="52" s="1"/>
  <c r="O25" i="52"/>
  <c r="O44" i="52" s="1"/>
  <c r="O82" i="52"/>
  <c r="O138" i="52"/>
  <c r="O157" i="52" s="1"/>
  <c r="J119" i="52"/>
  <c r="J6" i="52" s="1"/>
  <c r="F138" i="52"/>
  <c r="F157" i="52" s="1"/>
  <c r="O158" i="52"/>
  <c r="S119" i="52"/>
  <c r="S6" i="52" s="1"/>
  <c r="H119" i="52"/>
  <c r="AB119" i="52"/>
  <c r="AB6" i="52" s="1"/>
  <c r="X6" i="52"/>
  <c r="X120" i="52" s="1"/>
  <c r="X7" i="52" s="1"/>
  <c r="AA119" i="52"/>
  <c r="AA138" i="52" s="1"/>
  <c r="AA157" i="52" s="1"/>
  <c r="AC119" i="52"/>
  <c r="AC6" i="52" s="1"/>
  <c r="AC25" i="52" s="1"/>
  <c r="AC44" i="52" s="1"/>
  <c r="AL138" i="52"/>
  <c r="AK138" i="52"/>
  <c r="AL157" i="52"/>
  <c r="AJ138" i="52"/>
  <c r="AJ366" i="52" s="1"/>
  <c r="AK157" i="52"/>
  <c r="G26" i="52"/>
  <c r="G45" i="52" s="1"/>
  <c r="P139" i="52"/>
  <c r="P158" i="52" s="1"/>
  <c r="P121" i="52"/>
  <c r="P8" i="52" s="1"/>
  <c r="P83" i="52"/>
  <c r="G83" i="52"/>
  <c r="Z195" i="52"/>
  <c r="F120" i="52"/>
  <c r="F7" i="52" s="1"/>
  <c r="Z6" i="52"/>
  <c r="Z82" i="52" s="1"/>
  <c r="Z101" i="52" s="1"/>
  <c r="AH121" i="52"/>
  <c r="AH8" i="52" s="1"/>
  <c r="AH27" i="52" s="1"/>
  <c r="AH141" i="52" s="1"/>
  <c r="G121" i="52"/>
  <c r="G140" i="52" s="1"/>
  <c r="G159" i="52" s="1"/>
  <c r="F82" i="52"/>
  <c r="F25" i="52"/>
  <c r="F44" i="52" s="1"/>
  <c r="F107" i="27"/>
  <c r="I113" i="27"/>
  <c r="I111" i="27"/>
  <c r="H113" i="27"/>
  <c r="AI44" i="52"/>
  <c r="AI158" i="52" s="1"/>
  <c r="G127" i="27"/>
  <c r="G108" i="27"/>
  <c r="AL6" i="52"/>
  <c r="AL195" i="52"/>
  <c r="AH45" i="52"/>
  <c r="AH159" i="52" s="1"/>
  <c r="AJ195" i="52"/>
  <c r="AJ6" i="52"/>
  <c r="S68" i="52"/>
  <c r="AK66" i="52"/>
  <c r="T138" i="52"/>
  <c r="T157" i="52" s="1"/>
  <c r="Q65" i="52"/>
  <c r="AC65" i="52"/>
  <c r="H66" i="52"/>
  <c r="R233" i="52"/>
  <c r="R234" i="52" s="1"/>
  <c r="R235" i="52" s="1"/>
  <c r="R236" i="52" s="1"/>
  <c r="R237" i="52" s="1"/>
  <c r="R238" i="52" s="1"/>
  <c r="R239" i="52" s="1"/>
  <c r="R240" i="52" s="1"/>
  <c r="R241" i="52" s="1"/>
  <c r="R242" i="52" s="1"/>
  <c r="R243" i="52" s="1"/>
  <c r="R244" i="52" s="1"/>
  <c r="R245" i="52" s="1"/>
  <c r="R246" i="52" s="1"/>
  <c r="R247" i="52" s="1"/>
  <c r="R248" i="52" s="1"/>
  <c r="R249" i="52" s="1"/>
  <c r="R250" i="52" s="1"/>
  <c r="R271" i="52"/>
  <c r="R272" i="52" s="1"/>
  <c r="R273" i="52" s="1"/>
  <c r="R274" i="52" s="1"/>
  <c r="R275" i="52" s="1"/>
  <c r="R276" i="52" s="1"/>
  <c r="R277" i="52" s="1"/>
  <c r="R278" i="52" s="1"/>
  <c r="R279" i="52" s="1"/>
  <c r="R280" i="52" s="1"/>
  <c r="R281" i="52" s="1"/>
  <c r="R282" i="52" s="1"/>
  <c r="R283" i="52" s="1"/>
  <c r="R284" i="52" s="1"/>
  <c r="R285" i="52" s="1"/>
  <c r="R286" i="52" s="1"/>
  <c r="R287" i="52" s="1"/>
  <c r="R288" i="52" s="1"/>
  <c r="R309" i="52"/>
  <c r="R310" i="52" s="1"/>
  <c r="R311" i="52" s="1"/>
  <c r="R312" i="52" s="1"/>
  <c r="R313" i="52" s="1"/>
  <c r="R314" i="52" s="1"/>
  <c r="R315" i="52" s="1"/>
  <c r="R316" i="52" s="1"/>
  <c r="R317" i="52" s="1"/>
  <c r="R318" i="52" s="1"/>
  <c r="R319" i="52" s="1"/>
  <c r="R320" i="52" s="1"/>
  <c r="R321" i="52" s="1"/>
  <c r="R322" i="52" s="1"/>
  <c r="R323" i="52" s="1"/>
  <c r="R324" i="52" s="1"/>
  <c r="R325" i="52" s="1"/>
  <c r="R326" i="52" s="1"/>
  <c r="T67" i="52"/>
  <c r="Q253" i="52"/>
  <c r="Q254" i="52" s="1"/>
  <c r="Q255" i="52" s="1"/>
  <c r="Q256" i="52" s="1"/>
  <c r="Q257" i="52" s="1"/>
  <c r="Q258" i="52" s="1"/>
  <c r="Q259" i="52" s="1"/>
  <c r="Q260" i="52" s="1"/>
  <c r="Q261" i="52" s="1"/>
  <c r="Q262" i="52" s="1"/>
  <c r="Q263" i="52" s="1"/>
  <c r="Q264" i="52" s="1"/>
  <c r="Q265" i="52" s="1"/>
  <c r="Q266" i="52" s="1"/>
  <c r="Q267" i="52" s="1"/>
  <c r="Q268" i="52" s="1"/>
  <c r="Q269" i="52" s="1"/>
  <c r="U252" i="52"/>
  <c r="H219" i="52"/>
  <c r="AL77" i="52"/>
  <c r="R67" i="52"/>
  <c r="U290" i="52"/>
  <c r="Q291" i="52"/>
  <c r="Q292" i="52" s="1"/>
  <c r="Q293" i="52" s="1"/>
  <c r="Q294" i="52" s="1"/>
  <c r="Q295" i="52" s="1"/>
  <c r="Q296" i="52" s="1"/>
  <c r="Q297" i="52" s="1"/>
  <c r="Q298" i="52" s="1"/>
  <c r="Q299" i="52" s="1"/>
  <c r="Q300" i="52" s="1"/>
  <c r="Q301" i="52" s="1"/>
  <c r="Q302" i="52" s="1"/>
  <c r="Q303" i="52" s="1"/>
  <c r="Q304" i="52" s="1"/>
  <c r="Q305" i="52" s="1"/>
  <c r="Q306" i="52" s="1"/>
  <c r="Q307" i="52" s="1"/>
  <c r="AM6" i="52"/>
  <c r="AM120" i="52" s="1"/>
  <c r="T233" i="52"/>
  <c r="T234" i="52" s="1"/>
  <c r="T235" i="52" s="1"/>
  <c r="T236" i="52" s="1"/>
  <c r="T237" i="52" s="1"/>
  <c r="T238" i="52" s="1"/>
  <c r="T239" i="52" s="1"/>
  <c r="T240" i="52" s="1"/>
  <c r="T241" i="52" s="1"/>
  <c r="T242" i="52" s="1"/>
  <c r="T243" i="52" s="1"/>
  <c r="T244" i="52" s="1"/>
  <c r="T245" i="52" s="1"/>
  <c r="T246" i="52" s="1"/>
  <c r="T247" i="52" s="1"/>
  <c r="T248" i="52" s="1"/>
  <c r="T249" i="52" s="1"/>
  <c r="T250" i="52" s="1"/>
  <c r="T271" i="52"/>
  <c r="T272" i="52" s="1"/>
  <c r="T273" i="52" s="1"/>
  <c r="T274" i="52" s="1"/>
  <c r="T275" i="52" s="1"/>
  <c r="T276" i="52" s="1"/>
  <c r="T277" i="52" s="1"/>
  <c r="T278" i="52" s="1"/>
  <c r="T279" i="52" s="1"/>
  <c r="T280" i="52" s="1"/>
  <c r="T281" i="52" s="1"/>
  <c r="T282" i="52" s="1"/>
  <c r="T283" i="52" s="1"/>
  <c r="T284" i="52" s="1"/>
  <c r="T285" i="52" s="1"/>
  <c r="T286" i="52" s="1"/>
  <c r="T287" i="52" s="1"/>
  <c r="T288" i="52" s="1"/>
  <c r="T309" i="52"/>
  <c r="T310" i="52" s="1"/>
  <c r="T311" i="52" s="1"/>
  <c r="T312" i="52" s="1"/>
  <c r="T313" i="52" s="1"/>
  <c r="T314" i="52" s="1"/>
  <c r="T315" i="52" s="1"/>
  <c r="T316" i="52" s="1"/>
  <c r="T317" i="52" s="1"/>
  <c r="T318" i="52" s="1"/>
  <c r="T319" i="52" s="1"/>
  <c r="T320" i="52" s="1"/>
  <c r="T321" i="52" s="1"/>
  <c r="T322" i="52" s="1"/>
  <c r="T323" i="52" s="1"/>
  <c r="T324" i="52" s="1"/>
  <c r="T325" i="52" s="1"/>
  <c r="T326" i="52" s="1"/>
  <c r="Q215" i="52"/>
  <c r="Q216" i="52" s="1"/>
  <c r="U214" i="52"/>
  <c r="AA66" i="52"/>
  <c r="AK195" i="52"/>
  <c r="AK6" i="52"/>
  <c r="AB70" i="52"/>
  <c r="AJ66" i="52"/>
  <c r="Y139" i="52"/>
  <c r="Y158" i="52" s="1"/>
  <c r="Z66" i="52"/>
  <c r="Q310" i="52"/>
  <c r="Q311" i="52" s="1"/>
  <c r="Q312" i="52" s="1"/>
  <c r="Q313" i="52" s="1"/>
  <c r="Q314" i="52" s="1"/>
  <c r="Q315" i="52" s="1"/>
  <c r="AI7" i="52"/>
  <c r="Q272" i="52"/>
  <c r="Q273" i="52" s="1"/>
  <c r="Q274" i="52" s="1"/>
  <c r="Q275" i="52" s="1"/>
  <c r="Q276" i="52" s="1"/>
  <c r="Q277" i="52" s="1"/>
  <c r="Q278" i="52" s="1"/>
  <c r="Q279" i="52" s="1"/>
  <c r="Q280" i="52" s="1"/>
  <c r="Q281" i="52" s="1"/>
  <c r="Q282" i="52" s="1"/>
  <c r="Q283" i="52" s="1"/>
  <c r="Q284" i="52" s="1"/>
  <c r="Q285" i="52" s="1"/>
  <c r="Q286" i="52" s="1"/>
  <c r="Q287" i="52" s="1"/>
  <c r="Q288" i="52" s="1"/>
  <c r="Y7" i="52"/>
  <c r="U347" i="52"/>
  <c r="U233" i="52"/>
  <c r="Q234" i="52"/>
  <c r="Q235" i="52" s="1"/>
  <c r="Q236" i="52" s="1"/>
  <c r="Q237" i="52" s="1"/>
  <c r="Q238" i="52" s="1"/>
  <c r="Q239" i="52" s="1"/>
  <c r="Q240" i="52" s="1"/>
  <c r="Q241" i="52" s="1"/>
  <c r="Q242" i="52" s="1"/>
  <c r="Q243" i="52" s="1"/>
  <c r="Q244" i="52" s="1"/>
  <c r="Q245" i="52" s="1"/>
  <c r="Q246" i="52" s="1"/>
  <c r="Q247" i="52" s="1"/>
  <c r="Q248" i="52" s="1"/>
  <c r="Q249" i="52" s="1"/>
  <c r="Q250" i="52" s="1"/>
  <c r="I72" i="52"/>
  <c r="K6" i="52"/>
  <c r="K138" i="52"/>
  <c r="K157" i="52" s="1"/>
  <c r="Z157" i="52"/>
  <c r="Z366" i="52" s="1"/>
  <c r="AJ6" i="25"/>
  <c r="AJ44" i="25" s="1"/>
  <c r="F125" i="27"/>
  <c r="I108" i="27"/>
  <c r="H100" i="27"/>
  <c r="H130" i="27"/>
  <c r="H116" i="27"/>
  <c r="H110" i="27"/>
  <c r="F131" i="27"/>
  <c r="F108" i="27"/>
  <c r="H109" i="27"/>
  <c r="E102" i="27"/>
  <c r="F133" i="27"/>
  <c r="E111" i="27"/>
  <c r="D108" i="27"/>
  <c r="D110" i="27"/>
  <c r="E103" i="27"/>
  <c r="E101" i="27"/>
  <c r="G113" i="27"/>
  <c r="D101" i="27"/>
  <c r="F111" i="27"/>
  <c r="F120" i="27"/>
  <c r="F119" i="27"/>
  <c r="E133" i="27"/>
  <c r="G124" i="27"/>
  <c r="I110" i="27"/>
  <c r="D105" i="27"/>
  <c r="E132" i="27"/>
  <c r="H114" i="27"/>
  <c r="H115" i="27"/>
  <c r="F128" i="27"/>
  <c r="E131" i="27"/>
  <c r="F102" i="27"/>
  <c r="H112" i="27"/>
  <c r="I104" i="27"/>
  <c r="G103" i="27"/>
  <c r="E128" i="27"/>
  <c r="I100" i="27"/>
  <c r="G104" i="27"/>
  <c r="G116" i="27"/>
  <c r="N118" i="27"/>
  <c r="H127" i="27"/>
  <c r="I109" i="27"/>
  <c r="E115" i="27"/>
  <c r="I156" i="27"/>
  <c r="H156" i="27"/>
  <c r="H102" i="27"/>
  <c r="D109" i="27"/>
  <c r="AB80" i="27"/>
  <c r="AB156" i="27" s="1"/>
  <c r="H106" i="27"/>
  <c r="I112" i="27"/>
  <c r="D113" i="27"/>
  <c r="D106" i="27"/>
  <c r="G107" i="27"/>
  <c r="Q99" i="27"/>
  <c r="H103" i="27"/>
  <c r="F135" i="27"/>
  <c r="Q80" i="27"/>
  <c r="D111" i="27"/>
  <c r="H101" i="27"/>
  <c r="G134" i="27"/>
  <c r="G111" i="27"/>
  <c r="E110" i="27"/>
  <c r="D107" i="27"/>
  <c r="I105" i="27"/>
  <c r="H104" i="27"/>
  <c r="E156" i="27"/>
  <c r="AC118" i="27"/>
  <c r="AG80" i="27"/>
  <c r="G101" i="27"/>
  <c r="E125" i="27"/>
  <c r="H124" i="27"/>
  <c r="E116" i="27"/>
  <c r="F115" i="27"/>
  <c r="M118" i="27"/>
  <c r="G100" i="27"/>
  <c r="M99" i="27"/>
  <c r="M156" i="27" s="1"/>
  <c r="E107" i="27"/>
  <c r="F110" i="27"/>
  <c r="G128" i="27"/>
  <c r="G112" i="27"/>
  <c r="D114" i="27"/>
  <c r="D104" i="27"/>
  <c r="Y118" i="27"/>
  <c r="G110" i="27"/>
  <c r="I125" i="27"/>
  <c r="F104" i="27"/>
  <c r="I115" i="27"/>
  <c r="E104" i="27"/>
  <c r="I102" i="27"/>
  <c r="D102" i="27"/>
  <c r="F156" i="27"/>
  <c r="D103" i="27"/>
  <c r="I103" i="27"/>
  <c r="I114" i="27"/>
  <c r="F132" i="27"/>
  <c r="AF118" i="27"/>
  <c r="D116" i="27"/>
  <c r="D100" i="27"/>
  <c r="E124" i="27"/>
  <c r="E108" i="27"/>
  <c r="W118" i="27"/>
  <c r="D134" i="27"/>
  <c r="G114" i="27"/>
  <c r="F103" i="27"/>
  <c r="I107" i="27"/>
  <c r="I135" i="27"/>
  <c r="AD99" i="27"/>
  <c r="AD156" i="27" s="1"/>
  <c r="AE17" i="27"/>
  <c r="AE131" i="27" s="1"/>
  <c r="AE13" i="27"/>
  <c r="AE8" i="27"/>
  <c r="AE6" i="27"/>
  <c r="AE19" i="27"/>
  <c r="AE133" i="27" s="1"/>
  <c r="AE20" i="27"/>
  <c r="AE134" i="27" s="1"/>
  <c r="AE18" i="27"/>
  <c r="AE132" i="27" s="1"/>
  <c r="AE5" i="27"/>
  <c r="AE14" i="27"/>
  <c r="AE16" i="27"/>
  <c r="AE130" i="27" s="1"/>
  <c r="AE10" i="27"/>
  <c r="AE9" i="27"/>
  <c r="AE21" i="27"/>
  <c r="AE135" i="27" s="1"/>
  <c r="AE7" i="27"/>
  <c r="AE15" i="27"/>
  <c r="AE11" i="27"/>
  <c r="AE12" i="27"/>
  <c r="U99" i="27"/>
  <c r="Y80" i="27"/>
  <c r="Y156" i="27" s="1"/>
  <c r="AB16" i="27"/>
  <c r="AB19" i="27"/>
  <c r="AB20" i="27"/>
  <c r="AB21" i="27"/>
  <c r="AB9" i="27"/>
  <c r="AB14" i="27"/>
  <c r="AB18" i="27"/>
  <c r="AB6" i="27"/>
  <c r="AB13" i="27"/>
  <c r="AB12" i="27"/>
  <c r="AB15" i="27"/>
  <c r="AB11" i="27"/>
  <c r="AB7" i="27"/>
  <c r="AB8" i="27"/>
  <c r="AB10" i="27"/>
  <c r="AB17" i="27"/>
  <c r="AB5" i="27"/>
  <c r="T99" i="27"/>
  <c r="T156" i="27" s="1"/>
  <c r="T118" i="27"/>
  <c r="P6" i="27"/>
  <c r="P7" i="27"/>
  <c r="P18" i="27"/>
  <c r="P19" i="27"/>
  <c r="P133" i="27" s="1"/>
  <c r="P9" i="27"/>
  <c r="P15" i="27"/>
  <c r="P12" i="27"/>
  <c r="P5" i="27"/>
  <c r="P14" i="27"/>
  <c r="P20" i="27"/>
  <c r="P134" i="27" s="1"/>
  <c r="P8" i="27"/>
  <c r="P17" i="27"/>
  <c r="P13" i="27"/>
  <c r="P10" i="27"/>
  <c r="P11" i="27"/>
  <c r="P21" i="27"/>
  <c r="P135" i="27" s="1"/>
  <c r="P16" i="27"/>
  <c r="V99" i="27"/>
  <c r="V156" i="27" s="1"/>
  <c r="AD118" i="27"/>
  <c r="X13" i="27"/>
  <c r="X12" i="27"/>
  <c r="X20" i="27"/>
  <c r="X6" i="27"/>
  <c r="X5" i="27"/>
  <c r="X11" i="27"/>
  <c r="X18" i="27"/>
  <c r="X8" i="27"/>
  <c r="X9" i="27"/>
  <c r="X10" i="27"/>
  <c r="X14" i="27"/>
  <c r="X19" i="27"/>
  <c r="X21" i="27"/>
  <c r="X7" i="27"/>
  <c r="X15" i="27"/>
  <c r="X16" i="27"/>
  <c r="X17" i="27"/>
  <c r="X118" i="27"/>
  <c r="AF99" i="27"/>
  <c r="AF156" i="27" s="1"/>
  <c r="O80" i="27"/>
  <c r="O156" i="27" s="1"/>
  <c r="N20" i="27"/>
  <c r="N21" i="27"/>
  <c r="N135" i="27" s="1"/>
  <c r="N6" i="27"/>
  <c r="N7" i="27"/>
  <c r="N5" i="27"/>
  <c r="N11" i="27"/>
  <c r="N9" i="27"/>
  <c r="N10" i="27"/>
  <c r="N15" i="27"/>
  <c r="N16" i="27"/>
  <c r="N14" i="27"/>
  <c r="N8" i="27"/>
  <c r="N17" i="27"/>
  <c r="N12" i="27"/>
  <c r="N13" i="27"/>
  <c r="N18" i="27"/>
  <c r="N19" i="27"/>
  <c r="N99" i="27"/>
  <c r="N156" i="27" s="1"/>
  <c r="AG9" i="27"/>
  <c r="AG10" i="27"/>
  <c r="AG5" i="27"/>
  <c r="AG6" i="27"/>
  <c r="AG12" i="27"/>
  <c r="AG20" i="27"/>
  <c r="AG15" i="27"/>
  <c r="AG8" i="27"/>
  <c r="AG11" i="27"/>
  <c r="AG17" i="27"/>
  <c r="AG18" i="27"/>
  <c r="AG14" i="27"/>
  <c r="AG13" i="27"/>
  <c r="AG16" i="27"/>
  <c r="AG19" i="27"/>
  <c r="AG7" i="27"/>
  <c r="AG21" i="27"/>
  <c r="L118" i="27"/>
  <c r="AE99" i="27"/>
  <c r="M15" i="27"/>
  <c r="M21" i="27"/>
  <c r="M17" i="27"/>
  <c r="M18" i="27"/>
  <c r="M12" i="27"/>
  <c r="M6" i="27"/>
  <c r="M14" i="27"/>
  <c r="M16" i="27"/>
  <c r="M8" i="27"/>
  <c r="M7" i="27"/>
  <c r="M19" i="27"/>
  <c r="M20" i="27"/>
  <c r="M5" i="27"/>
  <c r="M13" i="27"/>
  <c r="M11" i="27"/>
  <c r="M9" i="27"/>
  <c r="M10" i="27"/>
  <c r="X80" i="27"/>
  <c r="X156" i="27" s="1"/>
  <c r="L80" i="27"/>
  <c r="L156" i="27" s="1"/>
  <c r="O118" i="27"/>
  <c r="AG99" i="27"/>
  <c r="AC7" i="27"/>
  <c r="AC21" i="27"/>
  <c r="AC135" i="27" s="1"/>
  <c r="AC16" i="27"/>
  <c r="AC9" i="27"/>
  <c r="AC10" i="27"/>
  <c r="AC12" i="27"/>
  <c r="AC18" i="27"/>
  <c r="AC132" i="27" s="1"/>
  <c r="AC5" i="27"/>
  <c r="AC6" i="27"/>
  <c r="AC15" i="27"/>
  <c r="AC8" i="27"/>
  <c r="AC11" i="27"/>
  <c r="AC17" i="27"/>
  <c r="AC20" i="27"/>
  <c r="AC134" i="27" s="1"/>
  <c r="AC13" i="27"/>
  <c r="AC14" i="27"/>
  <c r="AC19" i="27"/>
  <c r="AC133" i="27" s="1"/>
  <c r="AD10" i="27"/>
  <c r="AD18" i="27"/>
  <c r="AD7" i="27"/>
  <c r="AD8" i="27"/>
  <c r="AD9" i="27"/>
  <c r="AD15" i="27"/>
  <c r="AD14" i="27"/>
  <c r="AD11" i="27"/>
  <c r="AD12" i="27"/>
  <c r="AD21" i="27"/>
  <c r="AD20" i="27"/>
  <c r="AD16" i="27"/>
  <c r="AD17" i="27"/>
  <c r="AD5" i="27"/>
  <c r="AD13" i="27"/>
  <c r="AD19" i="27"/>
  <c r="AD6" i="27"/>
  <c r="AE80" i="27"/>
  <c r="V7" i="27"/>
  <c r="V8" i="27"/>
  <c r="V6" i="27"/>
  <c r="V9" i="27"/>
  <c r="V21" i="27"/>
  <c r="V12" i="27"/>
  <c r="V10" i="27"/>
  <c r="V11" i="27"/>
  <c r="V14" i="27"/>
  <c r="V15" i="27"/>
  <c r="V16" i="27"/>
  <c r="V17" i="27"/>
  <c r="V20" i="27"/>
  <c r="V5" i="27"/>
  <c r="V13" i="27"/>
  <c r="V18" i="27"/>
  <c r="V19" i="27"/>
  <c r="W10" i="27"/>
  <c r="W18" i="27"/>
  <c r="W7" i="27"/>
  <c r="W13" i="27"/>
  <c r="W14" i="27"/>
  <c r="W9" i="27"/>
  <c r="W15" i="27"/>
  <c r="W19" i="27"/>
  <c r="W12" i="27"/>
  <c r="W8" i="27"/>
  <c r="W20" i="27"/>
  <c r="W21" i="27"/>
  <c r="W16" i="27"/>
  <c r="W17" i="27"/>
  <c r="W5" i="27"/>
  <c r="W6" i="27"/>
  <c r="W11" i="27"/>
  <c r="AF21" i="27"/>
  <c r="AF5" i="27"/>
  <c r="AF8" i="27"/>
  <c r="AF10" i="27"/>
  <c r="AF9" i="27"/>
  <c r="AF6" i="27"/>
  <c r="AF7" i="27"/>
  <c r="AF12" i="27"/>
  <c r="AF13" i="27"/>
  <c r="AF11" i="27"/>
  <c r="AF17" i="27"/>
  <c r="AF14" i="27"/>
  <c r="AF15" i="27"/>
  <c r="AF18" i="27"/>
  <c r="AF16" i="27"/>
  <c r="AF19" i="27"/>
  <c r="AF20" i="27"/>
  <c r="U80" i="27"/>
  <c r="Y21" i="27"/>
  <c r="Y9" i="27"/>
  <c r="Y6" i="27"/>
  <c r="Y8" i="27"/>
  <c r="Y10" i="27"/>
  <c r="Y11" i="27"/>
  <c r="Y12" i="27"/>
  <c r="Y5" i="27"/>
  <c r="Y17" i="27"/>
  <c r="Y13" i="27"/>
  <c r="Y15" i="27"/>
  <c r="Y14" i="27"/>
  <c r="Y7" i="27"/>
  <c r="Y19" i="27"/>
  <c r="Y20" i="27"/>
  <c r="Y18" i="27"/>
  <c r="Y16" i="27"/>
  <c r="W80" i="27"/>
  <c r="W156" i="27" s="1"/>
  <c r="Q12" i="27"/>
  <c r="Q20" i="27"/>
  <c r="Q5" i="27"/>
  <c r="Q6" i="27"/>
  <c r="Q8" i="27"/>
  <c r="Q9" i="27"/>
  <c r="Q11" i="27"/>
  <c r="Q17" i="27"/>
  <c r="Q13" i="27"/>
  <c r="Q14" i="27"/>
  <c r="Q10" i="27"/>
  <c r="Q19" i="27"/>
  <c r="Q18" i="27"/>
  <c r="Q16" i="27"/>
  <c r="Q7" i="27"/>
  <c r="Q15" i="27"/>
  <c r="Q21" i="27"/>
  <c r="L16" i="27"/>
  <c r="L6" i="27"/>
  <c r="L20" i="27"/>
  <c r="L5" i="27"/>
  <c r="L17" i="27"/>
  <c r="L14" i="27"/>
  <c r="L19" i="27"/>
  <c r="L11" i="27"/>
  <c r="L15" i="27"/>
  <c r="L12" i="27"/>
  <c r="L21" i="27"/>
  <c r="L135" i="27" s="1"/>
  <c r="L13" i="27"/>
  <c r="L18" i="27"/>
  <c r="L7" i="27"/>
  <c r="L8" i="27"/>
  <c r="L9" i="27"/>
  <c r="L10" i="27"/>
  <c r="T15" i="27"/>
  <c r="T20" i="27"/>
  <c r="T134" i="27" s="1"/>
  <c r="T21" i="27"/>
  <c r="T135" i="27" s="1"/>
  <c r="T5" i="27"/>
  <c r="T9" i="27"/>
  <c r="T18" i="27"/>
  <c r="T132" i="27" s="1"/>
  <c r="T13" i="27"/>
  <c r="T19" i="27"/>
  <c r="T133" i="27" s="1"/>
  <c r="T11" i="27"/>
  <c r="T16" i="27"/>
  <c r="T8" i="27"/>
  <c r="T14" i="27"/>
  <c r="T12" i="27"/>
  <c r="T6" i="27"/>
  <c r="T7" i="27"/>
  <c r="T10" i="27"/>
  <c r="T17" i="27"/>
  <c r="T131" i="27" s="1"/>
  <c r="O10" i="27"/>
  <c r="O18" i="27"/>
  <c r="O7" i="27"/>
  <c r="O8" i="27"/>
  <c r="O13" i="27"/>
  <c r="O6" i="27"/>
  <c r="O9" i="27"/>
  <c r="O12" i="27"/>
  <c r="O15" i="27"/>
  <c r="O16" i="27"/>
  <c r="O11" i="27"/>
  <c r="O14" i="27"/>
  <c r="O21" i="27"/>
  <c r="O17" i="27"/>
  <c r="O19" i="27"/>
  <c r="O20" i="27"/>
  <c r="O5" i="27"/>
  <c r="U15" i="27"/>
  <c r="U129" i="27" s="1"/>
  <c r="U16" i="27"/>
  <c r="U130" i="27" s="1"/>
  <c r="U6" i="27"/>
  <c r="U21" i="27"/>
  <c r="U135" i="27" s="1"/>
  <c r="U10" i="27"/>
  <c r="U11" i="27"/>
  <c r="U9" i="27"/>
  <c r="U12" i="27"/>
  <c r="U18" i="27"/>
  <c r="U132" i="27" s="1"/>
  <c r="U5" i="27"/>
  <c r="U14" i="27"/>
  <c r="U128" i="27" s="1"/>
  <c r="U17" i="27"/>
  <c r="U131" i="27" s="1"/>
  <c r="U7" i="27"/>
  <c r="U8" i="27"/>
  <c r="U20" i="27"/>
  <c r="U134" i="27" s="1"/>
  <c r="U13" i="27"/>
  <c r="U19" i="27"/>
  <c r="U133" i="27" s="1"/>
  <c r="H120" i="41"/>
  <c r="K120" i="41"/>
  <c r="P58" i="27"/>
  <c r="AE55" i="27"/>
  <c r="T56" i="27"/>
  <c r="AC57" i="27"/>
  <c r="L139" i="39"/>
  <c r="L158" i="39"/>
  <c r="L196" i="29"/>
  <c r="J120" i="41"/>
  <c r="I120" i="41"/>
  <c r="L158" i="37"/>
  <c r="H159" i="39"/>
  <c r="H160" i="39" s="1"/>
  <c r="L177" i="41"/>
  <c r="L140" i="39"/>
  <c r="L197" i="39"/>
  <c r="L196" i="39"/>
  <c r="L164" i="25"/>
  <c r="L141" i="39"/>
  <c r="H142" i="39"/>
  <c r="L158" i="41"/>
  <c r="H159" i="41"/>
  <c r="H200" i="39"/>
  <c r="L199" i="39"/>
  <c r="L198" i="39"/>
  <c r="L178" i="41"/>
  <c r="H179" i="41"/>
  <c r="L196" i="37"/>
  <c r="AL6" i="25"/>
  <c r="AL44" i="25" s="1"/>
  <c r="X6" i="47"/>
  <c r="X138" i="47"/>
  <c r="X157" i="47" s="1"/>
  <c r="P6" i="47"/>
  <c r="P138" i="47"/>
  <c r="P157" i="47" s="1"/>
  <c r="Y6" i="47"/>
  <c r="Y138" i="47"/>
  <c r="Y157" i="47" s="1"/>
  <c r="AH25" i="47"/>
  <c r="AH139" i="47" s="1"/>
  <c r="AI25" i="47"/>
  <c r="AI139" i="47" s="1"/>
  <c r="R309" i="47"/>
  <c r="R310" i="47" s="1"/>
  <c r="R311" i="47" s="1"/>
  <c r="R312" i="47" s="1"/>
  <c r="R313" i="47" s="1"/>
  <c r="R314" i="47" s="1"/>
  <c r="R315" i="47" s="1"/>
  <c r="R316" i="47" s="1"/>
  <c r="R317" i="47" s="1"/>
  <c r="R318" i="47" s="1"/>
  <c r="R319" i="47" s="1"/>
  <c r="R320" i="47" s="1"/>
  <c r="R321" i="47" s="1"/>
  <c r="R322" i="47" s="1"/>
  <c r="R323" i="47" s="1"/>
  <c r="R324" i="47" s="1"/>
  <c r="R325" i="47" s="1"/>
  <c r="R326" i="47" s="1"/>
  <c r="R271" i="47"/>
  <c r="R272" i="47" s="1"/>
  <c r="R273" i="47" s="1"/>
  <c r="R274" i="47" s="1"/>
  <c r="R275" i="47" s="1"/>
  <c r="R276" i="47" s="1"/>
  <c r="R277" i="47" s="1"/>
  <c r="R278" i="47" s="1"/>
  <c r="R279" i="47" s="1"/>
  <c r="R280" i="47" s="1"/>
  <c r="R281" i="47" s="1"/>
  <c r="R282" i="47" s="1"/>
  <c r="R283" i="47" s="1"/>
  <c r="R284" i="47" s="1"/>
  <c r="R285" i="47" s="1"/>
  <c r="R286" i="47" s="1"/>
  <c r="R287" i="47" s="1"/>
  <c r="R288" i="47" s="1"/>
  <c r="R233" i="47"/>
  <c r="R234" i="47" s="1"/>
  <c r="R235" i="47" s="1"/>
  <c r="R236" i="47" s="1"/>
  <c r="R237" i="47" s="1"/>
  <c r="R238" i="47" s="1"/>
  <c r="R239" i="47" s="1"/>
  <c r="R240" i="47" s="1"/>
  <c r="R241" i="47" s="1"/>
  <c r="R242" i="47" s="1"/>
  <c r="R243" i="47" s="1"/>
  <c r="R244" i="47" s="1"/>
  <c r="R245" i="47" s="1"/>
  <c r="R246" i="47" s="1"/>
  <c r="R247" i="47" s="1"/>
  <c r="R248" i="47" s="1"/>
  <c r="R249" i="47" s="1"/>
  <c r="R250" i="47" s="1"/>
  <c r="H252" i="47"/>
  <c r="H253" i="47" s="1"/>
  <c r="H290" i="47"/>
  <c r="H291" i="47" s="1"/>
  <c r="Q330" i="47"/>
  <c r="X43" i="47"/>
  <c r="Q291" i="47"/>
  <c r="T290" i="47"/>
  <c r="T291" i="47" s="1"/>
  <c r="T292" i="47" s="1"/>
  <c r="T293" i="47" s="1"/>
  <c r="T294" i="47" s="1"/>
  <c r="T295" i="47" s="1"/>
  <c r="T296" i="47" s="1"/>
  <c r="T297" i="47" s="1"/>
  <c r="T298" i="47" s="1"/>
  <c r="T299" i="47" s="1"/>
  <c r="T300" i="47" s="1"/>
  <c r="T301" i="47" s="1"/>
  <c r="T302" i="47" s="1"/>
  <c r="T303" i="47" s="1"/>
  <c r="T304" i="47" s="1"/>
  <c r="T305" i="47" s="1"/>
  <c r="T306" i="47" s="1"/>
  <c r="T307" i="47" s="1"/>
  <c r="T252" i="47"/>
  <c r="T253" i="47" s="1"/>
  <c r="T254" i="47" s="1"/>
  <c r="T255" i="47" s="1"/>
  <c r="T256" i="47" s="1"/>
  <c r="T257" i="47" s="1"/>
  <c r="T258" i="47" s="1"/>
  <c r="T259" i="47" s="1"/>
  <c r="T260" i="47" s="1"/>
  <c r="T261" i="47" s="1"/>
  <c r="T262" i="47" s="1"/>
  <c r="T263" i="47" s="1"/>
  <c r="T264" i="47" s="1"/>
  <c r="T265" i="47" s="1"/>
  <c r="T266" i="47" s="1"/>
  <c r="T267" i="47" s="1"/>
  <c r="T268" i="47" s="1"/>
  <c r="T269" i="47" s="1"/>
  <c r="T214" i="47"/>
  <c r="T215" i="47" s="1"/>
  <c r="T216" i="47" s="1"/>
  <c r="T217" i="47" s="1"/>
  <c r="T218" i="47" s="1"/>
  <c r="T219" i="47" s="1"/>
  <c r="T220" i="47" s="1"/>
  <c r="T221" i="47" s="1"/>
  <c r="T222" i="47" s="1"/>
  <c r="T223" i="47" s="1"/>
  <c r="T224" i="47" s="1"/>
  <c r="T225" i="47" s="1"/>
  <c r="T226" i="47" s="1"/>
  <c r="T227" i="47" s="1"/>
  <c r="T228" i="47" s="1"/>
  <c r="T229" i="47" s="1"/>
  <c r="T230" i="47" s="1"/>
  <c r="T231" i="47" s="1"/>
  <c r="Y43" i="47"/>
  <c r="T43" i="47"/>
  <c r="O25" i="47"/>
  <c r="R252" i="47"/>
  <c r="R253" i="47" s="1"/>
  <c r="R254" i="47" s="1"/>
  <c r="R255" i="47" s="1"/>
  <c r="R256" i="47" s="1"/>
  <c r="R257" i="47" s="1"/>
  <c r="R258" i="47" s="1"/>
  <c r="R259" i="47" s="1"/>
  <c r="R260" i="47" s="1"/>
  <c r="R261" i="47" s="1"/>
  <c r="R262" i="47" s="1"/>
  <c r="R263" i="47" s="1"/>
  <c r="R264" i="47" s="1"/>
  <c r="R265" i="47" s="1"/>
  <c r="R266" i="47" s="1"/>
  <c r="R267" i="47" s="1"/>
  <c r="R268" i="47" s="1"/>
  <c r="R269" i="47" s="1"/>
  <c r="R290" i="47"/>
  <c r="R291" i="47" s="1"/>
  <c r="R292" i="47" s="1"/>
  <c r="R293" i="47" s="1"/>
  <c r="R294" i="47" s="1"/>
  <c r="R295" i="47" s="1"/>
  <c r="R296" i="47" s="1"/>
  <c r="R297" i="47" s="1"/>
  <c r="R298" i="47" s="1"/>
  <c r="R299" i="47" s="1"/>
  <c r="R300" i="47" s="1"/>
  <c r="R301" i="47" s="1"/>
  <c r="R302" i="47" s="1"/>
  <c r="R303" i="47" s="1"/>
  <c r="R304" i="47" s="1"/>
  <c r="R305" i="47" s="1"/>
  <c r="R306" i="47" s="1"/>
  <c r="R307" i="47" s="1"/>
  <c r="R214" i="47"/>
  <c r="Q253" i="47"/>
  <c r="Q310" i="47"/>
  <c r="Q349" i="47"/>
  <c r="Q216" i="47"/>
  <c r="H351" i="47"/>
  <c r="I233" i="47"/>
  <c r="I271" i="47"/>
  <c r="I272" i="47" s="1"/>
  <c r="I273" i="47" s="1"/>
  <c r="I274" i="47" s="1"/>
  <c r="I275" i="47" s="1"/>
  <c r="I276" i="47" s="1"/>
  <c r="I277" i="47" s="1"/>
  <c r="I278" i="47" s="1"/>
  <c r="I279" i="47" s="1"/>
  <c r="I280" i="47" s="1"/>
  <c r="I281" i="47" s="1"/>
  <c r="I282" i="47" s="1"/>
  <c r="I283" i="47" s="1"/>
  <c r="I284" i="47" s="1"/>
  <c r="I285" i="47" s="1"/>
  <c r="I286" i="47" s="1"/>
  <c r="I287" i="47" s="1"/>
  <c r="I288" i="47" s="1"/>
  <c r="K252" i="47"/>
  <c r="K253" i="47" s="1"/>
  <c r="K254" i="47" s="1"/>
  <c r="K255" i="47" s="1"/>
  <c r="K256" i="47" s="1"/>
  <c r="K257" i="47" s="1"/>
  <c r="K258" i="47" s="1"/>
  <c r="K259" i="47" s="1"/>
  <c r="K260" i="47" s="1"/>
  <c r="K261" i="47" s="1"/>
  <c r="K262" i="47" s="1"/>
  <c r="K263" i="47" s="1"/>
  <c r="K264" i="47" s="1"/>
  <c r="K265" i="47" s="1"/>
  <c r="K266" i="47" s="1"/>
  <c r="K267" i="47" s="1"/>
  <c r="K268" i="47" s="1"/>
  <c r="K269" i="47" s="1"/>
  <c r="K290" i="47"/>
  <c r="K291" i="47" s="1"/>
  <c r="K292" i="47" s="1"/>
  <c r="K293" i="47" s="1"/>
  <c r="K294" i="47" s="1"/>
  <c r="K295" i="47" s="1"/>
  <c r="K296" i="47" s="1"/>
  <c r="K297" i="47" s="1"/>
  <c r="K298" i="47" s="1"/>
  <c r="K299" i="47" s="1"/>
  <c r="K300" i="47" s="1"/>
  <c r="K301" i="47" s="1"/>
  <c r="K302" i="47" s="1"/>
  <c r="K303" i="47" s="1"/>
  <c r="K304" i="47" s="1"/>
  <c r="K305" i="47" s="1"/>
  <c r="K306" i="47" s="1"/>
  <c r="K307" i="47" s="1"/>
  <c r="J252" i="47"/>
  <c r="J253" i="47" s="1"/>
  <c r="J254" i="47" s="1"/>
  <c r="J255" i="47" s="1"/>
  <c r="J256" i="47" s="1"/>
  <c r="J257" i="47" s="1"/>
  <c r="J258" i="47" s="1"/>
  <c r="J259" i="47" s="1"/>
  <c r="J260" i="47" s="1"/>
  <c r="J261" i="47" s="1"/>
  <c r="J262" i="47" s="1"/>
  <c r="J263" i="47" s="1"/>
  <c r="J264" i="47" s="1"/>
  <c r="J265" i="47" s="1"/>
  <c r="J266" i="47" s="1"/>
  <c r="J267" i="47" s="1"/>
  <c r="J268" i="47" s="1"/>
  <c r="J269" i="47" s="1"/>
  <c r="J290" i="47"/>
  <c r="J291" i="47" s="1"/>
  <c r="J292" i="47" s="1"/>
  <c r="J293" i="47" s="1"/>
  <c r="J294" i="47" s="1"/>
  <c r="J295" i="47" s="1"/>
  <c r="J296" i="47" s="1"/>
  <c r="J297" i="47" s="1"/>
  <c r="J298" i="47" s="1"/>
  <c r="J299" i="47" s="1"/>
  <c r="J300" i="47" s="1"/>
  <c r="J301" i="47" s="1"/>
  <c r="J302" i="47" s="1"/>
  <c r="J303" i="47" s="1"/>
  <c r="J304" i="47" s="1"/>
  <c r="J305" i="47" s="1"/>
  <c r="J306" i="47" s="1"/>
  <c r="J307" i="47" s="1"/>
  <c r="H43" i="47"/>
  <c r="H233" i="47" s="1"/>
  <c r="K43" i="47"/>
  <c r="K309" i="47" s="1"/>
  <c r="K310" i="47" s="1"/>
  <c r="K311" i="47" s="1"/>
  <c r="K312" i="47" s="1"/>
  <c r="K313" i="47" s="1"/>
  <c r="K314" i="47" s="1"/>
  <c r="K315" i="47" s="1"/>
  <c r="K316" i="47" s="1"/>
  <c r="K317" i="47" s="1"/>
  <c r="K318" i="47" s="1"/>
  <c r="K319" i="47" s="1"/>
  <c r="K320" i="47" s="1"/>
  <c r="K321" i="47" s="1"/>
  <c r="K322" i="47" s="1"/>
  <c r="K323" i="47" s="1"/>
  <c r="K324" i="47" s="1"/>
  <c r="K325" i="47" s="1"/>
  <c r="K326" i="47" s="1"/>
  <c r="J43" i="47"/>
  <c r="J309" i="47" s="1"/>
  <c r="J310" i="47" s="1"/>
  <c r="J311" i="47" s="1"/>
  <c r="J312" i="47" s="1"/>
  <c r="J313" i="47" s="1"/>
  <c r="J314" i="47" s="1"/>
  <c r="J315" i="47" s="1"/>
  <c r="J316" i="47" s="1"/>
  <c r="J317" i="47" s="1"/>
  <c r="J318" i="47" s="1"/>
  <c r="J319" i="47" s="1"/>
  <c r="J320" i="47" s="1"/>
  <c r="J321" i="47" s="1"/>
  <c r="J322" i="47" s="1"/>
  <c r="J323" i="47" s="1"/>
  <c r="J324" i="47" s="1"/>
  <c r="J325" i="47" s="1"/>
  <c r="J326" i="47" s="1"/>
  <c r="H119" i="47"/>
  <c r="H195" i="47" s="1"/>
  <c r="G43" i="47"/>
  <c r="F43" i="47"/>
  <c r="G25" i="47"/>
  <c r="I119" i="47"/>
  <c r="AM119" i="47"/>
  <c r="AM195" i="47" s="1"/>
  <c r="AB119" i="47"/>
  <c r="Q119" i="47"/>
  <c r="AL119" i="47"/>
  <c r="AL6" i="47" s="1"/>
  <c r="AJ119" i="47"/>
  <c r="AJ195" i="47" s="1"/>
  <c r="O120" i="47"/>
  <c r="O82" i="47"/>
  <c r="AL64" i="47"/>
  <c r="Z119" i="47"/>
  <c r="R119" i="47"/>
  <c r="J119" i="47"/>
  <c r="AI120" i="47"/>
  <c r="AI7" i="47" s="1"/>
  <c r="AI82" i="47"/>
  <c r="S119" i="47"/>
  <c r="Q72" i="47"/>
  <c r="AK119" i="47"/>
  <c r="K64" i="47"/>
  <c r="AA119" i="47"/>
  <c r="AK64" i="47"/>
  <c r="T119" i="47"/>
  <c r="AB65" i="47"/>
  <c r="S64" i="47"/>
  <c r="I65" i="47"/>
  <c r="H65" i="47"/>
  <c r="AH82" i="47"/>
  <c r="AH120" i="47"/>
  <c r="AH7" i="47" s="1"/>
  <c r="AC119" i="47"/>
  <c r="K119" i="47"/>
  <c r="AJ65" i="47"/>
  <c r="H330" i="47"/>
  <c r="Z64" i="47"/>
  <c r="T64" i="47"/>
  <c r="J65" i="47"/>
  <c r="R64" i="47"/>
  <c r="G120" i="47"/>
  <c r="G82" i="47"/>
  <c r="AM71" i="47"/>
  <c r="AC64" i="47"/>
  <c r="AA65" i="47"/>
  <c r="AM6" i="25"/>
  <c r="AM44" i="25" s="1"/>
  <c r="H214" i="25"/>
  <c r="H233" i="25" s="1"/>
  <c r="H200" i="25"/>
  <c r="H201" i="25" s="1"/>
  <c r="H202" i="25" s="1"/>
  <c r="H203" i="25" s="1"/>
  <c r="H204" i="25" s="1"/>
  <c r="H205" i="25" s="1"/>
  <c r="H206" i="25" s="1"/>
  <c r="AH44" i="25"/>
  <c r="R5" i="45"/>
  <c r="AH82" i="25"/>
  <c r="AH7" i="25" s="1"/>
  <c r="F104" i="25"/>
  <c r="F105" i="25" s="1"/>
  <c r="F106" i="25" s="1"/>
  <c r="F107" i="25" s="1"/>
  <c r="F108" i="25" s="1"/>
  <c r="F109" i="25" s="1"/>
  <c r="F110" i="25" s="1"/>
  <c r="L197" i="29"/>
  <c r="AN119" i="25"/>
  <c r="AJ214" i="25"/>
  <c r="AI82" i="25"/>
  <c r="AI7" i="25" s="1"/>
  <c r="AI45" i="25" s="1"/>
  <c r="Z81" i="25"/>
  <c r="Z119" i="25" s="1"/>
  <c r="AC81" i="25"/>
  <c r="AC119" i="25" s="1"/>
  <c r="AA81" i="25"/>
  <c r="AA119" i="25" s="1"/>
  <c r="Y44" i="25"/>
  <c r="Y82" i="25"/>
  <c r="Y7" i="25" s="1"/>
  <c r="Y83" i="25" s="1"/>
  <c r="Y8" i="25" s="1"/>
  <c r="X82" i="25"/>
  <c r="L163" i="25"/>
  <c r="H169" i="25"/>
  <c r="H170" i="25" s="1"/>
  <c r="L168" i="25"/>
  <c r="L167" i="25"/>
  <c r="L158" i="25"/>
  <c r="L197" i="25"/>
  <c r="L159" i="25"/>
  <c r="L165" i="25"/>
  <c r="L162" i="25"/>
  <c r="Q81" i="25"/>
  <c r="L160" i="25"/>
  <c r="L166" i="25"/>
  <c r="T81" i="25"/>
  <c r="T119" i="25" s="1"/>
  <c r="O6" i="25"/>
  <c r="O44" i="25" s="1"/>
  <c r="I198" i="25"/>
  <c r="S81" i="25"/>
  <c r="S119" i="25" s="1"/>
  <c r="L161" i="25"/>
  <c r="L157" i="25"/>
  <c r="L138" i="37"/>
  <c r="L139" i="37"/>
  <c r="G6" i="25"/>
  <c r="S5" i="45" s="1"/>
  <c r="L196" i="25"/>
  <c r="R81" i="25"/>
  <c r="R119" i="25" s="1"/>
  <c r="L176" i="25"/>
  <c r="AM214" i="25" s="1"/>
  <c r="P82" i="25"/>
  <c r="P7" i="25" s="1"/>
  <c r="P45" i="25" s="1"/>
  <c r="G8" i="29"/>
  <c r="F7" i="29"/>
  <c r="G84" i="29"/>
  <c r="G46" i="29"/>
  <c r="L176" i="37"/>
  <c r="H177" i="37"/>
  <c r="G82" i="37"/>
  <c r="G7" i="37" s="1"/>
  <c r="G44" i="37"/>
  <c r="F82" i="37"/>
  <c r="F7" i="37" s="1"/>
  <c r="F44" i="37"/>
  <c r="H158" i="29"/>
  <c r="L157" i="29"/>
  <c r="L176" i="29"/>
  <c r="H177" i="29"/>
  <c r="I63" i="29"/>
  <c r="J63" i="29"/>
  <c r="K63" i="29"/>
  <c r="K82" i="29" s="1"/>
  <c r="K7" i="29" s="1"/>
  <c r="H81" i="29"/>
  <c r="H119" i="29" s="1"/>
  <c r="I81" i="29"/>
  <c r="I119" i="29" s="1"/>
  <c r="K178" i="25"/>
  <c r="L177" i="25"/>
  <c r="H139" i="29"/>
  <c r="L138" i="29"/>
  <c r="L138" i="41"/>
  <c r="H139" i="41"/>
  <c r="G45" i="41"/>
  <c r="G83" i="41"/>
  <c r="G8" i="41" s="1"/>
  <c r="H45" i="41"/>
  <c r="H64" i="41" s="1"/>
  <c r="I45" i="41"/>
  <c r="I64" i="41" s="1"/>
  <c r="J45" i="41"/>
  <c r="J64" i="41" s="1"/>
  <c r="K45" i="41"/>
  <c r="K64" i="41" s="1"/>
  <c r="K83" i="41" s="1"/>
  <c r="F45" i="41"/>
  <c r="F83" i="41"/>
  <c r="F8" i="41" s="1"/>
  <c r="F44" i="39"/>
  <c r="F82" i="39"/>
  <c r="G44" i="39"/>
  <c r="G82" i="39"/>
  <c r="H44" i="39"/>
  <c r="H63" i="39" s="1"/>
  <c r="I44" i="39"/>
  <c r="I63" i="39" s="1"/>
  <c r="J44" i="39"/>
  <c r="J63" i="39" s="1"/>
  <c r="K44" i="39"/>
  <c r="K63" i="39" s="1"/>
  <c r="H6" i="37"/>
  <c r="H119" i="37"/>
  <c r="K6" i="37"/>
  <c r="K119" i="37"/>
  <c r="J6" i="37"/>
  <c r="J119" i="37"/>
  <c r="I44" i="37"/>
  <c r="I63" i="37" s="1"/>
  <c r="G45" i="37"/>
  <c r="G83" i="37"/>
  <c r="G8" i="37" s="1"/>
  <c r="F45" i="37"/>
  <c r="F83" i="37"/>
  <c r="F8" i="37" s="1"/>
  <c r="H199" i="29"/>
  <c r="L198" i="29"/>
  <c r="H28" i="37"/>
  <c r="H27" i="29"/>
  <c r="H198" i="37"/>
  <c r="L197" i="37"/>
  <c r="L159" i="37"/>
  <c r="L140" i="37"/>
  <c r="J102" i="37"/>
  <c r="K103" i="37"/>
  <c r="I102" i="37"/>
  <c r="H102" i="37"/>
  <c r="L138" i="25"/>
  <c r="L142" i="25"/>
  <c r="L141" i="25"/>
  <c r="L140" i="25"/>
  <c r="L139" i="25"/>
  <c r="K81" i="25"/>
  <c r="K6" i="25" s="1"/>
  <c r="I81" i="25"/>
  <c r="I6" i="25" s="1"/>
  <c r="J81" i="25"/>
  <c r="J6" i="25" s="1"/>
  <c r="H26" i="25"/>
  <c r="I27" i="25"/>
  <c r="F82" i="25"/>
  <c r="F7" i="25" s="1"/>
  <c r="F44" i="25"/>
  <c r="Y45" i="55" l="1"/>
  <c r="Y83" i="55"/>
  <c r="AK123" i="55"/>
  <c r="AM123" i="55"/>
  <c r="AL123" i="55"/>
  <c r="AJ123" i="55"/>
  <c r="AC25" i="27"/>
  <c r="AI83" i="55"/>
  <c r="AI102" i="55" s="1"/>
  <c r="AI45" i="55"/>
  <c r="AB25" i="27"/>
  <c r="AB82" i="27" s="1"/>
  <c r="AH83" i="55"/>
  <c r="AH8" i="55" s="1"/>
  <c r="AB26" i="27" s="1"/>
  <c r="AH45" i="55"/>
  <c r="AI101" i="55"/>
  <c r="AH101" i="55"/>
  <c r="X7" i="55"/>
  <c r="G83" i="55"/>
  <c r="AN138" i="55"/>
  <c r="AJ44" i="55"/>
  <c r="AD24" i="27"/>
  <c r="AI8" i="55"/>
  <c r="AC26" i="27" s="1"/>
  <c r="M25" i="27"/>
  <c r="P101" i="55"/>
  <c r="O45" i="55"/>
  <c r="O83" i="55"/>
  <c r="O8" i="55" s="1"/>
  <c r="AA138" i="55"/>
  <c r="AD138" i="55" s="1"/>
  <c r="AA233" i="55"/>
  <c r="AD233" i="55" s="1"/>
  <c r="W24" i="27"/>
  <c r="AA44" i="55"/>
  <c r="AA63" i="55" s="1"/>
  <c r="L159" i="55"/>
  <c r="L158" i="55"/>
  <c r="Z200" i="55"/>
  <c r="AD199" i="55"/>
  <c r="AM233" i="55"/>
  <c r="AM252" i="55" s="1"/>
  <c r="AL233" i="55"/>
  <c r="AL252" i="55" s="1"/>
  <c r="AK233" i="55"/>
  <c r="AK252" i="55" s="1"/>
  <c r="AJ233" i="55"/>
  <c r="AJ252" i="55" s="1"/>
  <c r="Z181" i="55"/>
  <c r="AD180" i="55"/>
  <c r="AJ199" i="55"/>
  <c r="AN198" i="55"/>
  <c r="AJ222" i="55"/>
  <c r="AN221" i="55"/>
  <c r="AD220" i="55"/>
  <c r="Z221" i="55"/>
  <c r="H123" i="55"/>
  <c r="H218" i="55"/>
  <c r="L218" i="55" s="1"/>
  <c r="AC28" i="55"/>
  <c r="AL44" i="55"/>
  <c r="Q218" i="55"/>
  <c r="U218" i="55" s="1"/>
  <c r="AJ29" i="55"/>
  <c r="L160" i="55"/>
  <c r="R28" i="55"/>
  <c r="H198" i="55"/>
  <c r="L198" i="55" s="1"/>
  <c r="AB44" i="55"/>
  <c r="AB63" i="55" s="1"/>
  <c r="Z160" i="55"/>
  <c r="AD160" i="55" s="1"/>
  <c r="T28" i="55"/>
  <c r="AJ159" i="55"/>
  <c r="AN159" i="55" s="1"/>
  <c r="AB29" i="55"/>
  <c r="AK30" i="55"/>
  <c r="Q28" i="55"/>
  <c r="J29" i="55"/>
  <c r="AM44" i="55"/>
  <c r="S28" i="55"/>
  <c r="AL28" i="55"/>
  <c r="Q178" i="55"/>
  <c r="U178" i="55" s="1"/>
  <c r="Z44" i="55"/>
  <c r="Z63" i="55" s="1"/>
  <c r="Z29" i="55"/>
  <c r="Q197" i="55"/>
  <c r="U197" i="55" s="1"/>
  <c r="AC44" i="55"/>
  <c r="AC63" i="55" s="1"/>
  <c r="AA30" i="55"/>
  <c r="Q159" i="55"/>
  <c r="U159" i="55" s="1"/>
  <c r="AC252" i="55"/>
  <c r="H29" i="55"/>
  <c r="AK44" i="55"/>
  <c r="K29" i="55"/>
  <c r="AM28" i="55"/>
  <c r="I30" i="55"/>
  <c r="H179" i="55"/>
  <c r="L179" i="55" s="1"/>
  <c r="AJ157" i="47"/>
  <c r="AK157" i="47"/>
  <c r="AL157" i="47"/>
  <c r="AM157" i="47"/>
  <c r="AK138" i="47"/>
  <c r="AJ138" i="47"/>
  <c r="AM138" i="47"/>
  <c r="AL138" i="47"/>
  <c r="AC271" i="47"/>
  <c r="AC272" i="47" s="1"/>
  <c r="AC273" i="47" s="1"/>
  <c r="AC274" i="47" s="1"/>
  <c r="AC275" i="47" s="1"/>
  <c r="AC276" i="47" s="1"/>
  <c r="AC277" i="47" s="1"/>
  <c r="AC278" i="47" s="1"/>
  <c r="AC279" i="47" s="1"/>
  <c r="AC280" i="47" s="1"/>
  <c r="AC281" i="47" s="1"/>
  <c r="AC282" i="47" s="1"/>
  <c r="AC283" i="47" s="1"/>
  <c r="AC284" i="47" s="1"/>
  <c r="AC285" i="47" s="1"/>
  <c r="AC286" i="47" s="1"/>
  <c r="AC287" i="47" s="1"/>
  <c r="AC288" i="47" s="1"/>
  <c r="AC233" i="47"/>
  <c r="AC234" i="47" s="1"/>
  <c r="AC235" i="47" s="1"/>
  <c r="AC236" i="47" s="1"/>
  <c r="AC237" i="47" s="1"/>
  <c r="AC238" i="47" s="1"/>
  <c r="AC239" i="47" s="1"/>
  <c r="AC240" i="47" s="1"/>
  <c r="AC241" i="47" s="1"/>
  <c r="AC242" i="47" s="1"/>
  <c r="AC243" i="47" s="1"/>
  <c r="AC244" i="47" s="1"/>
  <c r="AC245" i="47" s="1"/>
  <c r="AC246" i="47" s="1"/>
  <c r="AC247" i="47" s="1"/>
  <c r="AC248" i="47" s="1"/>
  <c r="AC249" i="47" s="1"/>
  <c r="AC250" i="47" s="1"/>
  <c r="AA271" i="47"/>
  <c r="AA272" i="47" s="1"/>
  <c r="AA273" i="47" s="1"/>
  <c r="AA274" i="47" s="1"/>
  <c r="AA275" i="47" s="1"/>
  <c r="AA276" i="47" s="1"/>
  <c r="AA277" i="47" s="1"/>
  <c r="AA278" i="47" s="1"/>
  <c r="AA279" i="47" s="1"/>
  <c r="AA280" i="47" s="1"/>
  <c r="AA281" i="47" s="1"/>
  <c r="AA282" i="47" s="1"/>
  <c r="AA283" i="47" s="1"/>
  <c r="AA284" i="47" s="1"/>
  <c r="AA285" i="47" s="1"/>
  <c r="AA286" i="47" s="1"/>
  <c r="AA287" i="47" s="1"/>
  <c r="AA288" i="47" s="1"/>
  <c r="AA233" i="47"/>
  <c r="AA234" i="47" s="1"/>
  <c r="AA235" i="47" s="1"/>
  <c r="AA236" i="47" s="1"/>
  <c r="AA237" i="47" s="1"/>
  <c r="AA238" i="47" s="1"/>
  <c r="AA239" i="47" s="1"/>
  <c r="AA240" i="47" s="1"/>
  <c r="AA241" i="47" s="1"/>
  <c r="AA242" i="47" s="1"/>
  <c r="AA243" i="47" s="1"/>
  <c r="AA244" i="47" s="1"/>
  <c r="AA245" i="47" s="1"/>
  <c r="AA246" i="47" s="1"/>
  <c r="AA247" i="47" s="1"/>
  <c r="AA248" i="47" s="1"/>
  <c r="AA249" i="47" s="1"/>
  <c r="AA250" i="47" s="1"/>
  <c r="AB271" i="47"/>
  <c r="AB272" i="47" s="1"/>
  <c r="AB273" i="47" s="1"/>
  <c r="AB274" i="47" s="1"/>
  <c r="AB275" i="47" s="1"/>
  <c r="AB276" i="47" s="1"/>
  <c r="AB277" i="47" s="1"/>
  <c r="AB278" i="47" s="1"/>
  <c r="AB279" i="47" s="1"/>
  <c r="AB280" i="47" s="1"/>
  <c r="AB281" i="47" s="1"/>
  <c r="AB282" i="47" s="1"/>
  <c r="AB283" i="47" s="1"/>
  <c r="AB284" i="47" s="1"/>
  <c r="AB285" i="47" s="1"/>
  <c r="AB286" i="47" s="1"/>
  <c r="AB287" i="47" s="1"/>
  <c r="AB288" i="47" s="1"/>
  <c r="AB233" i="47"/>
  <c r="AB234" i="47" s="1"/>
  <c r="AB235" i="47" s="1"/>
  <c r="AB236" i="47" s="1"/>
  <c r="AB237" i="47" s="1"/>
  <c r="AB238" i="47" s="1"/>
  <c r="AB239" i="47" s="1"/>
  <c r="AB240" i="47" s="1"/>
  <c r="AB241" i="47" s="1"/>
  <c r="AB242" i="47" s="1"/>
  <c r="AB243" i="47" s="1"/>
  <c r="AB244" i="47" s="1"/>
  <c r="AB245" i="47" s="1"/>
  <c r="AB246" i="47" s="1"/>
  <c r="AB247" i="47" s="1"/>
  <c r="AB248" i="47" s="1"/>
  <c r="AB249" i="47" s="1"/>
  <c r="AB250" i="47" s="1"/>
  <c r="I385" i="53"/>
  <c r="AK385" i="53"/>
  <c r="U195" i="53"/>
  <c r="L195" i="53"/>
  <c r="AJ385" i="53"/>
  <c r="AN366" i="53"/>
  <c r="Q385" i="53"/>
  <c r="O84" i="53"/>
  <c r="O27" i="53"/>
  <c r="O46" i="53" s="1"/>
  <c r="O122" i="53"/>
  <c r="AI122" i="53"/>
  <c r="AI9" i="53" s="1"/>
  <c r="AI84" i="53"/>
  <c r="AI27" i="53"/>
  <c r="AI141" i="53" s="1"/>
  <c r="AA68" i="53"/>
  <c r="AC67" i="53"/>
  <c r="H351" i="53"/>
  <c r="R82" i="53"/>
  <c r="R101" i="53" s="1"/>
  <c r="R25" i="53"/>
  <c r="R44" i="53" s="1"/>
  <c r="Q216" i="53"/>
  <c r="J82" i="53"/>
  <c r="J101" i="53" s="1"/>
  <c r="J25" i="53"/>
  <c r="L253" i="53" s="1"/>
  <c r="S82" i="53"/>
  <c r="S101" i="53" s="1"/>
  <c r="S25" i="53"/>
  <c r="S44" i="53" s="1"/>
  <c r="P140" i="53"/>
  <c r="P159" i="53" s="1"/>
  <c r="F140" i="53"/>
  <c r="F159" i="53" s="1"/>
  <c r="H82" i="53"/>
  <c r="H101" i="53" s="1"/>
  <c r="H25" i="53"/>
  <c r="T366" i="53"/>
  <c r="T385" i="53" s="1"/>
  <c r="R67" i="53"/>
  <c r="X139" i="53"/>
  <c r="X158" i="53" s="1"/>
  <c r="Q66" i="53"/>
  <c r="Q351" i="53"/>
  <c r="AL82" i="53"/>
  <c r="AL101" i="53" s="1"/>
  <c r="AL44" i="53"/>
  <c r="AL25" i="53"/>
  <c r="R366" i="53"/>
  <c r="R385" i="53" s="1"/>
  <c r="K82" i="53"/>
  <c r="K101" i="53" s="1"/>
  <c r="K25" i="53"/>
  <c r="K44" i="53" s="1"/>
  <c r="H332" i="53"/>
  <c r="I69" i="53"/>
  <c r="G122" i="53"/>
  <c r="G9" i="53" s="1"/>
  <c r="G84" i="53"/>
  <c r="G27" i="53"/>
  <c r="G46" i="53" s="1"/>
  <c r="H292" i="53"/>
  <c r="Z82" i="53"/>
  <c r="Z101" i="53" s="1"/>
  <c r="Z25" i="53"/>
  <c r="Z44" i="53" s="1"/>
  <c r="Q235" i="53"/>
  <c r="Z366" i="53"/>
  <c r="AB67" i="53"/>
  <c r="Y140" i="53"/>
  <c r="Y159" i="53" s="1"/>
  <c r="T67" i="53"/>
  <c r="H67" i="53"/>
  <c r="AH45" i="53"/>
  <c r="AH159" i="53" s="1"/>
  <c r="J366" i="53"/>
  <c r="J385" i="53" s="1"/>
  <c r="H273" i="53"/>
  <c r="K66" i="53"/>
  <c r="H235" i="53"/>
  <c r="AH84" i="53"/>
  <c r="AH122" i="53"/>
  <c r="AH27" i="53"/>
  <c r="AH141" i="53" s="1"/>
  <c r="S366" i="53"/>
  <c r="S385" i="53" s="1"/>
  <c r="H311" i="53"/>
  <c r="AD195" i="53"/>
  <c r="Q254" i="53"/>
  <c r="AK82" i="53"/>
  <c r="AK101" i="53" s="1"/>
  <c r="AK25" i="53"/>
  <c r="AK44" i="53" s="1"/>
  <c r="AL385" i="53"/>
  <c r="F8" i="53"/>
  <c r="AJ66" i="53"/>
  <c r="Q332" i="53"/>
  <c r="Z67" i="53"/>
  <c r="Y122" i="53"/>
  <c r="Y9" i="53" s="1"/>
  <c r="Y46" i="53"/>
  <c r="Y84" i="53"/>
  <c r="Y27" i="53"/>
  <c r="AK67" i="53"/>
  <c r="J69" i="53"/>
  <c r="P8" i="53"/>
  <c r="AM67" i="53"/>
  <c r="X7" i="53"/>
  <c r="G140" i="53"/>
  <c r="G159" i="53" s="1"/>
  <c r="O140" i="53"/>
  <c r="O159" i="53" s="1"/>
  <c r="AM82" i="53"/>
  <c r="AM101" i="53" s="1"/>
  <c r="AM25" i="53"/>
  <c r="AM44" i="53" s="1"/>
  <c r="Q292" i="53"/>
  <c r="AL66" i="53"/>
  <c r="H216" i="53"/>
  <c r="H254" i="53"/>
  <c r="AJ82" i="53"/>
  <c r="AJ101" i="53" s="1"/>
  <c r="AJ25" i="53"/>
  <c r="AJ44" i="53" s="1"/>
  <c r="T82" i="53"/>
  <c r="T101" i="53" s="1"/>
  <c r="T25" i="53"/>
  <c r="T44" i="53" s="1"/>
  <c r="AA82" i="53"/>
  <c r="AA101" i="53" s="1"/>
  <c r="AA25" i="53"/>
  <c r="AA44" i="53" s="1"/>
  <c r="H366" i="53"/>
  <c r="K366" i="53"/>
  <c r="K385" i="53" s="1"/>
  <c r="Q273" i="53"/>
  <c r="AI45" i="53"/>
  <c r="AI159" i="53" s="1"/>
  <c r="S68" i="53"/>
  <c r="AN195" i="53"/>
  <c r="AA366" i="53"/>
  <c r="AA385" i="53" s="1"/>
  <c r="Q311" i="53"/>
  <c r="I234" i="47"/>
  <c r="I235" i="47" s="1"/>
  <c r="I236" i="47" s="1"/>
  <c r="I237" i="47" s="1"/>
  <c r="I238" i="47" s="1"/>
  <c r="I239" i="47" s="1"/>
  <c r="I240" i="47" s="1"/>
  <c r="I241" i="47" s="1"/>
  <c r="I242" i="47" s="1"/>
  <c r="I243" i="47" s="1"/>
  <c r="I244" i="47" s="1"/>
  <c r="I245" i="47" s="1"/>
  <c r="I246" i="47" s="1"/>
  <c r="I247" i="47" s="1"/>
  <c r="I248" i="47" s="1"/>
  <c r="I249" i="47" s="1"/>
  <c r="I250" i="47" s="1"/>
  <c r="U214" i="47"/>
  <c r="AK6" i="25"/>
  <c r="AK44" i="25" s="1"/>
  <c r="AK63" i="25" s="1"/>
  <c r="AH44" i="52"/>
  <c r="AH158" i="52" s="1"/>
  <c r="AB214" i="25"/>
  <c r="AB119" i="25"/>
  <c r="T195" i="52"/>
  <c r="AH83" i="52"/>
  <c r="AG156" i="27"/>
  <c r="H138" i="52"/>
  <c r="H157" i="52" s="1"/>
  <c r="H366" i="52" s="1"/>
  <c r="H195" i="52"/>
  <c r="X82" i="52"/>
  <c r="U252" i="47"/>
  <c r="L290" i="47"/>
  <c r="L252" i="47"/>
  <c r="U290" i="47"/>
  <c r="U271" i="52"/>
  <c r="I138" i="52"/>
  <c r="I157" i="52" s="1"/>
  <c r="Q138" i="52"/>
  <c r="Q157" i="52" s="1"/>
  <c r="Q195" i="52"/>
  <c r="Q25" i="52"/>
  <c r="Q44" i="52" s="1"/>
  <c r="Q156" i="27"/>
  <c r="D25" i="56" s="1"/>
  <c r="AE156" i="27"/>
  <c r="U156" i="27"/>
  <c r="Z156" i="27" s="1"/>
  <c r="I5" i="46" s="1"/>
  <c r="I195" i="52"/>
  <c r="X25" i="52"/>
  <c r="X44" i="52" s="1"/>
  <c r="AA195" i="52"/>
  <c r="AA6" i="52"/>
  <c r="AA82" i="52" s="1"/>
  <c r="AA101" i="52" s="1"/>
  <c r="R195" i="52"/>
  <c r="R6" i="52"/>
  <c r="R25" i="52" s="1"/>
  <c r="R44" i="52" s="1"/>
  <c r="H6" i="52"/>
  <c r="O121" i="52"/>
  <c r="O140" i="52" s="1"/>
  <c r="O159" i="52" s="1"/>
  <c r="O83" i="52"/>
  <c r="AB138" i="52"/>
  <c r="AB157" i="52" s="1"/>
  <c r="S195" i="52"/>
  <c r="S138" i="52"/>
  <c r="S157" i="52" s="1"/>
  <c r="AB195" i="52"/>
  <c r="J195" i="52"/>
  <c r="J138" i="52"/>
  <c r="J157" i="52" s="1"/>
  <c r="AC82" i="52"/>
  <c r="AC101" i="52" s="1"/>
  <c r="AC195" i="52"/>
  <c r="AC138" i="52"/>
  <c r="AC157" i="52" s="1"/>
  <c r="AK366" i="52"/>
  <c r="AK385" i="52" s="1"/>
  <c r="AL366" i="52"/>
  <c r="P140" i="52"/>
  <c r="P159" i="52" s="1"/>
  <c r="AH122" i="52"/>
  <c r="AH9" i="52" s="1"/>
  <c r="G8" i="52"/>
  <c r="AH84" i="52"/>
  <c r="Z25" i="52"/>
  <c r="Z44" i="52" s="1"/>
  <c r="F139" i="52"/>
  <c r="F158" i="52" s="1"/>
  <c r="AM385" i="52"/>
  <c r="K120" i="52"/>
  <c r="X26" i="52"/>
  <c r="X45" i="52" s="1"/>
  <c r="X121" i="52"/>
  <c r="X140" i="52" s="1"/>
  <c r="X159" i="52" s="1"/>
  <c r="X83" i="52"/>
  <c r="AJ385" i="52"/>
  <c r="X139" i="52"/>
  <c r="X158" i="52" s="1"/>
  <c r="Z385" i="52"/>
  <c r="AB71" i="52"/>
  <c r="H220" i="52"/>
  <c r="T25" i="52"/>
  <c r="T44" i="52" s="1"/>
  <c r="T82" i="52"/>
  <c r="T101" i="52" s="1"/>
  <c r="I73" i="52"/>
  <c r="AK25" i="52"/>
  <c r="AK44" i="52" s="1"/>
  <c r="AK82" i="52"/>
  <c r="AK101" i="52" s="1"/>
  <c r="AA67" i="52"/>
  <c r="S69" i="52"/>
  <c r="Q316" i="52"/>
  <c r="Q66" i="52"/>
  <c r="J25" i="52"/>
  <c r="J44" i="52" s="1"/>
  <c r="J82" i="52"/>
  <c r="J101" i="52" s="1"/>
  <c r="Z67" i="52"/>
  <c r="H67" i="52"/>
  <c r="AA366" i="52"/>
  <c r="P27" i="52"/>
  <c r="P46" i="52" s="1"/>
  <c r="P84" i="52"/>
  <c r="P122" i="52"/>
  <c r="P9" i="52" s="1"/>
  <c r="Q217" i="52"/>
  <c r="S25" i="52"/>
  <c r="S44" i="52" s="1"/>
  <c r="S82" i="52"/>
  <c r="S101" i="52" s="1"/>
  <c r="F26" i="52"/>
  <c r="F45" i="52" s="1"/>
  <c r="F121" i="52"/>
  <c r="F83" i="52"/>
  <c r="T68" i="52"/>
  <c r="AC66" i="52"/>
  <c r="AH46" i="52"/>
  <c r="AH160" i="52" s="1"/>
  <c r="AJ25" i="52"/>
  <c r="AJ44" i="52" s="1"/>
  <c r="AJ82" i="52"/>
  <c r="AJ101" i="52" s="1"/>
  <c r="AI26" i="52"/>
  <c r="AI140" i="52" s="1"/>
  <c r="AI83" i="52"/>
  <c r="AI121" i="52"/>
  <c r="R68" i="52"/>
  <c r="AN195" i="52"/>
  <c r="AJ67" i="52"/>
  <c r="AM25" i="52"/>
  <c r="AM82" i="52"/>
  <c r="AK67" i="52"/>
  <c r="K25" i="52"/>
  <c r="K82" i="52"/>
  <c r="Y26" i="52"/>
  <c r="Y45" i="52" s="1"/>
  <c r="Y83" i="52"/>
  <c r="Y121" i="52"/>
  <c r="Y8" i="52" s="1"/>
  <c r="U309" i="52"/>
  <c r="AL78" i="52"/>
  <c r="I25" i="52"/>
  <c r="I82" i="52"/>
  <c r="I101" i="52" s="1"/>
  <c r="AB25" i="52"/>
  <c r="AB44" i="52" s="1"/>
  <c r="AB82" i="52"/>
  <c r="AB101" i="52" s="1"/>
  <c r="AL25" i="52"/>
  <c r="AL44" i="52" s="1"/>
  <c r="AL82" i="52"/>
  <c r="AL101" i="52" s="1"/>
  <c r="P114" i="27"/>
  <c r="U110" i="27"/>
  <c r="AE111" i="27"/>
  <c r="U112" i="27"/>
  <c r="X25" i="47"/>
  <c r="X44" i="47" s="1"/>
  <c r="T81" i="27"/>
  <c r="Y82" i="47"/>
  <c r="U81" i="27"/>
  <c r="P120" i="47"/>
  <c r="P139" i="47" s="1"/>
  <c r="P158" i="47" s="1"/>
  <c r="M81" i="27"/>
  <c r="U114" i="27"/>
  <c r="N116" i="27"/>
  <c r="U115" i="27"/>
  <c r="T112" i="27"/>
  <c r="L116" i="27"/>
  <c r="AC113" i="27"/>
  <c r="U113" i="27"/>
  <c r="U127" i="27"/>
  <c r="U108" i="27"/>
  <c r="U126" i="27"/>
  <c r="U107" i="27"/>
  <c r="O119" i="27"/>
  <c r="O100" i="27"/>
  <c r="O129" i="27"/>
  <c r="O110" i="27"/>
  <c r="O124" i="27"/>
  <c r="O105" i="27"/>
  <c r="T130" i="27"/>
  <c r="T111" i="27"/>
  <c r="L127" i="27"/>
  <c r="L108" i="27"/>
  <c r="L100" i="27"/>
  <c r="L119" i="27"/>
  <c r="L81" i="27"/>
  <c r="Q130" i="27"/>
  <c r="Q111" i="27"/>
  <c r="Q123" i="27"/>
  <c r="Q104" i="27"/>
  <c r="Y113" i="27"/>
  <c r="Y132" i="27"/>
  <c r="Y119" i="27"/>
  <c r="Y100" i="27"/>
  <c r="AF131" i="27"/>
  <c r="AF112" i="27"/>
  <c r="AF122" i="27"/>
  <c r="AF103" i="27"/>
  <c r="W135" i="27"/>
  <c r="W116" i="27"/>
  <c r="W127" i="27"/>
  <c r="W108" i="27"/>
  <c r="V134" i="27"/>
  <c r="V115" i="27"/>
  <c r="V135" i="27"/>
  <c r="V116" i="27"/>
  <c r="AD127" i="27"/>
  <c r="AD108" i="27"/>
  <c r="AD109" i="27"/>
  <c r="AD128" i="27"/>
  <c r="AC128" i="27"/>
  <c r="AC109" i="27"/>
  <c r="AC81" i="27"/>
  <c r="AC119" i="27"/>
  <c r="AC100" i="27"/>
  <c r="M123" i="27"/>
  <c r="M104" i="27"/>
  <c r="M130" i="27"/>
  <c r="M111" i="27"/>
  <c r="AG132" i="27"/>
  <c r="AG113" i="27"/>
  <c r="AG119" i="27"/>
  <c r="AG100" i="27"/>
  <c r="N107" i="27"/>
  <c r="N126" i="27"/>
  <c r="N125" i="27"/>
  <c r="N106" i="27"/>
  <c r="X124" i="27"/>
  <c r="X105" i="27"/>
  <c r="X126" i="27"/>
  <c r="X107" i="27"/>
  <c r="P127" i="27"/>
  <c r="P108" i="27"/>
  <c r="P123" i="27"/>
  <c r="P104" i="27"/>
  <c r="AB131" i="27"/>
  <c r="AB112" i="27"/>
  <c r="AB120" i="27"/>
  <c r="AB101" i="27"/>
  <c r="AE124" i="27"/>
  <c r="AE105" i="27"/>
  <c r="AE122" i="27"/>
  <c r="AE103" i="27"/>
  <c r="U104" i="27"/>
  <c r="U123" i="27"/>
  <c r="O134" i="27"/>
  <c r="O115" i="27"/>
  <c r="O126" i="27"/>
  <c r="O107" i="27"/>
  <c r="T125" i="27"/>
  <c r="T106" i="27"/>
  <c r="T129" i="27"/>
  <c r="T110" i="27"/>
  <c r="L134" i="27"/>
  <c r="L115" i="27"/>
  <c r="Q132" i="27"/>
  <c r="Q113" i="27"/>
  <c r="Q122" i="27"/>
  <c r="Q103" i="27"/>
  <c r="Y115" i="27"/>
  <c r="Y134" i="27"/>
  <c r="Y107" i="27"/>
  <c r="Y126" i="27"/>
  <c r="AF125" i="27"/>
  <c r="AF106" i="27"/>
  <c r="AF119" i="27"/>
  <c r="AF81" i="27"/>
  <c r="AF100" i="27"/>
  <c r="W134" i="27"/>
  <c r="W115" i="27"/>
  <c r="W121" i="27"/>
  <c r="W102" i="27"/>
  <c r="V131" i="27"/>
  <c r="V112" i="27"/>
  <c r="V123" i="27"/>
  <c r="V104" i="27"/>
  <c r="AD119" i="27"/>
  <c r="AD100" i="27"/>
  <c r="AD129" i="27"/>
  <c r="AD110" i="27"/>
  <c r="AC127" i="27"/>
  <c r="AC108" i="27"/>
  <c r="M125" i="27"/>
  <c r="M106" i="27"/>
  <c r="M109" i="27"/>
  <c r="M128" i="27"/>
  <c r="AG131" i="27"/>
  <c r="AG112" i="27"/>
  <c r="AG124" i="27"/>
  <c r="AG105" i="27"/>
  <c r="N131" i="27"/>
  <c r="N112" i="27"/>
  <c r="N119" i="27"/>
  <c r="N100" i="27"/>
  <c r="X131" i="27"/>
  <c r="X112" i="27"/>
  <c r="X123" i="27"/>
  <c r="X104" i="27"/>
  <c r="X127" i="27"/>
  <c r="X108" i="27"/>
  <c r="P131" i="27"/>
  <c r="P112" i="27"/>
  <c r="AB124" i="27"/>
  <c r="AB105" i="27"/>
  <c r="AB132" i="27"/>
  <c r="AB113" i="27"/>
  <c r="AE127" i="27"/>
  <c r="AE108" i="27"/>
  <c r="U122" i="27"/>
  <c r="U103" i="27"/>
  <c r="U106" i="27"/>
  <c r="U125" i="27"/>
  <c r="O133" i="27"/>
  <c r="O114" i="27"/>
  <c r="O123" i="27"/>
  <c r="O104" i="27"/>
  <c r="T124" i="27"/>
  <c r="T105" i="27"/>
  <c r="L126" i="27"/>
  <c r="L107" i="27"/>
  <c r="L120" i="27"/>
  <c r="L101" i="27"/>
  <c r="Q133" i="27"/>
  <c r="Q114" i="27"/>
  <c r="Q120" i="27"/>
  <c r="Q101" i="27"/>
  <c r="Y133" i="27"/>
  <c r="Y114" i="27"/>
  <c r="Y125" i="27"/>
  <c r="Y106" i="27"/>
  <c r="AF134" i="27"/>
  <c r="AF115" i="27"/>
  <c r="AF127" i="27"/>
  <c r="AF108" i="27"/>
  <c r="AF135" i="27"/>
  <c r="AF116" i="27"/>
  <c r="W103" i="27"/>
  <c r="W122" i="27"/>
  <c r="W132" i="27"/>
  <c r="W113" i="27"/>
  <c r="V130" i="27"/>
  <c r="V111" i="27"/>
  <c r="V120" i="27"/>
  <c r="V101" i="27"/>
  <c r="AD112" i="27"/>
  <c r="AD131" i="27"/>
  <c r="AD123" i="27"/>
  <c r="AD104" i="27"/>
  <c r="AC126" i="27"/>
  <c r="AC107" i="27"/>
  <c r="M127" i="27"/>
  <c r="M108" i="27"/>
  <c r="M120" i="27"/>
  <c r="M101" i="27"/>
  <c r="AG135" i="27"/>
  <c r="AG116" i="27"/>
  <c r="AG125" i="27"/>
  <c r="AG106" i="27"/>
  <c r="AG123" i="27"/>
  <c r="AG104" i="27"/>
  <c r="N122" i="27"/>
  <c r="N103" i="27"/>
  <c r="N121" i="27"/>
  <c r="N102" i="27"/>
  <c r="X130" i="27"/>
  <c r="X111" i="27"/>
  <c r="X122" i="27"/>
  <c r="X103" i="27"/>
  <c r="P103" i="27"/>
  <c r="P122" i="27"/>
  <c r="P132" i="27"/>
  <c r="P113" i="27"/>
  <c r="AB122" i="27"/>
  <c r="AB103" i="27"/>
  <c r="AB128" i="27"/>
  <c r="AB109" i="27"/>
  <c r="AE126" i="27"/>
  <c r="AE107" i="27"/>
  <c r="AE128" i="27"/>
  <c r="AE109" i="27"/>
  <c r="U109" i="27"/>
  <c r="U102" i="27"/>
  <c r="U121" i="27"/>
  <c r="U105" i="27"/>
  <c r="U124" i="27"/>
  <c r="O131" i="27"/>
  <c r="O112" i="27"/>
  <c r="O120" i="27"/>
  <c r="O101" i="27"/>
  <c r="T121" i="27"/>
  <c r="T102" i="27"/>
  <c r="T127" i="27"/>
  <c r="T108" i="27"/>
  <c r="L124" i="27"/>
  <c r="L105" i="27"/>
  <c r="L129" i="27"/>
  <c r="L110" i="27"/>
  <c r="L130" i="27"/>
  <c r="L111" i="27"/>
  <c r="Q124" i="27"/>
  <c r="Q105" i="27"/>
  <c r="Q100" i="27"/>
  <c r="Q119" i="27"/>
  <c r="Y121" i="27"/>
  <c r="Y102" i="27"/>
  <c r="Y124" i="27"/>
  <c r="Y105" i="27"/>
  <c r="AF133" i="27"/>
  <c r="AF114" i="27"/>
  <c r="AF126" i="27"/>
  <c r="AF107" i="27"/>
  <c r="W125" i="27"/>
  <c r="W106" i="27"/>
  <c r="W107" i="27"/>
  <c r="W126" i="27"/>
  <c r="W105" i="27"/>
  <c r="W124" i="27"/>
  <c r="V129" i="27"/>
  <c r="V110" i="27"/>
  <c r="V103" i="27"/>
  <c r="V122" i="27"/>
  <c r="AD111" i="27"/>
  <c r="AD130" i="27"/>
  <c r="AD122" i="27"/>
  <c r="AD103" i="27"/>
  <c r="AC131" i="27"/>
  <c r="AC112" i="27"/>
  <c r="AC124" i="27"/>
  <c r="AC105" i="27"/>
  <c r="M119" i="27"/>
  <c r="M100" i="27"/>
  <c r="M126" i="27"/>
  <c r="M107" i="27"/>
  <c r="AG121" i="27"/>
  <c r="AG102" i="27"/>
  <c r="AG122" i="27"/>
  <c r="AG103" i="27"/>
  <c r="N128" i="27"/>
  <c r="N109" i="27"/>
  <c r="N120" i="27"/>
  <c r="N101" i="27"/>
  <c r="X129" i="27"/>
  <c r="X110" i="27"/>
  <c r="X132" i="27"/>
  <c r="X113" i="27"/>
  <c r="P121" i="27"/>
  <c r="P102" i="27"/>
  <c r="AB121" i="27"/>
  <c r="AB102" i="27"/>
  <c r="AB123" i="27"/>
  <c r="AB104" i="27"/>
  <c r="AE125" i="27"/>
  <c r="AE106" i="27"/>
  <c r="AE119" i="27"/>
  <c r="AE100" i="27"/>
  <c r="U116" i="27"/>
  <c r="O135" i="27"/>
  <c r="O116" i="27"/>
  <c r="O127" i="27"/>
  <c r="O108" i="27"/>
  <c r="T120" i="27"/>
  <c r="T101" i="27"/>
  <c r="L123" i="27"/>
  <c r="L104" i="27"/>
  <c r="L125" i="27"/>
  <c r="L106" i="27"/>
  <c r="Q128" i="27"/>
  <c r="Q109" i="27"/>
  <c r="Q134" i="27"/>
  <c r="Q115" i="27"/>
  <c r="Y128" i="27"/>
  <c r="Y109" i="27"/>
  <c r="Y122" i="27"/>
  <c r="Y103" i="27"/>
  <c r="AF130" i="27"/>
  <c r="AF111" i="27"/>
  <c r="AF121" i="27"/>
  <c r="AF102" i="27"/>
  <c r="W120" i="27"/>
  <c r="W101" i="27"/>
  <c r="W133" i="27"/>
  <c r="W114" i="27"/>
  <c r="V114" i="27"/>
  <c r="V133" i="27"/>
  <c r="V128" i="27"/>
  <c r="V109" i="27"/>
  <c r="V121" i="27"/>
  <c r="V102" i="27"/>
  <c r="AD134" i="27"/>
  <c r="AD115" i="27"/>
  <c r="AD121" i="27"/>
  <c r="AD102" i="27"/>
  <c r="AC125" i="27"/>
  <c r="AC106" i="27"/>
  <c r="AC123" i="27"/>
  <c r="AC104" i="27"/>
  <c r="M115" i="27"/>
  <c r="M134" i="27"/>
  <c r="M132" i="27"/>
  <c r="M113" i="27"/>
  <c r="AG133" i="27"/>
  <c r="AG114" i="27"/>
  <c r="AG129" i="27"/>
  <c r="AG110" i="27"/>
  <c r="N130" i="27"/>
  <c r="N111" i="27"/>
  <c r="X121" i="27"/>
  <c r="X102" i="27"/>
  <c r="X125" i="27"/>
  <c r="X106" i="27"/>
  <c r="P130" i="27"/>
  <c r="P111" i="27"/>
  <c r="P128" i="27"/>
  <c r="P109" i="27"/>
  <c r="P120" i="27"/>
  <c r="P101" i="27"/>
  <c r="AB125" i="27"/>
  <c r="AB106" i="27"/>
  <c r="AB135" i="27"/>
  <c r="AB116" i="27"/>
  <c r="AE129" i="27"/>
  <c r="AE110" i="27"/>
  <c r="U120" i="27"/>
  <c r="U101" i="27"/>
  <c r="O128" i="27"/>
  <c r="O109" i="27"/>
  <c r="O122" i="27"/>
  <c r="O103" i="27"/>
  <c r="T126" i="27"/>
  <c r="T107" i="27"/>
  <c r="T123" i="27"/>
  <c r="T104" i="27"/>
  <c r="L103" i="27"/>
  <c r="L122" i="27"/>
  <c r="L133" i="27"/>
  <c r="L114" i="27"/>
  <c r="Q135" i="27"/>
  <c r="Q116" i="27"/>
  <c r="Q108" i="27"/>
  <c r="Q127" i="27"/>
  <c r="Q126" i="27"/>
  <c r="Q107" i="27"/>
  <c r="Y129" i="27"/>
  <c r="Y110" i="27"/>
  <c r="Y120" i="27"/>
  <c r="Y101" i="27"/>
  <c r="AF132" i="27"/>
  <c r="AF113" i="27"/>
  <c r="AF120" i="27"/>
  <c r="AF101" i="27"/>
  <c r="W119" i="27"/>
  <c r="W100" i="27"/>
  <c r="W129" i="27"/>
  <c r="W110" i="27"/>
  <c r="V113" i="27"/>
  <c r="V132" i="27"/>
  <c r="V106" i="27"/>
  <c r="V125" i="27"/>
  <c r="AD135" i="27"/>
  <c r="AD116" i="27"/>
  <c r="AD132" i="27"/>
  <c r="AD113" i="27"/>
  <c r="AC103" i="27"/>
  <c r="AC122" i="27"/>
  <c r="AC130" i="27"/>
  <c r="AC111" i="27"/>
  <c r="M133" i="27"/>
  <c r="M114" i="27"/>
  <c r="M131" i="27"/>
  <c r="M112" i="27"/>
  <c r="AG130" i="27"/>
  <c r="AG111" i="27"/>
  <c r="AG134" i="27"/>
  <c r="AG115" i="27"/>
  <c r="N133" i="27"/>
  <c r="N114" i="27"/>
  <c r="N129" i="27"/>
  <c r="N110" i="27"/>
  <c r="N134" i="27"/>
  <c r="N115" i="27"/>
  <c r="X135" i="27"/>
  <c r="X116" i="27"/>
  <c r="X119" i="27"/>
  <c r="X100" i="27"/>
  <c r="P119" i="27"/>
  <c r="P100" i="27"/>
  <c r="AB129" i="27"/>
  <c r="AB110" i="27"/>
  <c r="AB134" i="27"/>
  <c r="AB115" i="27"/>
  <c r="AE102" i="27"/>
  <c r="AE121" i="27"/>
  <c r="U119" i="27"/>
  <c r="U100" i="27"/>
  <c r="O125" i="27"/>
  <c r="O106" i="27"/>
  <c r="O121" i="27"/>
  <c r="O102" i="27"/>
  <c r="T128" i="27"/>
  <c r="T109" i="27"/>
  <c r="T119" i="27"/>
  <c r="T100" i="27"/>
  <c r="L121" i="27"/>
  <c r="L102" i="27"/>
  <c r="L128" i="27"/>
  <c r="L109" i="27"/>
  <c r="Q129" i="27"/>
  <c r="Q110" i="27"/>
  <c r="Q131" i="27"/>
  <c r="Q112" i="27"/>
  <c r="Y127" i="27"/>
  <c r="Y108" i="27"/>
  <c r="Y123" i="27"/>
  <c r="Y104" i="27"/>
  <c r="AF129" i="27"/>
  <c r="AF110" i="27"/>
  <c r="AF123" i="27"/>
  <c r="AF104" i="27"/>
  <c r="W112" i="27"/>
  <c r="W131" i="27"/>
  <c r="W123" i="27"/>
  <c r="W104" i="27"/>
  <c r="V108" i="27"/>
  <c r="V127" i="27"/>
  <c r="V105" i="27"/>
  <c r="V124" i="27"/>
  <c r="AD120" i="27"/>
  <c r="AD101" i="27"/>
  <c r="AD126" i="27"/>
  <c r="AD107" i="27"/>
  <c r="AD124" i="27"/>
  <c r="AD105" i="27"/>
  <c r="AC129" i="27"/>
  <c r="AC110" i="27"/>
  <c r="M121" i="27"/>
  <c r="M102" i="27"/>
  <c r="M135" i="27"/>
  <c r="M116" i="27"/>
  <c r="AG127" i="27"/>
  <c r="AG108" i="27"/>
  <c r="AG126" i="27"/>
  <c r="AG107" i="27"/>
  <c r="N132" i="27"/>
  <c r="N113" i="27"/>
  <c r="N124" i="27"/>
  <c r="N105" i="27"/>
  <c r="X133" i="27"/>
  <c r="X114" i="27"/>
  <c r="X101" i="27"/>
  <c r="X120" i="27"/>
  <c r="P125" i="27"/>
  <c r="P106" i="27"/>
  <c r="P126" i="27"/>
  <c r="P107" i="27"/>
  <c r="AB126" i="27"/>
  <c r="AB107" i="27"/>
  <c r="AB114" i="27"/>
  <c r="AB133" i="27"/>
  <c r="U111" i="27"/>
  <c r="O111" i="27"/>
  <c r="O130" i="27"/>
  <c r="O132" i="27"/>
  <c r="O113" i="27"/>
  <c r="T122" i="27"/>
  <c r="T103" i="27"/>
  <c r="L132" i="27"/>
  <c r="L113" i="27"/>
  <c r="L131" i="27"/>
  <c r="L112" i="27"/>
  <c r="Q121" i="27"/>
  <c r="Q102" i="27"/>
  <c r="Q125" i="27"/>
  <c r="Q106" i="27"/>
  <c r="Y130" i="27"/>
  <c r="Y111" i="27"/>
  <c r="Y131" i="27"/>
  <c r="Y112" i="27"/>
  <c r="Y135" i="27"/>
  <c r="Y116" i="27"/>
  <c r="AF128" i="27"/>
  <c r="AF109" i="27"/>
  <c r="AF124" i="27"/>
  <c r="AF105" i="27"/>
  <c r="W111" i="27"/>
  <c r="W130" i="27"/>
  <c r="W128" i="27"/>
  <c r="W109" i="27"/>
  <c r="V119" i="27"/>
  <c r="V100" i="27"/>
  <c r="V126" i="27"/>
  <c r="V107" i="27"/>
  <c r="AD133" i="27"/>
  <c r="AD114" i="27"/>
  <c r="AD125" i="27"/>
  <c r="AD106" i="27"/>
  <c r="AC82" i="27"/>
  <c r="AC120" i="27"/>
  <c r="AC101" i="27"/>
  <c r="AC121" i="27"/>
  <c r="AC102" i="27"/>
  <c r="M124" i="27"/>
  <c r="M105" i="27"/>
  <c r="M122" i="27"/>
  <c r="M103" i="27"/>
  <c r="M129" i="27"/>
  <c r="M110" i="27"/>
  <c r="AG128" i="27"/>
  <c r="AG109" i="27"/>
  <c r="AG101" i="27"/>
  <c r="AG120" i="27"/>
  <c r="N127" i="27"/>
  <c r="N108" i="27"/>
  <c r="N123" i="27"/>
  <c r="N104" i="27"/>
  <c r="X109" i="27"/>
  <c r="X128" i="27"/>
  <c r="X134" i="27"/>
  <c r="X115" i="27"/>
  <c r="P124" i="27"/>
  <c r="P105" i="27"/>
  <c r="P129" i="27"/>
  <c r="P110" i="27"/>
  <c r="AB119" i="27"/>
  <c r="AB81" i="27"/>
  <c r="AB100" i="27"/>
  <c r="AB127" i="27"/>
  <c r="AB108" i="27"/>
  <c r="AB130" i="27"/>
  <c r="AB111" i="27"/>
  <c r="AE104" i="27"/>
  <c r="AE123" i="27"/>
  <c r="AE120" i="27"/>
  <c r="AE101" i="27"/>
  <c r="L159" i="39"/>
  <c r="AE56" i="27"/>
  <c r="AE112" i="27"/>
  <c r="AC58" i="27"/>
  <c r="AC114" i="27"/>
  <c r="T57" i="27"/>
  <c r="T113" i="27"/>
  <c r="P59" i="27"/>
  <c r="P115" i="27"/>
  <c r="H180" i="41"/>
  <c r="L179" i="41"/>
  <c r="H201" i="39"/>
  <c r="L200" i="39"/>
  <c r="L159" i="41"/>
  <c r="H160" i="41"/>
  <c r="L160" i="39"/>
  <c r="H161" i="39"/>
  <c r="H143" i="39"/>
  <c r="L142" i="39"/>
  <c r="F111" i="25"/>
  <c r="F112" i="25" s="1"/>
  <c r="F113" i="25" s="1"/>
  <c r="F114" i="25" s="1"/>
  <c r="F115" i="25" s="1"/>
  <c r="F116" i="25" s="1"/>
  <c r="F117" i="25" s="1"/>
  <c r="X82" i="47"/>
  <c r="X120" i="47"/>
  <c r="X7" i="47" s="1"/>
  <c r="Y120" i="47"/>
  <c r="Y7" i="47" s="1"/>
  <c r="O139" i="47"/>
  <c r="O158" i="47" s="1"/>
  <c r="P25" i="47"/>
  <c r="P44" i="47" s="1"/>
  <c r="P82" i="47"/>
  <c r="R138" i="47"/>
  <c r="R157" i="47" s="1"/>
  <c r="Z138" i="47"/>
  <c r="Z157" i="47" s="1"/>
  <c r="AC138" i="47"/>
  <c r="AC157" i="47" s="1"/>
  <c r="Y25" i="47"/>
  <c r="Y44" i="47" s="1"/>
  <c r="I195" i="47"/>
  <c r="I138" i="47"/>
  <c r="I157" i="47" s="1"/>
  <c r="G7" i="47"/>
  <c r="G139" i="47"/>
  <c r="G158" i="47" s="1"/>
  <c r="H138" i="47"/>
  <c r="H157" i="47" s="1"/>
  <c r="Q195" i="47"/>
  <c r="Q138" i="47"/>
  <c r="Q157" i="47" s="1"/>
  <c r="AB6" i="47"/>
  <c r="AB138" i="47"/>
  <c r="AB157" i="47" s="1"/>
  <c r="S138" i="47"/>
  <c r="S157" i="47" s="1"/>
  <c r="K195" i="47"/>
  <c r="K138" i="47"/>
  <c r="K157" i="47" s="1"/>
  <c r="AB195" i="47"/>
  <c r="T138" i="47"/>
  <c r="T157" i="47" s="1"/>
  <c r="AA138" i="47"/>
  <c r="AA157" i="47" s="1"/>
  <c r="J195" i="47"/>
  <c r="J138" i="47"/>
  <c r="J157" i="47" s="1"/>
  <c r="AH26" i="47"/>
  <c r="AH140" i="47" s="1"/>
  <c r="O44" i="47"/>
  <c r="AH44" i="47"/>
  <c r="AH158" i="47" s="1"/>
  <c r="AI26" i="47"/>
  <c r="AI140" i="47" s="1"/>
  <c r="AL82" i="47"/>
  <c r="AL101" i="47" s="1"/>
  <c r="AL25" i="47"/>
  <c r="AL44" i="47" s="1"/>
  <c r="AI44" i="47"/>
  <c r="AI158" i="47" s="1"/>
  <c r="Q311" i="47"/>
  <c r="R215" i="47"/>
  <c r="Q217" i="47"/>
  <c r="Q218" i="47" s="1"/>
  <c r="Q235" i="47"/>
  <c r="Q273" i="47"/>
  <c r="H309" i="47"/>
  <c r="L309" i="47" s="1"/>
  <c r="H271" i="47"/>
  <c r="Q254" i="47"/>
  <c r="Q331" i="47"/>
  <c r="Q350" i="47"/>
  <c r="T271" i="47"/>
  <c r="U271" i="47" s="1"/>
  <c r="T309" i="47"/>
  <c r="U309" i="47" s="1"/>
  <c r="T233" i="47"/>
  <c r="U233" i="47" s="1"/>
  <c r="Q292" i="47"/>
  <c r="H352" i="47"/>
  <c r="J271" i="47"/>
  <c r="J272" i="47" s="1"/>
  <c r="J273" i="47" s="1"/>
  <c r="J274" i="47" s="1"/>
  <c r="J275" i="47" s="1"/>
  <c r="J276" i="47" s="1"/>
  <c r="J277" i="47" s="1"/>
  <c r="J278" i="47" s="1"/>
  <c r="J279" i="47" s="1"/>
  <c r="J280" i="47" s="1"/>
  <c r="J281" i="47" s="1"/>
  <c r="J282" i="47" s="1"/>
  <c r="J283" i="47" s="1"/>
  <c r="J284" i="47" s="1"/>
  <c r="J285" i="47" s="1"/>
  <c r="J286" i="47" s="1"/>
  <c r="J287" i="47" s="1"/>
  <c r="J288" i="47" s="1"/>
  <c r="J233" i="47"/>
  <c r="J234" i="47" s="1"/>
  <c r="J235" i="47" s="1"/>
  <c r="J236" i="47" s="1"/>
  <c r="J237" i="47" s="1"/>
  <c r="J238" i="47" s="1"/>
  <c r="J239" i="47" s="1"/>
  <c r="J240" i="47" s="1"/>
  <c r="J241" i="47" s="1"/>
  <c r="J242" i="47" s="1"/>
  <c r="J243" i="47" s="1"/>
  <c r="J244" i="47" s="1"/>
  <c r="J245" i="47" s="1"/>
  <c r="J246" i="47" s="1"/>
  <c r="J247" i="47" s="1"/>
  <c r="J248" i="47" s="1"/>
  <c r="J249" i="47" s="1"/>
  <c r="J250" i="47" s="1"/>
  <c r="K271" i="47"/>
  <c r="K272" i="47" s="1"/>
  <c r="K273" i="47" s="1"/>
  <c r="K274" i="47" s="1"/>
  <c r="K275" i="47" s="1"/>
  <c r="K276" i="47" s="1"/>
  <c r="K277" i="47" s="1"/>
  <c r="K278" i="47" s="1"/>
  <c r="K279" i="47" s="1"/>
  <c r="K280" i="47" s="1"/>
  <c r="K281" i="47" s="1"/>
  <c r="K282" i="47" s="1"/>
  <c r="K283" i="47" s="1"/>
  <c r="K284" i="47" s="1"/>
  <c r="K285" i="47" s="1"/>
  <c r="K286" i="47" s="1"/>
  <c r="K287" i="47" s="1"/>
  <c r="K288" i="47" s="1"/>
  <c r="K233" i="47"/>
  <c r="K234" i="47" s="1"/>
  <c r="K235" i="47" s="1"/>
  <c r="K236" i="47" s="1"/>
  <c r="K237" i="47" s="1"/>
  <c r="K238" i="47" s="1"/>
  <c r="K239" i="47" s="1"/>
  <c r="K240" i="47" s="1"/>
  <c r="K241" i="47" s="1"/>
  <c r="K242" i="47" s="1"/>
  <c r="K243" i="47" s="1"/>
  <c r="K244" i="47" s="1"/>
  <c r="K245" i="47" s="1"/>
  <c r="K246" i="47" s="1"/>
  <c r="K247" i="47" s="1"/>
  <c r="K248" i="47" s="1"/>
  <c r="K249" i="47" s="1"/>
  <c r="K250" i="47" s="1"/>
  <c r="H234" i="47"/>
  <c r="Q6" i="47"/>
  <c r="G44" i="47"/>
  <c r="AJ6" i="47"/>
  <c r="F25" i="47"/>
  <c r="I6" i="47"/>
  <c r="AM6" i="47"/>
  <c r="AG81" i="27" s="1"/>
  <c r="AL195" i="47"/>
  <c r="AH83" i="47"/>
  <c r="AH121" i="47"/>
  <c r="AI121" i="47"/>
  <c r="AI8" i="47" s="1"/>
  <c r="AI83" i="47"/>
  <c r="R65" i="47"/>
  <c r="T65" i="47"/>
  <c r="AJ66" i="47"/>
  <c r="AC195" i="47"/>
  <c r="AC6" i="47"/>
  <c r="Y81" i="27" s="1"/>
  <c r="S65" i="47"/>
  <c r="AK65" i="47"/>
  <c r="AK195" i="47"/>
  <c r="AK6" i="47"/>
  <c r="AE81" i="27" s="1"/>
  <c r="J6" i="47"/>
  <c r="AA66" i="47"/>
  <c r="H331" i="47"/>
  <c r="H66" i="47"/>
  <c r="Q73" i="47"/>
  <c r="R195" i="47"/>
  <c r="R6" i="47"/>
  <c r="AC65" i="47"/>
  <c r="J66" i="47"/>
  <c r="Z65" i="47"/>
  <c r="H254" i="47"/>
  <c r="I66" i="47"/>
  <c r="AB66" i="47"/>
  <c r="AA195" i="47"/>
  <c r="AA6" i="47"/>
  <c r="K65" i="47"/>
  <c r="Z195" i="47"/>
  <c r="Z6" i="47"/>
  <c r="V81" i="27" s="1"/>
  <c r="H292" i="47"/>
  <c r="AM72" i="47"/>
  <c r="K6" i="47"/>
  <c r="T195" i="47"/>
  <c r="T6" i="47"/>
  <c r="H216" i="47"/>
  <c r="S195" i="47"/>
  <c r="S6" i="47"/>
  <c r="F82" i="47"/>
  <c r="AL65" i="47"/>
  <c r="H6" i="47"/>
  <c r="O7" i="47"/>
  <c r="L82" i="27" s="1"/>
  <c r="AC6" i="25"/>
  <c r="AC44" i="25" s="1"/>
  <c r="AC63" i="25" s="1"/>
  <c r="AH45" i="25"/>
  <c r="AH83" i="25"/>
  <c r="AH8" i="25" s="1"/>
  <c r="AH46" i="25" s="1"/>
  <c r="R6" i="45"/>
  <c r="AC214" i="25"/>
  <c r="AC233" i="25" s="1"/>
  <c r="AK214" i="25"/>
  <c r="AK233" i="25" s="1"/>
  <c r="AL214" i="25"/>
  <c r="AL233" i="25" s="1"/>
  <c r="H6" i="25"/>
  <c r="Q119" i="25"/>
  <c r="U119" i="25" s="1"/>
  <c r="Q214" i="25"/>
  <c r="AM233" i="25"/>
  <c r="AI83" i="25"/>
  <c r="AI8" i="25" s="1"/>
  <c r="AI46" i="25" s="1"/>
  <c r="AJ233" i="25"/>
  <c r="AL63" i="25"/>
  <c r="AM63" i="25"/>
  <c r="AJ63" i="25"/>
  <c r="AD119" i="25"/>
  <c r="AA6" i="25"/>
  <c r="AA44" i="25" s="1"/>
  <c r="AA63" i="25" s="1"/>
  <c r="AA214" i="25"/>
  <c r="AA233" i="25" s="1"/>
  <c r="Z6" i="25"/>
  <c r="Z44" i="25" s="1"/>
  <c r="Z63" i="25" s="1"/>
  <c r="Z214" i="25"/>
  <c r="Z233" i="25" s="1"/>
  <c r="Y45" i="25"/>
  <c r="X7" i="25"/>
  <c r="X45" i="25" s="1"/>
  <c r="Y46" i="25"/>
  <c r="Y84" i="25"/>
  <c r="AB63" i="25"/>
  <c r="T6" i="25"/>
  <c r="T44" i="25" s="1"/>
  <c r="T63" i="25" s="1"/>
  <c r="T214" i="25"/>
  <c r="T233" i="25" s="1"/>
  <c r="R6" i="25"/>
  <c r="R44" i="25" s="1"/>
  <c r="R63" i="25" s="1"/>
  <c r="H171" i="25"/>
  <c r="L170" i="25"/>
  <c r="Q6" i="25"/>
  <c r="R214" i="25"/>
  <c r="R233" i="25" s="1"/>
  <c r="L169" i="25"/>
  <c r="O82" i="25"/>
  <c r="O7" i="25" s="1"/>
  <c r="O45" i="25" s="1"/>
  <c r="I199" i="25"/>
  <c r="L198" i="25"/>
  <c r="H214" i="29"/>
  <c r="H233" i="29" s="1"/>
  <c r="I214" i="29"/>
  <c r="J214" i="29"/>
  <c r="K214" i="29"/>
  <c r="E157" i="27"/>
  <c r="G44" i="25"/>
  <c r="G82" i="25"/>
  <c r="S6" i="25"/>
  <c r="S214" i="25"/>
  <c r="S233" i="25" s="1"/>
  <c r="P83" i="25"/>
  <c r="P8" i="25" s="1"/>
  <c r="P46" i="25" s="1"/>
  <c r="J44" i="25"/>
  <c r="J63" i="25" s="1"/>
  <c r="I44" i="25"/>
  <c r="I63" i="25" s="1"/>
  <c r="K44" i="25"/>
  <c r="K63" i="25" s="1"/>
  <c r="I214" i="25"/>
  <c r="J214" i="25"/>
  <c r="K214" i="25"/>
  <c r="K45" i="29"/>
  <c r="K64" i="29" s="1"/>
  <c r="J82" i="29"/>
  <c r="J7" i="29" s="1"/>
  <c r="I82" i="29"/>
  <c r="I7" i="29" s="1"/>
  <c r="H82" i="29"/>
  <c r="H7" i="29" s="1"/>
  <c r="F83" i="29"/>
  <c r="F45" i="29"/>
  <c r="G9" i="29"/>
  <c r="G85" i="29"/>
  <c r="G47" i="29"/>
  <c r="K120" i="29"/>
  <c r="I214" i="37"/>
  <c r="I233" i="37" s="1"/>
  <c r="J214" i="37"/>
  <c r="J233" i="37" s="1"/>
  <c r="K214" i="37"/>
  <c r="K233" i="37" s="1"/>
  <c r="H214" i="37"/>
  <c r="H233" i="37" s="1"/>
  <c r="L177" i="29"/>
  <c r="H178" i="29"/>
  <c r="H159" i="29"/>
  <c r="L158" i="29"/>
  <c r="L177" i="37"/>
  <c r="H178" i="37"/>
  <c r="J83" i="41"/>
  <c r="I83" i="41"/>
  <c r="H83" i="41"/>
  <c r="K179" i="25"/>
  <c r="L178" i="25"/>
  <c r="L139" i="41"/>
  <c r="H140" i="41"/>
  <c r="H195" i="41"/>
  <c r="I195" i="41"/>
  <c r="I214" i="41" s="1"/>
  <c r="J195" i="41"/>
  <c r="J214" i="41" s="1"/>
  <c r="K195" i="41"/>
  <c r="K214" i="41" s="1"/>
  <c r="H140" i="29"/>
  <c r="L139" i="29"/>
  <c r="H8" i="41"/>
  <c r="I8" i="41"/>
  <c r="J8" i="41"/>
  <c r="K8" i="41"/>
  <c r="G46" i="41"/>
  <c r="G84" i="41"/>
  <c r="G9" i="41" s="1"/>
  <c r="G45" i="39"/>
  <c r="G83" i="39"/>
  <c r="G8" i="39" s="1"/>
  <c r="H82" i="39"/>
  <c r="I82" i="39"/>
  <c r="J82" i="39"/>
  <c r="K82" i="39"/>
  <c r="J44" i="37"/>
  <c r="J63" i="37" s="1"/>
  <c r="K44" i="37"/>
  <c r="K63" i="37" s="1"/>
  <c r="H44" i="37"/>
  <c r="H63" i="37" s="1"/>
  <c r="H200" i="29"/>
  <c r="L199" i="29"/>
  <c r="H28" i="29"/>
  <c r="H29" i="37"/>
  <c r="H199" i="37"/>
  <c r="L198" i="37"/>
  <c r="L160" i="37"/>
  <c r="L141" i="37"/>
  <c r="K104" i="37"/>
  <c r="H103" i="37"/>
  <c r="J103" i="37"/>
  <c r="I103" i="37"/>
  <c r="K119" i="25"/>
  <c r="J119" i="25"/>
  <c r="I119" i="25"/>
  <c r="H207" i="25"/>
  <c r="L143" i="25"/>
  <c r="I28" i="25"/>
  <c r="H27" i="25"/>
  <c r="C2" i="13"/>
  <c r="H41" i="13"/>
  <c r="C52" i="18"/>
  <c r="D56" i="14"/>
  <c r="D41" i="13" s="1"/>
  <c r="E56" i="14"/>
  <c r="E41" i="13" s="1"/>
  <c r="F56" i="14"/>
  <c r="F41" i="13" s="1"/>
  <c r="G56" i="14"/>
  <c r="G41" i="13" s="1"/>
  <c r="H56" i="14"/>
  <c r="C41" i="13"/>
  <c r="D13" i="13"/>
  <c r="E13" i="13"/>
  <c r="F13" i="13"/>
  <c r="G13" i="13"/>
  <c r="H13" i="13"/>
  <c r="C13" i="13"/>
  <c r="E8" i="13"/>
  <c r="D8" i="13"/>
  <c r="C8" i="13"/>
  <c r="S33" i="18"/>
  <c r="C24" i="18"/>
  <c r="C23" i="18"/>
  <c r="C22" i="18"/>
  <c r="D41" i="14"/>
  <c r="E41" i="14"/>
  <c r="F41" i="14"/>
  <c r="G41" i="14"/>
  <c r="H41" i="14"/>
  <c r="C41" i="14"/>
  <c r="D39" i="14"/>
  <c r="D70" i="13" s="1"/>
  <c r="E39" i="14"/>
  <c r="E70" i="13" s="1"/>
  <c r="F39" i="14"/>
  <c r="F70" i="13" s="1"/>
  <c r="G39" i="14"/>
  <c r="H39" i="14"/>
  <c r="C39" i="14"/>
  <c r="D68" i="13"/>
  <c r="E68" i="13"/>
  <c r="F68" i="13"/>
  <c r="G68" i="13"/>
  <c r="H68" i="13"/>
  <c r="C68" i="13"/>
  <c r="K15" i="13"/>
  <c r="K14" i="13"/>
  <c r="B322" i="20"/>
  <c r="B323" i="20"/>
  <c r="B324" i="20"/>
  <c r="B325" i="20"/>
  <c r="B326" i="20"/>
  <c r="B327" i="20"/>
  <c r="B328" i="20"/>
  <c r="B329" i="20"/>
  <c r="B330" i="20"/>
  <c r="B331" i="20"/>
  <c r="B332" i="20"/>
  <c r="B333" i="20"/>
  <c r="B334" i="20"/>
  <c r="B335" i="20"/>
  <c r="B336" i="20"/>
  <c r="B337" i="20"/>
  <c r="B338" i="20"/>
  <c r="B339" i="20"/>
  <c r="B340" i="20"/>
  <c r="B341" i="20"/>
  <c r="B342" i="20"/>
  <c r="B343" i="20"/>
  <c r="B344" i="20"/>
  <c r="B345" i="20"/>
  <c r="B346" i="20"/>
  <c r="B347" i="20"/>
  <c r="B348" i="20"/>
  <c r="B349" i="20"/>
  <c r="B350" i="20"/>
  <c r="B351" i="20"/>
  <c r="B352" i="20"/>
  <c r="B353" i="20"/>
  <c r="B354" i="20"/>
  <c r="B355" i="20"/>
  <c r="B356" i="20"/>
  <c r="B357" i="20"/>
  <c r="B358" i="20"/>
  <c r="B359" i="20"/>
  <c r="B360" i="20"/>
  <c r="B361" i="20"/>
  <c r="B362" i="20"/>
  <c r="B363" i="20"/>
  <c r="B364" i="20"/>
  <c r="B365" i="20"/>
  <c r="B366" i="20"/>
  <c r="B367" i="20"/>
  <c r="B368" i="20"/>
  <c r="B369" i="20"/>
  <c r="B370" i="20"/>
  <c r="B371" i="20"/>
  <c r="B372" i="20"/>
  <c r="B373" i="20"/>
  <c r="B374" i="20"/>
  <c r="B375" i="20"/>
  <c r="B376" i="20"/>
  <c r="B377" i="20"/>
  <c r="B378" i="20"/>
  <c r="B379" i="20"/>
  <c r="B380" i="20"/>
  <c r="B381" i="20"/>
  <c r="B382" i="20"/>
  <c r="B383" i="20"/>
  <c r="B384" i="20"/>
  <c r="B385" i="20"/>
  <c r="B386" i="20"/>
  <c r="B387" i="20"/>
  <c r="B388" i="20"/>
  <c r="B389" i="20"/>
  <c r="B390" i="20"/>
  <c r="B391" i="20"/>
  <c r="B392" i="20"/>
  <c r="B393" i="20"/>
  <c r="B394" i="20"/>
  <c r="B395" i="20"/>
  <c r="B396" i="20"/>
  <c r="B397" i="20"/>
  <c r="B398" i="20"/>
  <c r="B399" i="20"/>
  <c r="B400" i="20"/>
  <c r="B401" i="20"/>
  <c r="B402" i="20"/>
  <c r="B403" i="20"/>
  <c r="B404" i="20"/>
  <c r="B405" i="20"/>
  <c r="B406" i="20"/>
  <c r="B407" i="20"/>
  <c r="B408" i="20"/>
  <c r="B409" i="20"/>
  <c r="B410" i="20"/>
  <c r="B411" i="20"/>
  <c r="B412" i="20"/>
  <c r="B413" i="20"/>
  <c r="B414" i="20"/>
  <c r="B415" i="20"/>
  <c r="B416" i="20"/>
  <c r="B417" i="20"/>
  <c r="B418" i="20"/>
  <c r="B419" i="20"/>
  <c r="B420" i="20"/>
  <c r="B321" i="20"/>
  <c r="B222" i="20"/>
  <c r="B223" i="20"/>
  <c r="B224" i="20"/>
  <c r="B225" i="20"/>
  <c r="B226" i="20"/>
  <c r="B227" i="20"/>
  <c r="B228" i="20"/>
  <c r="B229" i="20"/>
  <c r="B230" i="20"/>
  <c r="B231" i="20"/>
  <c r="B232" i="20"/>
  <c r="B233" i="20"/>
  <c r="B234" i="20"/>
  <c r="B235" i="20"/>
  <c r="B236" i="20"/>
  <c r="B237" i="20"/>
  <c r="B238" i="20"/>
  <c r="B239" i="20"/>
  <c r="B240" i="20"/>
  <c r="B241" i="20"/>
  <c r="B242" i="20"/>
  <c r="B243" i="20"/>
  <c r="B244" i="20"/>
  <c r="B245" i="20"/>
  <c r="B246" i="20"/>
  <c r="B247" i="20"/>
  <c r="B248" i="20"/>
  <c r="B249" i="20"/>
  <c r="B250" i="20"/>
  <c r="B251" i="20"/>
  <c r="B252" i="20"/>
  <c r="B253" i="20"/>
  <c r="B254" i="20"/>
  <c r="B255" i="20"/>
  <c r="B256" i="20"/>
  <c r="B257" i="20"/>
  <c r="B258" i="20"/>
  <c r="B259" i="20"/>
  <c r="B260" i="20"/>
  <c r="B261" i="20"/>
  <c r="B262" i="20"/>
  <c r="B263" i="20"/>
  <c r="B264" i="20"/>
  <c r="B265" i="20"/>
  <c r="B266" i="20"/>
  <c r="B267" i="20"/>
  <c r="B268" i="20"/>
  <c r="B269" i="20"/>
  <c r="B270" i="20"/>
  <c r="B271" i="20"/>
  <c r="B272" i="20"/>
  <c r="B273" i="20"/>
  <c r="B274" i="20"/>
  <c r="B275" i="20"/>
  <c r="B276" i="20"/>
  <c r="B277" i="20"/>
  <c r="B278" i="20"/>
  <c r="B279" i="20"/>
  <c r="B280" i="20"/>
  <c r="B281" i="20"/>
  <c r="B282" i="20"/>
  <c r="B283" i="20"/>
  <c r="B284" i="20"/>
  <c r="B285" i="20"/>
  <c r="B286" i="20"/>
  <c r="B287" i="20"/>
  <c r="B288" i="20"/>
  <c r="B289" i="20"/>
  <c r="B290" i="20"/>
  <c r="B291" i="20"/>
  <c r="B292" i="20"/>
  <c r="B293" i="20"/>
  <c r="B294" i="20"/>
  <c r="B295" i="20"/>
  <c r="B296" i="20"/>
  <c r="B297" i="20"/>
  <c r="B298" i="20"/>
  <c r="B299" i="20"/>
  <c r="B300" i="20"/>
  <c r="B301" i="20"/>
  <c r="B302" i="20"/>
  <c r="B303" i="20"/>
  <c r="B304" i="20"/>
  <c r="B305" i="20"/>
  <c r="B306" i="20"/>
  <c r="B307" i="20"/>
  <c r="B308" i="20"/>
  <c r="B309" i="20"/>
  <c r="B310" i="20"/>
  <c r="B311" i="20"/>
  <c r="B312" i="20"/>
  <c r="B313" i="20"/>
  <c r="B314" i="20"/>
  <c r="B315" i="20"/>
  <c r="B316" i="20"/>
  <c r="B317" i="20"/>
  <c r="B318" i="20"/>
  <c r="B319" i="20"/>
  <c r="B320" i="20"/>
  <c r="B221" i="20"/>
  <c r="B122" i="20"/>
  <c r="B123" i="20"/>
  <c r="B124" i="20"/>
  <c r="B125" i="20"/>
  <c r="B126" i="20"/>
  <c r="B127" i="20"/>
  <c r="B128" i="20"/>
  <c r="B129" i="20"/>
  <c r="B130" i="20"/>
  <c r="B131" i="20"/>
  <c r="B132" i="20"/>
  <c r="B133" i="20"/>
  <c r="B134" i="20"/>
  <c r="B135" i="20"/>
  <c r="B136" i="20"/>
  <c r="B137" i="20"/>
  <c r="B138" i="20"/>
  <c r="B139" i="20"/>
  <c r="B140" i="20"/>
  <c r="B141" i="20"/>
  <c r="B142" i="20"/>
  <c r="B143" i="20"/>
  <c r="B144" i="20"/>
  <c r="B145" i="20"/>
  <c r="B146" i="20"/>
  <c r="B147" i="20"/>
  <c r="B148" i="20"/>
  <c r="B149" i="20"/>
  <c r="B150" i="20"/>
  <c r="B151" i="20"/>
  <c r="B152" i="20"/>
  <c r="B153" i="20"/>
  <c r="B154" i="20"/>
  <c r="B155" i="20"/>
  <c r="B156" i="20"/>
  <c r="B157" i="20"/>
  <c r="B158" i="20"/>
  <c r="B159" i="20"/>
  <c r="B160" i="20"/>
  <c r="B161" i="20"/>
  <c r="B162" i="20"/>
  <c r="B163" i="20"/>
  <c r="B164" i="20"/>
  <c r="B165" i="20"/>
  <c r="B166" i="20"/>
  <c r="B167" i="20"/>
  <c r="B168" i="20"/>
  <c r="B169" i="20"/>
  <c r="B170" i="20"/>
  <c r="B171" i="20"/>
  <c r="B172" i="20"/>
  <c r="B173" i="20"/>
  <c r="B174" i="20"/>
  <c r="B175" i="20"/>
  <c r="B176" i="20"/>
  <c r="B177" i="20"/>
  <c r="B178" i="20"/>
  <c r="B179" i="20"/>
  <c r="B180" i="20"/>
  <c r="B181" i="20"/>
  <c r="B182" i="20"/>
  <c r="B183" i="20"/>
  <c r="B184" i="20"/>
  <c r="B185" i="20"/>
  <c r="B186" i="20"/>
  <c r="B187" i="20"/>
  <c r="B188" i="20"/>
  <c r="B189" i="20"/>
  <c r="B190" i="20"/>
  <c r="B191" i="20"/>
  <c r="B192" i="20"/>
  <c r="B193" i="20"/>
  <c r="B194" i="20"/>
  <c r="B195" i="20"/>
  <c r="B196" i="20"/>
  <c r="B197" i="20"/>
  <c r="B198" i="20"/>
  <c r="B199" i="20"/>
  <c r="B200" i="20"/>
  <c r="B201" i="20"/>
  <c r="B202" i="20"/>
  <c r="B203" i="20"/>
  <c r="B204" i="20"/>
  <c r="B205" i="20"/>
  <c r="B206" i="20"/>
  <c r="B207" i="20"/>
  <c r="B208" i="20"/>
  <c r="B209" i="20"/>
  <c r="B210" i="20"/>
  <c r="B211" i="20"/>
  <c r="B212" i="20"/>
  <c r="B213" i="20"/>
  <c r="B214" i="20"/>
  <c r="B215" i="20"/>
  <c r="B216" i="20"/>
  <c r="B217" i="20"/>
  <c r="B218" i="20"/>
  <c r="B219" i="20"/>
  <c r="B220" i="20"/>
  <c r="B121" i="20"/>
  <c r="B17" i="20"/>
  <c r="B18" i="20"/>
  <c r="B19" i="20"/>
  <c r="B20" i="20"/>
  <c r="B21" i="20"/>
  <c r="B22" i="20"/>
  <c r="B23" i="20"/>
  <c r="B24" i="20"/>
  <c r="B25" i="20"/>
  <c r="B26" i="20"/>
  <c r="B27" i="20"/>
  <c r="B28" i="20"/>
  <c r="B29" i="20"/>
  <c r="B30" i="20"/>
  <c r="B31" i="20"/>
  <c r="B32" i="20"/>
  <c r="B33" i="20"/>
  <c r="B34" i="20"/>
  <c r="B35" i="20"/>
  <c r="B36" i="20"/>
  <c r="B37" i="20"/>
  <c r="B38" i="20"/>
  <c r="B39" i="20"/>
  <c r="B40" i="20"/>
  <c r="B41" i="20"/>
  <c r="B42" i="20"/>
  <c r="B43" i="20"/>
  <c r="B44" i="20"/>
  <c r="B45" i="20"/>
  <c r="B46" i="20"/>
  <c r="B47" i="20"/>
  <c r="B48" i="20"/>
  <c r="B49" i="20"/>
  <c r="B50" i="20"/>
  <c r="B51" i="20"/>
  <c r="B52" i="20"/>
  <c r="B53" i="20"/>
  <c r="B54" i="20"/>
  <c r="B55" i="20"/>
  <c r="B56" i="20"/>
  <c r="B57" i="20"/>
  <c r="B58" i="20"/>
  <c r="B59" i="20"/>
  <c r="B60" i="20"/>
  <c r="B61" i="20"/>
  <c r="B62" i="20"/>
  <c r="B63" i="20"/>
  <c r="B64" i="20"/>
  <c r="B65" i="20"/>
  <c r="B66" i="20"/>
  <c r="B67" i="20"/>
  <c r="B68" i="20"/>
  <c r="B69" i="20"/>
  <c r="B70" i="20"/>
  <c r="B71" i="20"/>
  <c r="B72" i="20"/>
  <c r="B73" i="20"/>
  <c r="B74" i="20"/>
  <c r="B75" i="20"/>
  <c r="B76" i="20"/>
  <c r="B77" i="20"/>
  <c r="B78" i="20"/>
  <c r="B79" i="20"/>
  <c r="B80" i="20"/>
  <c r="B81" i="20"/>
  <c r="B82" i="20"/>
  <c r="B83" i="20"/>
  <c r="B84" i="20"/>
  <c r="B85" i="20"/>
  <c r="B86" i="20"/>
  <c r="B87" i="20"/>
  <c r="B88" i="20"/>
  <c r="B89" i="20"/>
  <c r="B90" i="20"/>
  <c r="B91" i="20"/>
  <c r="B92" i="20"/>
  <c r="B93" i="20"/>
  <c r="B94" i="20"/>
  <c r="B95" i="20"/>
  <c r="B96" i="20"/>
  <c r="B97" i="20"/>
  <c r="B98" i="20"/>
  <c r="B99" i="20"/>
  <c r="B100" i="20"/>
  <c r="B101" i="20"/>
  <c r="B102" i="20"/>
  <c r="B103" i="20"/>
  <c r="B104" i="20"/>
  <c r="B105" i="20"/>
  <c r="B106" i="20"/>
  <c r="B107" i="20"/>
  <c r="B108" i="20"/>
  <c r="B109" i="20"/>
  <c r="B110" i="20"/>
  <c r="B111" i="20"/>
  <c r="B112" i="20"/>
  <c r="B113" i="20"/>
  <c r="B114" i="20"/>
  <c r="B115" i="20"/>
  <c r="B13" i="20" a="1"/>
  <c r="B13" i="20" s="1"/>
  <c r="B12" i="20" a="1"/>
  <c r="B12" i="20" s="1"/>
  <c r="B16" i="20"/>
  <c r="B120" i="20" s="1"/>
  <c r="B10" i="20" a="1"/>
  <c r="B10" i="20" s="1"/>
  <c r="B9" i="20" a="1"/>
  <c r="B9" i="20" s="1"/>
  <c r="B7" i="20" a="1"/>
  <c r="B7" i="20" s="1"/>
  <c r="B6" i="20" a="1"/>
  <c r="B6" i="20" s="1"/>
  <c r="B4" i="20"/>
  <c r="B3" i="20"/>
  <c r="U20" i="20" s="1"/>
  <c r="D11" i="19"/>
  <c r="D12" i="19"/>
  <c r="D13" i="19"/>
  <c r="D14" i="19"/>
  <c r="D15" i="19"/>
  <c r="D16" i="19"/>
  <c r="D17" i="19"/>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D46" i="19"/>
  <c r="D47" i="19"/>
  <c r="D48" i="19"/>
  <c r="D49" i="19"/>
  <c r="D52" i="19"/>
  <c r="D53" i="19"/>
  <c r="D54" i="19"/>
  <c r="D55" i="19"/>
  <c r="D56" i="19"/>
  <c r="D57" i="19"/>
  <c r="D58" i="19"/>
  <c r="D59" i="19"/>
  <c r="D60" i="19"/>
  <c r="D61" i="19"/>
  <c r="D62" i="19"/>
  <c r="D63" i="19"/>
  <c r="D64" i="19"/>
  <c r="D65" i="19"/>
  <c r="D66" i="19"/>
  <c r="D67" i="19"/>
  <c r="D68" i="19"/>
  <c r="D10" i="19"/>
  <c r="O34" i="18"/>
  <c r="E34" i="19"/>
  <c r="C50" i="19"/>
  <c r="D51" i="19" s="1"/>
  <c r="F65" i="19"/>
  <c r="J26" i="46" l="1"/>
  <c r="V26" i="46" s="1"/>
  <c r="I26" i="46"/>
  <c r="U26" i="46" s="1"/>
  <c r="H26" i="46"/>
  <c r="T26" i="46" s="1"/>
  <c r="I5" i="56"/>
  <c r="F26" i="46"/>
  <c r="AI46" i="55"/>
  <c r="Y102" i="55"/>
  <c r="Y8" i="55"/>
  <c r="J5" i="56"/>
  <c r="N5" i="56" s="1"/>
  <c r="F53" i="56" s="1"/>
  <c r="AJ124" i="55"/>
  <c r="AL124" i="55"/>
  <c r="AM124" i="55"/>
  <c r="AK124" i="55"/>
  <c r="H25" i="56"/>
  <c r="D53" i="56" s="1"/>
  <c r="J25" i="56"/>
  <c r="T25" i="27"/>
  <c r="T82" i="27" s="1"/>
  <c r="T158" i="27" s="1"/>
  <c r="X83" i="55"/>
  <c r="X45" i="55"/>
  <c r="AA252" i="55"/>
  <c r="AH102" i="55"/>
  <c r="G102" i="55"/>
  <c r="G8" i="55"/>
  <c r="G46" i="55" s="1"/>
  <c r="L26" i="27"/>
  <c r="O46" i="55"/>
  <c r="O84" i="55"/>
  <c r="O9" i="55" s="1"/>
  <c r="O102" i="55"/>
  <c r="AI84" i="55"/>
  <c r="AK63" i="55"/>
  <c r="AK177" i="55"/>
  <c r="AL63" i="55"/>
  <c r="AL177" i="55"/>
  <c r="W81" i="27"/>
  <c r="W157" i="27" s="1"/>
  <c r="AH46" i="55"/>
  <c r="AC83" i="27"/>
  <c r="AC159" i="27" s="1"/>
  <c r="AH84" i="55"/>
  <c r="AM63" i="55"/>
  <c r="AM177" i="55"/>
  <c r="P45" i="55"/>
  <c r="AJ63" i="55"/>
  <c r="AJ177" i="55"/>
  <c r="P83" i="55"/>
  <c r="P8" i="55" s="1"/>
  <c r="J25" i="48"/>
  <c r="AN233" i="55"/>
  <c r="AJ200" i="55"/>
  <c r="AN199" i="55"/>
  <c r="Z201" i="55"/>
  <c r="AD200" i="55"/>
  <c r="Z182" i="55"/>
  <c r="AD181" i="55"/>
  <c r="AN222" i="55"/>
  <c r="AJ223" i="55"/>
  <c r="AD221" i="55"/>
  <c r="Z222" i="55"/>
  <c r="H124" i="55"/>
  <c r="Q160" i="55"/>
  <c r="U160" i="55" s="1"/>
  <c r="AB82" i="55"/>
  <c r="AB101" i="55" s="1"/>
  <c r="Z252" i="55"/>
  <c r="AA82" i="55"/>
  <c r="AA101" i="55" s="1"/>
  <c r="Z82" i="55"/>
  <c r="Z101" i="55" s="1"/>
  <c r="R29" i="55"/>
  <c r="AM29" i="55"/>
  <c r="T29" i="55"/>
  <c r="H161" i="55"/>
  <c r="L161" i="55" s="1"/>
  <c r="AC29" i="55"/>
  <c r="I31" i="55"/>
  <c r="AA31" i="55"/>
  <c r="AC82" i="55"/>
  <c r="AC101" i="55" s="1"/>
  <c r="Z30" i="55"/>
  <c r="J30" i="55"/>
  <c r="AB30" i="55"/>
  <c r="AJ30" i="55"/>
  <c r="AL29" i="55"/>
  <c r="H199" i="55"/>
  <c r="L199" i="55" s="1"/>
  <c r="AB252" i="55"/>
  <c r="H30" i="55"/>
  <c r="AJ160" i="55"/>
  <c r="AN160" i="55" s="1"/>
  <c r="Q219" i="55"/>
  <c r="U219" i="55" s="1"/>
  <c r="Q179" i="55"/>
  <c r="U179" i="55" s="1"/>
  <c r="S29" i="55"/>
  <c r="H219" i="55"/>
  <c r="L219" i="55" s="1"/>
  <c r="AK31" i="55"/>
  <c r="K30" i="55"/>
  <c r="Q198" i="55"/>
  <c r="U198" i="55" s="1"/>
  <c r="Q29" i="55"/>
  <c r="H180" i="55"/>
  <c r="L180" i="55" s="1"/>
  <c r="Z161" i="55"/>
  <c r="AD161" i="55" s="1"/>
  <c r="R156" i="27"/>
  <c r="H5" i="46" s="1"/>
  <c r="T5" i="46" s="1"/>
  <c r="D25" i="48"/>
  <c r="AB233" i="25"/>
  <c r="L291" i="53"/>
  <c r="J44" i="53"/>
  <c r="L272" i="53" s="1"/>
  <c r="U291" i="53"/>
  <c r="L329" i="53"/>
  <c r="H44" i="53"/>
  <c r="T120" i="53"/>
  <c r="Z120" i="53"/>
  <c r="Z7" i="53" s="1"/>
  <c r="H120" i="53"/>
  <c r="H7" i="53" s="1"/>
  <c r="H83" i="53" s="1"/>
  <c r="H102" i="53" s="1"/>
  <c r="AI123" i="53"/>
  <c r="AI10" i="53" s="1"/>
  <c r="AI85" i="53"/>
  <c r="AI28" i="53"/>
  <c r="AI142" i="53" s="1"/>
  <c r="Y123" i="53"/>
  <c r="Y10" i="53" s="1"/>
  <c r="Y85" i="53"/>
  <c r="Y28" i="53"/>
  <c r="Y47" i="53" s="1"/>
  <c r="U272" i="53"/>
  <c r="U234" i="53"/>
  <c r="U348" i="53"/>
  <c r="U310" i="53"/>
  <c r="AD348" i="53"/>
  <c r="AD310" i="53"/>
  <c r="AD234" i="53"/>
  <c r="AD272" i="53"/>
  <c r="Z196" i="53"/>
  <c r="Z139" i="53"/>
  <c r="T196" i="53"/>
  <c r="T139" i="53"/>
  <c r="T158" i="53" s="1"/>
  <c r="Q274" i="53"/>
  <c r="H68" i="53"/>
  <c r="H333" i="53"/>
  <c r="R120" i="53"/>
  <c r="Q120" i="53"/>
  <c r="AN348" i="53"/>
  <c r="AN310" i="53"/>
  <c r="AN234" i="53"/>
  <c r="AN272" i="53"/>
  <c r="X121" i="53"/>
  <c r="X8" i="53" s="1"/>
  <c r="X26" i="53"/>
  <c r="X45" i="53" s="1"/>
  <c r="X83" i="53"/>
  <c r="Y141" i="53"/>
  <c r="Y160" i="53" s="1"/>
  <c r="AK158" i="53"/>
  <c r="AK139" i="53"/>
  <c r="AK120" i="53"/>
  <c r="H236" i="53"/>
  <c r="U329" i="53"/>
  <c r="H293" i="53"/>
  <c r="S120" i="53"/>
  <c r="H352" i="53"/>
  <c r="AM68" i="53"/>
  <c r="Z68" i="53"/>
  <c r="U253" i="53"/>
  <c r="AA120" i="53"/>
  <c r="H196" i="53"/>
  <c r="H139" i="53"/>
  <c r="O141" i="53"/>
  <c r="O160" i="53" s="1"/>
  <c r="Q293" i="53"/>
  <c r="Q312" i="53"/>
  <c r="AN329" i="53"/>
  <c r="AN291" i="53"/>
  <c r="AN253" i="53"/>
  <c r="AN215" i="53"/>
  <c r="Q255" i="53"/>
  <c r="K67" i="53"/>
  <c r="AB120" i="53"/>
  <c r="AC68" i="53"/>
  <c r="O9" i="53"/>
  <c r="T68" i="53"/>
  <c r="AJ158" i="53"/>
  <c r="AJ139" i="53"/>
  <c r="AJ120" i="53"/>
  <c r="AM158" i="53"/>
  <c r="AM139" i="53"/>
  <c r="AM120" i="53"/>
  <c r="P122" i="53"/>
  <c r="P84" i="53"/>
  <c r="P27" i="53"/>
  <c r="P46" i="53"/>
  <c r="AB68" i="53"/>
  <c r="G123" i="53"/>
  <c r="G85" i="53"/>
  <c r="G28" i="53"/>
  <c r="G47" i="53" s="1"/>
  <c r="K120" i="53"/>
  <c r="AC120" i="53"/>
  <c r="Q67" i="53"/>
  <c r="H255" i="53"/>
  <c r="J70" i="53"/>
  <c r="Q333" i="53"/>
  <c r="H274" i="53"/>
  <c r="J120" i="53"/>
  <c r="AA69" i="53"/>
  <c r="Q352" i="53"/>
  <c r="S69" i="53"/>
  <c r="AJ67" i="53"/>
  <c r="H312" i="53"/>
  <c r="Z385" i="53"/>
  <c r="AD385" i="53" s="1"/>
  <c r="AD366" i="53"/>
  <c r="U366" i="53"/>
  <c r="AD291" i="53"/>
  <c r="AD329" i="53"/>
  <c r="AD253" i="53"/>
  <c r="AD215" i="53"/>
  <c r="H217" i="53"/>
  <c r="AK68" i="53"/>
  <c r="G141" i="53"/>
  <c r="G160" i="53" s="1"/>
  <c r="Q217" i="53"/>
  <c r="I120" i="53"/>
  <c r="U385" i="53"/>
  <c r="L215" i="53"/>
  <c r="F122" i="53"/>
  <c r="F9" i="53" s="1"/>
  <c r="F84" i="53"/>
  <c r="F27" i="53"/>
  <c r="F46" i="53" s="1"/>
  <c r="AH46" i="53"/>
  <c r="AH160" i="53" s="1"/>
  <c r="Q236" i="53"/>
  <c r="I70" i="53"/>
  <c r="R68" i="53"/>
  <c r="U215" i="53"/>
  <c r="AI46" i="53"/>
  <c r="AI160" i="53" s="1"/>
  <c r="H385" i="53"/>
  <c r="L366" i="53"/>
  <c r="T7" i="53"/>
  <c r="AL67" i="53"/>
  <c r="AH9" i="53"/>
  <c r="AL158" i="53"/>
  <c r="AL139" i="53"/>
  <c r="AL120" i="53"/>
  <c r="AN385" i="53"/>
  <c r="L271" i="47"/>
  <c r="H310" i="47"/>
  <c r="H311" i="47" s="1"/>
  <c r="H312" i="47" s="1"/>
  <c r="L233" i="47"/>
  <c r="AA25" i="52"/>
  <c r="P7" i="47"/>
  <c r="P26" i="47" s="1"/>
  <c r="P45" i="47" s="1"/>
  <c r="AH156" i="27"/>
  <c r="J5" i="46" s="1"/>
  <c r="V5" i="46" s="1"/>
  <c r="F8" i="52"/>
  <c r="AJ120" i="52"/>
  <c r="AK120" i="52"/>
  <c r="AM44" i="52"/>
  <c r="AM158" i="52" s="1"/>
  <c r="AM139" i="52"/>
  <c r="AL120" i="52"/>
  <c r="R366" i="52"/>
  <c r="R385" i="52" s="1"/>
  <c r="I366" i="52"/>
  <c r="I385" i="52" s="1"/>
  <c r="AD195" i="52"/>
  <c r="J5" i="48"/>
  <c r="AA385" i="52"/>
  <c r="H25" i="52"/>
  <c r="H44" i="52" s="1"/>
  <c r="H82" i="52"/>
  <c r="H101" i="52" s="1"/>
  <c r="I120" i="52" s="1"/>
  <c r="I7" i="52" s="1"/>
  <c r="O8" i="52"/>
  <c r="O84" i="52" s="1"/>
  <c r="U195" i="52"/>
  <c r="H385" i="52"/>
  <c r="R82" i="52"/>
  <c r="R101" i="52" s="1"/>
  <c r="T120" i="52" s="1"/>
  <c r="AN366" i="52"/>
  <c r="AB366" i="52"/>
  <c r="AB385" i="52" s="1"/>
  <c r="J366" i="52"/>
  <c r="J385" i="52" s="1"/>
  <c r="AC366" i="52"/>
  <c r="AC385" i="52" s="1"/>
  <c r="L195" i="52"/>
  <c r="AL385" i="52"/>
  <c r="AN385" i="52" s="1"/>
  <c r="G122" i="52"/>
  <c r="G9" i="52" s="1"/>
  <c r="G84" i="52"/>
  <c r="G27" i="52"/>
  <c r="G46" i="52" s="1"/>
  <c r="U215" i="52"/>
  <c r="AI45" i="52"/>
  <c r="AI159" i="52" s="1"/>
  <c r="X8" i="52"/>
  <c r="AD253" i="52"/>
  <c r="U329" i="52"/>
  <c r="I44" i="52"/>
  <c r="K44" i="52"/>
  <c r="U234" i="52"/>
  <c r="U348" i="52"/>
  <c r="U272" i="52"/>
  <c r="U310" i="52"/>
  <c r="AN234" i="52"/>
  <c r="AN310" i="52"/>
  <c r="AC67" i="52"/>
  <c r="H221" i="52"/>
  <c r="Q366" i="52"/>
  <c r="AA44" i="52"/>
  <c r="AD272" i="52" s="1"/>
  <c r="AL158" i="52"/>
  <c r="AL139" i="52"/>
  <c r="AJ68" i="52"/>
  <c r="AL79" i="52"/>
  <c r="T366" i="52"/>
  <c r="T385" i="52" s="1"/>
  <c r="AB72" i="52"/>
  <c r="U291" i="52"/>
  <c r="Q67" i="52"/>
  <c r="S366" i="52"/>
  <c r="S385" i="52" s="1"/>
  <c r="T69" i="52"/>
  <c r="H68" i="52"/>
  <c r="AK139" i="52"/>
  <c r="AK158" i="52"/>
  <c r="Y140" i="52"/>
  <c r="Y159" i="52" s="1"/>
  <c r="AI8" i="52"/>
  <c r="Q218" i="52"/>
  <c r="U253" i="52"/>
  <c r="AD329" i="52"/>
  <c r="P141" i="52"/>
  <c r="P160" i="52" s="1"/>
  <c r="Q317" i="52"/>
  <c r="AN215" i="52"/>
  <c r="AN253" i="52"/>
  <c r="AN291" i="52"/>
  <c r="AN329" i="52"/>
  <c r="AB120" i="52"/>
  <c r="Y27" i="52"/>
  <c r="Y46" i="52" s="1"/>
  <c r="Y84" i="52"/>
  <c r="Y122" i="52"/>
  <c r="Y9" i="52" s="1"/>
  <c r="AH28" i="52"/>
  <c r="AH142" i="52" s="1"/>
  <c r="AH85" i="52"/>
  <c r="AH123" i="52"/>
  <c r="AH10" i="52" s="1"/>
  <c r="AD291" i="52"/>
  <c r="AK68" i="52"/>
  <c r="AD215" i="52"/>
  <c r="F140" i="52"/>
  <c r="F159" i="52" s="1"/>
  <c r="P28" i="52"/>
  <c r="P47" i="52" s="1"/>
  <c r="P85" i="52"/>
  <c r="P123" i="52"/>
  <c r="P10" i="52" s="1"/>
  <c r="S70" i="52"/>
  <c r="AA120" i="52"/>
  <c r="AC120" i="52"/>
  <c r="Z120" i="52"/>
  <c r="R69" i="52"/>
  <c r="AJ139" i="52"/>
  <c r="AJ158" i="52"/>
  <c r="Z68" i="52"/>
  <c r="AA68" i="52"/>
  <c r="M157" i="27"/>
  <c r="AC157" i="27"/>
  <c r="AE157" i="27"/>
  <c r="AB157" i="27"/>
  <c r="AB158" i="27"/>
  <c r="AC158" i="27"/>
  <c r="T157" i="27"/>
  <c r="Y157" i="27"/>
  <c r="L157" i="27"/>
  <c r="L158" i="27"/>
  <c r="U157" i="27"/>
  <c r="AG157" i="27"/>
  <c r="V157" i="27"/>
  <c r="AF157" i="27"/>
  <c r="X26" i="47"/>
  <c r="X45" i="47" s="1"/>
  <c r="AJ82" i="47"/>
  <c r="AJ101" i="47" s="1"/>
  <c r="AD81" i="27"/>
  <c r="AD157" i="27" s="1"/>
  <c r="AB25" i="47"/>
  <c r="AB44" i="47" s="1"/>
  <c r="X81" i="27"/>
  <c r="X157" i="27" s="1"/>
  <c r="Y83" i="47"/>
  <c r="U82" i="27"/>
  <c r="U158" i="27" s="1"/>
  <c r="U5" i="46"/>
  <c r="AC59" i="27"/>
  <c r="AC115" i="27"/>
  <c r="T58" i="27"/>
  <c r="T114" i="27"/>
  <c r="AE57" i="27"/>
  <c r="AE113" i="27"/>
  <c r="P116" i="27"/>
  <c r="K215" i="29"/>
  <c r="L160" i="41"/>
  <c r="H161" i="41"/>
  <c r="L143" i="39"/>
  <c r="H144" i="39"/>
  <c r="L201" i="39"/>
  <c r="H202" i="39"/>
  <c r="H162" i="39"/>
  <c r="L161" i="39"/>
  <c r="L180" i="41"/>
  <c r="H181" i="41"/>
  <c r="I82" i="47"/>
  <c r="I101" i="47" s="1"/>
  <c r="G26" i="47"/>
  <c r="G45" i="47" s="1"/>
  <c r="X139" i="47"/>
  <c r="X158" i="47" s="1"/>
  <c r="X83" i="47"/>
  <c r="Y139" i="47"/>
  <c r="Y158" i="47" s="1"/>
  <c r="AB82" i="47"/>
  <c r="AB101" i="47" s="1"/>
  <c r="X121" i="47"/>
  <c r="Y26" i="47"/>
  <c r="Y45" i="47" s="1"/>
  <c r="Y121" i="47"/>
  <c r="Y140" i="47" s="1"/>
  <c r="Y159" i="47" s="1"/>
  <c r="F139" i="47"/>
  <c r="F158" i="47" s="1"/>
  <c r="G83" i="47"/>
  <c r="G121" i="47"/>
  <c r="G8" i="47" s="1"/>
  <c r="AH45" i="47"/>
  <c r="AH159" i="47" s="1"/>
  <c r="AM82" i="47"/>
  <c r="AM101" i="47" s="1"/>
  <c r="AM25" i="47"/>
  <c r="AM44" i="47" s="1"/>
  <c r="AI27" i="47"/>
  <c r="AI141" i="47" s="1"/>
  <c r="AJ25" i="47"/>
  <c r="AK25" i="47"/>
  <c r="AK44" i="47" s="1"/>
  <c r="AI45" i="47"/>
  <c r="AI159" i="47" s="1"/>
  <c r="S25" i="47"/>
  <c r="S44" i="47" s="1"/>
  <c r="T25" i="47"/>
  <c r="T44" i="47" s="1"/>
  <c r="Z25" i="47"/>
  <c r="AA25" i="47"/>
  <c r="AA44" i="47" s="1"/>
  <c r="T310" i="47"/>
  <c r="Q332" i="47"/>
  <c r="R25" i="47"/>
  <c r="R44" i="47" s="1"/>
  <c r="Q82" i="47"/>
  <c r="Q101" i="47" s="1"/>
  <c r="Q25" i="47"/>
  <c r="T272" i="47"/>
  <c r="Q351" i="47"/>
  <c r="Q274" i="47"/>
  <c r="R216" i="47"/>
  <c r="H272" i="47"/>
  <c r="H273" i="47" s="1"/>
  <c r="Q293" i="47"/>
  <c r="O26" i="47"/>
  <c r="O45" i="47" s="1"/>
  <c r="AC25" i="47"/>
  <c r="AC44" i="47" s="1"/>
  <c r="T234" i="47"/>
  <c r="Q255" i="47"/>
  <c r="Q236" i="47"/>
  <c r="Q312" i="47"/>
  <c r="H353" i="47"/>
  <c r="H235" i="47"/>
  <c r="AN195" i="47"/>
  <c r="F44" i="47"/>
  <c r="K25" i="47"/>
  <c r="K44" i="47" s="1"/>
  <c r="J25" i="47"/>
  <c r="J44" i="47" s="1"/>
  <c r="H25" i="47"/>
  <c r="I25" i="47"/>
  <c r="I44" i="47" s="1"/>
  <c r="U195" i="47"/>
  <c r="AI122" i="47"/>
  <c r="AI9" i="47" s="1"/>
  <c r="AI84" i="47"/>
  <c r="O83" i="47"/>
  <c r="O121" i="47"/>
  <c r="H293" i="47"/>
  <c r="AA67" i="47"/>
  <c r="AL66" i="47"/>
  <c r="AM73" i="47"/>
  <c r="K66" i="47"/>
  <c r="H82" i="47"/>
  <c r="H101" i="47" s="1"/>
  <c r="S82" i="47"/>
  <c r="S101" i="47" s="1"/>
  <c r="H217" i="47"/>
  <c r="K82" i="47"/>
  <c r="K101" i="47" s="1"/>
  <c r="Z82" i="47"/>
  <c r="Z101" i="47" s="1"/>
  <c r="H255" i="47"/>
  <c r="R82" i="47"/>
  <c r="R101" i="47" s="1"/>
  <c r="H67" i="47"/>
  <c r="R66" i="47"/>
  <c r="AC66" i="47"/>
  <c r="AK82" i="47"/>
  <c r="AK101" i="47" s="1"/>
  <c r="T66" i="47"/>
  <c r="AB67" i="47"/>
  <c r="J67" i="47"/>
  <c r="Q74" i="47"/>
  <c r="J82" i="47"/>
  <c r="J101" i="47" s="1"/>
  <c r="S66" i="47"/>
  <c r="L195" i="47"/>
  <c r="F7" i="47"/>
  <c r="T82" i="47"/>
  <c r="T101" i="47" s="1"/>
  <c r="AD195" i="47"/>
  <c r="AA82" i="47"/>
  <c r="AA101" i="47" s="1"/>
  <c r="I67" i="47"/>
  <c r="Z66" i="47"/>
  <c r="H332" i="47"/>
  <c r="AK66" i="47"/>
  <c r="AC82" i="47"/>
  <c r="AC101" i="47" s="1"/>
  <c r="AJ67" i="47"/>
  <c r="AH8" i="47"/>
  <c r="AB83" i="27" s="1"/>
  <c r="AB159" i="27" s="1"/>
  <c r="O83" i="25"/>
  <c r="O8" i="25" s="1"/>
  <c r="O46" i="25" s="1"/>
  <c r="AH84" i="25"/>
  <c r="AH9" i="25" s="1"/>
  <c r="AH47" i="25" s="1"/>
  <c r="Q233" i="25"/>
  <c r="U233" i="25" s="1"/>
  <c r="H44" i="25"/>
  <c r="H63" i="25" s="1"/>
  <c r="W5" i="45" s="1"/>
  <c r="W43" i="45" s="1"/>
  <c r="L119" i="25"/>
  <c r="AN214" i="25"/>
  <c r="I233" i="25"/>
  <c r="U214" i="25"/>
  <c r="AN233" i="25"/>
  <c r="AJ82" i="25"/>
  <c r="AJ120" i="25" s="1"/>
  <c r="AK82" i="25"/>
  <c r="AL82" i="25"/>
  <c r="AM82" i="25"/>
  <c r="AI84" i="25"/>
  <c r="AI9" i="25" s="1"/>
  <c r="AI47" i="25" s="1"/>
  <c r="AD214" i="25"/>
  <c r="AC82" i="25"/>
  <c r="AC120" i="25" s="1"/>
  <c r="Z82" i="25"/>
  <c r="Z120" i="25" s="1"/>
  <c r="AB82" i="25"/>
  <c r="AB120" i="25" s="1"/>
  <c r="X83" i="25"/>
  <c r="X8" i="25" s="1"/>
  <c r="X46" i="25" s="1"/>
  <c r="AA82" i="25"/>
  <c r="AA120" i="25" s="1"/>
  <c r="AD233" i="25"/>
  <c r="Y9" i="25"/>
  <c r="Q44" i="25"/>
  <c r="Q63" i="25" s="1"/>
  <c r="L233" i="37"/>
  <c r="J233" i="25"/>
  <c r="K233" i="25"/>
  <c r="H172" i="25"/>
  <c r="L171" i="25"/>
  <c r="G7" i="25"/>
  <c r="I200" i="25"/>
  <c r="L199" i="25"/>
  <c r="L214" i="37"/>
  <c r="S44" i="25"/>
  <c r="S63" i="25" s="1"/>
  <c r="P84" i="25"/>
  <c r="P9" i="25" s="1"/>
  <c r="P47" i="25" s="1"/>
  <c r="F83" i="25"/>
  <c r="F8" i="25" s="1"/>
  <c r="F45" i="25"/>
  <c r="G10" i="29"/>
  <c r="F8" i="29"/>
  <c r="H45" i="29"/>
  <c r="H64" i="29" s="1"/>
  <c r="I45" i="29"/>
  <c r="I64" i="29" s="1"/>
  <c r="J45" i="29"/>
  <c r="J64" i="29" s="1"/>
  <c r="J83" i="29" s="1"/>
  <c r="J8" i="29" s="1"/>
  <c r="J121" i="29"/>
  <c r="G86" i="29"/>
  <c r="G48" i="29"/>
  <c r="H120" i="29"/>
  <c r="H215" i="29"/>
  <c r="I120" i="29"/>
  <c r="I215" i="29"/>
  <c r="J120" i="29"/>
  <c r="J215" i="29"/>
  <c r="H215" i="37"/>
  <c r="I215" i="37"/>
  <c r="J215" i="37"/>
  <c r="K215" i="37"/>
  <c r="L178" i="37"/>
  <c r="H179" i="37"/>
  <c r="H160" i="29"/>
  <c r="L159" i="29"/>
  <c r="L178" i="29"/>
  <c r="H179" i="29"/>
  <c r="K180" i="25"/>
  <c r="L179" i="25"/>
  <c r="H141" i="29"/>
  <c r="L140" i="29"/>
  <c r="H214" i="41"/>
  <c r="L214" i="41" s="1"/>
  <c r="L195" i="41"/>
  <c r="L140" i="41"/>
  <c r="H141" i="41"/>
  <c r="H196" i="41"/>
  <c r="I196" i="41"/>
  <c r="I215" i="41" s="1"/>
  <c r="J196" i="41"/>
  <c r="J215" i="41" s="1"/>
  <c r="K196" i="41"/>
  <c r="K215" i="41" s="1"/>
  <c r="G47" i="41"/>
  <c r="G85" i="41"/>
  <c r="G10" i="41" s="1"/>
  <c r="F46" i="41"/>
  <c r="F84" i="41"/>
  <c r="F9" i="41" s="1"/>
  <c r="K121" i="41"/>
  <c r="J121" i="41"/>
  <c r="I121" i="41"/>
  <c r="H121" i="41"/>
  <c r="F45" i="39"/>
  <c r="F83" i="39"/>
  <c r="F8" i="39" s="1"/>
  <c r="K120" i="39"/>
  <c r="K215" i="39"/>
  <c r="K45" i="39"/>
  <c r="K64" i="39" s="1"/>
  <c r="J120" i="39"/>
  <c r="J215" i="39"/>
  <c r="J45" i="39"/>
  <c r="J64" i="39" s="1"/>
  <c r="I120" i="39"/>
  <c r="I215" i="39"/>
  <c r="I45" i="39"/>
  <c r="I64" i="39" s="1"/>
  <c r="H120" i="39"/>
  <c r="H215" i="39"/>
  <c r="H45" i="39"/>
  <c r="H64" i="39" s="1"/>
  <c r="G84" i="39"/>
  <c r="G9" i="39" s="1"/>
  <c r="G46" i="39"/>
  <c r="H82" i="37"/>
  <c r="I82" i="37"/>
  <c r="K82" i="37"/>
  <c r="J82" i="37"/>
  <c r="G46" i="37"/>
  <c r="G84" i="37"/>
  <c r="G9" i="37" s="1"/>
  <c r="F46" i="37"/>
  <c r="F84" i="37"/>
  <c r="F9" i="37" s="1"/>
  <c r="H201" i="29"/>
  <c r="L200" i="29"/>
  <c r="H30" i="37"/>
  <c r="H29" i="29"/>
  <c r="H200" i="37"/>
  <c r="L199" i="37"/>
  <c r="L161" i="37"/>
  <c r="L142" i="37"/>
  <c r="I104" i="37"/>
  <c r="H104" i="37"/>
  <c r="J104" i="37"/>
  <c r="K105" i="37"/>
  <c r="L214" i="25"/>
  <c r="L144" i="25"/>
  <c r="H208" i="25"/>
  <c r="H28" i="25"/>
  <c r="I29" i="25"/>
  <c r="C70" i="13"/>
  <c r="H70" i="13"/>
  <c r="G70" i="13"/>
  <c r="C14" i="13"/>
  <c r="C71" i="13"/>
  <c r="C72" i="13" s="1"/>
  <c r="I68" i="13"/>
  <c r="B119" i="20"/>
  <c r="B117" i="20"/>
  <c r="B118" i="20"/>
  <c r="B116" i="20"/>
  <c r="T267" i="20"/>
  <c r="Y252" i="20"/>
  <c r="S322" i="20"/>
  <c r="P323" i="20"/>
  <c r="X323" i="20"/>
  <c r="U324" i="20"/>
  <c r="R325" i="20"/>
  <c r="Z325" i="20"/>
  <c r="W326" i="20"/>
  <c r="T327" i="20"/>
  <c r="Q328" i="20"/>
  <c r="Y328" i="20"/>
  <c r="V329" i="20"/>
  <c r="S330" i="20"/>
  <c r="P331" i="20"/>
  <c r="X331" i="20"/>
  <c r="U332" i="20"/>
  <c r="R333" i="20"/>
  <c r="Z333" i="20"/>
  <c r="W334" i="20"/>
  <c r="T335" i="20"/>
  <c r="Q336" i="20"/>
  <c r="Y336" i="20"/>
  <c r="V337" i="20"/>
  <c r="S338" i="20"/>
  <c r="P339" i="20"/>
  <c r="X339" i="20"/>
  <c r="U340" i="20"/>
  <c r="R341" i="20"/>
  <c r="Z341" i="20"/>
  <c r="W342" i="20"/>
  <c r="T343" i="20"/>
  <c r="Q344" i="20"/>
  <c r="Y344" i="20"/>
  <c r="V345" i="20"/>
  <c r="T322" i="20"/>
  <c r="Q323" i="20"/>
  <c r="Y323" i="20"/>
  <c r="V324" i="20"/>
  <c r="S325" i="20"/>
  <c r="P326" i="20"/>
  <c r="X326" i="20"/>
  <c r="U327" i="20"/>
  <c r="R328" i="20"/>
  <c r="Z328" i="20"/>
  <c r="W329" i="20"/>
  <c r="T330" i="20"/>
  <c r="Q331" i="20"/>
  <c r="Y331" i="20"/>
  <c r="V332" i="20"/>
  <c r="S333" i="20"/>
  <c r="P334" i="20"/>
  <c r="X334" i="20"/>
  <c r="U335" i="20"/>
  <c r="R336" i="20"/>
  <c r="Z336" i="20"/>
  <c r="W337" i="20"/>
  <c r="T338" i="20"/>
  <c r="Q339" i="20"/>
  <c r="Y339" i="20"/>
  <c r="V340" i="20"/>
  <c r="S341" i="20"/>
  <c r="P342" i="20"/>
  <c r="X342" i="20"/>
  <c r="U343" i="20"/>
  <c r="R344" i="20"/>
  <c r="Z344" i="20"/>
  <c r="W345" i="20"/>
  <c r="T346" i="20"/>
  <c r="Q347" i="20"/>
  <c r="Y347" i="20"/>
  <c r="V348" i="20"/>
  <c r="S349" i="20"/>
  <c r="P350" i="20"/>
  <c r="X350" i="20"/>
  <c r="U351" i="20"/>
  <c r="R352" i="20"/>
  <c r="Z352" i="20"/>
  <c r="W353" i="20"/>
  <c r="T354" i="20"/>
  <c r="Q355" i="20"/>
  <c r="Y355" i="20"/>
  <c r="V356" i="20"/>
  <c r="S357" i="20"/>
  <c r="P358" i="20"/>
  <c r="X358" i="20"/>
  <c r="U359" i="20"/>
  <c r="R360" i="20"/>
  <c r="Z360" i="20"/>
  <c r="W361" i="20"/>
  <c r="T362" i="20"/>
  <c r="Q363" i="20"/>
  <c r="Y363" i="20"/>
  <c r="V364" i="20"/>
  <c r="S365" i="20"/>
  <c r="P366" i="20"/>
  <c r="X366" i="20"/>
  <c r="U367" i="20"/>
  <c r="R368" i="20"/>
  <c r="Z368" i="20"/>
  <c r="W369" i="20"/>
  <c r="T370" i="20"/>
  <c r="Q371" i="20"/>
  <c r="Y371" i="20"/>
  <c r="V372" i="20"/>
  <c r="S373" i="20"/>
  <c r="P374" i="20"/>
  <c r="X374" i="20"/>
  <c r="U375" i="20"/>
  <c r="R376" i="20"/>
  <c r="Z376" i="20"/>
  <c r="W377" i="20"/>
  <c r="T378" i="20"/>
  <c r="Q379" i="20"/>
  <c r="Y379" i="20"/>
  <c r="U322" i="20"/>
  <c r="R323" i="20"/>
  <c r="Z323" i="20"/>
  <c r="W324" i="20"/>
  <c r="T325" i="20"/>
  <c r="Q326" i="20"/>
  <c r="Y326" i="20"/>
  <c r="V327" i="20"/>
  <c r="S328" i="20"/>
  <c r="P329" i="20"/>
  <c r="X329" i="20"/>
  <c r="U330" i="20"/>
  <c r="R331" i="20"/>
  <c r="Z331" i="20"/>
  <c r="W332" i="20"/>
  <c r="T333" i="20"/>
  <c r="Q334" i="20"/>
  <c r="Y334" i="20"/>
  <c r="V335" i="20"/>
  <c r="S336" i="20"/>
  <c r="P337" i="20"/>
  <c r="X337" i="20"/>
  <c r="U338" i="20"/>
  <c r="R339" i="20"/>
  <c r="Z339" i="20"/>
  <c r="W340" i="20"/>
  <c r="T341" i="20"/>
  <c r="Q342" i="20"/>
  <c r="Y342" i="20"/>
  <c r="V343" i="20"/>
  <c r="S344" i="20"/>
  <c r="P345" i="20"/>
  <c r="X345" i="20"/>
  <c r="U346" i="20"/>
  <c r="R347" i="20"/>
  <c r="Z347" i="20"/>
  <c r="W348" i="20"/>
  <c r="T349" i="20"/>
  <c r="Q350" i="20"/>
  <c r="Y350" i="20"/>
  <c r="V351" i="20"/>
  <c r="V322" i="20"/>
  <c r="S323" i="20"/>
  <c r="P324" i="20"/>
  <c r="X324" i="20"/>
  <c r="U325" i="20"/>
  <c r="R326" i="20"/>
  <c r="Z326" i="20"/>
  <c r="W327" i="20"/>
  <c r="T328" i="20"/>
  <c r="Q329" i="20"/>
  <c r="Y329" i="20"/>
  <c r="V330" i="20"/>
  <c r="S331" i="20"/>
  <c r="P332" i="20"/>
  <c r="X332" i="20"/>
  <c r="U333" i="20"/>
  <c r="R334" i="20"/>
  <c r="Z334" i="20"/>
  <c r="W335" i="20"/>
  <c r="T336" i="20"/>
  <c r="Q337" i="20"/>
  <c r="Y337" i="20"/>
  <c r="V338" i="20"/>
  <c r="S339" i="20"/>
  <c r="P340" i="20"/>
  <c r="X340" i="20"/>
  <c r="U341" i="20"/>
  <c r="R342" i="20"/>
  <c r="Z342" i="20"/>
  <c r="W343" i="20"/>
  <c r="T344" i="20"/>
  <c r="Q345" i="20"/>
  <c r="Y345" i="20"/>
  <c r="V346" i="20"/>
  <c r="S347" i="20"/>
  <c r="P348" i="20"/>
  <c r="X348" i="20"/>
  <c r="U349" i="20"/>
  <c r="R350" i="20"/>
  <c r="Z350" i="20"/>
  <c r="W351" i="20"/>
  <c r="T352" i="20"/>
  <c r="Q353" i="20"/>
  <c r="Y353" i="20"/>
  <c r="V354" i="20"/>
  <c r="S355" i="20"/>
  <c r="P356" i="20"/>
  <c r="X356" i="20"/>
  <c r="U357" i="20"/>
  <c r="R358" i="20"/>
  <c r="Z358" i="20"/>
  <c r="W359" i="20"/>
  <c r="T360" i="20"/>
  <c r="Q361" i="20"/>
  <c r="Y361" i="20"/>
  <c r="V362" i="20"/>
  <c r="S363" i="20"/>
  <c r="P364" i="20"/>
  <c r="X364" i="20"/>
  <c r="U365" i="20"/>
  <c r="R366" i="20"/>
  <c r="Z366" i="20"/>
  <c r="W367" i="20"/>
  <c r="T368" i="20"/>
  <c r="Q369" i="20"/>
  <c r="Y369" i="20"/>
  <c r="V370" i="20"/>
  <c r="S371" i="20"/>
  <c r="P372" i="20"/>
  <c r="X372" i="20"/>
  <c r="U373" i="20"/>
  <c r="R374" i="20"/>
  <c r="Z374" i="20"/>
  <c r="W375" i="20"/>
  <c r="T376" i="20"/>
  <c r="Q377" i="20"/>
  <c r="Y377" i="20"/>
  <c r="V378" i="20"/>
  <c r="S379" i="20"/>
  <c r="P380" i="20"/>
  <c r="X380" i="20"/>
  <c r="U381" i="20"/>
  <c r="R382" i="20"/>
  <c r="Z382" i="20"/>
  <c r="W383" i="20"/>
  <c r="P322" i="20"/>
  <c r="U323" i="20"/>
  <c r="Z324" i="20"/>
  <c r="T326" i="20"/>
  <c r="Y327" i="20"/>
  <c r="S329" i="20"/>
  <c r="X330" i="20"/>
  <c r="R332" i="20"/>
  <c r="Q322" i="20"/>
  <c r="V323" i="20"/>
  <c r="P325" i="20"/>
  <c r="U326" i="20"/>
  <c r="Z327" i="20"/>
  <c r="R322" i="20"/>
  <c r="W323" i="20"/>
  <c r="Q325" i="20"/>
  <c r="V326" i="20"/>
  <c r="P328" i="20"/>
  <c r="W322" i="20"/>
  <c r="Q324" i="20"/>
  <c r="V325" i="20"/>
  <c r="P327" i="20"/>
  <c r="U328" i="20"/>
  <c r="Z329" i="20"/>
  <c r="T331" i="20"/>
  <c r="Y332" i="20"/>
  <c r="S334" i="20"/>
  <c r="X335" i="20"/>
  <c r="R337" i="20"/>
  <c r="W338" i="20"/>
  <c r="Q340" i="20"/>
  <c r="V341" i="20"/>
  <c r="P343" i="20"/>
  <c r="U344" i="20"/>
  <c r="Z345" i="20"/>
  <c r="Z346" i="20"/>
  <c r="R348" i="20"/>
  <c r="R349" i="20"/>
  <c r="U350" i="20"/>
  <c r="X351" i="20"/>
  <c r="W352" i="20"/>
  <c r="V353" i="20"/>
  <c r="W354" i="20"/>
  <c r="V355" i="20"/>
  <c r="U356" i="20"/>
  <c r="V357" i="20"/>
  <c r="U358" i="20"/>
  <c r="T359" i="20"/>
  <c r="U360" i="20"/>
  <c r="T361" i="20"/>
  <c r="S362" i="20"/>
  <c r="T363" i="20"/>
  <c r="S364" i="20"/>
  <c r="R365" i="20"/>
  <c r="S366" i="20"/>
  <c r="R367" i="20"/>
  <c r="Q368" i="20"/>
  <c r="R369" i="20"/>
  <c r="Q370" i="20"/>
  <c r="P371" i="20"/>
  <c r="Q372" i="20"/>
  <c r="P373" i="20"/>
  <c r="Z373" i="20"/>
  <c r="P375" i="20"/>
  <c r="Z375" i="20"/>
  <c r="Y376" i="20"/>
  <c r="Z377" i="20"/>
  <c r="Y378" i="20"/>
  <c r="X379" i="20"/>
  <c r="W380" i="20"/>
  <c r="V381" i="20"/>
  <c r="T382" i="20"/>
  <c r="R383" i="20"/>
  <c r="P384" i="20"/>
  <c r="X384" i="20"/>
  <c r="U385" i="20"/>
  <c r="R386" i="20"/>
  <c r="Z386" i="20"/>
  <c r="W387" i="20"/>
  <c r="T388" i="20"/>
  <c r="Q389" i="20"/>
  <c r="Y389" i="20"/>
  <c r="V390" i="20"/>
  <c r="S391" i="20"/>
  <c r="P392" i="20"/>
  <c r="X392" i="20"/>
  <c r="U393" i="20"/>
  <c r="R394" i="20"/>
  <c r="Z394" i="20"/>
  <c r="W395" i="20"/>
  <c r="T396" i="20"/>
  <c r="Q397" i="20"/>
  <c r="Y397" i="20"/>
  <c r="V398" i="20"/>
  <c r="S399" i="20"/>
  <c r="P400" i="20"/>
  <c r="X400" i="20"/>
  <c r="U401" i="20"/>
  <c r="R402" i="20"/>
  <c r="Z402" i="20"/>
  <c r="W403" i="20"/>
  <c r="T404" i="20"/>
  <c r="Q405" i="20"/>
  <c r="X322" i="20"/>
  <c r="R324" i="20"/>
  <c r="W325" i="20"/>
  <c r="Q327" i="20"/>
  <c r="V328" i="20"/>
  <c r="P330" i="20"/>
  <c r="U331" i="20"/>
  <c r="Z332" i="20"/>
  <c r="Y322" i="20"/>
  <c r="S324" i="20"/>
  <c r="X325" i="20"/>
  <c r="R327" i="20"/>
  <c r="W328" i="20"/>
  <c r="Q330" i="20"/>
  <c r="V331" i="20"/>
  <c r="P333" i="20"/>
  <c r="U334" i="20"/>
  <c r="Z335" i="20"/>
  <c r="T337" i="20"/>
  <c r="Y338" i="20"/>
  <c r="S340" i="20"/>
  <c r="X341" i="20"/>
  <c r="R343" i="20"/>
  <c r="W344" i="20"/>
  <c r="Q346" i="20"/>
  <c r="T347" i="20"/>
  <c r="T348" i="20"/>
  <c r="W349" i="20"/>
  <c r="W350" i="20"/>
  <c r="Z351" i="20"/>
  <c r="Y352" i="20"/>
  <c r="Z353" i="20"/>
  <c r="Y354" i="20"/>
  <c r="X355" i="20"/>
  <c r="Y356" i="20"/>
  <c r="X357" i="20"/>
  <c r="W358" i="20"/>
  <c r="X359" i="20"/>
  <c r="W360" i="20"/>
  <c r="V361" i="20"/>
  <c r="W362" i="20"/>
  <c r="V363" i="20"/>
  <c r="U364" i="20"/>
  <c r="V365" i="20"/>
  <c r="U366" i="20"/>
  <c r="T367" i="20"/>
  <c r="U368" i="20"/>
  <c r="T369" i="20"/>
  <c r="S370" i="20"/>
  <c r="T371" i="20"/>
  <c r="S372" i="20"/>
  <c r="R373" i="20"/>
  <c r="S374" i="20"/>
  <c r="R375" i="20"/>
  <c r="Q376" i="20"/>
  <c r="R377" i="20"/>
  <c r="Q378" i="20"/>
  <c r="P379" i="20"/>
  <c r="Q380" i="20"/>
  <c r="Z380" i="20"/>
  <c r="X381" i="20"/>
  <c r="V382" i="20"/>
  <c r="T383" i="20"/>
  <c r="R384" i="20"/>
  <c r="Z384" i="20"/>
  <c r="W385" i="20"/>
  <c r="T386" i="20"/>
  <c r="Q387" i="20"/>
  <c r="Y387" i="20"/>
  <c r="V388" i="20"/>
  <c r="S389" i="20"/>
  <c r="P390" i="20"/>
  <c r="X390" i="20"/>
  <c r="U391" i="20"/>
  <c r="R392" i="20"/>
  <c r="Z392" i="20"/>
  <c r="W393" i="20"/>
  <c r="T394" i="20"/>
  <c r="Q395" i="20"/>
  <c r="Y395" i="20"/>
  <c r="V396" i="20"/>
  <c r="S397" i="20"/>
  <c r="P398" i="20"/>
  <c r="X398" i="20"/>
  <c r="Z322" i="20"/>
  <c r="T324" i="20"/>
  <c r="Y325" i="20"/>
  <c r="S327" i="20"/>
  <c r="X328" i="20"/>
  <c r="R330" i="20"/>
  <c r="W331" i="20"/>
  <c r="Q333" i="20"/>
  <c r="V334" i="20"/>
  <c r="P336" i="20"/>
  <c r="U337" i="20"/>
  <c r="Z338" i="20"/>
  <c r="T340" i="20"/>
  <c r="Y341" i="20"/>
  <c r="S343" i="20"/>
  <c r="X344" i="20"/>
  <c r="R346" i="20"/>
  <c r="U347" i="20"/>
  <c r="U348" i="20"/>
  <c r="X349" i="20"/>
  <c r="P351" i="20"/>
  <c r="P352" i="20"/>
  <c r="P353" i="20"/>
  <c r="P354" i="20"/>
  <c r="Z354" i="20"/>
  <c r="Z355" i="20"/>
  <c r="Z356" i="20"/>
  <c r="Y357" i="20"/>
  <c r="Y358" i="20"/>
  <c r="Y359" i="20"/>
  <c r="X360" i="20"/>
  <c r="X361" i="20"/>
  <c r="X362" i="20"/>
  <c r="W363" i="20"/>
  <c r="W364" i="20"/>
  <c r="W365" i="20"/>
  <c r="V366" i="20"/>
  <c r="V367" i="20"/>
  <c r="V368" i="20"/>
  <c r="U369" i="20"/>
  <c r="U370" i="20"/>
  <c r="U371" i="20"/>
  <c r="T372" i="20"/>
  <c r="T373" i="20"/>
  <c r="T374" i="20"/>
  <c r="S375" i="20"/>
  <c r="S376" i="20"/>
  <c r="S377" i="20"/>
  <c r="R378" i="20"/>
  <c r="R379" i="20"/>
  <c r="R380" i="20"/>
  <c r="P381" i="20"/>
  <c r="Y381" i="20"/>
  <c r="W382" i="20"/>
  <c r="U383" i="20"/>
  <c r="S384" i="20"/>
  <c r="P385" i="20"/>
  <c r="X385" i="20"/>
  <c r="U386" i="20"/>
  <c r="R387" i="20"/>
  <c r="Z387" i="20"/>
  <c r="W388" i="20"/>
  <c r="T389" i="20"/>
  <c r="Q390" i="20"/>
  <c r="Y390" i="20"/>
  <c r="V391" i="20"/>
  <c r="S392" i="20"/>
  <c r="P393" i="20"/>
  <c r="X393" i="20"/>
  <c r="U394" i="20"/>
  <c r="R395" i="20"/>
  <c r="Z395" i="20"/>
  <c r="W396" i="20"/>
  <c r="T397" i="20"/>
  <c r="Q398" i="20"/>
  <c r="X327" i="20"/>
  <c r="S332" i="20"/>
  <c r="Q335" i="20"/>
  <c r="S337" i="20"/>
  <c r="V339" i="20"/>
  <c r="S342" i="20"/>
  <c r="P344" i="20"/>
  <c r="W346" i="20"/>
  <c r="S348" i="20"/>
  <c r="S350" i="20"/>
  <c r="Q352" i="20"/>
  <c r="U353" i="20"/>
  <c r="R355" i="20"/>
  <c r="W356" i="20"/>
  <c r="S358" i="20"/>
  <c r="Z359" i="20"/>
  <c r="S361" i="20"/>
  <c r="Z362" i="20"/>
  <c r="T364" i="20"/>
  <c r="Z365" i="20"/>
  <c r="X367" i="20"/>
  <c r="P369" i="20"/>
  <c r="X370" i="20"/>
  <c r="R372" i="20"/>
  <c r="X373" i="20"/>
  <c r="T375" i="20"/>
  <c r="X376" i="20"/>
  <c r="U378" i="20"/>
  <c r="Z379" i="20"/>
  <c r="S381" i="20"/>
  <c r="X382" i="20"/>
  <c r="Z383" i="20"/>
  <c r="R385" i="20"/>
  <c r="S386" i="20"/>
  <c r="U387" i="20"/>
  <c r="X388" i="20"/>
  <c r="X389" i="20"/>
  <c r="P391" i="20"/>
  <c r="Q392" i="20"/>
  <c r="S393" i="20"/>
  <c r="V394" i="20"/>
  <c r="V395" i="20"/>
  <c r="Y396" i="20"/>
  <c r="Z397" i="20"/>
  <c r="P399" i="20"/>
  <c r="Y399" i="20"/>
  <c r="W400" i="20"/>
  <c r="V401" i="20"/>
  <c r="T402" i="20"/>
  <c r="R403" i="20"/>
  <c r="P404" i="20"/>
  <c r="Y404" i="20"/>
  <c r="W405" i="20"/>
  <c r="T406" i="20"/>
  <c r="Q407" i="20"/>
  <c r="Y407" i="20"/>
  <c r="V408" i="20"/>
  <c r="S409" i="20"/>
  <c r="P410" i="20"/>
  <c r="X410" i="20"/>
  <c r="U411" i="20"/>
  <c r="R412" i="20"/>
  <c r="Z412" i="20"/>
  <c r="W413" i="20"/>
  <c r="T414" i="20"/>
  <c r="Q415" i="20"/>
  <c r="Y415" i="20"/>
  <c r="V416" i="20"/>
  <c r="S417" i="20"/>
  <c r="P418" i="20"/>
  <c r="X418" i="20"/>
  <c r="U419" i="20"/>
  <c r="R420" i="20"/>
  <c r="Z420" i="20"/>
  <c r="R329" i="20"/>
  <c r="T332" i="20"/>
  <c r="R335" i="20"/>
  <c r="Z337" i="20"/>
  <c r="W339" i="20"/>
  <c r="T342" i="20"/>
  <c r="V344" i="20"/>
  <c r="X346" i="20"/>
  <c r="Y348" i="20"/>
  <c r="T350" i="20"/>
  <c r="S352" i="20"/>
  <c r="X353" i="20"/>
  <c r="T355" i="20"/>
  <c r="P357" i="20"/>
  <c r="T358" i="20"/>
  <c r="P360" i="20"/>
  <c r="U361" i="20"/>
  <c r="P363" i="20"/>
  <c r="Y364" i="20"/>
  <c r="Q366" i="20"/>
  <c r="Y367" i="20"/>
  <c r="S369" i="20"/>
  <c r="Y370" i="20"/>
  <c r="U372" i="20"/>
  <c r="Y373" i="20"/>
  <c r="V375" i="20"/>
  <c r="P377" i="20"/>
  <c r="W378" i="20"/>
  <c r="S380" i="20"/>
  <c r="T381" i="20"/>
  <c r="Y382" i="20"/>
  <c r="Q384" i="20"/>
  <c r="S385" i="20"/>
  <c r="V386" i="20"/>
  <c r="V387" i="20"/>
  <c r="Y388" i="20"/>
  <c r="Z389" i="20"/>
  <c r="Q391" i="20"/>
  <c r="T392" i="20"/>
  <c r="T393" i="20"/>
  <c r="W394" i="20"/>
  <c r="X395" i="20"/>
  <c r="Z396" i="20"/>
  <c r="R398" i="20"/>
  <c r="Q399" i="20"/>
  <c r="Z399" i="20"/>
  <c r="Y400" i="20"/>
  <c r="W401" i="20"/>
  <c r="U402" i="20"/>
  <c r="S403" i="20"/>
  <c r="Q404" i="20"/>
  <c r="Z404" i="20"/>
  <c r="X405" i="20"/>
  <c r="U406" i="20"/>
  <c r="R407" i="20"/>
  <c r="Z407" i="20"/>
  <c r="W408" i="20"/>
  <c r="T409" i="20"/>
  <c r="Q410" i="20"/>
  <c r="Y410" i="20"/>
  <c r="V411" i="20"/>
  <c r="S412" i="20"/>
  <c r="P413" i="20"/>
  <c r="X413" i="20"/>
  <c r="U414" i="20"/>
  <c r="R415" i="20"/>
  <c r="Z415" i="20"/>
  <c r="W416" i="20"/>
  <c r="T417" i="20"/>
  <c r="Q418" i="20"/>
  <c r="Y418" i="20"/>
  <c r="V419" i="20"/>
  <c r="S420" i="20"/>
  <c r="U329" i="20"/>
  <c r="W333" i="20"/>
  <c r="Y335" i="20"/>
  <c r="Q338" i="20"/>
  <c r="Y340" i="20"/>
  <c r="V342" i="20"/>
  <c r="S345" i="20"/>
  <c r="P347" i="20"/>
  <c r="P349" i="20"/>
  <c r="Q351" i="20"/>
  <c r="V352" i="20"/>
  <c r="R354" i="20"/>
  <c r="W355" i="20"/>
  <c r="R357" i="20"/>
  <c r="P359" i="20"/>
  <c r="S360" i="20"/>
  <c r="P362" i="20"/>
  <c r="U363" i="20"/>
  <c r="P365" i="20"/>
  <c r="W366" i="20"/>
  <c r="P368" i="20"/>
  <c r="X369" i="20"/>
  <c r="R371" i="20"/>
  <c r="Y372" i="20"/>
  <c r="U374" i="20"/>
  <c r="Y375" i="20"/>
  <c r="U377" i="20"/>
  <c r="Z378" i="20"/>
  <c r="U380" i="20"/>
  <c r="Z381" i="20"/>
  <c r="Q383" i="20"/>
  <c r="U384" i="20"/>
  <c r="V385" i="20"/>
  <c r="X386" i="20"/>
  <c r="P388" i="20"/>
  <c r="P389" i="20"/>
  <c r="S390" i="20"/>
  <c r="T391" i="20"/>
  <c r="V392" i="20"/>
  <c r="Y393" i="20"/>
  <c r="Y394" i="20"/>
  <c r="Q396" i="20"/>
  <c r="R397" i="20"/>
  <c r="T398" i="20"/>
  <c r="T399" i="20"/>
  <c r="R400" i="20"/>
  <c r="P401" i="20"/>
  <c r="Y401" i="20"/>
  <c r="W402" i="20"/>
  <c r="U403" i="20"/>
  <c r="S404" i="20"/>
  <c r="R405" i="20"/>
  <c r="Z405" i="20"/>
  <c r="W406" i="20"/>
  <c r="T407" i="20"/>
  <c r="Q408" i="20"/>
  <c r="Y408" i="20"/>
  <c r="V409" i="20"/>
  <c r="S410" i="20"/>
  <c r="P411" i="20"/>
  <c r="X411" i="20"/>
  <c r="U412" i="20"/>
  <c r="R413" i="20"/>
  <c r="Z413" i="20"/>
  <c r="W414" i="20"/>
  <c r="T415" i="20"/>
  <c r="Q416" i="20"/>
  <c r="Y416" i="20"/>
  <c r="V417" i="20"/>
  <c r="S418" i="20"/>
  <c r="P419" i="20"/>
  <c r="X419" i="20"/>
  <c r="U420" i="20"/>
  <c r="T329" i="20"/>
  <c r="T334" i="20"/>
  <c r="R338" i="20"/>
  <c r="W341" i="20"/>
  <c r="U345" i="20"/>
  <c r="Z348" i="20"/>
  <c r="T351" i="20"/>
  <c r="S354" i="20"/>
  <c r="T356" i="20"/>
  <c r="R359" i="20"/>
  <c r="Z361" i="20"/>
  <c r="Q364" i="20"/>
  <c r="Y366" i="20"/>
  <c r="Y368" i="20"/>
  <c r="W371" i="20"/>
  <c r="Q374" i="20"/>
  <c r="V376" i="20"/>
  <c r="T379" i="20"/>
  <c r="R381" i="20"/>
  <c r="V383" i="20"/>
  <c r="T385" i="20"/>
  <c r="S387" i="20"/>
  <c r="R389" i="20"/>
  <c r="Z390" i="20"/>
  <c r="Y392" i="20"/>
  <c r="X394" i="20"/>
  <c r="U396" i="20"/>
  <c r="U398" i="20"/>
  <c r="X399" i="20"/>
  <c r="R401" i="20"/>
  <c r="V402" i="20"/>
  <c r="Y403" i="20"/>
  <c r="S405" i="20"/>
  <c r="S406" i="20"/>
  <c r="V407" i="20"/>
  <c r="X408" i="20"/>
  <c r="Y409" i="20"/>
  <c r="Q411" i="20"/>
  <c r="Q412" i="20"/>
  <c r="T413" i="20"/>
  <c r="V414" i="20"/>
  <c r="W415" i="20"/>
  <c r="Z416" i="20"/>
  <c r="Z417" i="20"/>
  <c r="R419" i="20"/>
  <c r="T420" i="20"/>
  <c r="W330" i="20"/>
  <c r="P335" i="20"/>
  <c r="X338" i="20"/>
  <c r="U342" i="20"/>
  <c r="P346" i="20"/>
  <c r="Q349" i="20"/>
  <c r="Y351" i="20"/>
  <c r="U354" i="20"/>
  <c r="Q357" i="20"/>
  <c r="S359" i="20"/>
  <c r="Q362" i="20"/>
  <c r="R364" i="20"/>
  <c r="P367" i="20"/>
  <c r="V369" i="20"/>
  <c r="X371" i="20"/>
  <c r="V374" i="20"/>
  <c r="W376" i="20"/>
  <c r="U379" i="20"/>
  <c r="W381" i="20"/>
  <c r="X383" i="20"/>
  <c r="Y385" i="20"/>
  <c r="T387" i="20"/>
  <c r="U389" i="20"/>
  <c r="R391" i="20"/>
  <c r="Q393" i="20"/>
  <c r="P395" i="20"/>
  <c r="X396" i="20"/>
  <c r="W398" i="20"/>
  <c r="Q400" i="20"/>
  <c r="S401" i="20"/>
  <c r="X402" i="20"/>
  <c r="Z403" i="20"/>
  <c r="T405" i="20"/>
  <c r="V406" i="20"/>
  <c r="W407" i="20"/>
  <c r="Z408" i="20"/>
  <c r="Z409" i="20"/>
  <c r="R411" i="20"/>
  <c r="T412" i="20"/>
  <c r="U413" i="20"/>
  <c r="X414" i="20"/>
  <c r="X415" i="20"/>
  <c r="P417" i="20"/>
  <c r="R418" i="20"/>
  <c r="S419" i="20"/>
  <c r="V420" i="20"/>
  <c r="Y330" i="20"/>
  <c r="S335" i="20"/>
  <c r="T339" i="20"/>
  <c r="Q343" i="20"/>
  <c r="S346" i="20"/>
  <c r="V349" i="20"/>
  <c r="U352" i="20"/>
  <c r="X354" i="20"/>
  <c r="T357" i="20"/>
  <c r="V359" i="20"/>
  <c r="R362" i="20"/>
  <c r="Z364" i="20"/>
  <c r="Q367" i="20"/>
  <c r="Z369" i="20"/>
  <c r="Z371" i="20"/>
  <c r="W374" i="20"/>
  <c r="T377" i="20"/>
  <c r="V379" i="20"/>
  <c r="P382" i="20"/>
  <c r="Y383" i="20"/>
  <c r="Z385" i="20"/>
  <c r="X387" i="20"/>
  <c r="V389" i="20"/>
  <c r="W391" i="20"/>
  <c r="R393" i="20"/>
  <c r="S395" i="20"/>
  <c r="P397" i="20"/>
  <c r="Y398" i="20"/>
  <c r="S400" i="20"/>
  <c r="T401" i="20"/>
  <c r="Y402" i="20"/>
  <c r="R404" i="20"/>
  <c r="U405" i="20"/>
  <c r="X406" i="20"/>
  <c r="X407" i="20"/>
  <c r="P409" i="20"/>
  <c r="R410" i="20"/>
  <c r="S411" i="20"/>
  <c r="V412" i="20"/>
  <c r="V413" i="20"/>
  <c r="Y414" i="20"/>
  <c r="P416" i="20"/>
  <c r="Q417" i="20"/>
  <c r="T418" i="20"/>
  <c r="T419" i="20"/>
  <c r="W420" i="20"/>
  <c r="S326" i="20"/>
  <c r="W336" i="20"/>
  <c r="X343" i="20"/>
  <c r="X347" i="20"/>
  <c r="R353" i="20"/>
  <c r="S356" i="20"/>
  <c r="Y360" i="20"/>
  <c r="Q365" i="20"/>
  <c r="W368" i="20"/>
  <c r="Z372" i="20"/>
  <c r="U376" i="20"/>
  <c r="V380" i="20"/>
  <c r="T384" i="20"/>
  <c r="Y386" i="20"/>
  <c r="R390" i="20"/>
  <c r="W392" i="20"/>
  <c r="P396" i="20"/>
  <c r="Z398" i="20"/>
  <c r="Z400" i="20"/>
  <c r="Q403" i="20"/>
  <c r="P405" i="20"/>
  <c r="P407" i="20"/>
  <c r="Q409" i="20"/>
  <c r="W410" i="20"/>
  <c r="X412" i="20"/>
  <c r="S414" i="20"/>
  <c r="T416" i="20"/>
  <c r="U418" i="20"/>
  <c r="P420" i="20"/>
  <c r="Z330" i="20"/>
  <c r="X336" i="20"/>
  <c r="Y343" i="20"/>
  <c r="Q348" i="20"/>
  <c r="S353" i="20"/>
  <c r="W357" i="20"/>
  <c r="P361" i="20"/>
  <c r="T365" i="20"/>
  <c r="X368" i="20"/>
  <c r="Q373" i="20"/>
  <c r="V377" i="20"/>
  <c r="Y380" i="20"/>
  <c r="V384" i="20"/>
  <c r="P387" i="20"/>
  <c r="T390" i="20"/>
  <c r="V393" i="20"/>
  <c r="R396" i="20"/>
  <c r="R399" i="20"/>
  <c r="Q401" i="20"/>
  <c r="T403" i="20"/>
  <c r="V405" i="20"/>
  <c r="S407" i="20"/>
  <c r="R409" i="20"/>
  <c r="Z410" i="20"/>
  <c r="Y412" i="20"/>
  <c r="Z414" i="20"/>
  <c r="U416" i="20"/>
  <c r="V418" i="20"/>
  <c r="Q420" i="20"/>
  <c r="X333" i="20"/>
  <c r="R340" i="20"/>
  <c r="T345" i="20"/>
  <c r="V350" i="20"/>
  <c r="P355" i="20"/>
  <c r="V358" i="20"/>
  <c r="Y362" i="20"/>
  <c r="T366" i="20"/>
  <c r="W370" i="20"/>
  <c r="Y374" i="20"/>
  <c r="S378" i="20"/>
  <c r="S382" i="20"/>
  <c r="Q385" i="20"/>
  <c r="S388" i="20"/>
  <c r="X391" i="20"/>
  <c r="Q394" i="20"/>
  <c r="V397" i="20"/>
  <c r="W399" i="20"/>
  <c r="P402" i="20"/>
  <c r="U404" i="20"/>
  <c r="Q406" i="20"/>
  <c r="R408" i="20"/>
  <c r="X409" i="20"/>
  <c r="Y411" i="20"/>
  <c r="Y413" i="20"/>
  <c r="U415" i="20"/>
  <c r="U417" i="20"/>
  <c r="Q419" i="20"/>
  <c r="T323" i="20"/>
  <c r="U339" i="20"/>
  <c r="W347" i="20"/>
  <c r="U355" i="20"/>
  <c r="R361" i="20"/>
  <c r="Z367" i="20"/>
  <c r="W373" i="20"/>
  <c r="T380" i="20"/>
  <c r="P386" i="20"/>
  <c r="U390" i="20"/>
  <c r="T395" i="20"/>
  <c r="V399" i="20"/>
  <c r="P403" i="20"/>
  <c r="R406" i="20"/>
  <c r="U409" i="20"/>
  <c r="P412" i="20"/>
  <c r="S415" i="20"/>
  <c r="Y417" i="20"/>
  <c r="Y324" i="20"/>
  <c r="Z340" i="20"/>
  <c r="Y349" i="20"/>
  <c r="Q356" i="20"/>
  <c r="U362" i="20"/>
  <c r="S368" i="20"/>
  <c r="Q375" i="20"/>
  <c r="Q381" i="20"/>
  <c r="Q386" i="20"/>
  <c r="W390" i="20"/>
  <c r="U395" i="20"/>
  <c r="T400" i="20"/>
  <c r="V403" i="20"/>
  <c r="Y406" i="20"/>
  <c r="W409" i="20"/>
  <c r="W412" i="20"/>
  <c r="V415" i="20"/>
  <c r="W418" i="20"/>
  <c r="Q332" i="20"/>
  <c r="P341" i="20"/>
  <c r="Z349" i="20"/>
  <c r="R356" i="20"/>
  <c r="R363" i="20"/>
  <c r="P370" i="20"/>
  <c r="X375" i="20"/>
  <c r="Q382" i="20"/>
  <c r="W386" i="20"/>
  <c r="Y391" i="20"/>
  <c r="S396" i="20"/>
  <c r="U400" i="20"/>
  <c r="X403" i="20"/>
  <c r="Z406" i="20"/>
  <c r="T410" i="20"/>
  <c r="Q413" i="20"/>
  <c r="R416" i="20"/>
  <c r="Z418" i="20"/>
  <c r="V333" i="20"/>
  <c r="Q341" i="20"/>
  <c r="R351" i="20"/>
  <c r="Z357" i="20"/>
  <c r="X363" i="20"/>
  <c r="R370" i="20"/>
  <c r="P376" i="20"/>
  <c r="U382" i="20"/>
  <c r="Q388" i="20"/>
  <c r="Z391" i="20"/>
  <c r="U397" i="20"/>
  <c r="V400" i="20"/>
  <c r="V404" i="20"/>
  <c r="U407" i="20"/>
  <c r="U410" i="20"/>
  <c r="S413" i="20"/>
  <c r="S416" i="20"/>
  <c r="W419" i="20"/>
  <c r="R321" i="20"/>
  <c r="Z321" i="20"/>
  <c r="Y333" i="20"/>
  <c r="Z343" i="20"/>
  <c r="S351" i="20"/>
  <c r="Q358" i="20"/>
  <c r="Z363" i="20"/>
  <c r="Z370" i="20"/>
  <c r="X377" i="20"/>
  <c r="P383" i="20"/>
  <c r="R388" i="20"/>
  <c r="U392" i="20"/>
  <c r="W397" i="20"/>
  <c r="X401" i="20"/>
  <c r="W404" i="20"/>
  <c r="P408" i="20"/>
  <c r="V410" i="20"/>
  <c r="P414" i="20"/>
  <c r="X416" i="20"/>
  <c r="Y419" i="20"/>
  <c r="S321" i="20"/>
  <c r="P321" i="20"/>
  <c r="U336" i="20"/>
  <c r="R345" i="20"/>
  <c r="X352" i="20"/>
  <c r="Q359" i="20"/>
  <c r="X365" i="20"/>
  <c r="V371" i="20"/>
  <c r="P378" i="20"/>
  <c r="S383" i="20"/>
  <c r="U388" i="20"/>
  <c r="Z393" i="20"/>
  <c r="X397" i="20"/>
  <c r="Z401" i="20"/>
  <c r="X404" i="20"/>
  <c r="S408" i="20"/>
  <c r="T411" i="20"/>
  <c r="Q414" i="20"/>
  <c r="R417" i="20"/>
  <c r="Z419" i="20"/>
  <c r="V336" i="20"/>
  <c r="Y346" i="20"/>
  <c r="T353" i="20"/>
  <c r="Q360" i="20"/>
  <c r="Y365" i="20"/>
  <c r="W372" i="20"/>
  <c r="X378" i="20"/>
  <c r="W384" i="20"/>
  <c r="Z388" i="20"/>
  <c r="P394" i="20"/>
  <c r="S398" i="20"/>
  <c r="Q402" i="20"/>
  <c r="Y405" i="20"/>
  <c r="T408" i="20"/>
  <c r="W411" i="20"/>
  <c r="R414" i="20"/>
  <c r="W417" i="20"/>
  <c r="X420" i="20"/>
  <c r="U321" i="20"/>
  <c r="V347" i="20"/>
  <c r="S394" i="20"/>
  <c r="Y420" i="20"/>
  <c r="Q354" i="20"/>
  <c r="U399" i="20"/>
  <c r="Y321" i="20"/>
  <c r="V360" i="20"/>
  <c r="S402" i="20"/>
  <c r="S367" i="20"/>
  <c r="P406" i="20"/>
  <c r="V373" i="20"/>
  <c r="U408" i="20"/>
  <c r="Q321" i="20"/>
  <c r="X321" i="20"/>
  <c r="W379" i="20"/>
  <c r="Z411" i="20"/>
  <c r="T321" i="20"/>
  <c r="Y384" i="20"/>
  <c r="P415" i="20"/>
  <c r="V321" i="20"/>
  <c r="P338" i="20"/>
  <c r="W389" i="20"/>
  <c r="X417" i="20"/>
  <c r="W321" i="20"/>
  <c r="V297" i="20"/>
  <c r="Z312" i="20"/>
  <c r="P296" i="20"/>
  <c r="Q236" i="20"/>
  <c r="T311" i="20"/>
  <c r="Z293" i="20"/>
  <c r="R265" i="20"/>
  <c r="X318" i="20"/>
  <c r="S309" i="20"/>
  <c r="Z301" i="20"/>
  <c r="Y293" i="20"/>
  <c r="Z285" i="20"/>
  <c r="T259" i="20"/>
  <c r="Y226" i="20"/>
  <c r="S317" i="20"/>
  <c r="R309" i="20"/>
  <c r="S301" i="20"/>
  <c r="T292" i="20"/>
  <c r="Y283" i="20"/>
  <c r="Y258" i="20"/>
  <c r="Q288" i="20"/>
  <c r="T319" i="20"/>
  <c r="U303" i="20"/>
  <c r="S319" i="20"/>
  <c r="T303" i="20"/>
  <c r="V286" i="20"/>
  <c r="T235" i="20"/>
  <c r="R127" i="20"/>
  <c r="Q317" i="20"/>
  <c r="X307" i="20"/>
  <c r="W299" i="20"/>
  <c r="Y291" i="20"/>
  <c r="U280" i="20"/>
  <c r="Z273" i="20"/>
  <c r="P315" i="20"/>
  <c r="W307" i="20"/>
  <c r="R298" i="20"/>
  <c r="S290" i="20"/>
  <c r="Q280" i="20"/>
  <c r="S244" i="20"/>
  <c r="W226" i="20"/>
  <c r="T227" i="20"/>
  <c r="Q250" i="20"/>
  <c r="V267" i="20"/>
  <c r="T284" i="20"/>
  <c r="W289" i="20"/>
  <c r="P294" i="20"/>
  <c r="X299" i="20"/>
  <c r="U305" i="20"/>
  <c r="Y309" i="20"/>
  <c r="Q315" i="20"/>
  <c r="Y320" i="20"/>
  <c r="V229" i="20"/>
  <c r="W250" i="20"/>
  <c r="T273" i="20"/>
  <c r="U284" i="20"/>
  <c r="R290" i="20"/>
  <c r="U295" i="20"/>
  <c r="Y299" i="20"/>
  <c r="V305" i="20"/>
  <c r="S311" i="20"/>
  <c r="W315" i="20"/>
  <c r="Z320" i="20"/>
  <c r="V235" i="20"/>
  <c r="W258" i="20"/>
  <c r="Q276" i="20"/>
  <c r="P286" i="20"/>
  <c r="X291" i="20"/>
  <c r="Q296" i="20"/>
  <c r="Y301" i="20"/>
  <c r="Q307" i="20"/>
  <c r="U311" i="20"/>
  <c r="R317" i="20"/>
  <c r="V313" i="20"/>
  <c r="W305" i="20"/>
  <c r="W297" i="20"/>
  <c r="R288" i="20"/>
  <c r="Z279" i="20"/>
  <c r="Q244" i="20"/>
  <c r="U313" i="20"/>
  <c r="Z241" i="20"/>
  <c r="P288" i="20"/>
  <c r="P304" i="20"/>
  <c r="X320" i="20"/>
  <c r="W318" i="20"/>
  <c r="V316" i="20"/>
  <c r="Z314" i="20"/>
  <c r="Y312" i="20"/>
  <c r="X310" i="20"/>
  <c r="Q309" i="20"/>
  <c r="P307" i="20"/>
  <c r="Z304" i="20"/>
  <c r="S303" i="20"/>
  <c r="R301" i="20"/>
  <c r="Q299" i="20"/>
  <c r="U297" i="20"/>
  <c r="T295" i="20"/>
  <c r="S293" i="20"/>
  <c r="W291" i="20"/>
  <c r="V289" i="20"/>
  <c r="U287" i="20"/>
  <c r="Y285" i="20"/>
  <c r="X283" i="20"/>
  <c r="U278" i="20"/>
  <c r="R273" i="20"/>
  <c r="W264" i="20"/>
  <c r="U256" i="20"/>
  <c r="Z249" i="20"/>
  <c r="T241" i="20"/>
  <c r="R233" i="20"/>
  <c r="V222" i="20"/>
  <c r="S223" i="20"/>
  <c r="P224" i="20"/>
  <c r="X224" i="20"/>
  <c r="U225" i="20"/>
  <c r="R226" i="20"/>
  <c r="Z226" i="20"/>
  <c r="W227" i="20"/>
  <c r="T228" i="20"/>
  <c r="Q229" i="20"/>
  <c r="Y229" i="20"/>
  <c r="V230" i="20"/>
  <c r="S231" i="20"/>
  <c r="P232" i="20"/>
  <c r="X232" i="20"/>
  <c r="U233" i="20"/>
  <c r="R234" i="20"/>
  <c r="Z234" i="20"/>
  <c r="W235" i="20"/>
  <c r="T236" i="20"/>
  <c r="Q237" i="20"/>
  <c r="Y237" i="20"/>
  <c r="V238" i="20"/>
  <c r="S239" i="20"/>
  <c r="P240" i="20"/>
  <c r="X240" i="20"/>
  <c r="U241" i="20"/>
  <c r="R242" i="20"/>
  <c r="Z242" i="20"/>
  <c r="W243" i="20"/>
  <c r="T244" i="20"/>
  <c r="Q245" i="20"/>
  <c r="Y245" i="20"/>
  <c r="V246" i="20"/>
  <c r="S247" i="20"/>
  <c r="P248" i="20"/>
  <c r="X248" i="20"/>
  <c r="U249" i="20"/>
  <c r="R250" i="20"/>
  <c r="Z250" i="20"/>
  <c r="W251" i="20"/>
  <c r="T252" i="20"/>
  <c r="Q253" i="20"/>
  <c r="Y253" i="20"/>
  <c r="V254" i="20"/>
  <c r="S255" i="20"/>
  <c r="P256" i="20"/>
  <c r="X256" i="20"/>
  <c r="U257" i="20"/>
  <c r="R258" i="20"/>
  <c r="Z258" i="20"/>
  <c r="W259" i="20"/>
  <c r="T260" i="20"/>
  <c r="Q261" i="20"/>
  <c r="Y261" i="20"/>
  <c r="V262" i="20"/>
  <c r="S263" i="20"/>
  <c r="P264" i="20"/>
  <c r="X264" i="20"/>
  <c r="U265" i="20"/>
  <c r="R266" i="20"/>
  <c r="Z266" i="20"/>
  <c r="W267" i="20"/>
  <c r="T268" i="20"/>
  <c r="Q269" i="20"/>
  <c r="Y269" i="20"/>
  <c r="V270" i="20"/>
  <c r="S271" i="20"/>
  <c r="P272" i="20"/>
  <c r="X272" i="20"/>
  <c r="U273" i="20"/>
  <c r="R274" i="20"/>
  <c r="Z274" i="20"/>
  <c r="W275" i="20"/>
  <c r="T276" i="20"/>
  <c r="Q277" i="20"/>
  <c r="Y277" i="20"/>
  <c r="V278" i="20"/>
  <c r="S279" i="20"/>
  <c r="P280" i="20"/>
  <c r="X280" i="20"/>
  <c r="U281" i="20"/>
  <c r="R282" i="20"/>
  <c r="Z282" i="20"/>
  <c r="W222" i="20"/>
  <c r="T223" i="20"/>
  <c r="Q224" i="20"/>
  <c r="Y224" i="20"/>
  <c r="V225" i="20"/>
  <c r="S226" i="20"/>
  <c r="P227" i="20"/>
  <c r="X227" i="20"/>
  <c r="U228" i="20"/>
  <c r="R229" i="20"/>
  <c r="Z229" i="20"/>
  <c r="W230" i="20"/>
  <c r="T231" i="20"/>
  <c r="Q232" i="20"/>
  <c r="Y232" i="20"/>
  <c r="V233" i="20"/>
  <c r="S234" i="20"/>
  <c r="P235" i="20"/>
  <c r="X235" i="20"/>
  <c r="U236" i="20"/>
  <c r="R237" i="20"/>
  <c r="Z237" i="20"/>
  <c r="W238" i="20"/>
  <c r="T239" i="20"/>
  <c r="Q240" i="20"/>
  <c r="Y240" i="20"/>
  <c r="V241" i="20"/>
  <c r="S242" i="20"/>
  <c r="P243" i="20"/>
  <c r="X243" i="20"/>
  <c r="U244" i="20"/>
  <c r="R245" i="20"/>
  <c r="Z245" i="20"/>
  <c r="W246" i="20"/>
  <c r="T247" i="20"/>
  <c r="Q248" i="20"/>
  <c r="Y248" i="20"/>
  <c r="V249" i="20"/>
  <c r="S250" i="20"/>
  <c r="P251" i="20"/>
  <c r="X251" i="20"/>
  <c r="U252" i="20"/>
  <c r="R253" i="20"/>
  <c r="Z253" i="20"/>
  <c r="W254" i="20"/>
  <c r="T255" i="20"/>
  <c r="Q256" i="20"/>
  <c r="Y256" i="20"/>
  <c r="V257" i="20"/>
  <c r="S258" i="20"/>
  <c r="P259" i="20"/>
  <c r="X259" i="20"/>
  <c r="U260" i="20"/>
  <c r="R261" i="20"/>
  <c r="Z261" i="20"/>
  <c r="W262" i="20"/>
  <c r="T263" i="20"/>
  <c r="Q264" i="20"/>
  <c r="Y264" i="20"/>
  <c r="V265" i="20"/>
  <c r="S266" i="20"/>
  <c r="P267" i="20"/>
  <c r="X267" i="20"/>
  <c r="U268" i="20"/>
  <c r="R269" i="20"/>
  <c r="Z269" i="20"/>
  <c r="W270" i="20"/>
  <c r="T271" i="20"/>
  <c r="Q272" i="20"/>
  <c r="Y272" i="20"/>
  <c r="V273" i="20"/>
  <c r="S274" i="20"/>
  <c r="P275" i="20"/>
  <c r="X275" i="20"/>
  <c r="P222" i="20"/>
  <c r="X222" i="20"/>
  <c r="U223" i="20"/>
  <c r="R224" i="20"/>
  <c r="Z224" i="20"/>
  <c r="W225" i="20"/>
  <c r="T226" i="20"/>
  <c r="Q227" i="20"/>
  <c r="Y227" i="20"/>
  <c r="V228" i="20"/>
  <c r="S229" i="20"/>
  <c r="P230" i="20"/>
  <c r="X230" i="20"/>
  <c r="U231" i="20"/>
  <c r="R232" i="20"/>
  <c r="Z232" i="20"/>
  <c r="W233" i="20"/>
  <c r="T234" i="20"/>
  <c r="Q235" i="20"/>
  <c r="Y235" i="20"/>
  <c r="V236" i="20"/>
  <c r="S237" i="20"/>
  <c r="P238" i="20"/>
  <c r="X238" i="20"/>
  <c r="U239" i="20"/>
  <c r="R240" i="20"/>
  <c r="Z240" i="20"/>
  <c r="W241" i="20"/>
  <c r="T242" i="20"/>
  <c r="Q243" i="20"/>
  <c r="Y243" i="20"/>
  <c r="V244" i="20"/>
  <c r="S245" i="20"/>
  <c r="P246" i="20"/>
  <c r="X246" i="20"/>
  <c r="U247" i="20"/>
  <c r="R248" i="20"/>
  <c r="Z248" i="20"/>
  <c r="W249" i="20"/>
  <c r="T250" i="20"/>
  <c r="Q251" i="20"/>
  <c r="Y251" i="20"/>
  <c r="V252" i="20"/>
  <c r="S253" i="20"/>
  <c r="P254" i="20"/>
  <c r="X254" i="20"/>
  <c r="U255" i="20"/>
  <c r="R256" i="20"/>
  <c r="Z256" i="20"/>
  <c r="W257" i="20"/>
  <c r="T258" i="20"/>
  <c r="Q259" i="20"/>
  <c r="Y259" i="20"/>
  <c r="V260" i="20"/>
  <c r="S261" i="20"/>
  <c r="P262" i="20"/>
  <c r="X262" i="20"/>
  <c r="U263" i="20"/>
  <c r="R264" i="20"/>
  <c r="Z264" i="20"/>
  <c r="W265" i="20"/>
  <c r="T266" i="20"/>
  <c r="Q267" i="20"/>
  <c r="Y267" i="20"/>
  <c r="V268" i="20"/>
  <c r="S269" i="20"/>
  <c r="P270" i="20"/>
  <c r="X270" i="20"/>
  <c r="U271" i="20"/>
  <c r="R272" i="20"/>
  <c r="Z272" i="20"/>
  <c r="W273" i="20"/>
  <c r="T274" i="20"/>
  <c r="Q275" i="20"/>
  <c r="Y275" i="20"/>
  <c r="V276" i="20"/>
  <c r="S277" i="20"/>
  <c r="P278" i="20"/>
  <c r="X278" i="20"/>
  <c r="U279" i="20"/>
  <c r="R280" i="20"/>
  <c r="Z280" i="20"/>
  <c r="W281" i="20"/>
  <c r="T282" i="20"/>
  <c r="Q283" i="20"/>
  <c r="Q222" i="20"/>
  <c r="Y222" i="20"/>
  <c r="V223" i="20"/>
  <c r="S224" i="20"/>
  <c r="P225" i="20"/>
  <c r="X225" i="20"/>
  <c r="U226" i="20"/>
  <c r="R227" i="20"/>
  <c r="Z227" i="20"/>
  <c r="W228" i="20"/>
  <c r="T229" i="20"/>
  <c r="Q230" i="20"/>
  <c r="Y230" i="20"/>
  <c r="V231" i="20"/>
  <c r="S232" i="20"/>
  <c r="P233" i="20"/>
  <c r="X233" i="20"/>
  <c r="U234" i="20"/>
  <c r="R235" i="20"/>
  <c r="Z235" i="20"/>
  <c r="W236" i="20"/>
  <c r="T237" i="20"/>
  <c r="Q238" i="20"/>
  <c r="Y238" i="20"/>
  <c r="V239" i="20"/>
  <c r="S240" i="20"/>
  <c r="P241" i="20"/>
  <c r="X241" i="20"/>
  <c r="U242" i="20"/>
  <c r="R243" i="20"/>
  <c r="Z243" i="20"/>
  <c r="W244" i="20"/>
  <c r="T245" i="20"/>
  <c r="Q246" i="20"/>
  <c r="Y246" i="20"/>
  <c r="V247" i="20"/>
  <c r="S248" i="20"/>
  <c r="P249" i="20"/>
  <c r="X249" i="20"/>
  <c r="U250" i="20"/>
  <c r="R251" i="20"/>
  <c r="Z251" i="20"/>
  <c r="W252" i="20"/>
  <c r="T253" i="20"/>
  <c r="Q254" i="20"/>
  <c r="Y254" i="20"/>
  <c r="V255" i="20"/>
  <c r="S256" i="20"/>
  <c r="P257" i="20"/>
  <c r="X257" i="20"/>
  <c r="U258" i="20"/>
  <c r="R259" i="20"/>
  <c r="Z259" i="20"/>
  <c r="W260" i="20"/>
  <c r="T261" i="20"/>
  <c r="Q262" i="20"/>
  <c r="Y262" i="20"/>
  <c r="V263" i="20"/>
  <c r="S264" i="20"/>
  <c r="P265" i="20"/>
  <c r="X265" i="20"/>
  <c r="U266" i="20"/>
  <c r="R267" i="20"/>
  <c r="Z267" i="20"/>
  <c r="W268" i="20"/>
  <c r="T269" i="20"/>
  <c r="Q270" i="20"/>
  <c r="Y270" i="20"/>
  <c r="V271" i="20"/>
  <c r="S272" i="20"/>
  <c r="P273" i="20"/>
  <c r="X273" i="20"/>
  <c r="U274" i="20"/>
  <c r="R275" i="20"/>
  <c r="Z275" i="20"/>
  <c r="W276" i="20"/>
  <c r="T277" i="20"/>
  <c r="Q278" i="20"/>
  <c r="Y278" i="20"/>
  <c r="V279" i="20"/>
  <c r="S280" i="20"/>
  <c r="P281" i="20"/>
  <c r="X281" i="20"/>
  <c r="U282" i="20"/>
  <c r="R283" i="20"/>
  <c r="R222" i="20"/>
  <c r="Z222" i="20"/>
  <c r="W223" i="20"/>
  <c r="T224" i="20"/>
  <c r="Q225" i="20"/>
  <c r="Y225" i="20"/>
  <c r="V226" i="20"/>
  <c r="S227" i="20"/>
  <c r="P228" i="20"/>
  <c r="X228" i="20"/>
  <c r="U229" i="20"/>
  <c r="R230" i="20"/>
  <c r="Z230" i="20"/>
  <c r="W231" i="20"/>
  <c r="T232" i="20"/>
  <c r="Q233" i="20"/>
  <c r="Y233" i="20"/>
  <c r="V234" i="20"/>
  <c r="S235" i="20"/>
  <c r="P236" i="20"/>
  <c r="X236" i="20"/>
  <c r="U237" i="20"/>
  <c r="R238" i="20"/>
  <c r="Z238" i="20"/>
  <c r="W239" i="20"/>
  <c r="T240" i="20"/>
  <c r="Q241" i="20"/>
  <c r="Y241" i="20"/>
  <c r="V242" i="20"/>
  <c r="S243" i="20"/>
  <c r="P244" i="20"/>
  <c r="X244" i="20"/>
  <c r="U245" i="20"/>
  <c r="R246" i="20"/>
  <c r="Z246" i="20"/>
  <c r="W247" i="20"/>
  <c r="T248" i="20"/>
  <c r="Q249" i="20"/>
  <c r="Y249" i="20"/>
  <c r="V250" i="20"/>
  <c r="S251" i="20"/>
  <c r="P252" i="20"/>
  <c r="X252" i="20"/>
  <c r="U253" i="20"/>
  <c r="R254" i="20"/>
  <c r="Z254" i="20"/>
  <c r="W255" i="20"/>
  <c r="T256" i="20"/>
  <c r="Q257" i="20"/>
  <c r="Y257" i="20"/>
  <c r="V258" i="20"/>
  <c r="S259" i="20"/>
  <c r="P260" i="20"/>
  <c r="X260" i="20"/>
  <c r="U261" i="20"/>
  <c r="R262" i="20"/>
  <c r="Z262" i="20"/>
  <c r="W263" i="20"/>
  <c r="T264" i="20"/>
  <c r="Q265" i="20"/>
  <c r="Y265" i="20"/>
  <c r="V266" i="20"/>
  <c r="S267" i="20"/>
  <c r="P268" i="20"/>
  <c r="X268" i="20"/>
  <c r="U269" i="20"/>
  <c r="R270" i="20"/>
  <c r="Z270" i="20"/>
  <c r="W271" i="20"/>
  <c r="T272" i="20"/>
  <c r="Q273" i="20"/>
  <c r="Y273" i="20"/>
  <c r="V274" i="20"/>
  <c r="S275" i="20"/>
  <c r="P276" i="20"/>
  <c r="X276" i="20"/>
  <c r="U277" i="20"/>
  <c r="R278" i="20"/>
  <c r="Z278" i="20"/>
  <c r="W279" i="20"/>
  <c r="T280" i="20"/>
  <c r="Q281" i="20"/>
  <c r="Y281" i="20"/>
  <c r="V282" i="20"/>
  <c r="S283" i="20"/>
  <c r="T222" i="20"/>
  <c r="Q223" i="20"/>
  <c r="Y223" i="20"/>
  <c r="V224" i="20"/>
  <c r="S225" i="20"/>
  <c r="P226" i="20"/>
  <c r="X226" i="20"/>
  <c r="U227" i="20"/>
  <c r="R228" i="20"/>
  <c r="Z228" i="20"/>
  <c r="W229" i="20"/>
  <c r="T230" i="20"/>
  <c r="Q231" i="20"/>
  <c r="Y231" i="20"/>
  <c r="V232" i="20"/>
  <c r="S233" i="20"/>
  <c r="P234" i="20"/>
  <c r="X234" i="20"/>
  <c r="U235" i="20"/>
  <c r="R236" i="20"/>
  <c r="Z236" i="20"/>
  <c r="W237" i="20"/>
  <c r="T238" i="20"/>
  <c r="Q239" i="20"/>
  <c r="Y239" i="20"/>
  <c r="V240" i="20"/>
  <c r="S241" i="20"/>
  <c r="P242" i="20"/>
  <c r="X242" i="20"/>
  <c r="U243" i="20"/>
  <c r="R244" i="20"/>
  <c r="Z244" i="20"/>
  <c r="W245" i="20"/>
  <c r="T246" i="20"/>
  <c r="Q247" i="20"/>
  <c r="Y247" i="20"/>
  <c r="V248" i="20"/>
  <c r="S249" i="20"/>
  <c r="P250" i="20"/>
  <c r="X250" i="20"/>
  <c r="U251" i="20"/>
  <c r="R252" i="20"/>
  <c r="Z252" i="20"/>
  <c r="W253" i="20"/>
  <c r="T254" i="20"/>
  <c r="Q255" i="20"/>
  <c r="Y255" i="20"/>
  <c r="V256" i="20"/>
  <c r="S257" i="20"/>
  <c r="P258" i="20"/>
  <c r="X258" i="20"/>
  <c r="U259" i="20"/>
  <c r="R260" i="20"/>
  <c r="Z260" i="20"/>
  <c r="W261" i="20"/>
  <c r="T262" i="20"/>
  <c r="Q263" i="20"/>
  <c r="Y263" i="20"/>
  <c r="V264" i="20"/>
  <c r="S265" i="20"/>
  <c r="P266" i="20"/>
  <c r="X266" i="20"/>
  <c r="U267" i="20"/>
  <c r="R268" i="20"/>
  <c r="Z268" i="20"/>
  <c r="W269" i="20"/>
  <c r="T270" i="20"/>
  <c r="Q271" i="20"/>
  <c r="Y271" i="20"/>
  <c r="V272" i="20"/>
  <c r="S273" i="20"/>
  <c r="P274" i="20"/>
  <c r="X274" i="20"/>
  <c r="U275" i="20"/>
  <c r="R276" i="20"/>
  <c r="Z276" i="20"/>
  <c r="W277" i="20"/>
  <c r="T278" i="20"/>
  <c r="Q279" i="20"/>
  <c r="Y279" i="20"/>
  <c r="V280" i="20"/>
  <c r="S281" i="20"/>
  <c r="P282" i="20"/>
  <c r="X282" i="20"/>
  <c r="U283" i="20"/>
  <c r="W224" i="20"/>
  <c r="V227" i="20"/>
  <c r="U230" i="20"/>
  <c r="T233" i="20"/>
  <c r="S236" i="20"/>
  <c r="R239" i="20"/>
  <c r="Q242" i="20"/>
  <c r="P245" i="20"/>
  <c r="Z247" i="20"/>
  <c r="Y250" i="20"/>
  <c r="X253" i="20"/>
  <c r="W256" i="20"/>
  <c r="V259" i="20"/>
  <c r="U262" i="20"/>
  <c r="T265" i="20"/>
  <c r="S268" i="20"/>
  <c r="R271" i="20"/>
  <c r="Q274" i="20"/>
  <c r="Y276" i="20"/>
  <c r="W278" i="20"/>
  <c r="W280" i="20"/>
  <c r="W282" i="20"/>
  <c r="Z283" i="20"/>
  <c r="W284" i="20"/>
  <c r="T285" i="20"/>
  <c r="Q286" i="20"/>
  <c r="Y286" i="20"/>
  <c r="V287" i="20"/>
  <c r="S288" i="20"/>
  <c r="P289" i="20"/>
  <c r="X289" i="20"/>
  <c r="U290" i="20"/>
  <c r="R291" i="20"/>
  <c r="Z291" i="20"/>
  <c r="W292" i="20"/>
  <c r="T293" i="20"/>
  <c r="Q294" i="20"/>
  <c r="Y294" i="20"/>
  <c r="V295" i="20"/>
  <c r="S296" i="20"/>
  <c r="P297" i="20"/>
  <c r="X297" i="20"/>
  <c r="U298" i="20"/>
  <c r="R299" i="20"/>
  <c r="Z299" i="20"/>
  <c r="W300" i="20"/>
  <c r="T301" i="20"/>
  <c r="Q302" i="20"/>
  <c r="Y302" i="20"/>
  <c r="V303" i="20"/>
  <c r="S304" i="20"/>
  <c r="P305" i="20"/>
  <c r="X305" i="20"/>
  <c r="U306" i="20"/>
  <c r="R307" i="20"/>
  <c r="Z307" i="20"/>
  <c r="W308" i="20"/>
  <c r="T309" i="20"/>
  <c r="Q310" i="20"/>
  <c r="Y310" i="20"/>
  <c r="V311" i="20"/>
  <c r="S312" i="20"/>
  <c r="P313" i="20"/>
  <c r="X313" i="20"/>
  <c r="U314" i="20"/>
  <c r="R315" i="20"/>
  <c r="Z315" i="20"/>
  <c r="W316" i="20"/>
  <c r="T317" i="20"/>
  <c r="Q318" i="20"/>
  <c r="Y318" i="20"/>
  <c r="V319" i="20"/>
  <c r="S320" i="20"/>
  <c r="S222" i="20"/>
  <c r="R225" i="20"/>
  <c r="Q228" i="20"/>
  <c r="P231" i="20"/>
  <c r="Z233" i="20"/>
  <c r="Y236" i="20"/>
  <c r="X239" i="20"/>
  <c r="W242" i="20"/>
  <c r="V245" i="20"/>
  <c r="U248" i="20"/>
  <c r="T251" i="20"/>
  <c r="S254" i="20"/>
  <c r="R257" i="20"/>
  <c r="Q260" i="20"/>
  <c r="P263" i="20"/>
  <c r="Z265" i="20"/>
  <c r="Y268" i="20"/>
  <c r="X271" i="20"/>
  <c r="W274" i="20"/>
  <c r="P277" i="20"/>
  <c r="P279" i="20"/>
  <c r="Y280" i="20"/>
  <c r="Y282" i="20"/>
  <c r="P284" i="20"/>
  <c r="X284" i="20"/>
  <c r="U285" i="20"/>
  <c r="R286" i="20"/>
  <c r="Z286" i="20"/>
  <c r="W287" i="20"/>
  <c r="T288" i="20"/>
  <c r="Q289" i="20"/>
  <c r="Y289" i="20"/>
  <c r="V290" i="20"/>
  <c r="S291" i="20"/>
  <c r="P292" i="20"/>
  <c r="X292" i="20"/>
  <c r="U293" i="20"/>
  <c r="R294" i="20"/>
  <c r="Z294" i="20"/>
  <c r="W295" i="20"/>
  <c r="T296" i="20"/>
  <c r="Q297" i="20"/>
  <c r="Y297" i="20"/>
  <c r="V298" i="20"/>
  <c r="S299" i="20"/>
  <c r="P300" i="20"/>
  <c r="X300" i="20"/>
  <c r="U301" i="20"/>
  <c r="R302" i="20"/>
  <c r="Z302" i="20"/>
  <c r="W303" i="20"/>
  <c r="T304" i="20"/>
  <c r="Q305" i="20"/>
  <c r="Y305" i="20"/>
  <c r="V306" i="20"/>
  <c r="S307" i="20"/>
  <c r="P308" i="20"/>
  <c r="X308" i="20"/>
  <c r="U309" i="20"/>
  <c r="R310" i="20"/>
  <c r="Z310" i="20"/>
  <c r="W311" i="20"/>
  <c r="T312" i="20"/>
  <c r="Q313" i="20"/>
  <c r="Y313" i="20"/>
  <c r="V314" i="20"/>
  <c r="S315" i="20"/>
  <c r="P316" i="20"/>
  <c r="X316" i="20"/>
  <c r="U317" i="20"/>
  <c r="R318" i="20"/>
  <c r="Z318" i="20"/>
  <c r="W319" i="20"/>
  <c r="T320" i="20"/>
  <c r="U222" i="20"/>
  <c r="T225" i="20"/>
  <c r="S228" i="20"/>
  <c r="R231" i="20"/>
  <c r="Q234" i="20"/>
  <c r="P237" i="20"/>
  <c r="Z239" i="20"/>
  <c r="Y242" i="20"/>
  <c r="X245" i="20"/>
  <c r="W248" i="20"/>
  <c r="V251" i="20"/>
  <c r="U254" i="20"/>
  <c r="T257" i="20"/>
  <c r="S260" i="20"/>
  <c r="R263" i="20"/>
  <c r="Q266" i="20"/>
  <c r="P269" i="20"/>
  <c r="Z271" i="20"/>
  <c r="Y274" i="20"/>
  <c r="R277" i="20"/>
  <c r="R279" i="20"/>
  <c r="R281" i="20"/>
  <c r="P283" i="20"/>
  <c r="Q284" i="20"/>
  <c r="Y284" i="20"/>
  <c r="V285" i="20"/>
  <c r="S286" i="20"/>
  <c r="P287" i="20"/>
  <c r="X287" i="20"/>
  <c r="U288" i="20"/>
  <c r="R289" i="20"/>
  <c r="Z289" i="20"/>
  <c r="W290" i="20"/>
  <c r="T291" i="20"/>
  <c r="Q292" i="20"/>
  <c r="Y292" i="20"/>
  <c r="V293" i="20"/>
  <c r="S294" i="20"/>
  <c r="P295" i="20"/>
  <c r="X295" i="20"/>
  <c r="U296" i="20"/>
  <c r="R297" i="20"/>
  <c r="Z297" i="20"/>
  <c r="W298" i="20"/>
  <c r="T299" i="20"/>
  <c r="Q300" i="20"/>
  <c r="Y300" i="20"/>
  <c r="V301" i="20"/>
  <c r="S302" i="20"/>
  <c r="P303" i="20"/>
  <c r="X303" i="20"/>
  <c r="U304" i="20"/>
  <c r="R305" i="20"/>
  <c r="Z305" i="20"/>
  <c r="W306" i="20"/>
  <c r="T307" i="20"/>
  <c r="Q308" i="20"/>
  <c r="Y308" i="20"/>
  <c r="V309" i="20"/>
  <c r="S310" i="20"/>
  <c r="P311" i="20"/>
  <c r="X311" i="20"/>
  <c r="U312" i="20"/>
  <c r="R313" i="20"/>
  <c r="Z313" i="20"/>
  <c r="W314" i="20"/>
  <c r="T315" i="20"/>
  <c r="Q316" i="20"/>
  <c r="Y316" i="20"/>
  <c r="V317" i="20"/>
  <c r="S318" i="20"/>
  <c r="P319" i="20"/>
  <c r="X319" i="20"/>
  <c r="U320" i="20"/>
  <c r="P223" i="20"/>
  <c r="Z225" i="20"/>
  <c r="Y228" i="20"/>
  <c r="X231" i="20"/>
  <c r="W234" i="20"/>
  <c r="V237" i="20"/>
  <c r="U240" i="20"/>
  <c r="T243" i="20"/>
  <c r="S246" i="20"/>
  <c r="R249" i="20"/>
  <c r="Q252" i="20"/>
  <c r="P255" i="20"/>
  <c r="Z257" i="20"/>
  <c r="Y260" i="20"/>
  <c r="X263" i="20"/>
  <c r="W266" i="20"/>
  <c r="V269" i="20"/>
  <c r="U272" i="20"/>
  <c r="T275" i="20"/>
  <c r="V277" i="20"/>
  <c r="T279" i="20"/>
  <c r="T281" i="20"/>
  <c r="T283" i="20"/>
  <c r="R284" i="20"/>
  <c r="Z284" i="20"/>
  <c r="W285" i="20"/>
  <c r="T286" i="20"/>
  <c r="Q287" i="20"/>
  <c r="Y287" i="20"/>
  <c r="V288" i="20"/>
  <c r="S289" i="20"/>
  <c r="P290" i="20"/>
  <c r="X290" i="20"/>
  <c r="U291" i="20"/>
  <c r="R292" i="20"/>
  <c r="Z292" i="20"/>
  <c r="W293" i="20"/>
  <c r="T294" i="20"/>
  <c r="Q295" i="20"/>
  <c r="Y295" i="20"/>
  <c r="V296" i="20"/>
  <c r="S297" i="20"/>
  <c r="P298" i="20"/>
  <c r="X298" i="20"/>
  <c r="U299" i="20"/>
  <c r="R300" i="20"/>
  <c r="Z300" i="20"/>
  <c r="W301" i="20"/>
  <c r="T302" i="20"/>
  <c r="Q303" i="20"/>
  <c r="Y303" i="20"/>
  <c r="V304" i="20"/>
  <c r="S305" i="20"/>
  <c r="P306" i="20"/>
  <c r="X306" i="20"/>
  <c r="U307" i="20"/>
  <c r="R308" i="20"/>
  <c r="Z308" i="20"/>
  <c r="W309" i="20"/>
  <c r="T310" i="20"/>
  <c r="Q311" i="20"/>
  <c r="Y311" i="20"/>
  <c r="V312" i="20"/>
  <c r="S313" i="20"/>
  <c r="P314" i="20"/>
  <c r="X314" i="20"/>
  <c r="U315" i="20"/>
  <c r="R316" i="20"/>
  <c r="Z316" i="20"/>
  <c r="W317" i="20"/>
  <c r="T318" i="20"/>
  <c r="Q319" i="20"/>
  <c r="Y319" i="20"/>
  <c r="V320" i="20"/>
  <c r="R223" i="20"/>
  <c r="Q226" i="20"/>
  <c r="P229" i="20"/>
  <c r="Z231" i="20"/>
  <c r="Y234" i="20"/>
  <c r="X237" i="20"/>
  <c r="W240" i="20"/>
  <c r="V243" i="20"/>
  <c r="U246" i="20"/>
  <c r="T249" i="20"/>
  <c r="S252" i="20"/>
  <c r="R255" i="20"/>
  <c r="Q258" i="20"/>
  <c r="P261" i="20"/>
  <c r="Z263" i="20"/>
  <c r="Y266" i="20"/>
  <c r="X269" i="20"/>
  <c r="W272" i="20"/>
  <c r="V275" i="20"/>
  <c r="X277" i="20"/>
  <c r="X279" i="20"/>
  <c r="V281" i="20"/>
  <c r="V283" i="20"/>
  <c r="S284" i="20"/>
  <c r="P285" i="20"/>
  <c r="X285" i="20"/>
  <c r="U286" i="20"/>
  <c r="R287" i="20"/>
  <c r="Z287" i="20"/>
  <c r="W288" i="20"/>
  <c r="T289" i="20"/>
  <c r="Q290" i="20"/>
  <c r="Y290" i="20"/>
  <c r="V291" i="20"/>
  <c r="S292" i="20"/>
  <c r="P293" i="20"/>
  <c r="X293" i="20"/>
  <c r="U294" i="20"/>
  <c r="R295" i="20"/>
  <c r="Z295" i="20"/>
  <c r="W296" i="20"/>
  <c r="T297" i="20"/>
  <c r="Q298" i="20"/>
  <c r="Y298" i="20"/>
  <c r="V299" i="20"/>
  <c r="S300" i="20"/>
  <c r="P301" i="20"/>
  <c r="X301" i="20"/>
  <c r="U302" i="20"/>
  <c r="R303" i="20"/>
  <c r="Z303" i="20"/>
  <c r="W304" i="20"/>
  <c r="T305" i="20"/>
  <c r="Q306" i="20"/>
  <c r="Y306" i="20"/>
  <c r="V307" i="20"/>
  <c r="S308" i="20"/>
  <c r="P309" i="20"/>
  <c r="X309" i="20"/>
  <c r="U310" i="20"/>
  <c r="R311" i="20"/>
  <c r="Z311" i="20"/>
  <c r="W312" i="20"/>
  <c r="T313" i="20"/>
  <c r="Q314" i="20"/>
  <c r="Y314" i="20"/>
  <c r="V315" i="20"/>
  <c r="S316" i="20"/>
  <c r="P317" i="20"/>
  <c r="X317" i="20"/>
  <c r="U318" i="20"/>
  <c r="R319" i="20"/>
  <c r="Z319" i="20"/>
  <c r="W320" i="20"/>
  <c r="R320" i="20"/>
  <c r="V318" i="20"/>
  <c r="U316" i="20"/>
  <c r="T314" i="20"/>
  <c r="X312" i="20"/>
  <c r="W310" i="20"/>
  <c r="V308" i="20"/>
  <c r="Z306" i="20"/>
  <c r="Y304" i="20"/>
  <c r="X302" i="20"/>
  <c r="Q301" i="20"/>
  <c r="P299" i="20"/>
  <c r="Z296" i="20"/>
  <c r="S295" i="20"/>
  <c r="R293" i="20"/>
  <c r="Q291" i="20"/>
  <c r="U289" i="20"/>
  <c r="T287" i="20"/>
  <c r="S285" i="20"/>
  <c r="W283" i="20"/>
  <c r="S278" i="20"/>
  <c r="P271" i="20"/>
  <c r="U264" i="20"/>
  <c r="Z255" i="20"/>
  <c r="X247" i="20"/>
  <c r="R241" i="20"/>
  <c r="W232" i="20"/>
  <c r="U224" i="20"/>
  <c r="Q320" i="20"/>
  <c r="P318" i="20"/>
  <c r="T316" i="20"/>
  <c r="S314" i="20"/>
  <c r="R312" i="20"/>
  <c r="V310" i="20"/>
  <c r="U308" i="20"/>
  <c r="T306" i="20"/>
  <c r="X304" i="20"/>
  <c r="W302" i="20"/>
  <c r="V300" i="20"/>
  <c r="Z298" i="20"/>
  <c r="Y296" i="20"/>
  <c r="X294" i="20"/>
  <c r="Q293" i="20"/>
  <c r="P291" i="20"/>
  <c r="Z288" i="20"/>
  <c r="S287" i="20"/>
  <c r="R285" i="20"/>
  <c r="S282" i="20"/>
  <c r="Z277" i="20"/>
  <c r="U270" i="20"/>
  <c r="S262" i="20"/>
  <c r="X255" i="20"/>
  <c r="R247" i="20"/>
  <c r="P239" i="20"/>
  <c r="U232" i="20"/>
  <c r="Z223" i="20"/>
  <c r="P320" i="20"/>
  <c r="Z317" i="20"/>
  <c r="Y315" i="20"/>
  <c r="R314" i="20"/>
  <c r="Q312" i="20"/>
  <c r="P310" i="20"/>
  <c r="T308" i="20"/>
  <c r="S306" i="20"/>
  <c r="R304" i="20"/>
  <c r="V302" i="20"/>
  <c r="U300" i="20"/>
  <c r="T298" i="20"/>
  <c r="X296" i="20"/>
  <c r="W294" i="20"/>
  <c r="V292" i="20"/>
  <c r="Z290" i="20"/>
  <c r="Y288" i="20"/>
  <c r="X286" i="20"/>
  <c r="Q285" i="20"/>
  <c r="Q282" i="20"/>
  <c r="U276" i="20"/>
  <c r="S270" i="20"/>
  <c r="X261" i="20"/>
  <c r="V253" i="20"/>
  <c r="P247" i="20"/>
  <c r="U238" i="20"/>
  <c r="S230" i="20"/>
  <c r="X223" i="20"/>
  <c r="U319" i="20"/>
  <c r="Y317" i="20"/>
  <c r="X315" i="20"/>
  <c r="W313" i="20"/>
  <c r="P312" i="20"/>
  <c r="Z309" i="20"/>
  <c r="Y307" i="20"/>
  <c r="R306" i="20"/>
  <c r="Q304" i="20"/>
  <c r="P302" i="20"/>
  <c r="T300" i="20"/>
  <c r="S298" i="20"/>
  <c r="R296" i="20"/>
  <c r="V294" i="20"/>
  <c r="U292" i="20"/>
  <c r="T290" i="20"/>
  <c r="X288" i="20"/>
  <c r="W286" i="20"/>
  <c r="V284" i="20"/>
  <c r="Z281" i="20"/>
  <c r="S276" i="20"/>
  <c r="Q268" i="20"/>
  <c r="V261" i="20"/>
  <c r="P253" i="20"/>
  <c r="Y244" i="20"/>
  <c r="S238" i="20"/>
  <c r="X229" i="20"/>
  <c r="Q221" i="20"/>
  <c r="R221" i="20"/>
  <c r="Z221" i="20"/>
  <c r="T221" i="20"/>
  <c r="U221" i="20"/>
  <c r="S221" i="20"/>
  <c r="V221" i="20"/>
  <c r="W221" i="20"/>
  <c r="X221" i="20"/>
  <c r="P221" i="20"/>
  <c r="Y221" i="20"/>
  <c r="P131" i="20"/>
  <c r="Y168" i="20"/>
  <c r="U183" i="20"/>
  <c r="Q194" i="20"/>
  <c r="S201" i="20"/>
  <c r="Q207" i="20"/>
  <c r="Y210" i="20"/>
  <c r="X218" i="20"/>
  <c r="S191" i="20"/>
  <c r="T186" i="20"/>
  <c r="V205" i="20"/>
  <c r="P213" i="20"/>
  <c r="Z220" i="20"/>
  <c r="Y138" i="20"/>
  <c r="T151" i="20"/>
  <c r="R157" i="20"/>
  <c r="X173" i="20"/>
  <c r="U180" i="20"/>
  <c r="S186" i="20"/>
  <c r="Z196" i="20"/>
  <c r="T203" i="20"/>
  <c r="R209" i="20"/>
  <c r="Z212" i="20"/>
  <c r="W216" i="20"/>
  <c r="V121" i="20"/>
  <c r="R131" i="20"/>
  <c r="W145" i="20"/>
  <c r="U151" i="20"/>
  <c r="Q163" i="20"/>
  <c r="Y173" i="20"/>
  <c r="W177" i="20"/>
  <c r="R184" i="20"/>
  <c r="P192" i="20"/>
  <c r="P197" i="20"/>
  <c r="W199" i="20"/>
  <c r="U203" i="20"/>
  <c r="R207" i="20"/>
  <c r="T211" i="20"/>
  <c r="Q215" i="20"/>
  <c r="Y218" i="20"/>
  <c r="T123" i="20"/>
  <c r="V145" i="20"/>
  <c r="P163" i="20"/>
  <c r="V177" i="20"/>
  <c r="Q189" i="20"/>
  <c r="Q199" i="20"/>
  <c r="P205" i="20"/>
  <c r="P215" i="20"/>
  <c r="Y220" i="20"/>
  <c r="U123" i="20"/>
  <c r="Z138" i="20"/>
  <c r="S157" i="20"/>
  <c r="Z168" i="20"/>
  <c r="V180" i="20"/>
  <c r="R189" i="20"/>
  <c r="R194" i="20"/>
  <c r="T201" i="20"/>
  <c r="S209" i="20"/>
  <c r="R217" i="20"/>
  <c r="U121" i="20"/>
  <c r="U214" i="20"/>
  <c r="Z204" i="20"/>
  <c r="R196" i="20"/>
  <c r="T188" i="20"/>
  <c r="W179" i="20"/>
  <c r="W161" i="20"/>
  <c r="R144" i="20"/>
  <c r="U216" i="20"/>
  <c r="U206" i="20"/>
  <c r="X198" i="20"/>
  <c r="S188" i="20"/>
  <c r="V179" i="20"/>
  <c r="V161" i="20"/>
  <c r="Q144" i="20"/>
  <c r="R129" i="20"/>
  <c r="Z215" i="20"/>
  <c r="R212" i="20"/>
  <c r="U208" i="20"/>
  <c r="T206" i="20"/>
  <c r="W202" i="20"/>
  <c r="V200" i="20"/>
  <c r="P198" i="20"/>
  <c r="Y195" i="20"/>
  <c r="T190" i="20"/>
  <c r="R188" i="20"/>
  <c r="T185" i="20"/>
  <c r="V182" i="20"/>
  <c r="U179" i="20"/>
  <c r="Y175" i="20"/>
  <c r="X171" i="20"/>
  <c r="P166" i="20"/>
  <c r="R160" i="20"/>
  <c r="T154" i="20"/>
  <c r="V148" i="20"/>
  <c r="W142" i="20"/>
  <c r="Q135" i="20"/>
  <c r="S127" i="20"/>
  <c r="S220" i="20"/>
  <c r="V216" i="20"/>
  <c r="Y212" i="20"/>
  <c r="W208" i="20"/>
  <c r="Y202" i="20"/>
  <c r="Z198" i="20"/>
  <c r="P194" i="20"/>
  <c r="R186" i="20"/>
  <c r="X176" i="20"/>
  <c r="U167" i="20"/>
  <c r="P150" i="20"/>
  <c r="P137" i="20"/>
  <c r="R220" i="20"/>
  <c r="T214" i="20"/>
  <c r="W210" i="20"/>
  <c r="Y204" i="20"/>
  <c r="W200" i="20"/>
  <c r="P196" i="20"/>
  <c r="Q191" i="20"/>
  <c r="U185" i="20"/>
  <c r="W176" i="20"/>
  <c r="T167" i="20"/>
  <c r="X155" i="20"/>
  <c r="Y136" i="20"/>
  <c r="P218" i="20"/>
  <c r="S214" i="20"/>
  <c r="Q210" i="20"/>
  <c r="S204" i="20"/>
  <c r="Q193" i="20"/>
  <c r="V219" i="20"/>
  <c r="Z217" i="20"/>
  <c r="Y215" i="20"/>
  <c r="X213" i="20"/>
  <c r="Q212" i="20"/>
  <c r="P210" i="20"/>
  <c r="Z207" i="20"/>
  <c r="S206" i="20"/>
  <c r="R204" i="20"/>
  <c r="Q202" i="20"/>
  <c r="U200" i="20"/>
  <c r="Z197" i="20"/>
  <c r="Q195" i="20"/>
  <c r="Z192" i="20"/>
  <c r="R190" i="20"/>
  <c r="U187" i="20"/>
  <c r="S185" i="20"/>
  <c r="U182" i="20"/>
  <c r="X178" i="20"/>
  <c r="W175" i="20"/>
  <c r="W171" i="20"/>
  <c r="Z165" i="20"/>
  <c r="Q160" i="20"/>
  <c r="S154" i="20"/>
  <c r="U148" i="20"/>
  <c r="V142" i="20"/>
  <c r="P135" i="20"/>
  <c r="T122" i="20"/>
  <c r="Q123" i="20"/>
  <c r="Y123" i="20"/>
  <c r="V124" i="20"/>
  <c r="S125" i="20"/>
  <c r="P126" i="20"/>
  <c r="X126" i="20"/>
  <c r="U127" i="20"/>
  <c r="R128" i="20"/>
  <c r="Z128" i="20"/>
  <c r="W129" i="20"/>
  <c r="T130" i="20"/>
  <c r="Q131" i="20"/>
  <c r="Y131" i="20"/>
  <c r="V132" i="20"/>
  <c r="S133" i="20"/>
  <c r="P134" i="20"/>
  <c r="X134" i="20"/>
  <c r="U135" i="20"/>
  <c r="R136" i="20"/>
  <c r="Z136" i="20"/>
  <c r="W137" i="20"/>
  <c r="T138" i="20"/>
  <c r="Q139" i="20"/>
  <c r="Y139" i="20"/>
  <c r="V140" i="20"/>
  <c r="S141" i="20"/>
  <c r="V122" i="20"/>
  <c r="S123" i="20"/>
  <c r="P124" i="20"/>
  <c r="X124" i="20"/>
  <c r="U125" i="20"/>
  <c r="R126" i="20"/>
  <c r="Z126" i="20"/>
  <c r="W127" i="20"/>
  <c r="T128" i="20"/>
  <c r="Q129" i="20"/>
  <c r="Y129" i="20"/>
  <c r="V130" i="20"/>
  <c r="S131" i="20"/>
  <c r="P132" i="20"/>
  <c r="X132" i="20"/>
  <c r="U133" i="20"/>
  <c r="R134" i="20"/>
  <c r="Z134" i="20"/>
  <c r="W135" i="20"/>
  <c r="T136" i="20"/>
  <c r="Q137" i="20"/>
  <c r="Y137" i="20"/>
  <c r="V138" i="20"/>
  <c r="S139" i="20"/>
  <c r="P140" i="20"/>
  <c r="X140" i="20"/>
  <c r="U141" i="20"/>
  <c r="R142" i="20"/>
  <c r="Z142" i="20"/>
  <c r="W122" i="20"/>
  <c r="V123" i="20"/>
  <c r="U124" i="20"/>
  <c r="V125" i="20"/>
  <c r="U126" i="20"/>
  <c r="T127" i="20"/>
  <c r="U128" i="20"/>
  <c r="T129" i="20"/>
  <c r="S130" i="20"/>
  <c r="T131" i="20"/>
  <c r="S132" i="20"/>
  <c r="R133" i="20"/>
  <c r="S134" i="20"/>
  <c r="R135" i="20"/>
  <c r="Q136" i="20"/>
  <c r="R137" i="20"/>
  <c r="Q138" i="20"/>
  <c r="P139" i="20"/>
  <c r="Q140" i="20"/>
  <c r="P141" i="20"/>
  <c r="Z141" i="20"/>
  <c r="X142" i="20"/>
  <c r="V143" i="20"/>
  <c r="S144" i="20"/>
  <c r="P145" i="20"/>
  <c r="X145" i="20"/>
  <c r="U146" i="20"/>
  <c r="R147" i="20"/>
  <c r="Z147" i="20"/>
  <c r="W148" i="20"/>
  <c r="T149" i="20"/>
  <c r="Q150" i="20"/>
  <c r="Y150" i="20"/>
  <c r="V151" i="20"/>
  <c r="S152" i="20"/>
  <c r="P153" i="20"/>
  <c r="X153" i="20"/>
  <c r="U154" i="20"/>
  <c r="R155" i="20"/>
  <c r="Z155" i="20"/>
  <c r="W156" i="20"/>
  <c r="T157" i="20"/>
  <c r="Q158" i="20"/>
  <c r="Y158" i="20"/>
  <c r="V159" i="20"/>
  <c r="S160" i="20"/>
  <c r="P161" i="20"/>
  <c r="X161" i="20"/>
  <c r="U162" i="20"/>
  <c r="R163" i="20"/>
  <c r="Z163" i="20"/>
  <c r="W164" i="20"/>
  <c r="T165" i="20"/>
  <c r="Q166" i="20"/>
  <c r="Y166" i="20"/>
  <c r="V167" i="20"/>
  <c r="S168" i="20"/>
  <c r="P169" i="20"/>
  <c r="X169" i="20"/>
  <c r="U170" i="20"/>
  <c r="R171" i="20"/>
  <c r="Z171" i="20"/>
  <c r="W172" i="20"/>
  <c r="T173" i="20"/>
  <c r="Q174" i="20"/>
  <c r="Y174" i="20"/>
  <c r="V175" i="20"/>
  <c r="S176" i="20"/>
  <c r="P177" i="20"/>
  <c r="X177" i="20"/>
  <c r="U178" i="20"/>
  <c r="R179" i="20"/>
  <c r="Z179" i="20"/>
  <c r="W180" i="20"/>
  <c r="T181" i="20"/>
  <c r="Q182" i="20"/>
  <c r="Y182" i="20"/>
  <c r="V183" i="20"/>
  <c r="S184" i="20"/>
  <c r="P185" i="20"/>
  <c r="X185" i="20"/>
  <c r="U186" i="20"/>
  <c r="R187" i="20"/>
  <c r="Z187" i="20"/>
  <c r="W188" i="20"/>
  <c r="T189" i="20"/>
  <c r="Q190" i="20"/>
  <c r="Y190" i="20"/>
  <c r="V191" i="20"/>
  <c r="S192" i="20"/>
  <c r="P193" i="20"/>
  <c r="X193" i="20"/>
  <c r="U194" i="20"/>
  <c r="R195" i="20"/>
  <c r="Z195" i="20"/>
  <c r="W196" i="20"/>
  <c r="T197" i="20"/>
  <c r="Q198" i="20"/>
  <c r="Y198" i="20"/>
  <c r="X122" i="20"/>
  <c r="W123" i="20"/>
  <c r="W124" i="20"/>
  <c r="W125" i="20"/>
  <c r="V126" i="20"/>
  <c r="V127" i="20"/>
  <c r="V128" i="20"/>
  <c r="U129" i="20"/>
  <c r="U130" i="20"/>
  <c r="U131" i="20"/>
  <c r="T132" i="20"/>
  <c r="T133" i="20"/>
  <c r="T134" i="20"/>
  <c r="S135" i="20"/>
  <c r="S136" i="20"/>
  <c r="S137" i="20"/>
  <c r="R138" i="20"/>
  <c r="R139" i="20"/>
  <c r="R140" i="20"/>
  <c r="Q141" i="20"/>
  <c r="P142" i="20"/>
  <c r="Y142" i="20"/>
  <c r="W143" i="20"/>
  <c r="T144" i="20"/>
  <c r="Q145" i="20"/>
  <c r="Y145" i="20"/>
  <c r="V146" i="20"/>
  <c r="S147" i="20"/>
  <c r="P148" i="20"/>
  <c r="X148" i="20"/>
  <c r="U149" i="20"/>
  <c r="R150" i="20"/>
  <c r="Z150" i="20"/>
  <c r="W151" i="20"/>
  <c r="T152" i="20"/>
  <c r="Q153" i="20"/>
  <c r="Y153" i="20"/>
  <c r="V154" i="20"/>
  <c r="S155" i="20"/>
  <c r="P156" i="20"/>
  <c r="X156" i="20"/>
  <c r="U157" i="20"/>
  <c r="R158" i="20"/>
  <c r="Z158" i="20"/>
  <c r="W159" i="20"/>
  <c r="T160" i="20"/>
  <c r="Q161" i="20"/>
  <c r="Y161" i="20"/>
  <c r="V162" i="20"/>
  <c r="S163" i="20"/>
  <c r="P164" i="20"/>
  <c r="X164" i="20"/>
  <c r="U165" i="20"/>
  <c r="R166" i="20"/>
  <c r="Z166" i="20"/>
  <c r="W167" i="20"/>
  <c r="T168" i="20"/>
  <c r="Q169" i="20"/>
  <c r="Y169" i="20"/>
  <c r="V170" i="20"/>
  <c r="Y122" i="20"/>
  <c r="X123" i="20"/>
  <c r="Y124" i="20"/>
  <c r="X125" i="20"/>
  <c r="W126" i="20"/>
  <c r="X127" i="20"/>
  <c r="W128" i="20"/>
  <c r="V129" i="20"/>
  <c r="W130" i="20"/>
  <c r="V131" i="20"/>
  <c r="U132" i="20"/>
  <c r="V133" i="20"/>
  <c r="U134" i="20"/>
  <c r="T135" i="20"/>
  <c r="U136" i="20"/>
  <c r="T137" i="20"/>
  <c r="S138" i="20"/>
  <c r="T139" i="20"/>
  <c r="S140" i="20"/>
  <c r="R141" i="20"/>
  <c r="Q142" i="20"/>
  <c r="P143" i="20"/>
  <c r="X143" i="20"/>
  <c r="U144" i="20"/>
  <c r="R145" i="20"/>
  <c r="Z145" i="20"/>
  <c r="W146" i="20"/>
  <c r="T147" i="20"/>
  <c r="Q148" i="20"/>
  <c r="Y148" i="20"/>
  <c r="V149" i="20"/>
  <c r="S150" i="20"/>
  <c r="P151" i="20"/>
  <c r="X151" i="20"/>
  <c r="U152" i="20"/>
  <c r="R153" i="20"/>
  <c r="Z153" i="20"/>
  <c r="W154" i="20"/>
  <c r="T155" i="20"/>
  <c r="Q156" i="20"/>
  <c r="Y156" i="20"/>
  <c r="V157" i="20"/>
  <c r="S158" i="20"/>
  <c r="P159" i="20"/>
  <c r="X159" i="20"/>
  <c r="U160" i="20"/>
  <c r="R161" i="20"/>
  <c r="Z161" i="20"/>
  <c r="W162" i="20"/>
  <c r="T163" i="20"/>
  <c r="Q164" i="20"/>
  <c r="Y164" i="20"/>
  <c r="V165" i="20"/>
  <c r="S166" i="20"/>
  <c r="P167" i="20"/>
  <c r="X167" i="20"/>
  <c r="U168" i="20"/>
  <c r="R169" i="20"/>
  <c r="Z169" i="20"/>
  <c r="W170" i="20"/>
  <c r="T171" i="20"/>
  <c r="Q172" i="20"/>
  <c r="Y172" i="20"/>
  <c r="V173" i="20"/>
  <c r="S174" i="20"/>
  <c r="P175" i="20"/>
  <c r="X175" i="20"/>
  <c r="U176" i="20"/>
  <c r="R177" i="20"/>
  <c r="Z177" i="20"/>
  <c r="W178" i="20"/>
  <c r="T179" i="20"/>
  <c r="Q180" i="20"/>
  <c r="Y180" i="20"/>
  <c r="V181" i="20"/>
  <c r="S182" i="20"/>
  <c r="P183" i="20"/>
  <c r="X183" i="20"/>
  <c r="U184" i="20"/>
  <c r="R185" i="20"/>
  <c r="Z185" i="20"/>
  <c r="W186" i="20"/>
  <c r="T187" i="20"/>
  <c r="Q188" i="20"/>
  <c r="Y188" i="20"/>
  <c r="V189" i="20"/>
  <c r="S190" i="20"/>
  <c r="P191" i="20"/>
  <c r="X191" i="20"/>
  <c r="U192" i="20"/>
  <c r="R193" i="20"/>
  <c r="Z193" i="20"/>
  <c r="W194" i="20"/>
  <c r="T195" i="20"/>
  <c r="Q196" i="20"/>
  <c r="Y196" i="20"/>
  <c r="V197" i="20"/>
  <c r="S198" i="20"/>
  <c r="P199" i="20"/>
  <c r="X199" i="20"/>
  <c r="P122" i="20"/>
  <c r="Z122" i="20"/>
  <c r="Z123" i="20"/>
  <c r="Z124" i="20"/>
  <c r="Y125" i="20"/>
  <c r="Y126" i="20"/>
  <c r="Y127" i="20"/>
  <c r="X128" i="20"/>
  <c r="X129" i="20"/>
  <c r="X130" i="20"/>
  <c r="W131" i="20"/>
  <c r="W132" i="20"/>
  <c r="W133" i="20"/>
  <c r="V134" i="20"/>
  <c r="V135" i="20"/>
  <c r="V136" i="20"/>
  <c r="U137" i="20"/>
  <c r="U138" i="20"/>
  <c r="U139" i="20"/>
  <c r="T140" i="20"/>
  <c r="T141" i="20"/>
  <c r="S142" i="20"/>
  <c r="Q143" i="20"/>
  <c r="Y143" i="20"/>
  <c r="V144" i="20"/>
  <c r="S145" i="20"/>
  <c r="P146" i="20"/>
  <c r="X146" i="20"/>
  <c r="U147" i="20"/>
  <c r="R148" i="20"/>
  <c r="Z148" i="20"/>
  <c r="W149" i="20"/>
  <c r="T150" i="20"/>
  <c r="Q151" i="20"/>
  <c r="Y151" i="20"/>
  <c r="V152" i="20"/>
  <c r="S153" i="20"/>
  <c r="P154" i="20"/>
  <c r="X154" i="20"/>
  <c r="U155" i="20"/>
  <c r="R156" i="20"/>
  <c r="Z156" i="20"/>
  <c r="W157" i="20"/>
  <c r="T158" i="20"/>
  <c r="Q159" i="20"/>
  <c r="Y159" i="20"/>
  <c r="V160" i="20"/>
  <c r="S161" i="20"/>
  <c r="P162" i="20"/>
  <c r="X162" i="20"/>
  <c r="U163" i="20"/>
  <c r="R164" i="20"/>
  <c r="Z164" i="20"/>
  <c r="W165" i="20"/>
  <c r="T166" i="20"/>
  <c r="Q167" i="20"/>
  <c r="Y167" i="20"/>
  <c r="V168" i="20"/>
  <c r="S169" i="20"/>
  <c r="P170" i="20"/>
  <c r="X170" i="20"/>
  <c r="U171" i="20"/>
  <c r="R172" i="20"/>
  <c r="Q122" i="20"/>
  <c r="Q124" i="20"/>
  <c r="Z125" i="20"/>
  <c r="Z127" i="20"/>
  <c r="Z129" i="20"/>
  <c r="X131" i="20"/>
  <c r="X133" i="20"/>
  <c r="X135" i="20"/>
  <c r="V137" i="20"/>
  <c r="V139" i="20"/>
  <c r="V141" i="20"/>
  <c r="R143" i="20"/>
  <c r="W144" i="20"/>
  <c r="Q146" i="20"/>
  <c r="V147" i="20"/>
  <c r="P149" i="20"/>
  <c r="U150" i="20"/>
  <c r="Z151" i="20"/>
  <c r="T153" i="20"/>
  <c r="Y154" i="20"/>
  <c r="S156" i="20"/>
  <c r="X157" i="20"/>
  <c r="R159" i="20"/>
  <c r="W160" i="20"/>
  <c r="Q162" i="20"/>
  <c r="V163" i="20"/>
  <c r="P165" i="20"/>
  <c r="U166" i="20"/>
  <c r="Z167" i="20"/>
  <c r="T169" i="20"/>
  <c r="Y170" i="20"/>
  <c r="Y171" i="20"/>
  <c r="P173" i="20"/>
  <c r="Z173" i="20"/>
  <c r="Z174" i="20"/>
  <c r="Z175" i="20"/>
  <c r="Y176" i="20"/>
  <c r="Y177" i="20"/>
  <c r="Y178" i="20"/>
  <c r="X179" i="20"/>
  <c r="X180" i="20"/>
  <c r="X181" i="20"/>
  <c r="W182" i="20"/>
  <c r="W183" i="20"/>
  <c r="W184" i="20"/>
  <c r="V185" i="20"/>
  <c r="V186" i="20"/>
  <c r="V187" i="20"/>
  <c r="U188" i="20"/>
  <c r="U189" i="20"/>
  <c r="U190" i="20"/>
  <c r="T191" i="20"/>
  <c r="T192" i="20"/>
  <c r="T193" i="20"/>
  <c r="S194" i="20"/>
  <c r="S195" i="20"/>
  <c r="S196" i="20"/>
  <c r="R197" i="20"/>
  <c r="R198" i="20"/>
  <c r="R199" i="20"/>
  <c r="P200" i="20"/>
  <c r="X200" i="20"/>
  <c r="U201" i="20"/>
  <c r="R202" i="20"/>
  <c r="Z202" i="20"/>
  <c r="W203" i="20"/>
  <c r="T204" i="20"/>
  <c r="Q205" i="20"/>
  <c r="Y205" i="20"/>
  <c r="V206" i="20"/>
  <c r="S207" i="20"/>
  <c r="P208" i="20"/>
  <c r="X208" i="20"/>
  <c r="U209" i="20"/>
  <c r="R210" i="20"/>
  <c r="Z210" i="20"/>
  <c r="W211" i="20"/>
  <c r="T212" i="20"/>
  <c r="Q213" i="20"/>
  <c r="Y213" i="20"/>
  <c r="V214" i="20"/>
  <c r="S215" i="20"/>
  <c r="P216" i="20"/>
  <c r="X216" i="20"/>
  <c r="U217" i="20"/>
  <c r="R218" i="20"/>
  <c r="Z218" i="20"/>
  <c r="W219" i="20"/>
  <c r="T220" i="20"/>
  <c r="W121" i="20"/>
  <c r="R121" i="20"/>
  <c r="P127" i="20"/>
  <c r="Y130" i="20"/>
  <c r="W138" i="20"/>
  <c r="T145" i="20"/>
  <c r="S148" i="20"/>
  <c r="W152" i="20"/>
  <c r="Q154" i="20"/>
  <c r="U158" i="20"/>
  <c r="T161" i="20"/>
  <c r="X165" i="20"/>
  <c r="W168" i="20"/>
  <c r="S171" i="20"/>
  <c r="U174" i="20"/>
  <c r="T176" i="20"/>
  <c r="S180" i="20"/>
  <c r="R183" i="20"/>
  <c r="Q185" i="20"/>
  <c r="P189" i="20"/>
  <c r="Y192" i="20"/>
  <c r="X196" i="20"/>
  <c r="W198" i="20"/>
  <c r="Y201" i="20"/>
  <c r="X204" i="20"/>
  <c r="Z206" i="20"/>
  <c r="Y209" i="20"/>
  <c r="X212" i="20"/>
  <c r="W215" i="20"/>
  <c r="S219" i="20"/>
  <c r="Q127" i="20"/>
  <c r="Y134" i="20"/>
  <c r="P144" i="20"/>
  <c r="T148" i="20"/>
  <c r="S151" i="20"/>
  <c r="W155" i="20"/>
  <c r="V158" i="20"/>
  <c r="Z162" i="20"/>
  <c r="Y165" i="20"/>
  <c r="X168" i="20"/>
  <c r="W173" i="20"/>
  <c r="U177" i="20"/>
  <c r="S181" i="20"/>
  <c r="R122" i="20"/>
  <c r="R124" i="20"/>
  <c r="Q126" i="20"/>
  <c r="P128" i="20"/>
  <c r="P130" i="20"/>
  <c r="Z131" i="20"/>
  <c r="Y133" i="20"/>
  <c r="Y135" i="20"/>
  <c r="X137" i="20"/>
  <c r="W139" i="20"/>
  <c r="W141" i="20"/>
  <c r="S143" i="20"/>
  <c r="X144" i="20"/>
  <c r="R146" i="20"/>
  <c r="W147" i="20"/>
  <c r="Q149" i="20"/>
  <c r="V150" i="20"/>
  <c r="P152" i="20"/>
  <c r="U153" i="20"/>
  <c r="Z154" i="20"/>
  <c r="T156" i="20"/>
  <c r="Y157" i="20"/>
  <c r="S159" i="20"/>
  <c r="X160" i="20"/>
  <c r="R162" i="20"/>
  <c r="W163" i="20"/>
  <c r="Q165" i="20"/>
  <c r="V166" i="20"/>
  <c r="P168" i="20"/>
  <c r="U169" i="20"/>
  <c r="Z170" i="20"/>
  <c r="P172" i="20"/>
  <c r="Q173" i="20"/>
  <c r="P174" i="20"/>
  <c r="Q175" i="20"/>
  <c r="P176" i="20"/>
  <c r="Z176" i="20"/>
  <c r="P178" i="20"/>
  <c r="Z178" i="20"/>
  <c r="Y179" i="20"/>
  <c r="Z180" i="20"/>
  <c r="Y181" i="20"/>
  <c r="X182" i="20"/>
  <c r="Y183" i="20"/>
  <c r="X184" i="20"/>
  <c r="W185" i="20"/>
  <c r="X186" i="20"/>
  <c r="W187" i="20"/>
  <c r="V188" i="20"/>
  <c r="W189" i="20"/>
  <c r="V190" i="20"/>
  <c r="U191" i="20"/>
  <c r="V192" i="20"/>
  <c r="U193" i="20"/>
  <c r="T194" i="20"/>
  <c r="U195" i="20"/>
  <c r="T196" i="20"/>
  <c r="S197" i="20"/>
  <c r="T198" i="20"/>
  <c r="S199" i="20"/>
  <c r="Q200" i="20"/>
  <c r="Y200" i="20"/>
  <c r="V201" i="20"/>
  <c r="S202" i="20"/>
  <c r="P203" i="20"/>
  <c r="X203" i="20"/>
  <c r="U204" i="20"/>
  <c r="R205" i="20"/>
  <c r="Z205" i="20"/>
  <c r="W206" i="20"/>
  <c r="T207" i="20"/>
  <c r="Q208" i="20"/>
  <c r="Y208" i="20"/>
  <c r="V209" i="20"/>
  <c r="S210" i="20"/>
  <c r="P211" i="20"/>
  <c r="X211" i="20"/>
  <c r="U212" i="20"/>
  <c r="R213" i="20"/>
  <c r="Z213" i="20"/>
  <c r="W214" i="20"/>
  <c r="T215" i="20"/>
  <c r="Q216" i="20"/>
  <c r="Y216" i="20"/>
  <c r="V217" i="20"/>
  <c r="S218" i="20"/>
  <c r="P219" i="20"/>
  <c r="X219" i="20"/>
  <c r="U220" i="20"/>
  <c r="X121" i="20"/>
  <c r="P123" i="20"/>
  <c r="Y132" i="20"/>
  <c r="U140" i="20"/>
  <c r="Y146" i="20"/>
  <c r="V155" i="20"/>
  <c r="S164" i="20"/>
  <c r="U172" i="20"/>
  <c r="T177" i="20"/>
  <c r="R181" i="20"/>
  <c r="Q186" i="20"/>
  <c r="Z189" i="20"/>
  <c r="X195" i="20"/>
  <c r="T200" i="20"/>
  <c r="P204" i="20"/>
  <c r="T208" i="20"/>
  <c r="S211" i="20"/>
  <c r="Z214" i="20"/>
  <c r="V218" i="20"/>
  <c r="S121" i="20"/>
  <c r="Q125" i="20"/>
  <c r="Z132" i="20"/>
  <c r="W140" i="20"/>
  <c r="Z146" i="20"/>
  <c r="R154" i="20"/>
  <c r="P160" i="20"/>
  <c r="T164" i="20"/>
  <c r="R170" i="20"/>
  <c r="V174" i="20"/>
  <c r="S122" i="20"/>
  <c r="S124" i="20"/>
  <c r="S126" i="20"/>
  <c r="Q128" i="20"/>
  <c r="Q130" i="20"/>
  <c r="Q132" i="20"/>
  <c r="Z133" i="20"/>
  <c r="Z135" i="20"/>
  <c r="Z137" i="20"/>
  <c r="X139" i="20"/>
  <c r="X141" i="20"/>
  <c r="T143" i="20"/>
  <c r="Y144" i="20"/>
  <c r="S146" i="20"/>
  <c r="X147" i="20"/>
  <c r="R149" i="20"/>
  <c r="W150" i="20"/>
  <c r="Q152" i="20"/>
  <c r="V153" i="20"/>
  <c r="P155" i="20"/>
  <c r="U156" i="20"/>
  <c r="Z157" i="20"/>
  <c r="T159" i="20"/>
  <c r="Y160" i="20"/>
  <c r="S162" i="20"/>
  <c r="X163" i="20"/>
  <c r="R165" i="20"/>
  <c r="W166" i="20"/>
  <c r="Q168" i="20"/>
  <c r="V169" i="20"/>
  <c r="P171" i="20"/>
  <c r="S172" i="20"/>
  <c r="R173" i="20"/>
  <c r="R174" i="20"/>
  <c r="R175" i="20"/>
  <c r="Q176" i="20"/>
  <c r="Q177" i="20"/>
  <c r="Q178" i="20"/>
  <c r="P179" i="20"/>
  <c r="P180" i="20"/>
  <c r="P181" i="20"/>
  <c r="Z181" i="20"/>
  <c r="Z182" i="20"/>
  <c r="Z183" i="20"/>
  <c r="Y184" i="20"/>
  <c r="Y185" i="20"/>
  <c r="Y186" i="20"/>
  <c r="X187" i="20"/>
  <c r="X188" i="20"/>
  <c r="X189" i="20"/>
  <c r="W190" i="20"/>
  <c r="W191" i="20"/>
  <c r="W192" i="20"/>
  <c r="V193" i="20"/>
  <c r="V194" i="20"/>
  <c r="V195" i="20"/>
  <c r="U196" i="20"/>
  <c r="U197" i="20"/>
  <c r="U198" i="20"/>
  <c r="T199" i="20"/>
  <c r="R200" i="20"/>
  <c r="Z200" i="20"/>
  <c r="W201" i="20"/>
  <c r="T202" i="20"/>
  <c r="Q203" i="20"/>
  <c r="Y203" i="20"/>
  <c r="V204" i="20"/>
  <c r="S205" i="20"/>
  <c r="P206" i="20"/>
  <c r="X206" i="20"/>
  <c r="U207" i="20"/>
  <c r="R208" i="20"/>
  <c r="Z208" i="20"/>
  <c r="W209" i="20"/>
  <c r="T210" i="20"/>
  <c r="Q211" i="20"/>
  <c r="Y211" i="20"/>
  <c r="V212" i="20"/>
  <c r="S213" i="20"/>
  <c r="P214" i="20"/>
  <c r="X214" i="20"/>
  <c r="U215" i="20"/>
  <c r="R216" i="20"/>
  <c r="Z216" i="20"/>
  <c r="W217" i="20"/>
  <c r="T218" i="20"/>
  <c r="Q219" i="20"/>
  <c r="Y219" i="20"/>
  <c r="V220" i="20"/>
  <c r="Q121" i="20"/>
  <c r="Y121" i="20"/>
  <c r="U218" i="20"/>
  <c r="P125" i="20"/>
  <c r="W134" i="20"/>
  <c r="T142" i="20"/>
  <c r="X149" i="20"/>
  <c r="P157" i="20"/>
  <c r="Y162" i="20"/>
  <c r="Q170" i="20"/>
  <c r="T175" i="20"/>
  <c r="S179" i="20"/>
  <c r="Q184" i="20"/>
  <c r="P188" i="20"/>
  <c r="Z190" i="20"/>
  <c r="Y193" i="20"/>
  <c r="X197" i="20"/>
  <c r="Q201" i="20"/>
  <c r="S203" i="20"/>
  <c r="R206" i="20"/>
  <c r="W207" i="20"/>
  <c r="V210" i="20"/>
  <c r="P212" i="20"/>
  <c r="R214" i="20"/>
  <c r="T216" i="20"/>
  <c r="Y217" i="20"/>
  <c r="X220" i="20"/>
  <c r="P121" i="20"/>
  <c r="R123" i="20"/>
  <c r="P129" i="20"/>
  <c r="Z130" i="20"/>
  <c r="X138" i="20"/>
  <c r="U142" i="20"/>
  <c r="U145" i="20"/>
  <c r="Y149" i="20"/>
  <c r="X152" i="20"/>
  <c r="Q157" i="20"/>
  <c r="U161" i="20"/>
  <c r="S167" i="20"/>
  <c r="V171" i="20"/>
  <c r="V172" i="20"/>
  <c r="U175" i="20"/>
  <c r="V176" i="20"/>
  <c r="T180" i="20"/>
  <c r="T182" i="20"/>
  <c r="U122" i="20"/>
  <c r="T124" i="20"/>
  <c r="T126" i="20"/>
  <c r="S128" i="20"/>
  <c r="R130" i="20"/>
  <c r="R132" i="20"/>
  <c r="Q134" i="20"/>
  <c r="P136" i="20"/>
  <c r="P138" i="20"/>
  <c r="Z139" i="20"/>
  <c r="Y141" i="20"/>
  <c r="U143" i="20"/>
  <c r="Z144" i="20"/>
  <c r="T146" i="20"/>
  <c r="Y147" i="20"/>
  <c r="S149" i="20"/>
  <c r="X150" i="20"/>
  <c r="R152" i="20"/>
  <c r="W153" i="20"/>
  <c r="Q155" i="20"/>
  <c r="V156" i="20"/>
  <c r="P158" i="20"/>
  <c r="U159" i="20"/>
  <c r="Z160" i="20"/>
  <c r="T162" i="20"/>
  <c r="Y163" i="20"/>
  <c r="S165" i="20"/>
  <c r="X166" i="20"/>
  <c r="R168" i="20"/>
  <c r="W169" i="20"/>
  <c r="Q171" i="20"/>
  <c r="T172" i="20"/>
  <c r="S173" i="20"/>
  <c r="T174" i="20"/>
  <c r="S175" i="20"/>
  <c r="R176" i="20"/>
  <c r="S177" i="20"/>
  <c r="R178" i="20"/>
  <c r="Q179" i="20"/>
  <c r="R180" i="20"/>
  <c r="Q181" i="20"/>
  <c r="P182" i="20"/>
  <c r="Q183" i="20"/>
  <c r="P184" i="20"/>
  <c r="Z184" i="20"/>
  <c r="P186" i="20"/>
  <c r="Z186" i="20"/>
  <c r="Y187" i="20"/>
  <c r="Z188" i="20"/>
  <c r="Y189" i="20"/>
  <c r="X190" i="20"/>
  <c r="Y191" i="20"/>
  <c r="X192" i="20"/>
  <c r="W193" i="20"/>
  <c r="X194" i="20"/>
  <c r="W195" i="20"/>
  <c r="V196" i="20"/>
  <c r="W197" i="20"/>
  <c r="V198" i="20"/>
  <c r="U199" i="20"/>
  <c r="S200" i="20"/>
  <c r="P201" i="20"/>
  <c r="X201" i="20"/>
  <c r="U202" i="20"/>
  <c r="R203" i="20"/>
  <c r="Z203" i="20"/>
  <c r="W204" i="20"/>
  <c r="T205" i="20"/>
  <c r="Q206" i="20"/>
  <c r="Y206" i="20"/>
  <c r="V207" i="20"/>
  <c r="S208" i="20"/>
  <c r="P209" i="20"/>
  <c r="X209" i="20"/>
  <c r="U210" i="20"/>
  <c r="R211" i="20"/>
  <c r="Z211" i="20"/>
  <c r="W212" i="20"/>
  <c r="T213" i="20"/>
  <c r="Q214" i="20"/>
  <c r="Y214" i="20"/>
  <c r="V215" i="20"/>
  <c r="S216" i="20"/>
  <c r="P217" i="20"/>
  <c r="X217" i="20"/>
  <c r="R219" i="20"/>
  <c r="Z219" i="20"/>
  <c r="W220" i="20"/>
  <c r="Z121" i="20"/>
  <c r="Y128" i="20"/>
  <c r="W136" i="20"/>
  <c r="Z143" i="20"/>
  <c r="R151" i="20"/>
  <c r="Z159" i="20"/>
  <c r="R167" i="20"/>
  <c r="U173" i="20"/>
  <c r="S178" i="20"/>
  <c r="R182" i="20"/>
  <c r="P187" i="20"/>
  <c r="Z191" i="20"/>
  <c r="Y194" i="20"/>
  <c r="V199" i="20"/>
  <c r="V202" i="20"/>
  <c r="U205" i="20"/>
  <c r="Q209" i="20"/>
  <c r="U213" i="20"/>
  <c r="Q217" i="20"/>
  <c r="P220" i="20"/>
  <c r="X136" i="20"/>
  <c r="U219" i="20"/>
  <c r="T217" i="20"/>
  <c r="X215" i="20"/>
  <c r="V211" i="20"/>
  <c r="Z209" i="20"/>
  <c r="Y207" i="20"/>
  <c r="X205" i="20"/>
  <c r="Q204" i="20"/>
  <c r="P202" i="20"/>
  <c r="Z199" i="20"/>
  <c r="Y197" i="20"/>
  <c r="P195" i="20"/>
  <c r="R192" i="20"/>
  <c r="P190" i="20"/>
  <c r="S187" i="20"/>
  <c r="V184" i="20"/>
  <c r="W181" i="20"/>
  <c r="V178" i="20"/>
  <c r="X174" i="20"/>
  <c r="T170" i="20"/>
  <c r="V164" i="20"/>
  <c r="X158" i="20"/>
  <c r="Z152" i="20"/>
  <c r="Q147" i="20"/>
  <c r="Z140" i="20"/>
  <c r="Q133" i="20"/>
  <c r="T125" i="20"/>
  <c r="W218" i="20"/>
  <c r="X210" i="20"/>
  <c r="P207" i="20"/>
  <c r="R201" i="20"/>
  <c r="R191" i="20"/>
  <c r="T183" i="20"/>
  <c r="Z172" i="20"/>
  <c r="Y155" i="20"/>
  <c r="S129" i="20"/>
  <c r="T121" i="20"/>
  <c r="Q218" i="20"/>
  <c r="S212" i="20"/>
  <c r="V208" i="20"/>
  <c r="X202" i="20"/>
  <c r="S193" i="20"/>
  <c r="S183" i="20"/>
  <c r="X172" i="20"/>
  <c r="Z149" i="20"/>
  <c r="Q220" i="20"/>
  <c r="W213" i="20"/>
  <c r="T219" i="20"/>
  <c r="S217" i="20"/>
  <c r="R215" i="20"/>
  <c r="V213" i="20"/>
  <c r="U211" i="20"/>
  <c r="T209" i="20"/>
  <c r="X207" i="20"/>
  <c r="W205" i="20"/>
  <c r="V203" i="20"/>
  <c r="Z201" i="20"/>
  <c r="Y199" i="20"/>
  <c r="Q197" i="20"/>
  <c r="Z194" i="20"/>
  <c r="Q192" i="20"/>
  <c r="S189" i="20"/>
  <c r="Q187" i="20"/>
  <c r="T184" i="20"/>
  <c r="U181" i="20"/>
  <c r="T178" i="20"/>
  <c r="W174" i="20"/>
  <c r="S170" i="20"/>
  <c r="U164" i="20"/>
  <c r="W158" i="20"/>
  <c r="Y152" i="20"/>
  <c r="P147" i="20"/>
  <c r="Y140" i="20"/>
  <c r="P133" i="20"/>
  <c r="R125" i="20"/>
  <c r="X113" i="20"/>
  <c r="S108" i="20"/>
  <c r="U65" i="20"/>
  <c r="Q111" i="20"/>
  <c r="C111" i="20" s="1"/>
  <c r="Q103" i="20"/>
  <c r="C103" i="20" s="1"/>
  <c r="Y90" i="20"/>
  <c r="S64" i="20"/>
  <c r="U115" i="20"/>
  <c r="U110" i="20"/>
  <c r="T102" i="20"/>
  <c r="Z89" i="20"/>
  <c r="X81" i="20"/>
  <c r="T72" i="20"/>
  <c r="Y53" i="20"/>
  <c r="R42" i="20"/>
  <c r="R115" i="20"/>
  <c r="T110" i="20"/>
  <c r="U107" i="20"/>
  <c r="W101" i="20"/>
  <c r="X95" i="20"/>
  <c r="Q89" i="20"/>
  <c r="C89" i="20" s="1"/>
  <c r="U80" i="20"/>
  <c r="S71" i="20"/>
  <c r="U52" i="20"/>
  <c r="V38" i="20"/>
  <c r="R111" i="20"/>
  <c r="W91" i="20"/>
  <c r="W74" i="20"/>
  <c r="T113" i="20"/>
  <c r="R108" i="20"/>
  <c r="S97" i="20"/>
  <c r="Z82" i="20"/>
  <c r="Z54" i="20"/>
  <c r="Y43" i="20"/>
  <c r="S113" i="20"/>
  <c r="V96" i="20"/>
  <c r="Y114" i="20"/>
  <c r="W112" i="20"/>
  <c r="X109" i="20"/>
  <c r="X106" i="20"/>
  <c r="Z100" i="20"/>
  <c r="Z94" i="20"/>
  <c r="U79" i="20"/>
  <c r="Q70" i="20"/>
  <c r="C70" i="20" s="1"/>
  <c r="X60" i="20"/>
  <c r="Q34" i="20"/>
  <c r="C34" i="20" s="1"/>
  <c r="X114" i="20"/>
  <c r="V112" i="20"/>
  <c r="W109" i="20"/>
  <c r="R100" i="20"/>
  <c r="Q94" i="20"/>
  <c r="C94" i="20" s="1"/>
  <c r="S87" i="20"/>
  <c r="R78" i="20"/>
  <c r="Y68" i="20"/>
  <c r="W59" i="20"/>
  <c r="Y49" i="20"/>
  <c r="U28" i="20"/>
  <c r="R56" i="20"/>
  <c r="V115" i="20"/>
  <c r="W73" i="20"/>
  <c r="V107" i="20"/>
  <c r="S88" i="20"/>
  <c r="Q114" i="20"/>
  <c r="C114" i="20" s="1"/>
  <c r="Z111" i="20"/>
  <c r="S105" i="20"/>
  <c r="U99" i="20"/>
  <c r="S93" i="20"/>
  <c r="S86" i="20"/>
  <c r="Q77" i="20"/>
  <c r="C77" i="20" s="1"/>
  <c r="Y67" i="20"/>
  <c r="U58" i="20"/>
  <c r="T48" i="20"/>
  <c r="Q16" i="20"/>
  <c r="C16" i="20" s="1"/>
  <c r="W17" i="20"/>
  <c r="T18" i="20"/>
  <c r="Q19" i="20"/>
  <c r="C19" i="20" s="1"/>
  <c r="Y19" i="20"/>
  <c r="V20" i="20"/>
  <c r="S21" i="20"/>
  <c r="X22" i="20"/>
  <c r="U23" i="20"/>
  <c r="R24" i="20"/>
  <c r="X17" i="20"/>
  <c r="U18" i="20"/>
  <c r="R19" i="20"/>
  <c r="Z19" i="20"/>
  <c r="W20" i="20"/>
  <c r="Q17" i="20"/>
  <c r="C17" i="20" s="1"/>
  <c r="Y17" i="20"/>
  <c r="V18" i="20"/>
  <c r="S19" i="20"/>
  <c r="X20" i="20"/>
  <c r="U21" i="20"/>
  <c r="R22" i="20"/>
  <c r="Z22" i="20"/>
  <c r="W23" i="20"/>
  <c r="T24" i="20"/>
  <c r="Q25" i="20"/>
  <c r="C25" i="20" s="1"/>
  <c r="R17" i="20"/>
  <c r="Z17" i="20"/>
  <c r="W18" i="20"/>
  <c r="T19" i="20"/>
  <c r="Q20" i="20"/>
  <c r="C20" i="20" s="1"/>
  <c r="Y20" i="20"/>
  <c r="T17" i="20"/>
  <c r="Q18" i="20"/>
  <c r="C18" i="20" s="1"/>
  <c r="Y18" i="20"/>
  <c r="V19" i="20"/>
  <c r="S20" i="20"/>
  <c r="X21" i="20"/>
  <c r="U22" i="20"/>
  <c r="R23" i="20"/>
  <c r="Z23" i="20"/>
  <c r="W24" i="20"/>
  <c r="U17" i="20"/>
  <c r="R18" i="20"/>
  <c r="Z18" i="20"/>
  <c r="W19" i="20"/>
  <c r="T20" i="20"/>
  <c r="Q21" i="20"/>
  <c r="C21" i="20" s="1"/>
  <c r="Y21" i="20"/>
  <c r="V22" i="20"/>
  <c r="S23" i="20"/>
  <c r="X24" i="20"/>
  <c r="U25" i="20"/>
  <c r="R26" i="20"/>
  <c r="Z26" i="20"/>
  <c r="W27" i="20"/>
  <c r="T28" i="20"/>
  <c r="Q29" i="20"/>
  <c r="C29" i="20" s="1"/>
  <c r="Y29" i="20"/>
  <c r="V30" i="20"/>
  <c r="S31" i="20"/>
  <c r="X32" i="20"/>
  <c r="U33" i="20"/>
  <c r="R34" i="20"/>
  <c r="Z20" i="20"/>
  <c r="T22" i="20"/>
  <c r="Y23" i="20"/>
  <c r="R25" i="20"/>
  <c r="Y26" i="20"/>
  <c r="X27" i="20"/>
  <c r="V28" i="20"/>
  <c r="T29" i="20"/>
  <c r="R30" i="20"/>
  <c r="Y31" i="20"/>
  <c r="W32" i="20"/>
  <c r="V33" i="20"/>
  <c r="T34" i="20"/>
  <c r="Q35" i="20"/>
  <c r="C35" i="20" s="1"/>
  <c r="Y35" i="20"/>
  <c r="V36" i="20"/>
  <c r="S37" i="20"/>
  <c r="X38" i="20"/>
  <c r="U39" i="20"/>
  <c r="R40" i="20"/>
  <c r="Z40" i="20"/>
  <c r="W41" i="20"/>
  <c r="T42" i="20"/>
  <c r="S18" i="20"/>
  <c r="R21" i="20"/>
  <c r="W22" i="20"/>
  <c r="Q24" i="20"/>
  <c r="C24" i="20" s="1"/>
  <c r="S25" i="20"/>
  <c r="Q26" i="20"/>
  <c r="C26" i="20" s="1"/>
  <c r="Y27" i="20"/>
  <c r="W28" i="20"/>
  <c r="U29" i="20"/>
  <c r="S30" i="20"/>
  <c r="Q31" i="20"/>
  <c r="C31" i="20" s="1"/>
  <c r="Z31" i="20"/>
  <c r="Y32" i="20"/>
  <c r="W33" i="20"/>
  <c r="U34" i="20"/>
  <c r="R35" i="20"/>
  <c r="Z35" i="20"/>
  <c r="W36" i="20"/>
  <c r="T37" i="20"/>
  <c r="Q38" i="20"/>
  <c r="C38" i="20" s="1"/>
  <c r="Y38" i="20"/>
  <c r="V39" i="20"/>
  <c r="S40" i="20"/>
  <c r="X41" i="20"/>
  <c r="U42" i="20"/>
  <c r="X18" i="20"/>
  <c r="T21" i="20"/>
  <c r="Y22" i="20"/>
  <c r="S24" i="20"/>
  <c r="T25" i="20"/>
  <c r="S26" i="20"/>
  <c r="Q27" i="20"/>
  <c r="C27" i="20" s="1"/>
  <c r="Z27" i="20"/>
  <c r="X28" i="20"/>
  <c r="V29" i="20"/>
  <c r="T30" i="20"/>
  <c r="R31" i="20"/>
  <c r="Q32" i="20"/>
  <c r="C32" i="20" s="1"/>
  <c r="Z32" i="20"/>
  <c r="X33" i="20"/>
  <c r="V34" i="20"/>
  <c r="S35" i="20"/>
  <c r="X36" i="20"/>
  <c r="U37" i="20"/>
  <c r="R38" i="20"/>
  <c r="Z38" i="20"/>
  <c r="V21" i="20"/>
  <c r="U24" i="20"/>
  <c r="V25" i="20"/>
  <c r="T26" i="20"/>
  <c r="R27" i="20"/>
  <c r="Y28" i="20"/>
  <c r="W29" i="20"/>
  <c r="U30" i="20"/>
  <c r="T31" i="20"/>
  <c r="R32" i="20"/>
  <c r="Y33" i="20"/>
  <c r="W34" i="20"/>
  <c r="T35" i="20"/>
  <c r="Q36" i="20"/>
  <c r="C36" i="20" s="1"/>
  <c r="Y36" i="20"/>
  <c r="V37" i="20"/>
  <c r="S38" i="20"/>
  <c r="X39" i="20"/>
  <c r="U40" i="20"/>
  <c r="R41" i="20"/>
  <c r="Z41" i="20"/>
  <c r="W42" i="20"/>
  <c r="U19" i="20"/>
  <c r="W21" i="20"/>
  <c r="Q23" i="20"/>
  <c r="C23" i="20" s="1"/>
  <c r="V24" i="20"/>
  <c r="W25" i="20"/>
  <c r="U26" i="20"/>
  <c r="S27" i="20"/>
  <c r="Q28" i="20"/>
  <c r="C28" i="20" s="1"/>
  <c r="Z28" i="20"/>
  <c r="X29" i="20"/>
  <c r="W30" i="20"/>
  <c r="U31" i="20"/>
  <c r="S32" i="20"/>
  <c r="Q33" i="20"/>
  <c r="C33" i="20" s="1"/>
  <c r="Z33" i="20"/>
  <c r="X34" i="20"/>
  <c r="U35" i="20"/>
  <c r="R36" i="20"/>
  <c r="Z36" i="20"/>
  <c r="W37" i="20"/>
  <c r="T38" i="20"/>
  <c r="Q39" i="20"/>
  <c r="C39" i="20" s="1"/>
  <c r="Y39" i="20"/>
  <c r="V40" i="20"/>
  <c r="S41" i="20"/>
  <c r="X42" i="20"/>
  <c r="U43" i="20"/>
  <c r="R44" i="20"/>
  <c r="Z44" i="20"/>
  <c r="W45" i="20"/>
  <c r="T46" i="20"/>
  <c r="Q47" i="20"/>
  <c r="C47" i="20" s="1"/>
  <c r="X19" i="20"/>
  <c r="Z21" i="20"/>
  <c r="T23" i="20"/>
  <c r="Y24" i="20"/>
  <c r="X25" i="20"/>
  <c r="V26" i="20"/>
  <c r="T27" i="20"/>
  <c r="R28" i="20"/>
  <c r="Z29" i="20"/>
  <c r="X30" i="20"/>
  <c r="V31" i="20"/>
  <c r="T32" i="20"/>
  <c r="R33" i="20"/>
  <c r="Y34" i="20"/>
  <c r="V35" i="20"/>
  <c r="S36" i="20"/>
  <c r="X37" i="20"/>
  <c r="U38" i="20"/>
  <c r="R39" i="20"/>
  <c r="Z39" i="20"/>
  <c r="W40" i="20"/>
  <c r="T41" i="20"/>
  <c r="Q42" i="20"/>
  <c r="C42" i="20" s="1"/>
  <c r="Y42" i="20"/>
  <c r="V43" i="20"/>
  <c r="S44" i="20"/>
  <c r="X45" i="20"/>
  <c r="U46" i="20"/>
  <c r="R47" i="20"/>
  <c r="Z47" i="20"/>
  <c r="W48" i="20"/>
  <c r="T49" i="20"/>
  <c r="Q50" i="20"/>
  <c r="C50" i="20" s="1"/>
  <c r="Y50" i="20"/>
  <c r="V51" i="20"/>
  <c r="S52" i="20"/>
  <c r="X53" i="20"/>
  <c r="Q22" i="20"/>
  <c r="C22" i="20" s="1"/>
  <c r="W26" i="20"/>
  <c r="S33" i="20"/>
  <c r="T36" i="20"/>
  <c r="S39" i="20"/>
  <c r="Q41" i="20"/>
  <c r="C41" i="20" s="1"/>
  <c r="Z43" i="20"/>
  <c r="Y44" i="20"/>
  <c r="Z45" i="20"/>
  <c r="Y46" i="20"/>
  <c r="X47" i="20"/>
  <c r="V48" i="20"/>
  <c r="U49" i="20"/>
  <c r="S50" i="20"/>
  <c r="Q51" i="20"/>
  <c r="C51" i="20" s="1"/>
  <c r="Z51" i="20"/>
  <c r="X52" i="20"/>
  <c r="V53" i="20"/>
  <c r="T54" i="20"/>
  <c r="Q55" i="20"/>
  <c r="C55" i="20" s="1"/>
  <c r="Y55" i="20"/>
  <c r="V56" i="20"/>
  <c r="S57" i="20"/>
  <c r="X58" i="20"/>
  <c r="U59" i="20"/>
  <c r="R60" i="20"/>
  <c r="Z60" i="20"/>
  <c r="W61" i="20"/>
  <c r="T62" i="20"/>
  <c r="Q63" i="20"/>
  <c r="C63" i="20" s="1"/>
  <c r="Y63" i="20"/>
  <c r="V64" i="20"/>
  <c r="S65" i="20"/>
  <c r="X66" i="20"/>
  <c r="U67" i="20"/>
  <c r="R68" i="20"/>
  <c r="Z68" i="20"/>
  <c r="W69" i="20"/>
  <c r="T70" i="20"/>
  <c r="Q71" i="20"/>
  <c r="C71" i="20" s="1"/>
  <c r="Y71" i="20"/>
  <c r="V72" i="20"/>
  <c r="S73" i="20"/>
  <c r="X74" i="20"/>
  <c r="U75" i="20"/>
  <c r="R76" i="20"/>
  <c r="Z76" i="20"/>
  <c r="W77" i="20"/>
  <c r="T78" i="20"/>
  <c r="Q79" i="20"/>
  <c r="C79" i="20" s="1"/>
  <c r="Y79" i="20"/>
  <c r="V80" i="20"/>
  <c r="S81" i="20"/>
  <c r="X82" i="20"/>
  <c r="U83" i="20"/>
  <c r="R84" i="20"/>
  <c r="Z84" i="20"/>
  <c r="W85" i="20"/>
  <c r="T86" i="20"/>
  <c r="Q87" i="20"/>
  <c r="C87" i="20" s="1"/>
  <c r="Y87" i="20"/>
  <c r="V88" i="20"/>
  <c r="S89" i="20"/>
  <c r="X90" i="20"/>
  <c r="U91" i="20"/>
  <c r="R92" i="20"/>
  <c r="Z92" i="20"/>
  <c r="W93" i="20"/>
  <c r="T94" i="20"/>
  <c r="Q95" i="20"/>
  <c r="C95" i="20" s="1"/>
  <c r="Y95" i="20"/>
  <c r="S22" i="20"/>
  <c r="X26" i="20"/>
  <c r="Q30" i="20"/>
  <c r="C30" i="20" s="1"/>
  <c r="T33" i="20"/>
  <c r="U36" i="20"/>
  <c r="T39" i="20"/>
  <c r="U41" i="20"/>
  <c r="Q43" i="20"/>
  <c r="C43" i="20" s="1"/>
  <c r="Q45" i="20"/>
  <c r="C45" i="20" s="1"/>
  <c r="Z46" i="20"/>
  <c r="Y47" i="20"/>
  <c r="X48" i="20"/>
  <c r="V49" i="20"/>
  <c r="T50" i="20"/>
  <c r="R51" i="20"/>
  <c r="Y52" i="20"/>
  <c r="W53" i="20"/>
  <c r="U54" i="20"/>
  <c r="R55" i="20"/>
  <c r="Z55" i="20"/>
  <c r="W56" i="20"/>
  <c r="T57" i="20"/>
  <c r="Q58" i="20"/>
  <c r="C58" i="20" s="1"/>
  <c r="Y58" i="20"/>
  <c r="V59" i="20"/>
  <c r="S60" i="20"/>
  <c r="X61" i="20"/>
  <c r="U62" i="20"/>
  <c r="R63" i="20"/>
  <c r="Z63" i="20"/>
  <c r="W64" i="20"/>
  <c r="T65" i="20"/>
  <c r="Q66" i="20"/>
  <c r="C66" i="20" s="1"/>
  <c r="Y66" i="20"/>
  <c r="V67" i="20"/>
  <c r="S68" i="20"/>
  <c r="X69" i="20"/>
  <c r="U70" i="20"/>
  <c r="R71" i="20"/>
  <c r="Z71" i="20"/>
  <c r="W72" i="20"/>
  <c r="T73" i="20"/>
  <c r="Q74" i="20"/>
  <c r="C74" i="20" s="1"/>
  <c r="Y74" i="20"/>
  <c r="V75" i="20"/>
  <c r="S76" i="20"/>
  <c r="X77" i="20"/>
  <c r="U78" i="20"/>
  <c r="R79" i="20"/>
  <c r="Z79" i="20"/>
  <c r="W80" i="20"/>
  <c r="T81" i="20"/>
  <c r="Q82" i="20"/>
  <c r="C82" i="20" s="1"/>
  <c r="Y82" i="20"/>
  <c r="V83" i="20"/>
  <c r="S84" i="20"/>
  <c r="X85" i="20"/>
  <c r="X23" i="20"/>
  <c r="V27" i="20"/>
  <c r="Z30" i="20"/>
  <c r="S34" i="20"/>
  <c r="R37" i="20"/>
  <c r="Y41" i="20"/>
  <c r="S43" i="20"/>
  <c r="T44" i="20"/>
  <c r="S45" i="20"/>
  <c r="R46" i="20"/>
  <c r="S47" i="20"/>
  <c r="Q48" i="20"/>
  <c r="C48" i="20" s="1"/>
  <c r="Z48" i="20"/>
  <c r="X49" i="20"/>
  <c r="V50" i="20"/>
  <c r="T51" i="20"/>
  <c r="R52" i="20"/>
  <c r="Q53" i="20"/>
  <c r="C53" i="20" s="1"/>
  <c r="Z53" i="20"/>
  <c r="W54" i="20"/>
  <c r="T55" i="20"/>
  <c r="Q56" i="20"/>
  <c r="C56" i="20" s="1"/>
  <c r="Y56" i="20"/>
  <c r="V57" i="20"/>
  <c r="S58" i="20"/>
  <c r="X59" i="20"/>
  <c r="U60" i="20"/>
  <c r="R61" i="20"/>
  <c r="Z61" i="20"/>
  <c r="W62" i="20"/>
  <c r="T63" i="20"/>
  <c r="Q64" i="20"/>
  <c r="C64" i="20" s="1"/>
  <c r="Y64" i="20"/>
  <c r="V65" i="20"/>
  <c r="S66" i="20"/>
  <c r="X67" i="20"/>
  <c r="U68" i="20"/>
  <c r="R69" i="20"/>
  <c r="Z69" i="20"/>
  <c r="W70" i="20"/>
  <c r="T71" i="20"/>
  <c r="Q72" i="20"/>
  <c r="C72" i="20" s="1"/>
  <c r="Y72" i="20"/>
  <c r="V73" i="20"/>
  <c r="S74" i="20"/>
  <c r="X75" i="20"/>
  <c r="U76" i="20"/>
  <c r="R77" i="20"/>
  <c r="Z77" i="20"/>
  <c r="W78" i="20"/>
  <c r="T79" i="20"/>
  <c r="Q80" i="20"/>
  <c r="C80" i="20" s="1"/>
  <c r="Y80" i="20"/>
  <c r="V81" i="20"/>
  <c r="S82" i="20"/>
  <c r="X83" i="20"/>
  <c r="U84" i="20"/>
  <c r="R85" i="20"/>
  <c r="Z85" i="20"/>
  <c r="W86" i="20"/>
  <c r="T87" i="20"/>
  <c r="Q88" i="20"/>
  <c r="C88" i="20" s="1"/>
  <c r="V23" i="20"/>
  <c r="R29" i="20"/>
  <c r="Z34" i="20"/>
  <c r="W38" i="20"/>
  <c r="S42" i="20"/>
  <c r="Q44" i="20"/>
  <c r="C44" i="20" s="1"/>
  <c r="V45" i="20"/>
  <c r="T47" i="20"/>
  <c r="U48" i="20"/>
  <c r="Z49" i="20"/>
  <c r="S51" i="20"/>
  <c r="V52" i="20"/>
  <c r="S56" i="20"/>
  <c r="U57" i="20"/>
  <c r="V58" i="20"/>
  <c r="Y59" i="20"/>
  <c r="Y60" i="20"/>
  <c r="Q62" i="20"/>
  <c r="C62" i="20" s="1"/>
  <c r="S63" i="20"/>
  <c r="T64" i="20"/>
  <c r="W65" i="20"/>
  <c r="W66" i="20"/>
  <c r="Z67" i="20"/>
  <c r="Q69" i="20"/>
  <c r="C69" i="20" s="1"/>
  <c r="R70" i="20"/>
  <c r="U71" i="20"/>
  <c r="U72" i="20"/>
  <c r="X73" i="20"/>
  <c r="Z74" i="20"/>
  <c r="S77" i="20"/>
  <c r="S78" i="20"/>
  <c r="V79" i="20"/>
  <c r="X80" i="20"/>
  <c r="Y81" i="20"/>
  <c r="Q83" i="20"/>
  <c r="C83" i="20" s="1"/>
  <c r="Q84" i="20"/>
  <c r="C84" i="20" s="1"/>
  <c r="T85" i="20"/>
  <c r="U86" i="20"/>
  <c r="U87" i="20"/>
  <c r="T88" i="20"/>
  <c r="R89" i="20"/>
  <c r="Q90" i="20"/>
  <c r="C90" i="20" s="1"/>
  <c r="Z90" i="20"/>
  <c r="X91" i="20"/>
  <c r="V92" i="20"/>
  <c r="T93" i="20"/>
  <c r="R94" i="20"/>
  <c r="Z95" i="20"/>
  <c r="W96" i="20"/>
  <c r="T97" i="20"/>
  <c r="Q98" i="20"/>
  <c r="C98" i="20" s="1"/>
  <c r="Y98" i="20"/>
  <c r="V99" i="20"/>
  <c r="S100" i="20"/>
  <c r="X101" i="20"/>
  <c r="U102" i="20"/>
  <c r="R103" i="20"/>
  <c r="Z103" i="20"/>
  <c r="W104" i="20"/>
  <c r="T105" i="20"/>
  <c r="Q106" i="20"/>
  <c r="C106" i="20" s="1"/>
  <c r="Y106" i="20"/>
  <c r="Z24" i="20"/>
  <c r="S29" i="20"/>
  <c r="W39" i="20"/>
  <c r="V42" i="20"/>
  <c r="U44" i="20"/>
  <c r="Y45" i="20"/>
  <c r="U47" i="20"/>
  <c r="Y48" i="20"/>
  <c r="U51" i="20"/>
  <c r="W52" i="20"/>
  <c r="Q54" i="20"/>
  <c r="C54" i="20" s="1"/>
  <c r="S55" i="20"/>
  <c r="T56" i="20"/>
  <c r="W57" i="20"/>
  <c r="W58" i="20"/>
  <c r="Z59" i="20"/>
  <c r="Q61" i="20"/>
  <c r="C61" i="20" s="1"/>
  <c r="R62" i="20"/>
  <c r="U63" i="20"/>
  <c r="U64" i="20"/>
  <c r="X65" i="20"/>
  <c r="Z66" i="20"/>
  <c r="S69" i="20"/>
  <c r="S70" i="20"/>
  <c r="V71" i="20"/>
  <c r="X72" i="20"/>
  <c r="Y73" i="20"/>
  <c r="Q75" i="20"/>
  <c r="C75" i="20" s="1"/>
  <c r="Q76" i="20"/>
  <c r="C76" i="20" s="1"/>
  <c r="T77" i="20"/>
  <c r="V78" i="20"/>
  <c r="W79" i="20"/>
  <c r="Z80" i="20"/>
  <c r="Z81" i="20"/>
  <c r="R83" i="20"/>
  <c r="T84" i="20"/>
  <c r="U85" i="20"/>
  <c r="V86" i="20"/>
  <c r="V87" i="20"/>
  <c r="U88" i="20"/>
  <c r="T89" i="20"/>
  <c r="R90" i="20"/>
  <c r="Y91" i="20"/>
  <c r="W92" i="20"/>
  <c r="U93" i="20"/>
  <c r="S94" i="20"/>
  <c r="R95" i="20"/>
  <c r="X96" i="20"/>
  <c r="U97" i="20"/>
  <c r="R98" i="20"/>
  <c r="Z98" i="20"/>
  <c r="W99" i="20"/>
  <c r="T100" i="20"/>
  <c r="Q101" i="20"/>
  <c r="C101" i="20" s="1"/>
  <c r="Y101" i="20"/>
  <c r="V102" i="20"/>
  <c r="S103" i="20"/>
  <c r="X104" i="20"/>
  <c r="U105" i="20"/>
  <c r="R106" i="20"/>
  <c r="Z106" i="20"/>
  <c r="W107" i="20"/>
  <c r="T108" i="20"/>
  <c r="Q109" i="20"/>
  <c r="C109" i="20" s="1"/>
  <c r="Y109" i="20"/>
  <c r="V110" i="20"/>
  <c r="S111" i="20"/>
  <c r="X112" i="20"/>
  <c r="U113" i="20"/>
  <c r="R114" i="20"/>
  <c r="Z114" i="20"/>
  <c r="W115" i="20"/>
  <c r="Z107" i="20"/>
  <c r="Y30" i="20"/>
  <c r="W35" i="20"/>
  <c r="Q40" i="20"/>
  <c r="C40" i="20" s="1"/>
  <c r="Z42" i="20"/>
  <c r="V44" i="20"/>
  <c r="Q46" i="20"/>
  <c r="C46" i="20" s="1"/>
  <c r="V47" i="20"/>
  <c r="R50" i="20"/>
  <c r="W51" i="20"/>
  <c r="Z52" i="20"/>
  <c r="R54" i="20"/>
  <c r="U55" i="20"/>
  <c r="U56" i="20"/>
  <c r="X57" i="20"/>
  <c r="Z58" i="20"/>
  <c r="S61" i="20"/>
  <c r="S62" i="20"/>
  <c r="V63" i="20"/>
  <c r="X64" i="20"/>
  <c r="Y65" i="20"/>
  <c r="Q67" i="20"/>
  <c r="C67" i="20" s="1"/>
  <c r="Q68" i="20"/>
  <c r="C68" i="20" s="1"/>
  <c r="T69" i="20"/>
  <c r="V70" i="20"/>
  <c r="W71" i="20"/>
  <c r="Z72" i="20"/>
  <c r="Z73" i="20"/>
  <c r="R75" i="20"/>
  <c r="T76" i="20"/>
  <c r="U77" i="20"/>
  <c r="X78" i="20"/>
  <c r="X79" i="20"/>
  <c r="R82" i="20"/>
  <c r="S83" i="20"/>
  <c r="V84" i="20"/>
  <c r="V85" i="20"/>
  <c r="X86" i="20"/>
  <c r="W87" i="20"/>
  <c r="W88" i="20"/>
  <c r="U89" i="20"/>
  <c r="S90" i="20"/>
  <c r="Q91" i="20"/>
  <c r="C91" i="20" s="1"/>
  <c r="Z91" i="20"/>
  <c r="X92" i="20"/>
  <c r="V93" i="20"/>
  <c r="U94" i="20"/>
  <c r="S95" i="20"/>
  <c r="Q96" i="20"/>
  <c r="C96" i="20" s="1"/>
  <c r="Y96" i="20"/>
  <c r="V97" i="20"/>
  <c r="S98" i="20"/>
  <c r="X99" i="20"/>
  <c r="U100" i="20"/>
  <c r="R101" i="20"/>
  <c r="Z101" i="20"/>
  <c r="W102" i="20"/>
  <c r="T103" i="20"/>
  <c r="Q104" i="20"/>
  <c r="C104" i="20" s="1"/>
  <c r="Y104" i="20"/>
  <c r="V105" i="20"/>
  <c r="S106" i="20"/>
  <c r="X107" i="20"/>
  <c r="U108" i="20"/>
  <c r="R109" i="20"/>
  <c r="Z109" i="20"/>
  <c r="W110" i="20"/>
  <c r="T111" i="20"/>
  <c r="Q112" i="20"/>
  <c r="C112" i="20" s="1"/>
  <c r="Y112" i="20"/>
  <c r="V113" i="20"/>
  <c r="S114" i="20"/>
  <c r="X115" i="20"/>
  <c r="Y115" i="20"/>
  <c r="W108" i="20"/>
  <c r="Y25" i="20"/>
  <c r="W31" i="20"/>
  <c r="X35" i="20"/>
  <c r="T40" i="20"/>
  <c r="R43" i="20"/>
  <c r="W44" i="20"/>
  <c r="S46" i="20"/>
  <c r="W47" i="20"/>
  <c r="Q49" i="20"/>
  <c r="C49" i="20" s="1"/>
  <c r="U50" i="20"/>
  <c r="X51" i="20"/>
  <c r="R53" i="20"/>
  <c r="S54" i="20"/>
  <c r="V55" i="20"/>
  <c r="X56" i="20"/>
  <c r="Y57" i="20"/>
  <c r="Q59" i="20"/>
  <c r="C59" i="20" s="1"/>
  <c r="Q60" i="20"/>
  <c r="C60" i="20" s="1"/>
  <c r="T61" i="20"/>
  <c r="V62" i="20"/>
  <c r="W63" i="20"/>
  <c r="Z64" i="20"/>
  <c r="Z65" i="20"/>
  <c r="R67" i="20"/>
  <c r="T68" i="20"/>
  <c r="U69" i="20"/>
  <c r="X70" i="20"/>
  <c r="X71" i="20"/>
  <c r="R74" i="20"/>
  <c r="S75" i="20"/>
  <c r="V76" i="20"/>
  <c r="V77" i="20"/>
  <c r="Y78" i="20"/>
  <c r="Q81" i="20"/>
  <c r="C81" i="20" s="1"/>
  <c r="T82" i="20"/>
  <c r="T83" i="20"/>
  <c r="W84" i="20"/>
  <c r="Y85" i="20"/>
  <c r="Y86" i="20"/>
  <c r="X87" i="20"/>
  <c r="X88" i="20"/>
  <c r="V89" i="20"/>
  <c r="T90" i="20"/>
  <c r="R91" i="20"/>
  <c r="Y92" i="20"/>
  <c r="X93" i="20"/>
  <c r="V94" i="20"/>
  <c r="T95" i="20"/>
  <c r="R96" i="20"/>
  <c r="Z96" i="20"/>
  <c r="W97" i="20"/>
  <c r="T98" i="20"/>
  <c r="Q99" i="20"/>
  <c r="C99" i="20" s="1"/>
  <c r="Y99" i="20"/>
  <c r="V100" i="20"/>
  <c r="S101" i="20"/>
  <c r="X102" i="20"/>
  <c r="U103" i="20"/>
  <c r="R104" i="20"/>
  <c r="Z104" i="20"/>
  <c r="W105" i="20"/>
  <c r="T106" i="20"/>
  <c r="Q107" i="20"/>
  <c r="C107" i="20" s="1"/>
  <c r="Y107" i="20"/>
  <c r="V108" i="20"/>
  <c r="S109" i="20"/>
  <c r="X110" i="20"/>
  <c r="U111" i="20"/>
  <c r="R112" i="20"/>
  <c r="Z112" i="20"/>
  <c r="W113" i="20"/>
  <c r="T114" i="20"/>
  <c r="Q115" i="20"/>
  <c r="C115" i="20" s="1"/>
  <c r="S17" i="20"/>
  <c r="Z25" i="20"/>
  <c r="X31" i="20"/>
  <c r="Q37" i="20"/>
  <c r="C37" i="20" s="1"/>
  <c r="X40" i="20"/>
  <c r="T43" i="20"/>
  <c r="X44" i="20"/>
  <c r="V46" i="20"/>
  <c r="R49" i="20"/>
  <c r="W50" i="20"/>
  <c r="Y51" i="20"/>
  <c r="S53" i="20"/>
  <c r="V54" i="20"/>
  <c r="W55" i="20"/>
  <c r="Z56" i="20"/>
  <c r="Z57" i="20"/>
  <c r="R59" i="20"/>
  <c r="T60" i="20"/>
  <c r="U61" i="20"/>
  <c r="X62" i="20"/>
  <c r="X63" i="20"/>
  <c r="R66" i="20"/>
  <c r="S67" i="20"/>
  <c r="V68" i="20"/>
  <c r="V69" i="20"/>
  <c r="Y70" i="20"/>
  <c r="Q73" i="20"/>
  <c r="C73" i="20" s="1"/>
  <c r="T74" i="20"/>
  <c r="T75" i="20"/>
  <c r="W76" i="20"/>
  <c r="Y77" i="20"/>
  <c r="Z78" i="20"/>
  <c r="R80" i="20"/>
  <c r="R81" i="20"/>
  <c r="U82" i="20"/>
  <c r="W83" i="20"/>
  <c r="X84" i="20"/>
  <c r="Z86" i="20"/>
  <c r="Z87" i="20"/>
  <c r="Y88" i="20"/>
  <c r="W89" i="20"/>
  <c r="U90" i="20"/>
  <c r="S91" i="20"/>
  <c r="Q92" i="20"/>
  <c r="C92" i="20" s="1"/>
  <c r="Y93" i="20"/>
  <c r="W94" i="20"/>
  <c r="U95" i="20"/>
  <c r="S96" i="20"/>
  <c r="X97" i="20"/>
  <c r="U98" i="20"/>
  <c r="R99" i="20"/>
  <c r="Z99" i="20"/>
  <c r="W100" i="20"/>
  <c r="T101" i="20"/>
  <c r="Q102" i="20"/>
  <c r="C102" i="20" s="1"/>
  <c r="Y102" i="20"/>
  <c r="V103" i="20"/>
  <c r="S104" i="20"/>
  <c r="X105" i="20"/>
  <c r="U106" i="20"/>
  <c r="R107" i="20"/>
  <c r="T109" i="20"/>
  <c r="Q110" i="20"/>
  <c r="C110" i="20" s="1"/>
  <c r="Y110" i="20"/>
  <c r="V111" i="20"/>
  <c r="S112" i="20"/>
  <c r="U114" i="20"/>
  <c r="Z115" i="20"/>
  <c r="V17" i="20"/>
  <c r="U27" i="20"/>
  <c r="U32" i="20"/>
  <c r="Y37" i="20"/>
  <c r="Y40" i="20"/>
  <c r="W43" i="20"/>
  <c r="R45" i="20"/>
  <c r="W46" i="20"/>
  <c r="R48" i="20"/>
  <c r="S49" i="20"/>
  <c r="X50" i="20"/>
  <c r="Q52" i="20"/>
  <c r="C52" i="20" s="1"/>
  <c r="T53" i="20"/>
  <c r="X54" i="20"/>
  <c r="X55" i="20"/>
  <c r="R58" i="20"/>
  <c r="S59" i="20"/>
  <c r="V60" i="20"/>
  <c r="V61" i="20"/>
  <c r="Y62" i="20"/>
  <c r="Q65" i="20"/>
  <c r="C65" i="20" s="1"/>
  <c r="T66" i="20"/>
  <c r="T67" i="20"/>
  <c r="W68" i="20"/>
  <c r="Y69" i="20"/>
  <c r="Z70" i="20"/>
  <c r="R72" i="20"/>
  <c r="R73" i="20"/>
  <c r="U74" i="20"/>
  <c r="W75" i="20"/>
  <c r="X76" i="20"/>
  <c r="S80" i="20"/>
  <c r="U81" i="20"/>
  <c r="V82" i="20"/>
  <c r="Y83" i="20"/>
  <c r="Y84" i="20"/>
  <c r="Q86" i="20"/>
  <c r="C86" i="20" s="1"/>
  <c r="Z88" i="20"/>
  <c r="X89" i="20"/>
  <c r="V90" i="20"/>
  <c r="T91" i="20"/>
  <c r="S92" i="20"/>
  <c r="Q93" i="20"/>
  <c r="C93" i="20" s="1"/>
  <c r="Z93" i="20"/>
  <c r="X94" i="20"/>
  <c r="V95" i="20"/>
  <c r="T96" i="20"/>
  <c r="Q97" i="20"/>
  <c r="C97" i="20" s="1"/>
  <c r="Y97" i="20"/>
  <c r="V98" i="20"/>
  <c r="S99" i="20"/>
  <c r="X100" i="20"/>
  <c r="U101" i="20"/>
  <c r="R102" i="20"/>
  <c r="Z102" i="20"/>
  <c r="W103" i="20"/>
  <c r="T104" i="20"/>
  <c r="Q105" i="20"/>
  <c r="C105" i="20" s="1"/>
  <c r="Y105" i="20"/>
  <c r="V106" i="20"/>
  <c r="S107" i="20"/>
  <c r="X108" i="20"/>
  <c r="U109" i="20"/>
  <c r="R110" i="20"/>
  <c r="Z110" i="20"/>
  <c r="W111" i="20"/>
  <c r="T112" i="20"/>
  <c r="Q113" i="20"/>
  <c r="C113" i="20" s="1"/>
  <c r="Y113" i="20"/>
  <c r="V114" i="20"/>
  <c r="S115" i="20"/>
  <c r="R20" i="20"/>
  <c r="S28" i="20"/>
  <c r="V32" i="20"/>
  <c r="Z37" i="20"/>
  <c r="V41" i="20"/>
  <c r="X43" i="20"/>
  <c r="T45" i="20"/>
  <c r="X46" i="20"/>
  <c r="S48" i="20"/>
  <c r="W49" i="20"/>
  <c r="Z50" i="20"/>
  <c r="T52" i="20"/>
  <c r="U53" i="20"/>
  <c r="Y54" i="20"/>
  <c r="Q57" i="20"/>
  <c r="C57" i="20" s="1"/>
  <c r="T58" i="20"/>
  <c r="T59" i="20"/>
  <c r="W60" i="20"/>
  <c r="Y61" i="20"/>
  <c r="Z62" i="20"/>
  <c r="R64" i="20"/>
  <c r="R65" i="20"/>
  <c r="U66" i="20"/>
  <c r="W67" i="20"/>
  <c r="X68" i="20"/>
  <c r="S72" i="20"/>
  <c r="U73" i="20"/>
  <c r="V74" i="20"/>
  <c r="Y75" i="20"/>
  <c r="Y76" i="20"/>
  <c r="Q78" i="20"/>
  <c r="C78" i="20" s="1"/>
  <c r="S79" i="20"/>
  <c r="T80" i="20"/>
  <c r="W81" i="20"/>
  <c r="W82" i="20"/>
  <c r="Z83" i="20"/>
  <c r="Q85" i="20"/>
  <c r="C85" i="20" s="1"/>
  <c r="R86" i="20"/>
  <c r="R87" i="20"/>
  <c r="R88" i="20"/>
  <c r="Y89" i="20"/>
  <c r="W90" i="20"/>
  <c r="V91" i="20"/>
  <c r="T92" i="20"/>
  <c r="R93" i="20"/>
  <c r="Y94" i="20"/>
  <c r="W95" i="20"/>
  <c r="U96" i="20"/>
  <c r="R97" i="20"/>
  <c r="Z97" i="20"/>
  <c r="W98" i="20"/>
  <c r="T99" i="20"/>
  <c r="Q100" i="20"/>
  <c r="C100" i="20" s="1"/>
  <c r="Y100" i="20"/>
  <c r="V101" i="20"/>
  <c r="S102" i="20"/>
  <c r="X103" i="20"/>
  <c r="U104" i="20"/>
  <c r="R105" i="20"/>
  <c r="Z105" i="20"/>
  <c r="W106" i="20"/>
  <c r="T107" i="20"/>
  <c r="Q108" i="20"/>
  <c r="C108" i="20" s="1"/>
  <c r="Y108" i="20"/>
  <c r="V109" i="20"/>
  <c r="S110" i="20"/>
  <c r="X111" i="20"/>
  <c r="U112" i="20"/>
  <c r="R113" i="20"/>
  <c r="Z113" i="20"/>
  <c r="W114" i="20"/>
  <c r="T115" i="20"/>
  <c r="Y111" i="20"/>
  <c r="Z108" i="20"/>
  <c r="V104" i="20"/>
  <c r="X98" i="20"/>
  <c r="U92" i="20"/>
  <c r="S85" i="20"/>
  <c r="Z75" i="20"/>
  <c r="V66" i="20"/>
  <c r="R57" i="20"/>
  <c r="Y103" i="20"/>
  <c r="U45" i="20"/>
  <c r="X16" i="20"/>
  <c r="W16" i="20"/>
  <c r="T16" i="20"/>
  <c r="U16" i="20"/>
  <c r="S16" i="20"/>
  <c r="V16" i="20"/>
  <c r="Z16" i="20"/>
  <c r="R16" i="20"/>
  <c r="Y16" i="20"/>
  <c r="D50" i="19"/>
  <c r="F78" i="56" l="1"/>
  <c r="L78" i="56" s="1"/>
  <c r="J27" i="46"/>
  <c r="V27" i="46" s="1"/>
  <c r="E26" i="46"/>
  <c r="I27" i="46"/>
  <c r="U27" i="46" s="1"/>
  <c r="Z26" i="46"/>
  <c r="R26" i="46"/>
  <c r="AL82" i="55"/>
  <c r="AL101" i="55" s="1"/>
  <c r="AL234" i="55" s="1"/>
  <c r="I25" i="56"/>
  <c r="E78" i="56" s="1"/>
  <c r="K78" i="56" s="1"/>
  <c r="AK82" i="55"/>
  <c r="AK101" i="55" s="1"/>
  <c r="U26" i="27"/>
  <c r="Y46" i="55"/>
  <c r="Y84" i="55"/>
  <c r="L5" i="56"/>
  <c r="M5" i="56" s="1"/>
  <c r="AK125" i="55"/>
  <c r="AM125" i="55"/>
  <c r="AL125" i="55"/>
  <c r="AJ125" i="55"/>
  <c r="J26" i="56"/>
  <c r="J6" i="56"/>
  <c r="N25" i="56"/>
  <c r="E53" i="56" s="1"/>
  <c r="G84" i="55"/>
  <c r="G103" i="55" s="1"/>
  <c r="AN177" i="55"/>
  <c r="X102" i="55"/>
  <c r="X8" i="55"/>
  <c r="G9" i="55"/>
  <c r="G47" i="55" s="1"/>
  <c r="E26" i="27"/>
  <c r="E83" i="27" s="1"/>
  <c r="P102" i="55"/>
  <c r="O103" i="55"/>
  <c r="L27" i="27"/>
  <c r="O85" i="55"/>
  <c r="O10" i="55" s="1"/>
  <c r="O47" i="55"/>
  <c r="AM82" i="55"/>
  <c r="AM101" i="55" s="1"/>
  <c r="AJ82" i="55"/>
  <c r="AJ101" i="55" s="1"/>
  <c r="M26" i="27"/>
  <c r="AH9" i="55"/>
  <c r="AH103" i="55"/>
  <c r="AC139" i="55"/>
  <c r="AC234" i="55"/>
  <c r="Z139" i="55"/>
  <c r="Z234" i="55"/>
  <c r="AA139" i="55"/>
  <c r="AA234" i="55"/>
  <c r="J26" i="48"/>
  <c r="N26" i="48" s="1"/>
  <c r="AN252" i="55"/>
  <c r="F5" i="46" s="1"/>
  <c r="I5" i="48"/>
  <c r="AB139" i="55"/>
  <c r="AB234" i="55"/>
  <c r="AI103" i="55"/>
  <c r="AI9" i="55"/>
  <c r="I25" i="48"/>
  <c r="L25" i="48" s="1"/>
  <c r="AJ201" i="55"/>
  <c r="AN200" i="55"/>
  <c r="Z202" i="55"/>
  <c r="AD201" i="55"/>
  <c r="Z183" i="55"/>
  <c r="AD182" i="55"/>
  <c r="AJ224" i="55"/>
  <c r="AJ225" i="55" s="1"/>
  <c r="AN223" i="55"/>
  <c r="AD222" i="55"/>
  <c r="Z223" i="55"/>
  <c r="H125" i="55"/>
  <c r="P84" i="55"/>
  <c r="P9" i="55" s="1"/>
  <c r="P46" i="55"/>
  <c r="AK32" i="55"/>
  <c r="AJ161" i="55"/>
  <c r="AN161" i="55" s="1"/>
  <c r="H162" i="55"/>
  <c r="L162" i="55" s="1"/>
  <c r="T30" i="55"/>
  <c r="AM30" i="55"/>
  <c r="Z162" i="55"/>
  <c r="AD162" i="55" s="1"/>
  <c r="H200" i="55"/>
  <c r="L200" i="55" s="1"/>
  <c r="J31" i="55"/>
  <c r="H220" i="55"/>
  <c r="L220" i="55" s="1"/>
  <c r="AL30" i="55"/>
  <c r="Z31" i="55"/>
  <c r="Q199" i="55"/>
  <c r="U199" i="55" s="1"/>
  <c r="H31" i="55"/>
  <c r="I32" i="55"/>
  <c r="R30" i="55"/>
  <c r="AC7" i="55"/>
  <c r="Y25" i="27" s="1"/>
  <c r="Q30" i="55"/>
  <c r="S30" i="55"/>
  <c r="AA32" i="55"/>
  <c r="Z7" i="55"/>
  <c r="V25" i="27" s="1"/>
  <c r="AA7" i="55"/>
  <c r="W25" i="27" s="1"/>
  <c r="AB7" i="55"/>
  <c r="X25" i="27" s="1"/>
  <c r="Q180" i="55"/>
  <c r="U180" i="55" s="1"/>
  <c r="AJ31" i="55"/>
  <c r="Q220" i="55"/>
  <c r="U220" i="55" s="1"/>
  <c r="AB31" i="55"/>
  <c r="AD252" i="55"/>
  <c r="E5" i="46" s="1"/>
  <c r="Q161" i="55"/>
  <c r="U161" i="55" s="1"/>
  <c r="H181" i="55"/>
  <c r="L181" i="55" s="1"/>
  <c r="K31" i="55"/>
  <c r="AC30" i="55"/>
  <c r="L310" i="53"/>
  <c r="H26" i="53"/>
  <c r="L234" i="53"/>
  <c r="L348" i="53"/>
  <c r="AI47" i="53"/>
  <c r="AI161" i="53" s="1"/>
  <c r="L385" i="53"/>
  <c r="X122" i="53"/>
  <c r="X9" i="53" s="1"/>
  <c r="X84" i="53"/>
  <c r="X27" i="53"/>
  <c r="X46" i="53" s="1"/>
  <c r="F123" i="53"/>
  <c r="F10" i="53" s="1"/>
  <c r="F85" i="53"/>
  <c r="F28" i="53"/>
  <c r="F47" i="53" s="1"/>
  <c r="AL367" i="53"/>
  <c r="I71" i="53"/>
  <c r="Q334" i="53"/>
  <c r="AJ196" i="53"/>
  <c r="AJ7" i="53"/>
  <c r="Q256" i="53"/>
  <c r="S70" i="53"/>
  <c r="Q237" i="53"/>
  <c r="AM69" i="53"/>
  <c r="Q196" i="53"/>
  <c r="Q139" i="53"/>
  <c r="Q7" i="53"/>
  <c r="Y124" i="53"/>
  <c r="Y11" i="53" s="1"/>
  <c r="Y86" i="53"/>
  <c r="Y29" i="53"/>
  <c r="Y48" i="53" s="1"/>
  <c r="J71" i="53"/>
  <c r="Z83" i="53"/>
  <c r="Z102" i="53" s="1"/>
  <c r="Z26" i="53"/>
  <c r="Z45" i="53" s="1"/>
  <c r="AL68" i="53"/>
  <c r="I196" i="53"/>
  <c r="I139" i="53"/>
  <c r="I7" i="53"/>
  <c r="Q353" i="53"/>
  <c r="H256" i="53"/>
  <c r="T69" i="53"/>
  <c r="R196" i="53"/>
  <c r="R139" i="53"/>
  <c r="R158" i="53" s="1"/>
  <c r="R7" i="53"/>
  <c r="Z158" i="53"/>
  <c r="Z367" i="53" s="1"/>
  <c r="Z69" i="53"/>
  <c r="T83" i="53"/>
  <c r="T102" i="53" s="1"/>
  <c r="T26" i="53"/>
  <c r="T45" i="53" s="1"/>
  <c r="Q218" i="53"/>
  <c r="AA70" i="53"/>
  <c r="Q68" i="53"/>
  <c r="P9" i="53"/>
  <c r="O85" i="53"/>
  <c r="O123" i="53"/>
  <c r="O28" i="53"/>
  <c r="O10" i="53"/>
  <c r="O47" i="53"/>
  <c r="H353" i="53"/>
  <c r="H334" i="53"/>
  <c r="AH85" i="53"/>
  <c r="AH123" i="53"/>
  <c r="AH10" i="53" s="1"/>
  <c r="AH28" i="53"/>
  <c r="AH142" i="53" s="1"/>
  <c r="AC69" i="53"/>
  <c r="Q313" i="53"/>
  <c r="Y142" i="53"/>
  <c r="Y161" i="53" s="1"/>
  <c r="G142" i="53"/>
  <c r="G161" i="53" s="1"/>
  <c r="AK367" i="53"/>
  <c r="J196" i="53"/>
  <c r="J139" i="53"/>
  <c r="J158" i="53" s="1"/>
  <c r="J7" i="53"/>
  <c r="AC196" i="53"/>
  <c r="AC139" i="53"/>
  <c r="AC158" i="53" s="1"/>
  <c r="AC7" i="53"/>
  <c r="S196" i="53"/>
  <c r="S139" i="53"/>
  <c r="S158" i="53" s="1"/>
  <c r="S7" i="53"/>
  <c r="H69" i="53"/>
  <c r="AJ367" i="53"/>
  <c r="AB69" i="53"/>
  <c r="H275" i="53"/>
  <c r="K196" i="53"/>
  <c r="K139" i="53"/>
  <c r="K7" i="53"/>
  <c r="P141" i="53"/>
  <c r="P160" i="53" s="1"/>
  <c r="AB139" i="53"/>
  <c r="AB158" i="53" s="1"/>
  <c r="AB196" i="53"/>
  <c r="AB7" i="53"/>
  <c r="Q294" i="53"/>
  <c r="H158" i="53"/>
  <c r="H367" i="53" s="1"/>
  <c r="H294" i="53"/>
  <c r="AI124" i="53"/>
  <c r="AI11" i="53" s="1"/>
  <c r="AI86" i="53"/>
  <c r="AI29" i="53"/>
  <c r="AI143" i="53" s="1"/>
  <c r="F160" i="53"/>
  <c r="F141" i="53"/>
  <c r="AK69" i="53"/>
  <c r="AM196" i="53"/>
  <c r="AM7" i="53"/>
  <c r="K68" i="53"/>
  <c r="R69" i="53"/>
  <c r="H313" i="53"/>
  <c r="G10" i="53"/>
  <c r="AM367" i="53"/>
  <c r="AA196" i="53"/>
  <c r="AA139" i="53"/>
  <c r="AA158" i="53" s="1"/>
  <c r="AA7" i="53"/>
  <c r="X140" i="53"/>
  <c r="X159" i="53" s="1"/>
  <c r="Q275" i="53"/>
  <c r="AK196" i="53"/>
  <c r="AK7" i="53"/>
  <c r="AL196" i="53"/>
  <c r="AL7" i="53"/>
  <c r="H45" i="53"/>
  <c r="H218" i="53"/>
  <c r="AJ68" i="53"/>
  <c r="H237" i="53"/>
  <c r="T367" i="53"/>
  <c r="T386" i="53" s="1"/>
  <c r="F122" i="52"/>
  <c r="L253" i="52"/>
  <c r="P83" i="47"/>
  <c r="P121" i="47"/>
  <c r="M82" i="27"/>
  <c r="M158" i="27" s="1"/>
  <c r="J6" i="48"/>
  <c r="AN348" i="52"/>
  <c r="F84" i="52"/>
  <c r="AN272" i="52"/>
  <c r="F27" i="52"/>
  <c r="F46" i="52" s="1"/>
  <c r="O122" i="52"/>
  <c r="O9" i="52" s="1"/>
  <c r="O85" i="52" s="1"/>
  <c r="L385" i="52"/>
  <c r="L215" i="52"/>
  <c r="L329" i="52"/>
  <c r="L291" i="52"/>
  <c r="Q120" i="52"/>
  <c r="Q139" i="52" s="1"/>
  <c r="Q158" i="52" s="1"/>
  <c r="J120" i="52"/>
  <c r="J139" i="52" s="1"/>
  <c r="J158" i="52" s="1"/>
  <c r="H120" i="52"/>
  <c r="S120" i="52"/>
  <c r="S139" i="52" s="1"/>
  <c r="S158" i="52" s="1"/>
  <c r="O27" i="52"/>
  <c r="O46" i="52" s="1"/>
  <c r="R120" i="52"/>
  <c r="R139" i="52" s="1"/>
  <c r="R158" i="52" s="1"/>
  <c r="AD385" i="52"/>
  <c r="L366" i="52"/>
  <c r="AD366" i="52"/>
  <c r="G141" i="52"/>
  <c r="G160" i="52" s="1"/>
  <c r="AD348" i="52"/>
  <c r="L234" i="52"/>
  <c r="L348" i="52"/>
  <c r="L310" i="52"/>
  <c r="X84" i="52"/>
  <c r="X27" i="52"/>
  <c r="X46" i="52" s="1"/>
  <c r="X122" i="52"/>
  <c r="X141" i="52" s="1"/>
  <c r="X160" i="52" s="1"/>
  <c r="AD234" i="52"/>
  <c r="I26" i="52"/>
  <c r="I45" i="52" s="1"/>
  <c r="L272" i="52"/>
  <c r="I196" i="52"/>
  <c r="I83" i="52"/>
  <c r="I102" i="52" s="1"/>
  <c r="I139" i="52"/>
  <c r="I158" i="52" s="1"/>
  <c r="Y28" i="52"/>
  <c r="Y47" i="52" s="1"/>
  <c r="Y85" i="52"/>
  <c r="Y123" i="52"/>
  <c r="AH86" i="52"/>
  <c r="AH124" i="52"/>
  <c r="AH29" i="52"/>
  <c r="AH143" i="52" s="1"/>
  <c r="AI27" i="52"/>
  <c r="AI141" i="52" s="1"/>
  <c r="AI84" i="52"/>
  <c r="AI122" i="52"/>
  <c r="AK196" i="52"/>
  <c r="AK7" i="52"/>
  <c r="AC68" i="52"/>
  <c r="Z69" i="52"/>
  <c r="Z139" i="52"/>
  <c r="Z158" i="52" s="1"/>
  <c r="Z196" i="52"/>
  <c r="Z7" i="52"/>
  <c r="Q318" i="52"/>
  <c r="AL196" i="52"/>
  <c r="AL7" i="52"/>
  <c r="AA69" i="52"/>
  <c r="AC196" i="52"/>
  <c r="AC139" i="52"/>
  <c r="AC158" i="52" s="1"/>
  <c r="AC7" i="52"/>
  <c r="AA196" i="52"/>
  <c r="AA139" i="52"/>
  <c r="AA7" i="52"/>
  <c r="H69" i="52"/>
  <c r="Q68" i="52"/>
  <c r="AB73" i="52"/>
  <c r="AJ196" i="52"/>
  <c r="AJ7" i="52"/>
  <c r="AB139" i="52"/>
  <c r="AB196" i="52"/>
  <c r="AB7" i="52"/>
  <c r="S71" i="52"/>
  <c r="U366" i="52"/>
  <c r="Q385" i="52"/>
  <c r="U385" i="52" s="1"/>
  <c r="K139" i="52"/>
  <c r="K158" i="52" s="1"/>
  <c r="K7" i="52"/>
  <c r="F141" i="52"/>
  <c r="F160" i="52" s="1"/>
  <c r="AJ367" i="52"/>
  <c r="P142" i="52"/>
  <c r="P161" i="52" s="1"/>
  <c r="Q219" i="52"/>
  <c r="AD310" i="52"/>
  <c r="H222" i="52"/>
  <c r="AK69" i="52"/>
  <c r="T70" i="52"/>
  <c r="G28" i="52"/>
  <c r="G47" i="52" s="1"/>
  <c r="G85" i="52"/>
  <c r="G123" i="52"/>
  <c r="G10" i="52" s="1"/>
  <c r="AJ69" i="52"/>
  <c r="Y141" i="52"/>
  <c r="Y160" i="52" s="1"/>
  <c r="R70" i="52"/>
  <c r="P29" i="52"/>
  <c r="P48" i="52" s="1"/>
  <c r="P124" i="52"/>
  <c r="P86" i="52"/>
  <c r="AM7" i="52"/>
  <c r="AM121" i="52" s="1"/>
  <c r="T139" i="52"/>
  <c r="T196" i="52"/>
  <c r="T7" i="52"/>
  <c r="AH47" i="52"/>
  <c r="AH161" i="52" s="1"/>
  <c r="F9" i="52"/>
  <c r="J216" i="29"/>
  <c r="K234" i="39"/>
  <c r="AE58" i="27"/>
  <c r="AE114" i="27"/>
  <c r="AC116" i="27"/>
  <c r="T59" i="27"/>
  <c r="T115" i="27"/>
  <c r="I234" i="39"/>
  <c r="L120" i="39"/>
  <c r="J234" i="39"/>
  <c r="L181" i="41"/>
  <c r="H182" i="41"/>
  <c r="L161" i="41"/>
  <c r="H162" i="41"/>
  <c r="H197" i="41"/>
  <c r="H216" i="41" s="1"/>
  <c r="K197" i="41"/>
  <c r="K216" i="41" s="1"/>
  <c r="H163" i="39"/>
  <c r="L162" i="39"/>
  <c r="L202" i="39"/>
  <c r="H203" i="39"/>
  <c r="H145" i="39"/>
  <c r="L144" i="39"/>
  <c r="AH85" i="25"/>
  <c r="AH10" i="25" s="1"/>
  <c r="AH48" i="25" s="1"/>
  <c r="Y8" i="47"/>
  <c r="G84" i="47"/>
  <c r="G27" i="47"/>
  <c r="G46" i="47" s="1"/>
  <c r="G122" i="47"/>
  <c r="G9" i="47" s="1"/>
  <c r="O8" i="47"/>
  <c r="O140" i="47"/>
  <c r="O159" i="47" s="1"/>
  <c r="G140" i="47"/>
  <c r="G159" i="47" s="1"/>
  <c r="X8" i="47"/>
  <c r="X140" i="47"/>
  <c r="X159" i="47" s="1"/>
  <c r="P8" i="47"/>
  <c r="P140" i="47"/>
  <c r="P159" i="47" s="1"/>
  <c r="AJ139" i="47"/>
  <c r="Q44" i="47"/>
  <c r="U291" i="47"/>
  <c r="U215" i="47"/>
  <c r="U329" i="47"/>
  <c r="U253" i="47"/>
  <c r="AJ44" i="47"/>
  <c r="AN329" i="47"/>
  <c r="AN291" i="47"/>
  <c r="AN215" i="47"/>
  <c r="AN253" i="47"/>
  <c r="Z44" i="47"/>
  <c r="AD291" i="47"/>
  <c r="AD215" i="47"/>
  <c r="AD253" i="47"/>
  <c r="AD329" i="47"/>
  <c r="H44" i="47"/>
  <c r="L291" i="47"/>
  <c r="L329" i="47"/>
  <c r="L253" i="47"/>
  <c r="L215" i="47"/>
  <c r="AH27" i="47"/>
  <c r="AH141" i="47" s="1"/>
  <c r="AJ158" i="47"/>
  <c r="AK139" i="47"/>
  <c r="AK158" i="47"/>
  <c r="AI28" i="47"/>
  <c r="AI142" i="47" s="1"/>
  <c r="AI46" i="47"/>
  <c r="AI160" i="47" s="1"/>
  <c r="AL158" i="47"/>
  <c r="AL139" i="47"/>
  <c r="AM139" i="47"/>
  <c r="AM158" i="47"/>
  <c r="Q256" i="47"/>
  <c r="Q352" i="47"/>
  <c r="Q237" i="47"/>
  <c r="R217" i="47"/>
  <c r="Q275" i="47"/>
  <c r="T311" i="47"/>
  <c r="Q313" i="47"/>
  <c r="T235" i="47"/>
  <c r="T273" i="47"/>
  <c r="Q333" i="47"/>
  <c r="Q294" i="47"/>
  <c r="Q219" i="47"/>
  <c r="H354" i="47"/>
  <c r="H313" i="47"/>
  <c r="H274" i="47"/>
  <c r="H236" i="47"/>
  <c r="H120" i="47"/>
  <c r="T120" i="47"/>
  <c r="F26" i="47"/>
  <c r="K120" i="47"/>
  <c r="I120" i="47"/>
  <c r="AA120" i="47"/>
  <c r="AA196" i="47" s="1"/>
  <c r="J120" i="47"/>
  <c r="H333" i="47"/>
  <c r="Q75" i="47"/>
  <c r="AB68" i="47"/>
  <c r="AM74" i="47"/>
  <c r="H294" i="47"/>
  <c r="AJ68" i="47"/>
  <c r="Z67" i="47"/>
  <c r="S67" i="47"/>
  <c r="AL120" i="47"/>
  <c r="AK120" i="47"/>
  <c r="AJ120" i="47"/>
  <c r="R120" i="47"/>
  <c r="Q120" i="47"/>
  <c r="Z120" i="47"/>
  <c r="H218" i="47"/>
  <c r="AK67" i="47"/>
  <c r="F121" i="47"/>
  <c r="F83" i="47"/>
  <c r="J68" i="47"/>
  <c r="T67" i="47"/>
  <c r="H256" i="47"/>
  <c r="K67" i="47"/>
  <c r="AL67" i="47"/>
  <c r="AB120" i="47"/>
  <c r="AI123" i="47"/>
  <c r="AI10" i="47" s="1"/>
  <c r="AI85" i="47"/>
  <c r="AH84" i="47"/>
  <c r="AH122" i="47"/>
  <c r="AH9" i="47" s="1"/>
  <c r="AC120" i="47"/>
  <c r="I68" i="47"/>
  <c r="AC67" i="47"/>
  <c r="R67" i="47"/>
  <c r="H68" i="47"/>
  <c r="S120" i="47"/>
  <c r="AA68" i="47"/>
  <c r="AM120" i="47"/>
  <c r="J82" i="25"/>
  <c r="J120" i="25" s="1"/>
  <c r="I82" i="25"/>
  <c r="I120" i="25" s="1"/>
  <c r="U5" i="45"/>
  <c r="U43" i="45" s="1"/>
  <c r="AC215" i="25"/>
  <c r="AC234" i="25" s="1"/>
  <c r="K82" i="25"/>
  <c r="K215" i="25" s="1"/>
  <c r="T5" i="45"/>
  <c r="T43" i="45" s="1"/>
  <c r="H82" i="25"/>
  <c r="H120" i="25" s="1"/>
  <c r="V5" i="45"/>
  <c r="V43" i="45" s="1"/>
  <c r="F84" i="25"/>
  <c r="R7" i="45"/>
  <c r="Z7" i="25"/>
  <c r="Z45" i="25" s="1"/>
  <c r="Z64" i="25" s="1"/>
  <c r="AM7" i="25"/>
  <c r="AM45" i="25" s="1"/>
  <c r="AM64" i="25" s="1"/>
  <c r="AM120" i="25"/>
  <c r="AL215" i="25"/>
  <c r="AL120" i="25"/>
  <c r="AA7" i="25"/>
  <c r="AA45" i="25" s="1"/>
  <c r="AA64" i="25" s="1"/>
  <c r="AK7" i="25"/>
  <c r="AK45" i="25" s="1"/>
  <c r="AK64" i="25" s="1"/>
  <c r="AK120" i="25"/>
  <c r="G45" i="25"/>
  <c r="S6" i="45"/>
  <c r="AC7" i="25"/>
  <c r="AC45" i="25" s="1"/>
  <c r="AC64" i="25" s="1"/>
  <c r="AJ215" i="25"/>
  <c r="T82" i="25"/>
  <c r="T120" i="25" s="1"/>
  <c r="Q82" i="25"/>
  <c r="Q7" i="25" s="1"/>
  <c r="Q45" i="25" s="1"/>
  <c r="Q64" i="25" s="1"/>
  <c r="L233" i="25"/>
  <c r="AM215" i="25"/>
  <c r="AK215" i="25"/>
  <c r="AL7" i="25"/>
  <c r="AL45" i="25" s="1"/>
  <c r="AL64" i="25" s="1"/>
  <c r="AJ7" i="25"/>
  <c r="AJ45" i="25" s="1"/>
  <c r="AJ64" i="25" s="1"/>
  <c r="AI85" i="25"/>
  <c r="AI10" i="25" s="1"/>
  <c r="AI48" i="25" s="1"/>
  <c r="Z215" i="25"/>
  <c r="Z234" i="25" s="1"/>
  <c r="X84" i="25"/>
  <c r="X9" i="25" s="1"/>
  <c r="X47" i="25" s="1"/>
  <c r="AA215" i="25"/>
  <c r="AA234" i="25" s="1"/>
  <c r="AD120" i="25"/>
  <c r="AB215" i="25"/>
  <c r="AB234" i="25" s="1"/>
  <c r="AB7" i="25"/>
  <c r="AB45" i="25" s="1"/>
  <c r="AB64" i="25" s="1"/>
  <c r="Y85" i="25"/>
  <c r="Y47" i="25"/>
  <c r="H173" i="25"/>
  <c r="L172" i="25"/>
  <c r="O84" i="25"/>
  <c r="O9" i="25" s="1"/>
  <c r="O47" i="25" s="1"/>
  <c r="I197" i="41"/>
  <c r="I216" i="41" s="1"/>
  <c r="J197" i="41"/>
  <c r="J216" i="41" s="1"/>
  <c r="R82" i="25"/>
  <c r="S82" i="25"/>
  <c r="I201" i="25"/>
  <c r="L200" i="25"/>
  <c r="E158" i="27"/>
  <c r="G83" i="25"/>
  <c r="G8" i="25" s="1"/>
  <c r="S7" i="45" s="1"/>
  <c r="P85" i="25"/>
  <c r="P10" i="25" s="1"/>
  <c r="P48" i="25" s="1"/>
  <c r="I83" i="29"/>
  <c r="H83" i="29"/>
  <c r="K83" i="29"/>
  <c r="F84" i="29"/>
  <c r="F46" i="29"/>
  <c r="G11" i="29"/>
  <c r="G87" i="29"/>
  <c r="G49" i="29"/>
  <c r="J46" i="29"/>
  <c r="J65" i="29" s="1"/>
  <c r="L120" i="29"/>
  <c r="H216" i="37"/>
  <c r="I216" i="37"/>
  <c r="J216" i="37"/>
  <c r="K216" i="37"/>
  <c r="L179" i="29"/>
  <c r="H180" i="29"/>
  <c r="H161" i="29"/>
  <c r="L160" i="29"/>
  <c r="L179" i="37"/>
  <c r="H180" i="37"/>
  <c r="K181" i="25"/>
  <c r="L180" i="25"/>
  <c r="H215" i="41"/>
  <c r="L215" i="41" s="1"/>
  <c r="L196" i="41"/>
  <c r="L141" i="41"/>
  <c r="H142" i="41"/>
  <c r="H142" i="29"/>
  <c r="L141" i="29"/>
  <c r="H46" i="41"/>
  <c r="H65" i="41" s="1"/>
  <c r="I46" i="41"/>
  <c r="I65" i="41" s="1"/>
  <c r="J46" i="41"/>
  <c r="J65" i="41" s="1"/>
  <c r="K46" i="41"/>
  <c r="K65" i="41" s="1"/>
  <c r="K84" i="41" s="1"/>
  <c r="K9" i="41"/>
  <c r="G48" i="41"/>
  <c r="G86" i="41"/>
  <c r="G11" i="41" s="1"/>
  <c r="G47" i="39"/>
  <c r="G85" i="39"/>
  <c r="G10" i="39" s="1"/>
  <c r="H234" i="39"/>
  <c r="L215" i="39"/>
  <c r="H83" i="39"/>
  <c r="H8" i="39" s="1"/>
  <c r="I83" i="39"/>
  <c r="I8" i="39" s="1"/>
  <c r="J83" i="39"/>
  <c r="J8" i="39" s="1"/>
  <c r="K83" i="39"/>
  <c r="K8" i="39" s="1"/>
  <c r="J120" i="37"/>
  <c r="J234" i="37" s="1"/>
  <c r="J7" i="37"/>
  <c r="J45" i="37" s="1"/>
  <c r="J64" i="37" s="1"/>
  <c r="K120" i="37"/>
  <c r="K234" i="37" s="1"/>
  <c r="K7" i="37"/>
  <c r="K45" i="37" s="1"/>
  <c r="K64" i="37" s="1"/>
  <c r="I7" i="37"/>
  <c r="I45" i="37" s="1"/>
  <c r="I64" i="37" s="1"/>
  <c r="I120" i="37"/>
  <c r="I234" i="37" s="1"/>
  <c r="L215" i="37"/>
  <c r="H120" i="37"/>
  <c r="H234" i="37" s="1"/>
  <c r="H7" i="37"/>
  <c r="H45" i="37" s="1"/>
  <c r="H64" i="37" s="1"/>
  <c r="H83" i="37" s="1"/>
  <c r="H202" i="29"/>
  <c r="L201" i="29"/>
  <c r="H30" i="29"/>
  <c r="H31" i="37"/>
  <c r="L200" i="37"/>
  <c r="H201" i="37"/>
  <c r="L162" i="37"/>
  <c r="L143" i="37"/>
  <c r="K106" i="37"/>
  <c r="H105" i="37"/>
  <c r="J105" i="37"/>
  <c r="I105" i="37"/>
  <c r="H209" i="25"/>
  <c r="L145" i="25"/>
  <c r="I30" i="25"/>
  <c r="C73" i="13"/>
  <c r="C74" i="13" s="1"/>
  <c r="C75" i="13" s="1"/>
  <c r="C76" i="13" s="1"/>
  <c r="C77" i="13" s="1"/>
  <c r="C78" i="13" s="1"/>
  <c r="C79" i="13" s="1"/>
  <c r="C80" i="13" s="1"/>
  <c r="C81" i="13" s="1"/>
  <c r="C85" i="13"/>
  <c r="C84" i="13"/>
  <c r="D60" i="20"/>
  <c r="E60" i="20" s="1"/>
  <c r="F60" i="20" s="1"/>
  <c r="G60" i="20" s="1"/>
  <c r="H60" i="20" s="1"/>
  <c r="I60" i="20" s="1"/>
  <c r="J60" i="20" s="1"/>
  <c r="K60" i="20" s="1"/>
  <c r="L60" i="20" s="1"/>
  <c r="D92" i="20"/>
  <c r="E92" i="20" s="1"/>
  <c r="F92" i="20" s="1"/>
  <c r="G92" i="20" s="1"/>
  <c r="H92" i="20" s="1"/>
  <c r="I92" i="20" s="1"/>
  <c r="J92" i="20" s="1"/>
  <c r="K92" i="20" s="1"/>
  <c r="L92" i="20" s="1"/>
  <c r="D37" i="20"/>
  <c r="E37" i="20" s="1"/>
  <c r="F37" i="20" s="1"/>
  <c r="G37" i="20" s="1"/>
  <c r="H37" i="20" s="1"/>
  <c r="I37" i="20" s="1"/>
  <c r="J37" i="20" s="1"/>
  <c r="K37" i="20" s="1"/>
  <c r="L37" i="20" s="1"/>
  <c r="D78" i="20"/>
  <c r="E78" i="20" s="1"/>
  <c r="F78" i="20" s="1"/>
  <c r="G78" i="20" s="1"/>
  <c r="H78" i="20" s="1"/>
  <c r="I78" i="20" s="1"/>
  <c r="J78" i="20" s="1"/>
  <c r="K78" i="20" s="1"/>
  <c r="L78" i="20" s="1"/>
  <c r="D76" i="20"/>
  <c r="E76" i="20" s="1"/>
  <c r="F76" i="20" s="1"/>
  <c r="G76" i="20" s="1"/>
  <c r="H76" i="20" s="1"/>
  <c r="I76" i="20" s="1"/>
  <c r="J76" i="20" s="1"/>
  <c r="K76" i="20" s="1"/>
  <c r="L76" i="20" s="1"/>
  <c r="D41" i="20"/>
  <c r="E41" i="20" s="1"/>
  <c r="F41" i="20" s="1"/>
  <c r="G41" i="20" s="1"/>
  <c r="H41" i="20" s="1"/>
  <c r="I41" i="20" s="1"/>
  <c r="J41" i="20" s="1"/>
  <c r="K41" i="20" s="1"/>
  <c r="L41" i="20" s="1"/>
  <c r="D61" i="20"/>
  <c r="E61" i="20" s="1"/>
  <c r="F61" i="20" s="1"/>
  <c r="G61" i="20" s="1"/>
  <c r="H61" i="20" s="1"/>
  <c r="I61" i="20" s="1"/>
  <c r="J61" i="20" s="1"/>
  <c r="K61" i="20" s="1"/>
  <c r="L61" i="20" s="1"/>
  <c r="D84" i="20"/>
  <c r="E84" i="20" s="1"/>
  <c r="F84" i="20" s="1"/>
  <c r="G84" i="20" s="1"/>
  <c r="H84" i="20" s="1"/>
  <c r="I84" i="20" s="1"/>
  <c r="J84" i="20" s="1"/>
  <c r="K84" i="20" s="1"/>
  <c r="L84" i="20" s="1"/>
  <c r="C120" i="20"/>
  <c r="D40" i="20"/>
  <c r="E40" i="20" s="1"/>
  <c r="F40" i="20" s="1"/>
  <c r="G40" i="20" s="1"/>
  <c r="H40" i="20" s="1"/>
  <c r="I40" i="20" s="1"/>
  <c r="J40" i="20" s="1"/>
  <c r="K40" i="20" s="1"/>
  <c r="L40" i="20" s="1"/>
  <c r="D56" i="20"/>
  <c r="E56" i="20" s="1"/>
  <c r="F56" i="20" s="1"/>
  <c r="G56" i="20" s="1"/>
  <c r="H56" i="20" s="1"/>
  <c r="I56" i="20" s="1"/>
  <c r="J56" i="20" s="1"/>
  <c r="K56" i="20" s="1"/>
  <c r="L56" i="20" s="1"/>
  <c r="C119" i="20"/>
  <c r="D30" i="20"/>
  <c r="E30" i="20" s="1"/>
  <c r="F30" i="20" s="1"/>
  <c r="G30" i="20" s="1"/>
  <c r="H30" i="20" s="1"/>
  <c r="I30" i="20" s="1"/>
  <c r="J30" i="20" s="1"/>
  <c r="K30" i="20" s="1"/>
  <c r="L30" i="20" s="1"/>
  <c r="D26" i="20"/>
  <c r="E26" i="20" s="1"/>
  <c r="F26" i="20" s="1"/>
  <c r="G26" i="20" s="1"/>
  <c r="H26" i="20" s="1"/>
  <c r="I26" i="20" s="1"/>
  <c r="J26" i="20" s="1"/>
  <c r="K26" i="20" s="1"/>
  <c r="D52" i="20"/>
  <c r="E52" i="20" s="1"/>
  <c r="F52" i="20" s="1"/>
  <c r="G52" i="20" s="1"/>
  <c r="H52" i="20" s="1"/>
  <c r="I52" i="20" s="1"/>
  <c r="J52" i="20" s="1"/>
  <c r="K52" i="20" s="1"/>
  <c r="L52" i="20" s="1"/>
  <c r="D109" i="20"/>
  <c r="E109" i="20" s="1"/>
  <c r="F109" i="20" s="1"/>
  <c r="G109" i="20" s="1"/>
  <c r="H109" i="20" s="1"/>
  <c r="I109" i="20" s="1"/>
  <c r="J109" i="20" s="1"/>
  <c r="K109" i="20" s="1"/>
  <c r="L109" i="20" s="1"/>
  <c r="D23" i="20"/>
  <c r="E23" i="20" s="1"/>
  <c r="F23" i="20" s="1"/>
  <c r="G23" i="20" s="1"/>
  <c r="H23" i="20" s="1"/>
  <c r="C118" i="20"/>
  <c r="K16" i="13" s="1"/>
  <c r="D113" i="20"/>
  <c r="E113" i="20" s="1"/>
  <c r="F113" i="20" s="1"/>
  <c r="G113" i="20" s="1"/>
  <c r="H113" i="20" s="1"/>
  <c r="I113" i="20" s="1"/>
  <c r="J113" i="20" s="1"/>
  <c r="K113" i="20" s="1"/>
  <c r="L113" i="20" s="1"/>
  <c r="D74" i="20"/>
  <c r="E74" i="20" s="1"/>
  <c r="F74" i="20" s="1"/>
  <c r="G74" i="20" s="1"/>
  <c r="H74" i="20" s="1"/>
  <c r="I74" i="20" s="1"/>
  <c r="J74" i="20" s="1"/>
  <c r="K74" i="20" s="1"/>
  <c r="L74" i="20" s="1"/>
  <c r="D44" i="20"/>
  <c r="E44" i="20" s="1"/>
  <c r="F44" i="20" s="1"/>
  <c r="G44" i="20" s="1"/>
  <c r="H44" i="20" s="1"/>
  <c r="I44" i="20" s="1"/>
  <c r="J44" i="20" s="1"/>
  <c r="K44" i="20" s="1"/>
  <c r="L44" i="20" s="1"/>
  <c r="D18" i="20"/>
  <c r="E18" i="20" s="1"/>
  <c r="F18" i="20" s="1"/>
  <c r="G18" i="20" s="1"/>
  <c r="H18" i="20" s="1"/>
  <c r="I18" i="20" s="1"/>
  <c r="J18" i="20" s="1"/>
  <c r="K18" i="20" s="1"/>
  <c r="L18" i="20" s="1"/>
  <c r="D93" i="20"/>
  <c r="E93" i="20" s="1"/>
  <c r="F93" i="20" s="1"/>
  <c r="G93" i="20" s="1"/>
  <c r="H93" i="20" s="1"/>
  <c r="I93" i="20" s="1"/>
  <c r="J93" i="20" s="1"/>
  <c r="K93" i="20" s="1"/>
  <c r="L93" i="20" s="1"/>
  <c r="D42" i="20"/>
  <c r="E42" i="20" s="1"/>
  <c r="F42" i="20" s="1"/>
  <c r="G42" i="20" s="1"/>
  <c r="H42" i="20" s="1"/>
  <c r="I42" i="20" s="1"/>
  <c r="J42" i="20" s="1"/>
  <c r="K42" i="20" s="1"/>
  <c r="L42" i="20" s="1"/>
  <c r="D32" i="20"/>
  <c r="E32" i="20" s="1"/>
  <c r="F32" i="20" s="1"/>
  <c r="G32" i="20" s="1"/>
  <c r="H32" i="20" s="1"/>
  <c r="I32" i="20" s="1"/>
  <c r="J32" i="20" s="1"/>
  <c r="K32" i="20" s="1"/>
  <c r="L32" i="20" s="1"/>
  <c r="D105" i="20"/>
  <c r="E105" i="20" s="1"/>
  <c r="F105" i="20" s="1"/>
  <c r="G105" i="20" s="1"/>
  <c r="H105" i="20" s="1"/>
  <c r="I105" i="20" s="1"/>
  <c r="J105" i="20" s="1"/>
  <c r="K105" i="20" s="1"/>
  <c r="L105" i="20" s="1"/>
  <c r="D98" i="20"/>
  <c r="E98" i="20" s="1"/>
  <c r="F98" i="20" s="1"/>
  <c r="G98" i="20" s="1"/>
  <c r="H98" i="20" s="1"/>
  <c r="I98" i="20" s="1"/>
  <c r="J98" i="20" s="1"/>
  <c r="K98" i="20" s="1"/>
  <c r="L98" i="20" s="1"/>
  <c r="D36" i="20"/>
  <c r="E36" i="20" s="1"/>
  <c r="F36" i="20" s="1"/>
  <c r="G36" i="20" s="1"/>
  <c r="H36" i="20" s="1"/>
  <c r="I36" i="20" s="1"/>
  <c r="J36" i="20" s="1"/>
  <c r="K36" i="20" s="1"/>
  <c r="L36" i="20" s="1"/>
  <c r="D35" i="20"/>
  <c r="E35" i="20" s="1"/>
  <c r="F35" i="20" s="1"/>
  <c r="G35" i="20" s="1"/>
  <c r="H35" i="20" s="1"/>
  <c r="I35" i="20" s="1"/>
  <c r="J35" i="20" s="1"/>
  <c r="K35" i="20" s="1"/>
  <c r="L35" i="20" s="1"/>
  <c r="C116" i="20"/>
  <c r="D20" i="20"/>
  <c r="E20" i="20" s="1"/>
  <c r="D108" i="20"/>
  <c r="E108" i="20" s="1"/>
  <c r="F108" i="20" s="1"/>
  <c r="G108" i="20" s="1"/>
  <c r="H108" i="20" s="1"/>
  <c r="I108" i="20" s="1"/>
  <c r="J108" i="20" s="1"/>
  <c r="K108" i="20" s="1"/>
  <c r="L108" i="20" s="1"/>
  <c r="D115" i="20"/>
  <c r="E115" i="20" s="1"/>
  <c r="F115" i="20" s="1"/>
  <c r="G115" i="20" s="1"/>
  <c r="H115" i="20" s="1"/>
  <c r="I115" i="20" s="1"/>
  <c r="J115" i="20" s="1"/>
  <c r="K115" i="20" s="1"/>
  <c r="L115" i="20" s="1"/>
  <c r="D46" i="20"/>
  <c r="E46" i="20" s="1"/>
  <c r="F46" i="20" s="1"/>
  <c r="G46" i="20" s="1"/>
  <c r="H46" i="20" s="1"/>
  <c r="I46" i="20" s="1"/>
  <c r="J46" i="20" s="1"/>
  <c r="K46" i="20" s="1"/>
  <c r="L46" i="20" s="1"/>
  <c r="D48" i="20"/>
  <c r="E48" i="20" s="1"/>
  <c r="F48" i="20" s="1"/>
  <c r="G48" i="20" s="1"/>
  <c r="H48" i="20" s="1"/>
  <c r="I48" i="20" s="1"/>
  <c r="J48" i="20" s="1"/>
  <c r="K48" i="20" s="1"/>
  <c r="L48" i="20" s="1"/>
  <c r="D81" i="20"/>
  <c r="E81" i="20" s="1"/>
  <c r="F81" i="20" s="1"/>
  <c r="G81" i="20" s="1"/>
  <c r="H81" i="20" s="1"/>
  <c r="I81" i="20" s="1"/>
  <c r="J81" i="20" s="1"/>
  <c r="K81" i="20" s="1"/>
  <c r="L81" i="20" s="1"/>
  <c r="D112" i="20"/>
  <c r="E112" i="20" s="1"/>
  <c r="F112" i="20" s="1"/>
  <c r="G112" i="20" s="1"/>
  <c r="H112" i="20" s="1"/>
  <c r="I112" i="20" s="1"/>
  <c r="J112" i="20" s="1"/>
  <c r="K112" i="20" s="1"/>
  <c r="L112" i="20" s="1"/>
  <c r="D68" i="20"/>
  <c r="E68" i="20" s="1"/>
  <c r="F68" i="20" s="1"/>
  <c r="G68" i="20" s="1"/>
  <c r="H68" i="20" s="1"/>
  <c r="I68" i="20" s="1"/>
  <c r="J68" i="20" s="1"/>
  <c r="K68" i="20" s="1"/>
  <c r="L68" i="20" s="1"/>
  <c r="D90" i="20"/>
  <c r="E90" i="20" s="1"/>
  <c r="F90" i="20" s="1"/>
  <c r="G90" i="20" s="1"/>
  <c r="H90" i="20" s="1"/>
  <c r="I90" i="20" s="1"/>
  <c r="J90" i="20" s="1"/>
  <c r="K90" i="20" s="1"/>
  <c r="L90" i="20" s="1"/>
  <c r="D62" i="20"/>
  <c r="E62" i="20" s="1"/>
  <c r="F62" i="20" s="1"/>
  <c r="G62" i="20" s="1"/>
  <c r="H62" i="20" s="1"/>
  <c r="I62" i="20" s="1"/>
  <c r="J62" i="20" s="1"/>
  <c r="K62" i="20" s="1"/>
  <c r="L62" i="20" s="1"/>
  <c r="D58" i="20"/>
  <c r="E58" i="20" s="1"/>
  <c r="F58" i="20" s="1"/>
  <c r="G58" i="20" s="1"/>
  <c r="H58" i="20" s="1"/>
  <c r="I58" i="20" s="1"/>
  <c r="J58" i="20" s="1"/>
  <c r="K58" i="20" s="1"/>
  <c r="L58" i="20" s="1"/>
  <c r="D63" i="20"/>
  <c r="E63" i="20" s="1"/>
  <c r="F63" i="20" s="1"/>
  <c r="G63" i="20" s="1"/>
  <c r="H63" i="20" s="1"/>
  <c r="I63" i="20" s="1"/>
  <c r="J63" i="20" s="1"/>
  <c r="K63" i="20" s="1"/>
  <c r="L63" i="20" s="1"/>
  <c r="D39" i="20"/>
  <c r="E39" i="20" s="1"/>
  <c r="F39" i="20" s="1"/>
  <c r="G39" i="20" s="1"/>
  <c r="H39" i="20" s="1"/>
  <c r="I39" i="20" s="1"/>
  <c r="J39" i="20" s="1"/>
  <c r="K39" i="20" s="1"/>
  <c r="L39" i="20" s="1"/>
  <c r="D97" i="20"/>
  <c r="E97" i="20" s="1"/>
  <c r="F97" i="20" s="1"/>
  <c r="G97" i="20" s="1"/>
  <c r="H97" i="20" s="1"/>
  <c r="I97" i="20" s="1"/>
  <c r="J97" i="20" s="1"/>
  <c r="K97" i="20" s="1"/>
  <c r="L97" i="20" s="1"/>
  <c r="D67" i="20"/>
  <c r="E67" i="20" s="1"/>
  <c r="F67" i="20" s="1"/>
  <c r="G67" i="20" s="1"/>
  <c r="H67" i="20" s="1"/>
  <c r="I67" i="20" s="1"/>
  <c r="J67" i="20" s="1"/>
  <c r="K67" i="20" s="1"/>
  <c r="L67" i="20" s="1"/>
  <c r="D72" i="20"/>
  <c r="E72" i="20" s="1"/>
  <c r="F72" i="20" s="1"/>
  <c r="G72" i="20" s="1"/>
  <c r="H72" i="20" s="1"/>
  <c r="I72" i="20" s="1"/>
  <c r="J72" i="20" s="1"/>
  <c r="K72" i="20" s="1"/>
  <c r="L72" i="20" s="1"/>
  <c r="D38" i="20"/>
  <c r="E38" i="20" s="1"/>
  <c r="F38" i="20" s="1"/>
  <c r="G38" i="20" s="1"/>
  <c r="H38" i="20" s="1"/>
  <c r="I38" i="20" s="1"/>
  <c r="J38" i="20" s="1"/>
  <c r="K38" i="20" s="1"/>
  <c r="L38" i="20" s="1"/>
  <c r="D57" i="20"/>
  <c r="E57" i="20" s="1"/>
  <c r="F57" i="20" s="1"/>
  <c r="G57" i="20" s="1"/>
  <c r="H57" i="20" s="1"/>
  <c r="I57" i="20" s="1"/>
  <c r="J57" i="20" s="1"/>
  <c r="K57" i="20" s="1"/>
  <c r="L57" i="20" s="1"/>
  <c r="D69" i="20"/>
  <c r="E69" i="20" s="1"/>
  <c r="F69" i="20" s="1"/>
  <c r="G69" i="20" s="1"/>
  <c r="H69" i="20" s="1"/>
  <c r="I69" i="20" s="1"/>
  <c r="J69" i="20" s="1"/>
  <c r="K69" i="20" s="1"/>
  <c r="L69" i="20" s="1"/>
  <c r="D82" i="20"/>
  <c r="E82" i="20" s="1"/>
  <c r="F82" i="20" s="1"/>
  <c r="G82" i="20" s="1"/>
  <c r="H82" i="20" s="1"/>
  <c r="I82" i="20" s="1"/>
  <c r="J82" i="20" s="1"/>
  <c r="K82" i="20" s="1"/>
  <c r="L82" i="20" s="1"/>
  <c r="D31" i="20"/>
  <c r="E31" i="20" s="1"/>
  <c r="F31" i="20" s="1"/>
  <c r="G31" i="20" s="1"/>
  <c r="H31" i="20" s="1"/>
  <c r="I31" i="20" s="1"/>
  <c r="J31" i="20" s="1"/>
  <c r="K31" i="20" s="1"/>
  <c r="L31" i="20" s="1"/>
  <c r="D24" i="20"/>
  <c r="E24" i="20" s="1"/>
  <c r="F24" i="20" s="1"/>
  <c r="G24" i="20" s="1"/>
  <c r="H24" i="20" s="1"/>
  <c r="I24" i="20" s="1"/>
  <c r="D114" i="20"/>
  <c r="E114" i="20" s="1"/>
  <c r="F114" i="20" s="1"/>
  <c r="G114" i="20" s="1"/>
  <c r="H114" i="20" s="1"/>
  <c r="I114" i="20" s="1"/>
  <c r="J114" i="20" s="1"/>
  <c r="K114" i="20" s="1"/>
  <c r="L114" i="20" s="1"/>
  <c r="D100" i="20"/>
  <c r="E100" i="20" s="1"/>
  <c r="F100" i="20" s="1"/>
  <c r="G100" i="20" s="1"/>
  <c r="H100" i="20" s="1"/>
  <c r="I100" i="20" s="1"/>
  <c r="J100" i="20" s="1"/>
  <c r="K100" i="20" s="1"/>
  <c r="L100" i="20" s="1"/>
  <c r="D85" i="20"/>
  <c r="E85" i="20" s="1"/>
  <c r="F85" i="20" s="1"/>
  <c r="G85" i="20" s="1"/>
  <c r="H85" i="20" s="1"/>
  <c r="I85" i="20" s="1"/>
  <c r="J85" i="20" s="1"/>
  <c r="K85" i="20" s="1"/>
  <c r="L85" i="20" s="1"/>
  <c r="D107" i="20"/>
  <c r="E107" i="20" s="1"/>
  <c r="F107" i="20" s="1"/>
  <c r="G107" i="20" s="1"/>
  <c r="H107" i="20" s="1"/>
  <c r="I107" i="20" s="1"/>
  <c r="J107" i="20" s="1"/>
  <c r="K107" i="20" s="1"/>
  <c r="L107" i="20" s="1"/>
  <c r="D104" i="20"/>
  <c r="E104" i="20" s="1"/>
  <c r="F104" i="20" s="1"/>
  <c r="G104" i="20" s="1"/>
  <c r="H104" i="20" s="1"/>
  <c r="I104" i="20" s="1"/>
  <c r="J104" i="20" s="1"/>
  <c r="K104" i="20" s="1"/>
  <c r="L104" i="20" s="1"/>
  <c r="D88" i="20"/>
  <c r="E88" i="20" s="1"/>
  <c r="F88" i="20" s="1"/>
  <c r="G88" i="20" s="1"/>
  <c r="H88" i="20" s="1"/>
  <c r="I88" i="20" s="1"/>
  <c r="J88" i="20" s="1"/>
  <c r="K88" i="20" s="1"/>
  <c r="L88" i="20" s="1"/>
  <c r="D53" i="20"/>
  <c r="E53" i="20" s="1"/>
  <c r="F53" i="20" s="1"/>
  <c r="G53" i="20" s="1"/>
  <c r="H53" i="20" s="1"/>
  <c r="I53" i="20" s="1"/>
  <c r="J53" i="20" s="1"/>
  <c r="K53" i="20" s="1"/>
  <c r="L53" i="20" s="1"/>
  <c r="D55" i="20"/>
  <c r="E55" i="20" s="1"/>
  <c r="F55" i="20" s="1"/>
  <c r="G55" i="20" s="1"/>
  <c r="H55" i="20" s="1"/>
  <c r="I55" i="20" s="1"/>
  <c r="J55" i="20" s="1"/>
  <c r="K55" i="20" s="1"/>
  <c r="L55" i="20" s="1"/>
  <c r="D50" i="20"/>
  <c r="E50" i="20" s="1"/>
  <c r="F50" i="20" s="1"/>
  <c r="G50" i="20" s="1"/>
  <c r="H50" i="20" s="1"/>
  <c r="I50" i="20" s="1"/>
  <c r="J50" i="20" s="1"/>
  <c r="K50" i="20" s="1"/>
  <c r="L50" i="20" s="1"/>
  <c r="D34" i="20"/>
  <c r="E34" i="20" s="1"/>
  <c r="F34" i="20" s="1"/>
  <c r="G34" i="20" s="1"/>
  <c r="H34" i="20" s="1"/>
  <c r="I34" i="20" s="1"/>
  <c r="J34" i="20" s="1"/>
  <c r="K34" i="20" s="1"/>
  <c r="L34" i="20" s="1"/>
  <c r="D91" i="20"/>
  <c r="E91" i="20" s="1"/>
  <c r="F91" i="20" s="1"/>
  <c r="G91" i="20" s="1"/>
  <c r="H91" i="20" s="1"/>
  <c r="I91" i="20" s="1"/>
  <c r="J91" i="20" s="1"/>
  <c r="K91" i="20" s="1"/>
  <c r="L91" i="20" s="1"/>
  <c r="D101" i="20"/>
  <c r="E101" i="20" s="1"/>
  <c r="F101" i="20" s="1"/>
  <c r="G101" i="20" s="1"/>
  <c r="H101" i="20" s="1"/>
  <c r="I101" i="20" s="1"/>
  <c r="J101" i="20" s="1"/>
  <c r="K101" i="20" s="1"/>
  <c r="L101" i="20" s="1"/>
  <c r="D106" i="20"/>
  <c r="E106" i="20" s="1"/>
  <c r="F106" i="20" s="1"/>
  <c r="G106" i="20" s="1"/>
  <c r="H106" i="20" s="1"/>
  <c r="I106" i="20" s="1"/>
  <c r="J106" i="20" s="1"/>
  <c r="K106" i="20" s="1"/>
  <c r="L106" i="20" s="1"/>
  <c r="D64" i="20"/>
  <c r="E64" i="20" s="1"/>
  <c r="F64" i="20" s="1"/>
  <c r="G64" i="20" s="1"/>
  <c r="H64" i="20" s="1"/>
  <c r="I64" i="20" s="1"/>
  <c r="J64" i="20" s="1"/>
  <c r="K64" i="20" s="1"/>
  <c r="L64" i="20" s="1"/>
  <c r="D99" i="20"/>
  <c r="E99" i="20" s="1"/>
  <c r="F99" i="20" s="1"/>
  <c r="G99" i="20" s="1"/>
  <c r="H99" i="20" s="1"/>
  <c r="I99" i="20" s="1"/>
  <c r="J99" i="20" s="1"/>
  <c r="K99" i="20" s="1"/>
  <c r="L99" i="20" s="1"/>
  <c r="D70" i="20"/>
  <c r="E70" i="20" s="1"/>
  <c r="F70" i="20" s="1"/>
  <c r="G70" i="20" s="1"/>
  <c r="H70" i="20" s="1"/>
  <c r="I70" i="20" s="1"/>
  <c r="J70" i="20" s="1"/>
  <c r="K70" i="20" s="1"/>
  <c r="L70" i="20" s="1"/>
  <c r="D89" i="20"/>
  <c r="E89" i="20" s="1"/>
  <c r="F89" i="20" s="1"/>
  <c r="G89" i="20" s="1"/>
  <c r="H89" i="20" s="1"/>
  <c r="I89" i="20" s="1"/>
  <c r="J89" i="20" s="1"/>
  <c r="K89" i="20" s="1"/>
  <c r="L89" i="20" s="1"/>
  <c r="C117" i="20"/>
  <c r="D80" i="20"/>
  <c r="E80" i="20" s="1"/>
  <c r="F80" i="20" s="1"/>
  <c r="G80" i="20" s="1"/>
  <c r="H80" i="20" s="1"/>
  <c r="I80" i="20" s="1"/>
  <c r="J80" i="20" s="1"/>
  <c r="K80" i="20" s="1"/>
  <c r="L80" i="20" s="1"/>
  <c r="D66" i="20"/>
  <c r="E66" i="20" s="1"/>
  <c r="F66" i="20" s="1"/>
  <c r="G66" i="20" s="1"/>
  <c r="H66" i="20" s="1"/>
  <c r="I66" i="20" s="1"/>
  <c r="J66" i="20" s="1"/>
  <c r="K66" i="20" s="1"/>
  <c r="L66" i="20" s="1"/>
  <c r="D22" i="20"/>
  <c r="E22" i="20" s="1"/>
  <c r="F22" i="20" s="1"/>
  <c r="G22" i="20" s="1"/>
  <c r="D47" i="20"/>
  <c r="E47" i="20" s="1"/>
  <c r="F47" i="20" s="1"/>
  <c r="G47" i="20" s="1"/>
  <c r="H47" i="20" s="1"/>
  <c r="I47" i="20" s="1"/>
  <c r="J47" i="20" s="1"/>
  <c r="K47" i="20" s="1"/>
  <c r="L47" i="20" s="1"/>
  <c r="D28" i="20"/>
  <c r="E28" i="20" s="1"/>
  <c r="F28" i="20" s="1"/>
  <c r="G28" i="20" s="1"/>
  <c r="H28" i="20" s="1"/>
  <c r="I28" i="20" s="1"/>
  <c r="J28" i="20" s="1"/>
  <c r="K28" i="20" s="1"/>
  <c r="L28" i="20" s="1"/>
  <c r="D17" i="20"/>
  <c r="C122" i="20"/>
  <c r="C222" i="20" s="1"/>
  <c r="C322" i="20" s="1"/>
  <c r="D79" i="20"/>
  <c r="E79" i="20" s="1"/>
  <c r="F79" i="20" s="1"/>
  <c r="G79" i="20" s="1"/>
  <c r="H79" i="20" s="1"/>
  <c r="I79" i="20" s="1"/>
  <c r="J79" i="20" s="1"/>
  <c r="K79" i="20" s="1"/>
  <c r="L79" i="20" s="1"/>
  <c r="D27" i="20"/>
  <c r="E27" i="20" s="1"/>
  <c r="F27" i="20" s="1"/>
  <c r="G27" i="20" s="1"/>
  <c r="H27" i="20" s="1"/>
  <c r="I27" i="20" s="1"/>
  <c r="J27" i="20" s="1"/>
  <c r="K27" i="20" s="1"/>
  <c r="L27" i="20" s="1"/>
  <c r="D29" i="20"/>
  <c r="E29" i="20" s="1"/>
  <c r="F29" i="20" s="1"/>
  <c r="G29" i="20" s="1"/>
  <c r="H29" i="20" s="1"/>
  <c r="I29" i="20" s="1"/>
  <c r="J29" i="20" s="1"/>
  <c r="K29" i="20" s="1"/>
  <c r="L29" i="20" s="1"/>
  <c r="D77" i="20"/>
  <c r="E77" i="20" s="1"/>
  <c r="F77" i="20" s="1"/>
  <c r="G77" i="20" s="1"/>
  <c r="H77" i="20" s="1"/>
  <c r="I77" i="20" s="1"/>
  <c r="J77" i="20" s="1"/>
  <c r="K77" i="20" s="1"/>
  <c r="L77" i="20" s="1"/>
  <c r="D86" i="20"/>
  <c r="E86" i="20" s="1"/>
  <c r="F86" i="20" s="1"/>
  <c r="G86" i="20" s="1"/>
  <c r="H86" i="20" s="1"/>
  <c r="I86" i="20" s="1"/>
  <c r="J86" i="20" s="1"/>
  <c r="K86" i="20" s="1"/>
  <c r="L86" i="20" s="1"/>
  <c r="D73" i="20"/>
  <c r="E73" i="20" s="1"/>
  <c r="F73" i="20" s="1"/>
  <c r="G73" i="20" s="1"/>
  <c r="H73" i="20" s="1"/>
  <c r="I73" i="20" s="1"/>
  <c r="J73" i="20" s="1"/>
  <c r="K73" i="20" s="1"/>
  <c r="L73" i="20" s="1"/>
  <c r="D25" i="20"/>
  <c r="E25" i="20" s="1"/>
  <c r="F25" i="20" s="1"/>
  <c r="G25" i="20" s="1"/>
  <c r="H25" i="20" s="1"/>
  <c r="I25" i="20" s="1"/>
  <c r="J25" i="20" s="1"/>
  <c r="D19" i="20"/>
  <c r="D65" i="20"/>
  <c r="E65" i="20" s="1"/>
  <c r="F65" i="20" s="1"/>
  <c r="G65" i="20" s="1"/>
  <c r="H65" i="20" s="1"/>
  <c r="I65" i="20" s="1"/>
  <c r="J65" i="20" s="1"/>
  <c r="K65" i="20" s="1"/>
  <c r="L65" i="20" s="1"/>
  <c r="D96" i="20"/>
  <c r="E96" i="20" s="1"/>
  <c r="F96" i="20" s="1"/>
  <c r="G96" i="20" s="1"/>
  <c r="H96" i="20" s="1"/>
  <c r="I96" i="20" s="1"/>
  <c r="J96" i="20" s="1"/>
  <c r="K96" i="20" s="1"/>
  <c r="L96" i="20" s="1"/>
  <c r="D75" i="20"/>
  <c r="E75" i="20" s="1"/>
  <c r="F75" i="20" s="1"/>
  <c r="G75" i="20" s="1"/>
  <c r="H75" i="20" s="1"/>
  <c r="I75" i="20" s="1"/>
  <c r="J75" i="20" s="1"/>
  <c r="K75" i="20" s="1"/>
  <c r="L75" i="20" s="1"/>
  <c r="D45" i="20"/>
  <c r="E45" i="20" s="1"/>
  <c r="F45" i="20" s="1"/>
  <c r="G45" i="20" s="1"/>
  <c r="H45" i="20" s="1"/>
  <c r="I45" i="20" s="1"/>
  <c r="J45" i="20" s="1"/>
  <c r="K45" i="20" s="1"/>
  <c r="L45" i="20" s="1"/>
  <c r="D71" i="20"/>
  <c r="E71" i="20" s="1"/>
  <c r="F71" i="20" s="1"/>
  <c r="G71" i="20" s="1"/>
  <c r="H71" i="20" s="1"/>
  <c r="I71" i="20" s="1"/>
  <c r="J71" i="20" s="1"/>
  <c r="K71" i="20" s="1"/>
  <c r="L71" i="20" s="1"/>
  <c r="D21" i="20"/>
  <c r="E21" i="20" s="1"/>
  <c r="F21" i="20" s="1"/>
  <c r="D54" i="20"/>
  <c r="E54" i="20" s="1"/>
  <c r="F54" i="20" s="1"/>
  <c r="G54" i="20" s="1"/>
  <c r="H54" i="20" s="1"/>
  <c r="I54" i="20" s="1"/>
  <c r="J54" i="20" s="1"/>
  <c r="K54" i="20" s="1"/>
  <c r="L54" i="20" s="1"/>
  <c r="D83" i="20"/>
  <c r="E83" i="20" s="1"/>
  <c r="F83" i="20" s="1"/>
  <c r="G83" i="20" s="1"/>
  <c r="H83" i="20" s="1"/>
  <c r="I83" i="20" s="1"/>
  <c r="J83" i="20" s="1"/>
  <c r="K83" i="20" s="1"/>
  <c r="L83" i="20" s="1"/>
  <c r="D43" i="20"/>
  <c r="E43" i="20" s="1"/>
  <c r="F43" i="20" s="1"/>
  <c r="G43" i="20" s="1"/>
  <c r="H43" i="20" s="1"/>
  <c r="I43" i="20" s="1"/>
  <c r="J43" i="20" s="1"/>
  <c r="K43" i="20" s="1"/>
  <c r="L43" i="20" s="1"/>
  <c r="D94" i="20"/>
  <c r="E94" i="20" s="1"/>
  <c r="F94" i="20" s="1"/>
  <c r="G94" i="20" s="1"/>
  <c r="H94" i="20" s="1"/>
  <c r="I94" i="20" s="1"/>
  <c r="J94" i="20" s="1"/>
  <c r="K94" i="20" s="1"/>
  <c r="L94" i="20" s="1"/>
  <c r="D103" i="20"/>
  <c r="E103" i="20" s="1"/>
  <c r="F103" i="20" s="1"/>
  <c r="G103" i="20" s="1"/>
  <c r="H103" i="20" s="1"/>
  <c r="I103" i="20" s="1"/>
  <c r="J103" i="20" s="1"/>
  <c r="K103" i="20" s="1"/>
  <c r="L103" i="20" s="1"/>
  <c r="D110" i="20"/>
  <c r="E110" i="20" s="1"/>
  <c r="F110" i="20" s="1"/>
  <c r="G110" i="20" s="1"/>
  <c r="H110" i="20" s="1"/>
  <c r="I110" i="20" s="1"/>
  <c r="J110" i="20" s="1"/>
  <c r="K110" i="20" s="1"/>
  <c r="L110" i="20" s="1"/>
  <c r="D95" i="20"/>
  <c r="E95" i="20" s="1"/>
  <c r="F95" i="20" s="1"/>
  <c r="G95" i="20" s="1"/>
  <c r="H95" i="20" s="1"/>
  <c r="I95" i="20" s="1"/>
  <c r="J95" i="20" s="1"/>
  <c r="K95" i="20" s="1"/>
  <c r="L95" i="20" s="1"/>
  <c r="D51" i="20"/>
  <c r="E51" i="20" s="1"/>
  <c r="F51" i="20" s="1"/>
  <c r="G51" i="20" s="1"/>
  <c r="H51" i="20" s="1"/>
  <c r="I51" i="20" s="1"/>
  <c r="J51" i="20" s="1"/>
  <c r="K51" i="20" s="1"/>
  <c r="L51" i="20" s="1"/>
  <c r="D33" i="20"/>
  <c r="E33" i="20" s="1"/>
  <c r="F33" i="20" s="1"/>
  <c r="G33" i="20" s="1"/>
  <c r="H33" i="20" s="1"/>
  <c r="I33" i="20" s="1"/>
  <c r="J33" i="20" s="1"/>
  <c r="K33" i="20" s="1"/>
  <c r="L33" i="20" s="1"/>
  <c r="D111" i="20"/>
  <c r="E111" i="20" s="1"/>
  <c r="F111" i="20" s="1"/>
  <c r="G111" i="20" s="1"/>
  <c r="H111" i="20" s="1"/>
  <c r="I111" i="20" s="1"/>
  <c r="J111" i="20" s="1"/>
  <c r="K111" i="20" s="1"/>
  <c r="L111" i="20" s="1"/>
  <c r="D102" i="20"/>
  <c r="E102" i="20" s="1"/>
  <c r="F102" i="20" s="1"/>
  <c r="G102" i="20" s="1"/>
  <c r="H102" i="20" s="1"/>
  <c r="I102" i="20" s="1"/>
  <c r="J102" i="20" s="1"/>
  <c r="K102" i="20" s="1"/>
  <c r="L102" i="20" s="1"/>
  <c r="D59" i="20"/>
  <c r="E59" i="20" s="1"/>
  <c r="F59" i="20" s="1"/>
  <c r="G59" i="20" s="1"/>
  <c r="H59" i="20" s="1"/>
  <c r="I59" i="20" s="1"/>
  <c r="J59" i="20" s="1"/>
  <c r="K59" i="20" s="1"/>
  <c r="L59" i="20" s="1"/>
  <c r="D49" i="20"/>
  <c r="E49" i="20" s="1"/>
  <c r="F49" i="20" s="1"/>
  <c r="G49" i="20" s="1"/>
  <c r="H49" i="20" s="1"/>
  <c r="I49" i="20" s="1"/>
  <c r="J49" i="20" s="1"/>
  <c r="K49" i="20" s="1"/>
  <c r="L49" i="20" s="1"/>
  <c r="D87" i="20"/>
  <c r="E87" i="20" s="1"/>
  <c r="F87" i="20" s="1"/>
  <c r="G87" i="20" s="1"/>
  <c r="H87" i="20" s="1"/>
  <c r="I87" i="20" s="1"/>
  <c r="J87" i="20" s="1"/>
  <c r="K87" i="20" s="1"/>
  <c r="L87" i="20" s="1"/>
  <c r="D16" i="20"/>
  <c r="C121" i="20"/>
  <c r="C221" i="20" s="1"/>
  <c r="C321" i="20" s="1"/>
  <c r="C129" i="20"/>
  <c r="C229" i="20" s="1"/>
  <c r="C329" i="20" s="1"/>
  <c r="C137" i="20"/>
  <c r="C237" i="20" s="1"/>
  <c r="C337" i="20" s="1"/>
  <c r="C145" i="20"/>
  <c r="C245" i="20" s="1"/>
  <c r="C345" i="20" s="1"/>
  <c r="C153" i="20"/>
  <c r="C253" i="20" s="1"/>
  <c r="C353" i="20" s="1"/>
  <c r="C161" i="20"/>
  <c r="C261" i="20" s="1"/>
  <c r="C361" i="20" s="1"/>
  <c r="C132" i="20"/>
  <c r="C232" i="20" s="1"/>
  <c r="C332" i="20" s="1"/>
  <c r="C140" i="20"/>
  <c r="C240" i="20" s="1"/>
  <c r="C340" i="20" s="1"/>
  <c r="C148" i="20"/>
  <c r="C248" i="20" s="1"/>
  <c r="C348" i="20" s="1"/>
  <c r="C127" i="20"/>
  <c r="C227" i="20" s="1"/>
  <c r="C327" i="20" s="1"/>
  <c r="C135" i="20"/>
  <c r="C235" i="20" s="1"/>
  <c r="C335" i="20" s="1"/>
  <c r="C143" i="20"/>
  <c r="C243" i="20" s="1"/>
  <c r="C343" i="20" s="1"/>
  <c r="C151" i="20"/>
  <c r="C251" i="20" s="1"/>
  <c r="C351" i="20" s="1"/>
  <c r="C159" i="20"/>
  <c r="C259" i="20" s="1"/>
  <c r="C359" i="20" s="1"/>
  <c r="C167" i="20"/>
  <c r="C267" i="20" s="1"/>
  <c r="C367" i="20" s="1"/>
  <c r="C130" i="20"/>
  <c r="C230" i="20" s="1"/>
  <c r="C330" i="20" s="1"/>
  <c r="C138" i="20"/>
  <c r="C238" i="20" s="1"/>
  <c r="C338" i="20" s="1"/>
  <c r="C125" i="20"/>
  <c r="C225" i="20" s="1"/>
  <c r="C325" i="20" s="1"/>
  <c r="C141" i="20"/>
  <c r="C241" i="20" s="1"/>
  <c r="C341" i="20" s="1"/>
  <c r="C146" i="20"/>
  <c r="C246" i="20" s="1"/>
  <c r="C346" i="20" s="1"/>
  <c r="C147" i="20"/>
  <c r="C247" i="20" s="1"/>
  <c r="C347" i="20" s="1"/>
  <c r="C164" i="20"/>
  <c r="C264" i="20" s="1"/>
  <c r="C364" i="20" s="1"/>
  <c r="C174" i="20"/>
  <c r="C274" i="20" s="1"/>
  <c r="C374" i="20" s="1"/>
  <c r="C182" i="20"/>
  <c r="C282" i="20" s="1"/>
  <c r="C382" i="20" s="1"/>
  <c r="C190" i="20"/>
  <c r="C290" i="20" s="1"/>
  <c r="C390" i="20" s="1"/>
  <c r="C198" i="20"/>
  <c r="C298" i="20" s="1"/>
  <c r="C398" i="20" s="1"/>
  <c r="C206" i="20"/>
  <c r="C306" i="20" s="1"/>
  <c r="C406" i="20" s="1"/>
  <c r="C214" i="20"/>
  <c r="C314" i="20" s="1"/>
  <c r="C414" i="20" s="1"/>
  <c r="C128" i="20"/>
  <c r="C228" i="20" s="1"/>
  <c r="C328" i="20" s="1"/>
  <c r="C154" i="20"/>
  <c r="C254" i="20" s="1"/>
  <c r="C354" i="20" s="1"/>
  <c r="C165" i="20"/>
  <c r="C265" i="20" s="1"/>
  <c r="C365" i="20" s="1"/>
  <c r="C169" i="20"/>
  <c r="C269" i="20" s="1"/>
  <c r="C369" i="20" s="1"/>
  <c r="C177" i="20"/>
  <c r="C277" i="20" s="1"/>
  <c r="C377" i="20" s="1"/>
  <c r="C185" i="20"/>
  <c r="C285" i="20" s="1"/>
  <c r="C385" i="20" s="1"/>
  <c r="C193" i="20"/>
  <c r="C293" i="20" s="1"/>
  <c r="C393" i="20" s="1"/>
  <c r="C201" i="20"/>
  <c r="C301" i="20" s="1"/>
  <c r="C401" i="20" s="1"/>
  <c r="C209" i="20"/>
  <c r="C309" i="20" s="1"/>
  <c r="C409" i="20" s="1"/>
  <c r="C217" i="20"/>
  <c r="C317" i="20" s="1"/>
  <c r="C417" i="20" s="1"/>
  <c r="C131" i="20"/>
  <c r="C231" i="20" s="1"/>
  <c r="C331" i="20" s="1"/>
  <c r="C152" i="20"/>
  <c r="C252" i="20" s="1"/>
  <c r="C352" i="20" s="1"/>
  <c r="C155" i="20"/>
  <c r="C255" i="20" s="1"/>
  <c r="C355" i="20" s="1"/>
  <c r="C156" i="20"/>
  <c r="C256" i="20" s="1"/>
  <c r="C356" i="20" s="1"/>
  <c r="C157" i="20"/>
  <c r="C257" i="20" s="1"/>
  <c r="C357" i="20" s="1"/>
  <c r="C172" i="20"/>
  <c r="C272" i="20" s="1"/>
  <c r="C372" i="20" s="1"/>
  <c r="C180" i="20"/>
  <c r="C280" i="20" s="1"/>
  <c r="C380" i="20" s="1"/>
  <c r="C188" i="20"/>
  <c r="C288" i="20" s="1"/>
  <c r="C388" i="20" s="1"/>
  <c r="C196" i="20"/>
  <c r="C296" i="20" s="1"/>
  <c r="C396" i="20" s="1"/>
  <c r="C204" i="20"/>
  <c r="C304" i="20" s="1"/>
  <c r="C404" i="20" s="1"/>
  <c r="C212" i="20"/>
  <c r="C312" i="20" s="1"/>
  <c r="C412" i="20" s="1"/>
  <c r="C220" i="20"/>
  <c r="C320" i="20" s="1"/>
  <c r="C420" i="20" s="1"/>
  <c r="C134" i="20"/>
  <c r="C234" i="20" s="1"/>
  <c r="C334" i="20" s="1"/>
  <c r="C144" i="20"/>
  <c r="C244" i="20" s="1"/>
  <c r="C344" i="20" s="1"/>
  <c r="C158" i="20"/>
  <c r="C258" i="20" s="1"/>
  <c r="C358" i="20" s="1"/>
  <c r="C160" i="20"/>
  <c r="C260" i="20" s="1"/>
  <c r="C360" i="20" s="1"/>
  <c r="C166" i="20"/>
  <c r="C266" i="20" s="1"/>
  <c r="C366" i="20" s="1"/>
  <c r="C175" i="20"/>
  <c r="C275" i="20" s="1"/>
  <c r="C375" i="20" s="1"/>
  <c r="C183" i="20"/>
  <c r="C283" i="20" s="1"/>
  <c r="C383" i="20" s="1"/>
  <c r="C191" i="20"/>
  <c r="C291" i="20" s="1"/>
  <c r="C391" i="20" s="1"/>
  <c r="C199" i="20"/>
  <c r="C299" i="20" s="1"/>
  <c r="C399" i="20" s="1"/>
  <c r="C207" i="20"/>
  <c r="C307" i="20" s="1"/>
  <c r="C407" i="20" s="1"/>
  <c r="C215" i="20"/>
  <c r="C315" i="20" s="1"/>
  <c r="C415" i="20" s="1"/>
  <c r="C162" i="20"/>
  <c r="C262" i="20" s="1"/>
  <c r="C362" i="20" s="1"/>
  <c r="C170" i="20"/>
  <c r="C270" i="20" s="1"/>
  <c r="C370" i="20" s="1"/>
  <c r="C186" i="20"/>
  <c r="C286" i="20" s="1"/>
  <c r="C386" i="20" s="1"/>
  <c r="C202" i="20"/>
  <c r="C302" i="20" s="1"/>
  <c r="C402" i="20" s="1"/>
  <c r="C218" i="20"/>
  <c r="C318" i="20" s="1"/>
  <c r="C418" i="20" s="1"/>
  <c r="C150" i="20"/>
  <c r="C250" i="20" s="1"/>
  <c r="C350" i="20" s="1"/>
  <c r="C173" i="20"/>
  <c r="C273" i="20" s="1"/>
  <c r="C373" i="20" s="1"/>
  <c r="C189" i="20"/>
  <c r="C289" i="20" s="1"/>
  <c r="C389" i="20" s="1"/>
  <c r="C205" i="20"/>
  <c r="C305" i="20" s="1"/>
  <c r="C405" i="20" s="1"/>
  <c r="C176" i="20"/>
  <c r="C276" i="20" s="1"/>
  <c r="C376" i="20" s="1"/>
  <c r="C192" i="20"/>
  <c r="C292" i="20" s="1"/>
  <c r="C392" i="20" s="1"/>
  <c r="C208" i="20"/>
  <c r="C308" i="20" s="1"/>
  <c r="C408" i="20" s="1"/>
  <c r="C126" i="20"/>
  <c r="C226" i="20" s="1"/>
  <c r="C326" i="20" s="1"/>
  <c r="C179" i="20"/>
  <c r="C279" i="20" s="1"/>
  <c r="C379" i="20" s="1"/>
  <c r="C195" i="20"/>
  <c r="C295" i="20" s="1"/>
  <c r="C395" i="20" s="1"/>
  <c r="C211" i="20"/>
  <c r="C311" i="20" s="1"/>
  <c r="C411" i="20" s="1"/>
  <c r="C178" i="20"/>
  <c r="C278" i="20" s="1"/>
  <c r="C378" i="20" s="1"/>
  <c r="C210" i="20"/>
  <c r="C310" i="20" s="1"/>
  <c r="C410" i="20" s="1"/>
  <c r="C136" i="20"/>
  <c r="C236" i="20" s="1"/>
  <c r="C336" i="20" s="1"/>
  <c r="C181" i="20"/>
  <c r="C281" i="20" s="1"/>
  <c r="C381" i="20" s="1"/>
  <c r="C213" i="20"/>
  <c r="C313" i="20" s="1"/>
  <c r="C413" i="20" s="1"/>
  <c r="C163" i="20"/>
  <c r="C263" i="20" s="1"/>
  <c r="C363" i="20" s="1"/>
  <c r="C184" i="20"/>
  <c r="C284" i="20" s="1"/>
  <c r="C384" i="20" s="1"/>
  <c r="C216" i="20"/>
  <c r="C316" i="20" s="1"/>
  <c r="C416" i="20" s="1"/>
  <c r="C149" i="20"/>
  <c r="C249" i="20" s="1"/>
  <c r="C349" i="20" s="1"/>
  <c r="C197" i="20"/>
  <c r="C297" i="20" s="1"/>
  <c r="C397" i="20" s="1"/>
  <c r="C142" i="20"/>
  <c r="C242" i="20" s="1"/>
  <c r="C342" i="20" s="1"/>
  <c r="C187" i="20"/>
  <c r="C287" i="20" s="1"/>
  <c r="C387" i="20" s="1"/>
  <c r="C219" i="20"/>
  <c r="C319" i="20" s="1"/>
  <c r="C419" i="20" s="1"/>
  <c r="C133" i="20"/>
  <c r="C233" i="20" s="1"/>
  <c r="C333" i="20" s="1"/>
  <c r="C194" i="20"/>
  <c r="C294" i="20" s="1"/>
  <c r="C394" i="20" s="1"/>
  <c r="C168" i="20"/>
  <c r="C268" i="20" s="1"/>
  <c r="C368" i="20" s="1"/>
  <c r="C203" i="20"/>
  <c r="C303" i="20" s="1"/>
  <c r="C403" i="20" s="1"/>
  <c r="C139" i="20"/>
  <c r="C239" i="20" s="1"/>
  <c r="C339" i="20" s="1"/>
  <c r="C200" i="20"/>
  <c r="C300" i="20" s="1"/>
  <c r="C400" i="20" s="1"/>
  <c r="C171" i="20"/>
  <c r="C271" i="20" s="1"/>
  <c r="C371" i="20" s="1"/>
  <c r="C124" i="20"/>
  <c r="C224" i="20" s="1"/>
  <c r="C324" i="20" s="1"/>
  <c r="C123" i="20"/>
  <c r="C223" i="20" s="1"/>
  <c r="C323" i="20" s="1"/>
  <c r="AK7" i="55" l="1"/>
  <c r="AE25" i="27" s="1"/>
  <c r="AL7" i="55"/>
  <c r="AF25" i="27" s="1"/>
  <c r="L25" i="56"/>
  <c r="M25" i="56" s="1"/>
  <c r="AL139" i="55"/>
  <c r="AL253" i="55" s="1"/>
  <c r="Y26" i="46"/>
  <c r="Q26" i="46"/>
  <c r="AM234" i="55"/>
  <c r="AM139" i="55"/>
  <c r="G85" i="55"/>
  <c r="G104" i="55" s="1"/>
  <c r="Y103" i="55"/>
  <c r="Y9" i="55"/>
  <c r="AJ234" i="55"/>
  <c r="AJ139" i="55"/>
  <c r="AK234" i="55"/>
  <c r="AK139" i="55"/>
  <c r="AJ126" i="55"/>
  <c r="AL126" i="55"/>
  <c r="AM126" i="55"/>
  <c r="AK126" i="55"/>
  <c r="N6" i="56"/>
  <c r="F54" i="56" s="1"/>
  <c r="N26" i="56"/>
  <c r="E54" i="56" s="1"/>
  <c r="AM7" i="55"/>
  <c r="AG25" i="27" s="1"/>
  <c r="AJ7" i="55"/>
  <c r="AD25" i="27" s="1"/>
  <c r="T26" i="27"/>
  <c r="T83" i="27" s="1"/>
  <c r="T159" i="27" s="1"/>
  <c r="X84" i="55"/>
  <c r="X46" i="55"/>
  <c r="M83" i="27"/>
  <c r="M159" i="27" s="1"/>
  <c r="O104" i="55"/>
  <c r="L28" i="27"/>
  <c r="E27" i="27"/>
  <c r="E84" i="27" s="1"/>
  <c r="O48" i="55"/>
  <c r="AB27" i="27"/>
  <c r="AB84" i="27" s="1"/>
  <c r="AB160" i="27" s="1"/>
  <c r="AH85" i="55"/>
  <c r="AH47" i="55"/>
  <c r="O86" i="55"/>
  <c r="O11" i="55" s="1"/>
  <c r="M27" i="27"/>
  <c r="P103" i="55"/>
  <c r="AC27" i="27"/>
  <c r="AC84" i="27" s="1"/>
  <c r="AC160" i="27" s="1"/>
  <c r="AI85" i="55"/>
  <c r="AI47" i="55"/>
  <c r="Z184" i="55"/>
  <c r="AD183" i="55"/>
  <c r="Z203" i="55"/>
  <c r="AD202" i="55"/>
  <c r="AJ202" i="55"/>
  <c r="AN201" i="55"/>
  <c r="AN224" i="55"/>
  <c r="AD223" i="55"/>
  <c r="Z224" i="55"/>
  <c r="H126" i="55"/>
  <c r="P85" i="55"/>
  <c r="P104" i="55" s="1"/>
  <c r="P47" i="55"/>
  <c r="AB32" i="55"/>
  <c r="R31" i="55"/>
  <c r="Q221" i="55"/>
  <c r="U221" i="55" s="1"/>
  <c r="AL45" i="55"/>
  <c r="AK33" i="55"/>
  <c r="Z32" i="55"/>
  <c r="AM31" i="55"/>
  <c r="K32" i="55"/>
  <c r="AC45" i="55"/>
  <c r="AC64" i="55" s="1"/>
  <c r="AA33" i="55"/>
  <c r="AC253" i="55"/>
  <c r="I33" i="55"/>
  <c r="AC31" i="55"/>
  <c r="H182" i="55"/>
  <c r="L182" i="55" s="1"/>
  <c r="AL31" i="55"/>
  <c r="J32" i="55"/>
  <c r="Z163" i="55"/>
  <c r="AD163" i="55" s="1"/>
  <c r="T31" i="55"/>
  <c r="AJ162" i="55"/>
  <c r="AN162" i="55" s="1"/>
  <c r="AK45" i="55"/>
  <c r="Q181" i="55"/>
  <c r="U181" i="55" s="1"/>
  <c r="H32" i="55"/>
  <c r="AA45" i="55"/>
  <c r="AA64" i="55" s="1"/>
  <c r="AJ32" i="55"/>
  <c r="AA253" i="55"/>
  <c r="Z45" i="55"/>
  <c r="Z64" i="55" s="1"/>
  <c r="H201" i="55"/>
  <c r="L201" i="55" s="1"/>
  <c r="Q162" i="55"/>
  <c r="U162" i="55" s="1"/>
  <c r="AB45" i="55"/>
  <c r="AB64" i="55" s="1"/>
  <c r="Q31" i="55"/>
  <c r="S31" i="55"/>
  <c r="Q200" i="55"/>
  <c r="U200" i="55" s="1"/>
  <c r="AB253" i="55"/>
  <c r="AD139" i="55"/>
  <c r="H221" i="55"/>
  <c r="L221" i="55" s="1"/>
  <c r="H163" i="55"/>
  <c r="L163" i="55" s="1"/>
  <c r="L196" i="53"/>
  <c r="AM386" i="53"/>
  <c r="AI48" i="53"/>
  <c r="AI162" i="53" s="1"/>
  <c r="AD196" i="53"/>
  <c r="Y125" i="53"/>
  <c r="Y12" i="53" s="1"/>
  <c r="Y87" i="53"/>
  <c r="Y30" i="53"/>
  <c r="Y49" i="53" s="1"/>
  <c r="H386" i="53"/>
  <c r="H219" i="53"/>
  <c r="Q295" i="53"/>
  <c r="AC367" i="53"/>
  <c r="AC386" i="53" s="1"/>
  <c r="H354" i="53"/>
  <c r="R367" i="53"/>
  <c r="R386" i="53" s="1"/>
  <c r="S71" i="53"/>
  <c r="F124" i="53"/>
  <c r="F86" i="53"/>
  <c r="F29" i="53"/>
  <c r="F48" i="53" s="1"/>
  <c r="AL26" i="53"/>
  <c r="AL45" i="53" s="1"/>
  <c r="AL83" i="53"/>
  <c r="AL102" i="53" s="1"/>
  <c r="AA83" i="53"/>
  <c r="AA102" i="53" s="1"/>
  <c r="AA26" i="53"/>
  <c r="AD292" i="53" s="1"/>
  <c r="AJ386" i="53"/>
  <c r="AN367" i="53"/>
  <c r="J83" i="53"/>
  <c r="J102" i="53" s="1"/>
  <c r="J26" i="53"/>
  <c r="J45" i="53" s="1"/>
  <c r="AC70" i="53"/>
  <c r="T70" i="53"/>
  <c r="Q83" i="53"/>
  <c r="Q102" i="53" s="1"/>
  <c r="Q26" i="53"/>
  <c r="Q45" i="53" s="1"/>
  <c r="Q257" i="53"/>
  <c r="AB83" i="53"/>
  <c r="AB102" i="53" s="1"/>
  <c r="AB26" i="53"/>
  <c r="AB45" i="53" s="1"/>
  <c r="K69" i="53"/>
  <c r="AI125" i="53"/>
  <c r="AI12" i="53" s="1"/>
  <c r="AI87" i="53"/>
  <c r="AI30" i="53"/>
  <c r="AI144" i="53" s="1"/>
  <c r="AB367" i="53"/>
  <c r="AB386" i="53" s="1"/>
  <c r="H70" i="53"/>
  <c r="AH86" i="53"/>
  <c r="AH29" i="53"/>
  <c r="AH143" i="53" s="1"/>
  <c r="AH48" i="53"/>
  <c r="AH162" i="53" s="1"/>
  <c r="AH124" i="53"/>
  <c r="O124" i="53"/>
  <c r="O86" i="53"/>
  <c r="O29" i="53"/>
  <c r="O48" i="53" s="1"/>
  <c r="AJ83" i="53"/>
  <c r="AJ102" i="53" s="1"/>
  <c r="AJ26" i="53"/>
  <c r="AJ45" i="53" s="1"/>
  <c r="AK83" i="53"/>
  <c r="AK102" i="53" s="1"/>
  <c r="AK26" i="53"/>
  <c r="AK45" i="53" s="1"/>
  <c r="AA367" i="53"/>
  <c r="AA386" i="53" s="1"/>
  <c r="AM83" i="53"/>
  <c r="AM102" i="53" s="1"/>
  <c r="AM26" i="53"/>
  <c r="AM45" i="53" s="1"/>
  <c r="J367" i="53"/>
  <c r="J386" i="53" s="1"/>
  <c r="H257" i="53"/>
  <c r="Q158" i="53"/>
  <c r="Q367" i="53" s="1"/>
  <c r="AN196" i="53"/>
  <c r="AL69" i="53"/>
  <c r="S83" i="53"/>
  <c r="S102" i="53" s="1"/>
  <c r="S26" i="53"/>
  <c r="S45" i="53" s="1"/>
  <c r="AH47" i="53"/>
  <c r="AH161" i="53" s="1"/>
  <c r="O142" i="53"/>
  <c r="O161" i="53" s="1"/>
  <c r="U196" i="53"/>
  <c r="F142" i="53"/>
  <c r="F161" i="53" s="1"/>
  <c r="AK70" i="53"/>
  <c r="K83" i="53"/>
  <c r="K102" i="53" s="1"/>
  <c r="K26" i="53"/>
  <c r="K45" i="53" s="1"/>
  <c r="S367" i="53"/>
  <c r="S386" i="53" s="1"/>
  <c r="AK386" i="53"/>
  <c r="Z70" i="53"/>
  <c r="J72" i="53"/>
  <c r="Q335" i="53"/>
  <c r="X123" i="53"/>
  <c r="X10" i="53" s="1"/>
  <c r="X28" i="53"/>
  <c r="X47" i="53" s="1"/>
  <c r="X85" i="53"/>
  <c r="Q219" i="53"/>
  <c r="H238" i="53"/>
  <c r="Q276" i="53"/>
  <c r="G124" i="53"/>
  <c r="G11" i="53" s="1"/>
  <c r="G86" i="53"/>
  <c r="G29" i="53"/>
  <c r="G48" i="53" s="1"/>
  <c r="H295" i="53"/>
  <c r="P123" i="53"/>
  <c r="P85" i="53"/>
  <c r="P28" i="53"/>
  <c r="P47" i="53" s="1"/>
  <c r="Q354" i="53"/>
  <c r="AM70" i="53"/>
  <c r="Q314" i="53"/>
  <c r="K158" i="53"/>
  <c r="K367" i="53" s="1"/>
  <c r="K386" i="53" s="1"/>
  <c r="Q69" i="53"/>
  <c r="I83" i="53"/>
  <c r="I102" i="53" s="1"/>
  <c r="I26" i="53"/>
  <c r="I45" i="53"/>
  <c r="I72" i="53"/>
  <c r="AB70" i="53"/>
  <c r="Y143" i="53"/>
  <c r="Y162" i="53" s="1"/>
  <c r="AJ69" i="53"/>
  <c r="H314" i="53"/>
  <c r="H335" i="53"/>
  <c r="Z386" i="53"/>
  <c r="R70" i="53"/>
  <c r="H276" i="53"/>
  <c r="AC83" i="53"/>
  <c r="AC102" i="53" s="1"/>
  <c r="AC26" i="53"/>
  <c r="AC45" i="53" s="1"/>
  <c r="AA71" i="53"/>
  <c r="R83" i="53"/>
  <c r="R102" i="53" s="1"/>
  <c r="R26" i="53"/>
  <c r="R45" i="53" s="1"/>
  <c r="I158" i="53"/>
  <c r="I367" i="53" s="1"/>
  <c r="I386" i="53" s="1"/>
  <c r="Q238" i="53"/>
  <c r="AL386" i="53"/>
  <c r="X141" i="53"/>
  <c r="X160" i="53" s="1"/>
  <c r="AL367" i="52"/>
  <c r="O28" i="52"/>
  <c r="O47" i="52" s="1"/>
  <c r="O123" i="52"/>
  <c r="O10" i="52" s="1"/>
  <c r="O29" i="52" s="1"/>
  <c r="O48" i="52" s="1"/>
  <c r="AK367" i="52"/>
  <c r="AN367" i="52" s="1"/>
  <c r="O141" i="52"/>
  <c r="O160" i="52" s="1"/>
  <c r="Q7" i="52"/>
  <c r="Q83" i="52" s="1"/>
  <c r="Q102" i="52" s="1"/>
  <c r="Q196" i="52"/>
  <c r="S196" i="52"/>
  <c r="S7" i="52"/>
  <c r="S26" i="52" s="1"/>
  <c r="S45" i="52" s="1"/>
  <c r="S367" i="52"/>
  <c r="J7" i="52"/>
  <c r="Q367" i="52"/>
  <c r="J196" i="52"/>
  <c r="R367" i="52"/>
  <c r="R196" i="52"/>
  <c r="R7" i="52"/>
  <c r="R83" i="52" s="1"/>
  <c r="R102" i="52" s="1"/>
  <c r="O142" i="52"/>
  <c r="O161" i="52" s="1"/>
  <c r="O124" i="52"/>
  <c r="O11" i="52" s="1"/>
  <c r="O30" i="52" s="1"/>
  <c r="O49" i="52" s="1"/>
  <c r="X9" i="52"/>
  <c r="X28" i="52" s="1"/>
  <c r="X47" i="52" s="1"/>
  <c r="K121" i="52"/>
  <c r="AI46" i="52"/>
  <c r="AI160" i="52" s="1"/>
  <c r="I367" i="52"/>
  <c r="I386" i="52" s="1"/>
  <c r="AM26" i="52"/>
  <c r="AM83" i="52"/>
  <c r="AJ26" i="52"/>
  <c r="AJ45" i="52" s="1"/>
  <c r="AJ83" i="52"/>
  <c r="AJ102" i="52" s="1"/>
  <c r="AB74" i="52"/>
  <c r="G29" i="52"/>
  <c r="G48" i="52" s="1"/>
  <c r="G86" i="52"/>
  <c r="G124" i="52"/>
  <c r="G11" i="52" s="1"/>
  <c r="AN196" i="52"/>
  <c r="Z70" i="52"/>
  <c r="T71" i="52"/>
  <c r="AJ386" i="52"/>
  <c r="Q69" i="52"/>
  <c r="AA70" i="52"/>
  <c r="H70" i="52"/>
  <c r="AL26" i="52"/>
  <c r="AL45" i="52" s="1"/>
  <c r="AL83" i="52"/>
  <c r="AL102" i="52" s="1"/>
  <c r="AC69" i="52"/>
  <c r="AK26" i="52"/>
  <c r="AK45" i="52" s="1"/>
  <c r="AK83" i="52"/>
  <c r="AK102" i="52" s="1"/>
  <c r="AH48" i="52"/>
  <c r="AH162" i="52" s="1"/>
  <c r="P143" i="52"/>
  <c r="P162" i="52" s="1"/>
  <c r="AM386" i="52"/>
  <c r="AA26" i="52"/>
  <c r="AA45" i="52" s="1"/>
  <c r="AA83" i="52"/>
  <c r="AA102" i="52" s="1"/>
  <c r="AH11" i="52"/>
  <c r="F28" i="52"/>
  <c r="F47" i="52" s="1"/>
  <c r="F123" i="52"/>
  <c r="F85" i="52"/>
  <c r="K26" i="52"/>
  <c r="K45" i="52" s="1"/>
  <c r="K83" i="52"/>
  <c r="S72" i="52"/>
  <c r="Y142" i="52"/>
  <c r="Y161" i="52" s="1"/>
  <c r="Q220" i="52"/>
  <c r="Q319" i="52"/>
  <c r="T26" i="52"/>
  <c r="T83" i="52"/>
  <c r="T102" i="52" s="1"/>
  <c r="P11" i="52"/>
  <c r="AJ70" i="52"/>
  <c r="AB26" i="52"/>
  <c r="AB45" i="52" s="1"/>
  <c r="AB83" i="52"/>
  <c r="AB102" i="52" s="1"/>
  <c r="AA158" i="52"/>
  <c r="AA367" i="52" s="1"/>
  <c r="AA386" i="52" s="1"/>
  <c r="Z26" i="52"/>
  <c r="Z45" i="52" s="1"/>
  <c r="Z83" i="52"/>
  <c r="Z102" i="52" s="1"/>
  <c r="AI9" i="52"/>
  <c r="J367" i="52"/>
  <c r="G142" i="52"/>
  <c r="G161" i="52" s="1"/>
  <c r="AK70" i="52"/>
  <c r="AC26" i="52"/>
  <c r="AC45" i="52" s="1"/>
  <c r="AC83" i="52"/>
  <c r="AC102" i="52" s="1"/>
  <c r="AD196" i="52"/>
  <c r="H223" i="52"/>
  <c r="H224" i="52" s="1"/>
  <c r="T158" i="52"/>
  <c r="T367" i="52" s="1"/>
  <c r="R71" i="52"/>
  <c r="AB158" i="52"/>
  <c r="AB367" i="52" s="1"/>
  <c r="AB386" i="52" s="1"/>
  <c r="AL386" i="52"/>
  <c r="AC367" i="52"/>
  <c r="AC386" i="52" s="1"/>
  <c r="Z367" i="52"/>
  <c r="Y10" i="52"/>
  <c r="AH86" i="25"/>
  <c r="AH11" i="25" s="1"/>
  <c r="AH49" i="25" s="1"/>
  <c r="O122" i="47"/>
  <c r="O141" i="47" s="1"/>
  <c r="O160" i="47" s="1"/>
  <c r="L83" i="27"/>
  <c r="L159" i="27" s="1"/>
  <c r="G123" i="47"/>
  <c r="G10" i="47" s="1"/>
  <c r="Y122" i="47"/>
  <c r="Y9" i="47" s="1"/>
  <c r="U83" i="27"/>
  <c r="U159" i="27" s="1"/>
  <c r="L234" i="39"/>
  <c r="AE59" i="27"/>
  <c r="AE115" i="27"/>
  <c r="T116" i="27"/>
  <c r="L163" i="39"/>
  <c r="H164" i="39"/>
  <c r="H146" i="39"/>
  <c r="L145" i="39"/>
  <c r="L162" i="41"/>
  <c r="H163" i="41"/>
  <c r="L203" i="39"/>
  <c r="H204" i="39"/>
  <c r="L182" i="41"/>
  <c r="H183" i="41"/>
  <c r="K120" i="25"/>
  <c r="K234" i="25" s="1"/>
  <c r="J215" i="25"/>
  <c r="J234" i="25" s="1"/>
  <c r="I215" i="25"/>
  <c r="I234" i="25" s="1"/>
  <c r="J7" i="25"/>
  <c r="I7" i="25"/>
  <c r="G141" i="47"/>
  <c r="G160" i="47" s="1"/>
  <c r="O84" i="47"/>
  <c r="G85" i="47"/>
  <c r="G28" i="47"/>
  <c r="G47" i="47" s="1"/>
  <c r="O27" i="47"/>
  <c r="O46" i="47" s="1"/>
  <c r="Y27" i="47"/>
  <c r="Y46" i="47" s="1"/>
  <c r="Y84" i="47"/>
  <c r="F140" i="47"/>
  <c r="F159" i="47" s="1"/>
  <c r="X27" i="47"/>
  <c r="X46" i="47" s="1"/>
  <c r="X122" i="47"/>
  <c r="X84" i="47"/>
  <c r="T7" i="47"/>
  <c r="T139" i="47"/>
  <c r="L234" i="47"/>
  <c r="L272" i="47"/>
  <c r="L348" i="47"/>
  <c r="L310" i="47"/>
  <c r="AN348" i="47"/>
  <c r="AN310" i="47"/>
  <c r="AN272" i="47"/>
  <c r="AN234" i="47"/>
  <c r="AC139" i="47"/>
  <c r="AC158" i="47" s="1"/>
  <c r="J196" i="47"/>
  <c r="J139" i="47"/>
  <c r="J158" i="47" s="1"/>
  <c r="H196" i="47"/>
  <c r="H139" i="47"/>
  <c r="H158" i="47" s="1"/>
  <c r="S139" i="47"/>
  <c r="S158" i="47" s="1"/>
  <c r="Z139" i="47"/>
  <c r="Z158" i="47" s="1"/>
  <c r="AA7" i="47"/>
  <c r="AA139" i="47"/>
  <c r="AA158" i="47" s="1"/>
  <c r="Q139" i="47"/>
  <c r="Q158" i="47" s="1"/>
  <c r="I196" i="47"/>
  <c r="I139" i="47"/>
  <c r="AD272" i="47"/>
  <c r="AD234" i="47"/>
  <c r="AD348" i="47"/>
  <c r="AD310" i="47"/>
  <c r="AB139" i="47"/>
  <c r="AB158" i="47" s="1"/>
  <c r="R139" i="47"/>
  <c r="R158" i="47" s="1"/>
  <c r="K139" i="47"/>
  <c r="K158" i="47" s="1"/>
  <c r="P27" i="47"/>
  <c r="P46" i="47" s="1"/>
  <c r="P122" i="47"/>
  <c r="P84" i="47"/>
  <c r="U272" i="47"/>
  <c r="U234" i="47"/>
  <c r="U348" i="47"/>
  <c r="U310" i="47"/>
  <c r="AH28" i="47"/>
  <c r="AH142" i="47" s="1"/>
  <c r="AH46" i="47"/>
  <c r="AH160" i="47" s="1"/>
  <c r="AI47" i="47"/>
  <c r="AI161" i="47" s="1"/>
  <c r="AI29" i="47"/>
  <c r="AI143" i="47" s="1"/>
  <c r="Q295" i="47"/>
  <c r="R218" i="47"/>
  <c r="T274" i="47"/>
  <c r="Q314" i="47"/>
  <c r="Q257" i="47"/>
  <c r="Q220" i="47"/>
  <c r="Q334" i="47"/>
  <c r="Q276" i="47"/>
  <c r="T196" i="47"/>
  <c r="T236" i="47"/>
  <c r="T312" i="47"/>
  <c r="Q238" i="47"/>
  <c r="Q353" i="47"/>
  <c r="K7" i="47"/>
  <c r="K196" i="47"/>
  <c r="H355" i="47"/>
  <c r="H314" i="47"/>
  <c r="H275" i="47"/>
  <c r="H237" i="47"/>
  <c r="F45" i="47"/>
  <c r="I7" i="47"/>
  <c r="H7" i="47"/>
  <c r="J7" i="47"/>
  <c r="AI124" i="47"/>
  <c r="AI11" i="47" s="1"/>
  <c r="AI86" i="47"/>
  <c r="AA69" i="47"/>
  <c r="H69" i="47"/>
  <c r="AC68" i="47"/>
  <c r="AH85" i="47"/>
  <c r="AH123" i="47"/>
  <c r="AH10" i="47" s="1"/>
  <c r="AL68" i="47"/>
  <c r="T68" i="47"/>
  <c r="J69" i="47"/>
  <c r="Q196" i="47"/>
  <c r="Q7" i="47"/>
  <c r="AL196" i="47"/>
  <c r="AL7" i="47"/>
  <c r="AF82" i="27" s="1"/>
  <c r="AF158" i="27" s="1"/>
  <c r="AJ69" i="47"/>
  <c r="S196" i="47"/>
  <c r="S7" i="47"/>
  <c r="R68" i="47"/>
  <c r="I69" i="47"/>
  <c r="R196" i="47"/>
  <c r="R7" i="47"/>
  <c r="Z68" i="47"/>
  <c r="AB69" i="47"/>
  <c r="AB196" i="47"/>
  <c r="AB7" i="47"/>
  <c r="X82" i="27" s="1"/>
  <c r="X158" i="27" s="1"/>
  <c r="K68" i="47"/>
  <c r="H257" i="47"/>
  <c r="H219" i="47"/>
  <c r="AJ196" i="47"/>
  <c r="AJ7" i="47"/>
  <c r="H295" i="47"/>
  <c r="H334" i="47"/>
  <c r="AM196" i="47"/>
  <c r="AM7" i="47"/>
  <c r="AG82" i="27" s="1"/>
  <c r="AG158" i="27" s="1"/>
  <c r="AC196" i="47"/>
  <c r="AC7" i="47"/>
  <c r="Y82" i="27" s="1"/>
  <c r="Y158" i="27" s="1"/>
  <c r="F8" i="47"/>
  <c r="AK68" i="47"/>
  <c r="Z196" i="47"/>
  <c r="Z7" i="47"/>
  <c r="V82" i="27" s="1"/>
  <c r="V158" i="27" s="1"/>
  <c r="AK196" i="47"/>
  <c r="AK7" i="47"/>
  <c r="AE82" i="27" s="1"/>
  <c r="AE158" i="27" s="1"/>
  <c r="S68" i="47"/>
  <c r="AM75" i="47"/>
  <c r="Q76" i="47"/>
  <c r="X43" i="45"/>
  <c r="AN120" i="25"/>
  <c r="AA83" i="25"/>
  <c r="AA121" i="25" s="1"/>
  <c r="H215" i="25"/>
  <c r="H234" i="25" s="1"/>
  <c r="T215" i="25"/>
  <c r="T234" i="25" s="1"/>
  <c r="H7" i="25"/>
  <c r="K7" i="25"/>
  <c r="K45" i="25" s="1"/>
  <c r="K64" i="25" s="1"/>
  <c r="Q215" i="25"/>
  <c r="T7" i="25"/>
  <c r="T45" i="25" s="1"/>
  <c r="T64" i="25" s="1"/>
  <c r="AL234" i="25"/>
  <c r="Q120" i="25"/>
  <c r="AC83" i="25"/>
  <c r="AC121" i="25" s="1"/>
  <c r="AM234" i="25"/>
  <c r="AK234" i="25"/>
  <c r="AN215" i="25"/>
  <c r="AJ234" i="25"/>
  <c r="AJ83" i="25"/>
  <c r="AJ121" i="25" s="1"/>
  <c r="AK83" i="25"/>
  <c r="AK121" i="25" s="1"/>
  <c r="AL83" i="25"/>
  <c r="AL121" i="25" s="1"/>
  <c r="AM83" i="25"/>
  <c r="AM121" i="25" s="1"/>
  <c r="AI86" i="25"/>
  <c r="AI11" i="25" s="1"/>
  <c r="AI49" i="25" s="1"/>
  <c r="Z83" i="25"/>
  <c r="Z121" i="25" s="1"/>
  <c r="AD215" i="25"/>
  <c r="AB83" i="25"/>
  <c r="AB121" i="25" s="1"/>
  <c r="AD234" i="25"/>
  <c r="X85" i="25"/>
  <c r="X10" i="25" s="1"/>
  <c r="Y10" i="25"/>
  <c r="Y48" i="25" s="1"/>
  <c r="O85" i="25"/>
  <c r="O10" i="25" s="1"/>
  <c r="O48" i="25" s="1"/>
  <c r="L173" i="25"/>
  <c r="H174" i="25"/>
  <c r="L174" i="25" s="1"/>
  <c r="L197" i="41"/>
  <c r="L234" i="37"/>
  <c r="L216" i="41"/>
  <c r="R7" i="25"/>
  <c r="R120" i="25"/>
  <c r="R215" i="25"/>
  <c r="E159" i="27"/>
  <c r="G84" i="25"/>
  <c r="G46" i="25"/>
  <c r="S120" i="25"/>
  <c r="S215" i="25"/>
  <c r="S7" i="25"/>
  <c r="I202" i="25"/>
  <c r="L201" i="25"/>
  <c r="P86" i="25"/>
  <c r="P11" i="25" s="1"/>
  <c r="P49" i="25" s="1"/>
  <c r="F9" i="25"/>
  <c r="F46" i="25"/>
  <c r="G12" i="29"/>
  <c r="F9" i="29"/>
  <c r="K8" i="29"/>
  <c r="K121" i="29"/>
  <c r="K216" i="29"/>
  <c r="H8" i="29"/>
  <c r="H121" i="29"/>
  <c r="H216" i="29"/>
  <c r="I8" i="29"/>
  <c r="I121" i="29"/>
  <c r="I216" i="29"/>
  <c r="G88" i="29"/>
  <c r="G50" i="29"/>
  <c r="H217" i="37"/>
  <c r="I217" i="37"/>
  <c r="J217" i="37"/>
  <c r="K217" i="37"/>
  <c r="L180" i="37"/>
  <c r="H181" i="37"/>
  <c r="H162" i="29"/>
  <c r="L161" i="29"/>
  <c r="L180" i="29"/>
  <c r="H181" i="29"/>
  <c r="J84" i="41"/>
  <c r="J9" i="41" s="1"/>
  <c r="I84" i="41"/>
  <c r="I9" i="41" s="1"/>
  <c r="H84" i="41"/>
  <c r="H9" i="41" s="1"/>
  <c r="K182" i="25"/>
  <c r="L181" i="25"/>
  <c r="H143" i="29"/>
  <c r="L142" i="29"/>
  <c r="L142" i="41"/>
  <c r="H143" i="41"/>
  <c r="G49" i="41"/>
  <c r="G87" i="41"/>
  <c r="G12" i="41" s="1"/>
  <c r="F47" i="41"/>
  <c r="F85" i="41"/>
  <c r="F10" i="41" s="1"/>
  <c r="K122" i="41"/>
  <c r="K198" i="41"/>
  <c r="J122" i="41"/>
  <c r="J198" i="41"/>
  <c r="I122" i="41"/>
  <c r="I198" i="41"/>
  <c r="H122" i="41"/>
  <c r="H198" i="41"/>
  <c r="K121" i="39"/>
  <c r="K216" i="39"/>
  <c r="J121" i="39"/>
  <c r="J216" i="39"/>
  <c r="I121" i="39"/>
  <c r="I216" i="39"/>
  <c r="H121" i="39"/>
  <c r="H216" i="39"/>
  <c r="F84" i="39"/>
  <c r="F9" i="39" s="1"/>
  <c r="F46" i="39"/>
  <c r="G48" i="39"/>
  <c r="G86" i="39"/>
  <c r="G11" i="39" s="1"/>
  <c r="I83" i="37"/>
  <c r="K83" i="37"/>
  <c r="J83" i="37"/>
  <c r="H8" i="37"/>
  <c r="H46" i="37" s="1"/>
  <c r="H65" i="37" s="1"/>
  <c r="H121" i="37"/>
  <c r="H235" i="37" s="1"/>
  <c r="G47" i="37"/>
  <c r="G85" i="37"/>
  <c r="G10" i="37" s="1"/>
  <c r="F47" i="37"/>
  <c r="F85" i="37"/>
  <c r="H203" i="29"/>
  <c r="L202" i="29"/>
  <c r="H32" i="37"/>
  <c r="H31" i="29"/>
  <c r="H202" i="37"/>
  <c r="L201" i="37"/>
  <c r="L163" i="37"/>
  <c r="L144" i="37"/>
  <c r="I106" i="37"/>
  <c r="H106" i="37"/>
  <c r="J106" i="37"/>
  <c r="K107" i="37"/>
  <c r="L146" i="25"/>
  <c r="H210" i="25"/>
  <c r="H30" i="25"/>
  <c r="I31" i="25"/>
  <c r="C86" i="13"/>
  <c r="E17" i="20"/>
  <c r="K25" i="20"/>
  <c r="L25" i="20" s="1"/>
  <c r="G21" i="20"/>
  <c r="H21" i="20" s="1"/>
  <c r="I21" i="20" s="1"/>
  <c r="J21" i="20" s="1"/>
  <c r="K21" i="20" s="1"/>
  <c r="L21" i="20" s="1"/>
  <c r="E19" i="20"/>
  <c r="F19" i="20" s="1"/>
  <c r="G19" i="20" s="1"/>
  <c r="H19" i="20" s="1"/>
  <c r="I19" i="20" s="1"/>
  <c r="J19" i="20" s="1"/>
  <c r="K19" i="20" s="1"/>
  <c r="L19" i="20" s="1"/>
  <c r="I23" i="20"/>
  <c r="J23" i="20" s="1"/>
  <c r="K23" i="20" s="1"/>
  <c r="L23" i="20" s="1"/>
  <c r="F20" i="20"/>
  <c r="G20" i="20" s="1"/>
  <c r="H20" i="20" s="1"/>
  <c r="I20" i="20" s="1"/>
  <c r="J20" i="20" s="1"/>
  <c r="K20" i="20" s="1"/>
  <c r="L20" i="20" s="1"/>
  <c r="H22" i="20"/>
  <c r="I22" i="20" s="1"/>
  <c r="J22" i="20" s="1"/>
  <c r="K22" i="20" s="1"/>
  <c r="L22" i="20" s="1"/>
  <c r="J24" i="20"/>
  <c r="K24" i="20" s="1"/>
  <c r="L24" i="20" s="1"/>
  <c r="L26" i="20"/>
  <c r="D124" i="20"/>
  <c r="D224" i="20" s="1"/>
  <c r="D324" i="20" s="1"/>
  <c r="D120" i="20"/>
  <c r="D119" i="20"/>
  <c r="D118" i="20"/>
  <c r="K17" i="13" s="1"/>
  <c r="D116" i="20"/>
  <c r="E16" i="20"/>
  <c r="D117" i="20"/>
  <c r="E131" i="20"/>
  <c r="E231" i="20" s="1"/>
  <c r="E331" i="20" s="1"/>
  <c r="D121" i="20"/>
  <c r="D221" i="20" s="1"/>
  <c r="D321" i="20" s="1"/>
  <c r="E142" i="20"/>
  <c r="E242" i="20" s="1"/>
  <c r="E342" i="20" s="1"/>
  <c r="E150" i="20"/>
  <c r="E250" i="20" s="1"/>
  <c r="E350" i="20" s="1"/>
  <c r="E140" i="20"/>
  <c r="E240" i="20" s="1"/>
  <c r="E340" i="20" s="1"/>
  <c r="E184" i="20"/>
  <c r="E284" i="20" s="1"/>
  <c r="E384" i="20" s="1"/>
  <c r="E192" i="20"/>
  <c r="E292" i="20" s="1"/>
  <c r="E392" i="20" s="1"/>
  <c r="E187" i="20"/>
  <c r="E287" i="20" s="1"/>
  <c r="E387" i="20" s="1"/>
  <c r="E203" i="20"/>
  <c r="E303" i="20" s="1"/>
  <c r="E403" i="20" s="1"/>
  <c r="E141" i="20"/>
  <c r="E241" i="20" s="1"/>
  <c r="E341" i="20" s="1"/>
  <c r="E128" i="20"/>
  <c r="E228" i="20" s="1"/>
  <c r="E328" i="20" s="1"/>
  <c r="E156" i="20"/>
  <c r="E256" i="20" s="1"/>
  <c r="E356" i="20" s="1"/>
  <c r="E165" i="20"/>
  <c r="E265" i="20" s="1"/>
  <c r="E365" i="20" s="1"/>
  <c r="E152" i="20"/>
  <c r="E252" i="20" s="1"/>
  <c r="E352" i="20" s="1"/>
  <c r="E143" i="20"/>
  <c r="E243" i="20" s="1"/>
  <c r="E343" i="20" s="1"/>
  <c r="E160" i="20"/>
  <c r="E260" i="20" s="1"/>
  <c r="E360" i="20" s="1"/>
  <c r="E202" i="20"/>
  <c r="E302" i="20" s="1"/>
  <c r="E402" i="20" s="1"/>
  <c r="E148" i="20"/>
  <c r="E248" i="20" s="1"/>
  <c r="E348" i="20" s="1"/>
  <c r="E173" i="20"/>
  <c r="E273" i="20" s="1"/>
  <c r="E373" i="20" s="1"/>
  <c r="E166" i="20"/>
  <c r="E266" i="20" s="1"/>
  <c r="E366" i="20" s="1"/>
  <c r="E210" i="20"/>
  <c r="E310" i="20" s="1"/>
  <c r="E410" i="20" s="1"/>
  <c r="E144" i="20"/>
  <c r="E244" i="20" s="1"/>
  <c r="E344" i="20" s="1"/>
  <c r="E220" i="20"/>
  <c r="E320" i="20" s="1"/>
  <c r="E420" i="20" s="1"/>
  <c r="E194" i="20"/>
  <c r="E294" i="20" s="1"/>
  <c r="E394" i="20" s="1"/>
  <c r="D122" i="20"/>
  <c r="D222" i="20" s="1"/>
  <c r="D322" i="20" s="1"/>
  <c r="D123" i="20"/>
  <c r="D223" i="20" s="1"/>
  <c r="D323" i="20" s="1"/>
  <c r="D126" i="20"/>
  <c r="D226" i="20" s="1"/>
  <c r="D326" i="20" s="1"/>
  <c r="D134" i="20"/>
  <c r="D234" i="20" s="1"/>
  <c r="D334" i="20" s="1"/>
  <c r="D142" i="20"/>
  <c r="D242" i="20" s="1"/>
  <c r="D342" i="20" s="1"/>
  <c r="D150" i="20"/>
  <c r="D250" i="20" s="1"/>
  <c r="D350" i="20" s="1"/>
  <c r="D158" i="20"/>
  <c r="D258" i="20" s="1"/>
  <c r="D358" i="20" s="1"/>
  <c r="D129" i="20"/>
  <c r="D229" i="20" s="1"/>
  <c r="D329" i="20" s="1"/>
  <c r="D137" i="20"/>
  <c r="D237" i="20" s="1"/>
  <c r="D337" i="20" s="1"/>
  <c r="D145" i="20"/>
  <c r="D245" i="20" s="1"/>
  <c r="D345" i="20" s="1"/>
  <c r="D132" i="20"/>
  <c r="D232" i="20" s="1"/>
  <c r="D332" i="20" s="1"/>
  <c r="D140" i="20"/>
  <c r="D240" i="20" s="1"/>
  <c r="D340" i="20" s="1"/>
  <c r="D148" i="20"/>
  <c r="D248" i="20" s="1"/>
  <c r="D348" i="20" s="1"/>
  <c r="D156" i="20"/>
  <c r="D256" i="20" s="1"/>
  <c r="D356" i="20" s="1"/>
  <c r="D164" i="20"/>
  <c r="D264" i="20" s="1"/>
  <c r="D364" i="20" s="1"/>
  <c r="D127" i="20"/>
  <c r="D227" i="20" s="1"/>
  <c r="D327" i="20" s="1"/>
  <c r="D135" i="20"/>
  <c r="D235" i="20" s="1"/>
  <c r="D335" i="20" s="1"/>
  <c r="D138" i="20"/>
  <c r="D238" i="20" s="1"/>
  <c r="D338" i="20" s="1"/>
  <c r="D171" i="20"/>
  <c r="D271" i="20" s="1"/>
  <c r="D371" i="20" s="1"/>
  <c r="D179" i="20"/>
  <c r="D279" i="20" s="1"/>
  <c r="D379" i="20" s="1"/>
  <c r="D187" i="20"/>
  <c r="D287" i="20" s="1"/>
  <c r="D387" i="20" s="1"/>
  <c r="D195" i="20"/>
  <c r="D295" i="20" s="1"/>
  <c r="D395" i="20" s="1"/>
  <c r="D203" i="20"/>
  <c r="D303" i="20" s="1"/>
  <c r="D403" i="20" s="1"/>
  <c r="D211" i="20"/>
  <c r="D311" i="20" s="1"/>
  <c r="D411" i="20" s="1"/>
  <c r="D219" i="20"/>
  <c r="D319" i="20" s="1"/>
  <c r="D419" i="20" s="1"/>
  <c r="D125" i="20"/>
  <c r="D225" i="20" s="1"/>
  <c r="D325" i="20" s="1"/>
  <c r="D141" i="20"/>
  <c r="D241" i="20" s="1"/>
  <c r="D341" i="20" s="1"/>
  <c r="D146" i="20"/>
  <c r="D246" i="20" s="1"/>
  <c r="D346" i="20" s="1"/>
  <c r="D147" i="20"/>
  <c r="D247" i="20" s="1"/>
  <c r="D347" i="20" s="1"/>
  <c r="D174" i="20"/>
  <c r="D274" i="20" s="1"/>
  <c r="D374" i="20" s="1"/>
  <c r="D182" i="20"/>
  <c r="D282" i="20" s="1"/>
  <c r="D382" i="20" s="1"/>
  <c r="D190" i="20"/>
  <c r="D290" i="20" s="1"/>
  <c r="D390" i="20" s="1"/>
  <c r="D198" i="20"/>
  <c r="D298" i="20" s="1"/>
  <c r="D398" i="20" s="1"/>
  <c r="D206" i="20"/>
  <c r="D306" i="20" s="1"/>
  <c r="D406" i="20" s="1"/>
  <c r="D214" i="20"/>
  <c r="D314" i="20" s="1"/>
  <c r="D414" i="20" s="1"/>
  <c r="D128" i="20"/>
  <c r="D228" i="20" s="1"/>
  <c r="D328" i="20" s="1"/>
  <c r="D153" i="20"/>
  <c r="D253" i="20" s="1"/>
  <c r="D353" i="20" s="1"/>
  <c r="D154" i="20"/>
  <c r="D254" i="20" s="1"/>
  <c r="D354" i="20" s="1"/>
  <c r="D165" i="20"/>
  <c r="D265" i="20" s="1"/>
  <c r="D365" i="20" s="1"/>
  <c r="D169" i="20"/>
  <c r="D269" i="20" s="1"/>
  <c r="D369" i="20" s="1"/>
  <c r="D177" i="20"/>
  <c r="D277" i="20" s="1"/>
  <c r="D377" i="20" s="1"/>
  <c r="D185" i="20"/>
  <c r="D285" i="20" s="1"/>
  <c r="D385" i="20" s="1"/>
  <c r="D193" i="20"/>
  <c r="D293" i="20" s="1"/>
  <c r="D393" i="20" s="1"/>
  <c r="D201" i="20"/>
  <c r="D301" i="20" s="1"/>
  <c r="D401" i="20" s="1"/>
  <c r="D209" i="20"/>
  <c r="D309" i="20" s="1"/>
  <c r="D409" i="20" s="1"/>
  <c r="D217" i="20"/>
  <c r="D317" i="20" s="1"/>
  <c r="D417" i="20" s="1"/>
  <c r="D131" i="20"/>
  <c r="D231" i="20" s="1"/>
  <c r="D331" i="20" s="1"/>
  <c r="D151" i="20"/>
  <c r="D251" i="20" s="1"/>
  <c r="D351" i="20" s="1"/>
  <c r="D152" i="20"/>
  <c r="D252" i="20" s="1"/>
  <c r="D352" i="20" s="1"/>
  <c r="D155" i="20"/>
  <c r="D255" i="20" s="1"/>
  <c r="D355" i="20" s="1"/>
  <c r="D157" i="20"/>
  <c r="D257" i="20" s="1"/>
  <c r="D357" i="20" s="1"/>
  <c r="D159" i="20"/>
  <c r="D259" i="20" s="1"/>
  <c r="D359" i="20" s="1"/>
  <c r="D172" i="20"/>
  <c r="D272" i="20" s="1"/>
  <c r="D372" i="20" s="1"/>
  <c r="D180" i="20"/>
  <c r="D280" i="20" s="1"/>
  <c r="D380" i="20" s="1"/>
  <c r="D188" i="20"/>
  <c r="D288" i="20" s="1"/>
  <c r="D388" i="20" s="1"/>
  <c r="D196" i="20"/>
  <c r="D296" i="20" s="1"/>
  <c r="D396" i="20" s="1"/>
  <c r="D204" i="20"/>
  <c r="D304" i="20" s="1"/>
  <c r="D404" i="20" s="1"/>
  <c r="D212" i="20"/>
  <c r="D312" i="20" s="1"/>
  <c r="D412" i="20" s="1"/>
  <c r="D143" i="20"/>
  <c r="D243" i="20" s="1"/>
  <c r="D343" i="20" s="1"/>
  <c r="D160" i="20"/>
  <c r="D260" i="20" s="1"/>
  <c r="D360" i="20" s="1"/>
  <c r="D183" i="20"/>
  <c r="D283" i="20" s="1"/>
  <c r="D383" i="20" s="1"/>
  <c r="D199" i="20"/>
  <c r="D299" i="20" s="1"/>
  <c r="D399" i="20" s="1"/>
  <c r="D215" i="20"/>
  <c r="D315" i="20" s="1"/>
  <c r="D415" i="20" s="1"/>
  <c r="D162" i="20"/>
  <c r="D262" i="20" s="1"/>
  <c r="D362" i="20" s="1"/>
  <c r="D167" i="20"/>
  <c r="D267" i="20" s="1"/>
  <c r="D367" i="20" s="1"/>
  <c r="D170" i="20"/>
  <c r="D270" i="20" s="1"/>
  <c r="D370" i="20" s="1"/>
  <c r="D186" i="20"/>
  <c r="D286" i="20" s="1"/>
  <c r="D386" i="20" s="1"/>
  <c r="D202" i="20"/>
  <c r="D302" i="20" s="1"/>
  <c r="D402" i="20" s="1"/>
  <c r="D218" i="20"/>
  <c r="D318" i="20" s="1"/>
  <c r="D418" i="20" s="1"/>
  <c r="D173" i="20"/>
  <c r="D273" i="20" s="1"/>
  <c r="D373" i="20" s="1"/>
  <c r="D189" i="20"/>
  <c r="D289" i="20" s="1"/>
  <c r="D389" i="20" s="1"/>
  <c r="D205" i="20"/>
  <c r="D305" i="20" s="1"/>
  <c r="D405" i="20" s="1"/>
  <c r="D176" i="20"/>
  <c r="D276" i="20" s="1"/>
  <c r="D376" i="20" s="1"/>
  <c r="D192" i="20"/>
  <c r="D292" i="20" s="1"/>
  <c r="D392" i="20" s="1"/>
  <c r="D208" i="20"/>
  <c r="D308" i="20" s="1"/>
  <c r="D408" i="20" s="1"/>
  <c r="D130" i="20"/>
  <c r="D230" i="20" s="1"/>
  <c r="D330" i="20" s="1"/>
  <c r="D166" i="20"/>
  <c r="D266" i="20" s="1"/>
  <c r="D366" i="20" s="1"/>
  <c r="D175" i="20"/>
  <c r="D275" i="20" s="1"/>
  <c r="D375" i="20" s="1"/>
  <c r="D207" i="20"/>
  <c r="D307" i="20" s="1"/>
  <c r="D407" i="20" s="1"/>
  <c r="D178" i="20"/>
  <c r="D278" i="20" s="1"/>
  <c r="D378" i="20" s="1"/>
  <c r="D210" i="20"/>
  <c r="D310" i="20" s="1"/>
  <c r="D410" i="20" s="1"/>
  <c r="D194" i="20"/>
  <c r="D294" i="20" s="1"/>
  <c r="D394" i="20" s="1"/>
  <c r="D220" i="20"/>
  <c r="D320" i="20" s="1"/>
  <c r="D420" i="20" s="1"/>
  <c r="D136" i="20"/>
  <c r="D236" i="20" s="1"/>
  <c r="D336" i="20" s="1"/>
  <c r="D181" i="20"/>
  <c r="D281" i="20" s="1"/>
  <c r="D381" i="20" s="1"/>
  <c r="D213" i="20"/>
  <c r="D313" i="20" s="1"/>
  <c r="D413" i="20" s="1"/>
  <c r="D133" i="20"/>
  <c r="D233" i="20" s="1"/>
  <c r="D333" i="20" s="1"/>
  <c r="D163" i="20"/>
  <c r="D263" i="20" s="1"/>
  <c r="D363" i="20" s="1"/>
  <c r="D184" i="20"/>
  <c r="D284" i="20" s="1"/>
  <c r="D384" i="20" s="1"/>
  <c r="D216" i="20"/>
  <c r="D316" i="20" s="1"/>
  <c r="D416" i="20" s="1"/>
  <c r="D144" i="20"/>
  <c r="D244" i="20" s="1"/>
  <c r="D344" i="20" s="1"/>
  <c r="D161" i="20"/>
  <c r="D261" i="20" s="1"/>
  <c r="D361" i="20" s="1"/>
  <c r="D191" i="20"/>
  <c r="D291" i="20" s="1"/>
  <c r="D391" i="20" s="1"/>
  <c r="D149" i="20"/>
  <c r="D249" i="20" s="1"/>
  <c r="D349" i="20" s="1"/>
  <c r="D168" i="20"/>
  <c r="D268" i="20" s="1"/>
  <c r="D368" i="20" s="1"/>
  <c r="D197" i="20"/>
  <c r="D297" i="20" s="1"/>
  <c r="D397" i="20" s="1"/>
  <c r="D200" i="20"/>
  <c r="D300" i="20" s="1"/>
  <c r="D400" i="20" s="1"/>
  <c r="D139" i="20"/>
  <c r="D239" i="20" s="1"/>
  <c r="D339" i="20" s="1"/>
  <c r="AN139" i="55" l="1"/>
  <c r="AJ253" i="55"/>
  <c r="G10" i="55"/>
  <c r="G48" i="55" s="1"/>
  <c r="AJ45" i="55"/>
  <c r="AJ64" i="55" s="1"/>
  <c r="AM45" i="55"/>
  <c r="AK253" i="55"/>
  <c r="AN234" i="55"/>
  <c r="U27" i="27"/>
  <c r="U84" i="27" s="1"/>
  <c r="U160" i="27" s="1"/>
  <c r="Y85" i="55"/>
  <c r="Y47" i="55"/>
  <c r="AD82" i="27"/>
  <c r="AD158" i="27" s="1"/>
  <c r="AM253" i="55"/>
  <c r="AK127" i="55"/>
  <c r="AM127" i="55"/>
  <c r="AL127" i="55"/>
  <c r="AJ127" i="55"/>
  <c r="E28" i="27"/>
  <c r="E85" i="27" s="1"/>
  <c r="G86" i="55"/>
  <c r="G105" i="55" s="1"/>
  <c r="X9" i="55"/>
  <c r="X103" i="55"/>
  <c r="P10" i="55"/>
  <c r="M28" i="27" s="1"/>
  <c r="O105" i="55"/>
  <c r="L29" i="27"/>
  <c r="O87" i="55"/>
  <c r="O12" i="55" s="1"/>
  <c r="O49" i="55"/>
  <c r="AK64" i="55"/>
  <c r="AK178" i="55"/>
  <c r="AI10" i="55"/>
  <c r="AI104" i="55"/>
  <c r="AM64" i="55"/>
  <c r="AM178" i="55"/>
  <c r="AB83" i="55"/>
  <c r="AL64" i="55"/>
  <c r="AL178" i="55"/>
  <c r="AH10" i="55"/>
  <c r="AH104" i="55"/>
  <c r="Z204" i="55"/>
  <c r="AD203" i="55"/>
  <c r="Z185" i="55"/>
  <c r="AD184" i="55"/>
  <c r="AJ203" i="55"/>
  <c r="AN202" i="55"/>
  <c r="AD224" i="55"/>
  <c r="Z225" i="55"/>
  <c r="AN225" i="55"/>
  <c r="AJ226" i="55"/>
  <c r="H127" i="55"/>
  <c r="Z253" i="55"/>
  <c r="AD234" i="55"/>
  <c r="H164" i="55"/>
  <c r="L164" i="55" s="1"/>
  <c r="Q201" i="55"/>
  <c r="U201" i="55" s="1"/>
  <c r="Q163" i="55"/>
  <c r="U163" i="55" s="1"/>
  <c r="H33" i="55"/>
  <c r="K33" i="55"/>
  <c r="AA34" i="55"/>
  <c r="H222" i="55"/>
  <c r="L222" i="55" s="1"/>
  <c r="T32" i="55"/>
  <c r="AM32" i="55"/>
  <c r="AA83" i="55"/>
  <c r="AA102" i="55" s="1"/>
  <c r="Q222" i="55"/>
  <c r="U222" i="55" s="1"/>
  <c r="Z83" i="55"/>
  <c r="Z102" i="55" s="1"/>
  <c r="AJ33" i="55"/>
  <c r="H202" i="55"/>
  <c r="L202" i="55" s="1"/>
  <c r="AJ163" i="55"/>
  <c r="AN163" i="55" s="1"/>
  <c r="Z164" i="55"/>
  <c r="AD164" i="55" s="1"/>
  <c r="Z33" i="55"/>
  <c r="R32" i="55"/>
  <c r="Q182" i="55"/>
  <c r="U182" i="55" s="1"/>
  <c r="J33" i="55"/>
  <c r="H183" i="55"/>
  <c r="L183" i="55" s="1"/>
  <c r="AC83" i="55"/>
  <c r="AC102" i="55" s="1"/>
  <c r="AB33" i="55"/>
  <c r="S32" i="55"/>
  <c r="AL32" i="55"/>
  <c r="Q32" i="55"/>
  <c r="AC32" i="55"/>
  <c r="I34" i="55"/>
  <c r="AK34" i="55"/>
  <c r="AA45" i="53"/>
  <c r="AD386" i="53"/>
  <c r="K121" i="53"/>
  <c r="K8" i="53" s="1"/>
  <c r="R121" i="53"/>
  <c r="R197" i="53" s="1"/>
  <c r="AN386" i="53"/>
  <c r="AB121" i="53"/>
  <c r="AB8" i="53" s="1"/>
  <c r="AB84" i="53" s="1"/>
  <c r="AB103" i="53" s="1"/>
  <c r="AD216" i="53"/>
  <c r="L349" i="53"/>
  <c r="K84" i="53"/>
  <c r="K103" i="53" s="1"/>
  <c r="K27" i="53"/>
  <c r="K46" i="53" s="1"/>
  <c r="AD349" i="53"/>
  <c r="U349" i="53"/>
  <c r="U273" i="53"/>
  <c r="U235" i="53"/>
  <c r="U311" i="53"/>
  <c r="L235" i="53"/>
  <c r="L311" i="53"/>
  <c r="AI126" i="53"/>
  <c r="AI88" i="53"/>
  <c r="AI31" i="53"/>
  <c r="AI145" i="53" s="1"/>
  <c r="AI13" i="53"/>
  <c r="AI50" i="53"/>
  <c r="AI164" i="53" s="1"/>
  <c r="X124" i="53"/>
  <c r="X86" i="53"/>
  <c r="X29" i="53"/>
  <c r="X48" i="53" s="1"/>
  <c r="U367" i="53"/>
  <c r="Q386" i="53"/>
  <c r="U386" i="53" s="1"/>
  <c r="O143" i="53"/>
  <c r="O162" i="53" s="1"/>
  <c r="AD367" i="53"/>
  <c r="AM71" i="53"/>
  <c r="AD330" i="53"/>
  <c r="AK159" i="53"/>
  <c r="AK140" i="53"/>
  <c r="AK121" i="53"/>
  <c r="R140" i="53"/>
  <c r="H336" i="53"/>
  <c r="Q355" i="53"/>
  <c r="X142" i="53"/>
  <c r="X161" i="53" s="1"/>
  <c r="S121" i="53"/>
  <c r="AN330" i="53"/>
  <c r="AN292" i="53"/>
  <c r="AN254" i="53"/>
  <c r="AN216" i="53"/>
  <c r="Q121" i="53"/>
  <c r="S72" i="53"/>
  <c r="L273" i="53"/>
  <c r="G143" i="53"/>
  <c r="G162" i="53" s="1"/>
  <c r="AJ159" i="53"/>
  <c r="AJ140" i="53"/>
  <c r="AJ121" i="53"/>
  <c r="K70" i="53"/>
  <c r="T71" i="53"/>
  <c r="H258" i="53"/>
  <c r="L254" i="53"/>
  <c r="L216" i="53"/>
  <c r="L330" i="53"/>
  <c r="L292" i="53"/>
  <c r="P10" i="53"/>
  <c r="Q336" i="53"/>
  <c r="T121" i="53"/>
  <c r="AL70" i="53"/>
  <c r="AH11" i="53"/>
  <c r="Z121" i="53"/>
  <c r="AA121" i="53"/>
  <c r="L367" i="53"/>
  <c r="I73" i="53"/>
  <c r="H315" i="53"/>
  <c r="I121" i="53"/>
  <c r="H121" i="53"/>
  <c r="Q277" i="53"/>
  <c r="J73" i="53"/>
  <c r="AD273" i="53"/>
  <c r="AC71" i="53"/>
  <c r="AL159" i="53"/>
  <c r="AL140" i="53"/>
  <c r="AL121" i="53"/>
  <c r="H355" i="53"/>
  <c r="L386" i="53"/>
  <c r="AN349" i="53"/>
  <c r="AN273" i="53"/>
  <c r="AN235" i="53"/>
  <c r="AN311" i="53"/>
  <c r="AC121" i="53"/>
  <c r="AJ70" i="53"/>
  <c r="Q70" i="53"/>
  <c r="H239" i="53"/>
  <c r="K197" i="53"/>
  <c r="K140" i="53"/>
  <c r="AM159" i="53"/>
  <c r="AM140" i="53"/>
  <c r="AM121" i="53"/>
  <c r="AD235" i="53"/>
  <c r="G125" i="53"/>
  <c r="G87" i="53"/>
  <c r="G49" i="53"/>
  <c r="G30" i="53"/>
  <c r="F143" i="53"/>
  <c r="F162" i="53" s="1"/>
  <c r="Q239" i="53"/>
  <c r="P142" i="53"/>
  <c r="P161" i="53" s="1"/>
  <c r="Z71" i="53"/>
  <c r="AD311" i="53"/>
  <c r="Y126" i="53"/>
  <c r="Y13" i="53" s="1"/>
  <c r="Y88" i="53"/>
  <c r="Y31" i="53"/>
  <c r="Y50" i="53" s="1"/>
  <c r="U330" i="53"/>
  <c r="U254" i="53"/>
  <c r="U292" i="53"/>
  <c r="U216" i="53"/>
  <c r="H277" i="53"/>
  <c r="AK71" i="53"/>
  <c r="AD254" i="53"/>
  <c r="H71" i="53"/>
  <c r="R71" i="53"/>
  <c r="H296" i="53"/>
  <c r="Q220" i="53"/>
  <c r="O11" i="53"/>
  <c r="J121" i="53"/>
  <c r="F11" i="53"/>
  <c r="Q296" i="53"/>
  <c r="AA72" i="53"/>
  <c r="R8" i="53"/>
  <c r="AB71" i="53"/>
  <c r="Q315" i="53"/>
  <c r="AI49" i="53"/>
  <c r="AI163" i="53" s="1"/>
  <c r="Q258" i="53"/>
  <c r="H220" i="53"/>
  <c r="Y144" i="53"/>
  <c r="Y163" i="53" s="1"/>
  <c r="O9" i="47"/>
  <c r="L84" i="27" s="1"/>
  <c r="L160" i="27" s="1"/>
  <c r="S83" i="52"/>
  <c r="S102" i="52" s="1"/>
  <c r="O86" i="52"/>
  <c r="AL121" i="52"/>
  <c r="AH87" i="25"/>
  <c r="AH12" i="25" s="1"/>
  <c r="AH50" i="25" s="1"/>
  <c r="Y141" i="47"/>
  <c r="Y160" i="47" s="1"/>
  <c r="AK386" i="52"/>
  <c r="AM45" i="52"/>
  <c r="AM159" i="52" s="1"/>
  <c r="AM140" i="52"/>
  <c r="AK121" i="52"/>
  <c r="AJ121" i="52"/>
  <c r="S386" i="52"/>
  <c r="Q386" i="52"/>
  <c r="Q26" i="52"/>
  <c r="Q45" i="52" s="1"/>
  <c r="J26" i="52"/>
  <c r="J45" i="52" s="1"/>
  <c r="U196" i="52"/>
  <c r="R26" i="52"/>
  <c r="R45" i="52" s="1"/>
  <c r="J386" i="52"/>
  <c r="J83" i="52"/>
  <c r="J102" i="52" s="1"/>
  <c r="R386" i="52"/>
  <c r="O87" i="52"/>
  <c r="O125" i="52"/>
  <c r="O12" i="52" s="1"/>
  <c r="O31" i="52" s="1"/>
  <c r="O50" i="52" s="1"/>
  <c r="O143" i="52"/>
  <c r="O162" i="52" s="1"/>
  <c r="T121" i="52"/>
  <c r="T8" i="52" s="1"/>
  <c r="T84" i="52" s="1"/>
  <c r="T103" i="52" s="1"/>
  <c r="X123" i="52"/>
  <c r="X142" i="52" s="1"/>
  <c r="X161" i="52" s="1"/>
  <c r="X85" i="52"/>
  <c r="Q121" i="52"/>
  <c r="Q140" i="52" s="1"/>
  <c r="S121" i="52"/>
  <c r="S140" i="52" s="1"/>
  <c r="S159" i="52" s="1"/>
  <c r="T45" i="52"/>
  <c r="R121" i="52"/>
  <c r="R197" i="52" s="1"/>
  <c r="AC121" i="52"/>
  <c r="AC8" i="52" s="1"/>
  <c r="AC84" i="52" s="1"/>
  <c r="AC103" i="52" s="1"/>
  <c r="G30" i="52"/>
  <c r="G49" i="52" s="1"/>
  <c r="G87" i="52"/>
  <c r="G125" i="52"/>
  <c r="T386" i="52"/>
  <c r="U367" i="52"/>
  <c r="AA121" i="52"/>
  <c r="T72" i="52"/>
  <c r="AB75" i="52"/>
  <c r="R72" i="52"/>
  <c r="Q320" i="52"/>
  <c r="AJ140" i="52"/>
  <c r="AJ159" i="52"/>
  <c r="AK71" i="52"/>
  <c r="AB121" i="52"/>
  <c r="AC70" i="52"/>
  <c r="H71" i="52"/>
  <c r="AN349" i="52"/>
  <c r="AH30" i="52"/>
  <c r="AH144" i="52" s="1"/>
  <c r="AH125" i="52"/>
  <c r="AH87" i="52"/>
  <c r="Q221" i="52"/>
  <c r="AA71" i="52"/>
  <c r="AN254" i="52"/>
  <c r="AN292" i="52"/>
  <c r="AN216" i="52"/>
  <c r="AN330" i="52"/>
  <c r="AL159" i="52"/>
  <c r="AL140" i="52"/>
  <c r="H225" i="52"/>
  <c r="G143" i="52"/>
  <c r="G162" i="52" s="1"/>
  <c r="AI28" i="52"/>
  <c r="AI142" i="52" s="1"/>
  <c r="AI123" i="52"/>
  <c r="AI10" i="52" s="1"/>
  <c r="AI85" i="52"/>
  <c r="AJ71" i="52"/>
  <c r="S73" i="52"/>
  <c r="F142" i="52"/>
  <c r="F161" i="52" s="1"/>
  <c r="Q70" i="52"/>
  <c r="Y29" i="52"/>
  <c r="Y48" i="52" s="1"/>
  <c r="Y86" i="52"/>
  <c r="Y124" i="52"/>
  <c r="Z121" i="52"/>
  <c r="P30" i="52"/>
  <c r="P49" i="52" s="1"/>
  <c r="P87" i="52"/>
  <c r="P125" i="52"/>
  <c r="P12" i="52" s="1"/>
  <c r="AD367" i="52"/>
  <c r="Z386" i="52"/>
  <c r="AD386" i="52" s="1"/>
  <c r="AD235" i="52"/>
  <c r="AD273" i="52"/>
  <c r="AD311" i="52"/>
  <c r="AD349" i="52"/>
  <c r="F10" i="52"/>
  <c r="AN386" i="52"/>
  <c r="Z71" i="52"/>
  <c r="AD254" i="52"/>
  <c r="AD330" i="52"/>
  <c r="AD216" i="52"/>
  <c r="AD292" i="52"/>
  <c r="AK159" i="52"/>
  <c r="AK140" i="52"/>
  <c r="Y123" i="47"/>
  <c r="Y10" i="47" s="1"/>
  <c r="Y28" i="47"/>
  <c r="Y47" i="47" s="1"/>
  <c r="Y85" i="47"/>
  <c r="AA83" i="47"/>
  <c r="AA102" i="47" s="1"/>
  <c r="W82" i="27"/>
  <c r="W158" i="27" s="1"/>
  <c r="J27" i="48" s="1"/>
  <c r="N27" i="48" s="1"/>
  <c r="T26" i="47"/>
  <c r="T45" i="47" s="1"/>
  <c r="L120" i="25"/>
  <c r="AE116" i="27"/>
  <c r="L121" i="39"/>
  <c r="I235" i="39"/>
  <c r="I217" i="41"/>
  <c r="J217" i="41"/>
  <c r="L163" i="41"/>
  <c r="H164" i="41"/>
  <c r="L183" i="41"/>
  <c r="H184" i="41"/>
  <c r="L146" i="39"/>
  <c r="H147" i="39"/>
  <c r="L204" i="39"/>
  <c r="H205" i="39"/>
  <c r="L164" i="39"/>
  <c r="H165" i="39"/>
  <c r="J235" i="39"/>
  <c r="K235" i="39"/>
  <c r="K217" i="41"/>
  <c r="G124" i="47"/>
  <c r="G143" i="47" s="1"/>
  <c r="K83" i="47"/>
  <c r="K102" i="47" s="1"/>
  <c r="H83" i="47"/>
  <c r="H102" i="47" s="1"/>
  <c r="I83" i="47"/>
  <c r="I102" i="47" s="1"/>
  <c r="O86" i="25"/>
  <c r="O11" i="25" s="1"/>
  <c r="O49" i="25" s="1"/>
  <c r="AA8" i="25"/>
  <c r="AA46" i="25" s="1"/>
  <c r="AA65" i="25" s="1"/>
  <c r="AA216" i="25"/>
  <c r="AA235" i="25" s="1"/>
  <c r="I45" i="25"/>
  <c r="I64" i="25" s="1"/>
  <c r="J45" i="25"/>
  <c r="J64" i="25" s="1"/>
  <c r="AJ367" i="47"/>
  <c r="AJ386" i="47" s="1"/>
  <c r="G142" i="47"/>
  <c r="G161" i="47" s="1"/>
  <c r="T83" i="47"/>
  <c r="T102" i="47" s="1"/>
  <c r="AA367" i="47"/>
  <c r="AA386" i="47" s="1"/>
  <c r="L196" i="47"/>
  <c r="AL367" i="47"/>
  <c r="AL386" i="47" s="1"/>
  <c r="G86" i="47"/>
  <c r="G29" i="47"/>
  <c r="G48" i="47" s="1"/>
  <c r="Y124" i="47"/>
  <c r="Y11" i="47" s="1"/>
  <c r="Y86" i="47"/>
  <c r="H367" i="47"/>
  <c r="H386" i="47" s="1"/>
  <c r="AK367" i="47"/>
  <c r="AK386" i="47" s="1"/>
  <c r="K367" i="47"/>
  <c r="K386" i="47" s="1"/>
  <c r="X9" i="47"/>
  <c r="X141" i="47"/>
  <c r="X160" i="47" s="1"/>
  <c r="AA26" i="47"/>
  <c r="AA45" i="47" s="1"/>
  <c r="AM367" i="47"/>
  <c r="AM386" i="47" s="1"/>
  <c r="Q367" i="47"/>
  <c r="Q386" i="47" s="1"/>
  <c r="J367" i="47"/>
  <c r="J386" i="47" s="1"/>
  <c r="AB367" i="47"/>
  <c r="AB386" i="47" s="1"/>
  <c r="S367" i="47"/>
  <c r="S386" i="47" s="1"/>
  <c r="P9" i="47"/>
  <c r="M84" i="27" s="1"/>
  <c r="M160" i="27" s="1"/>
  <c r="P141" i="47"/>
  <c r="P160" i="47" s="1"/>
  <c r="I158" i="47"/>
  <c r="I367" i="47" s="1"/>
  <c r="Z367" i="47"/>
  <c r="Z386" i="47" s="1"/>
  <c r="R367" i="47"/>
  <c r="R386" i="47" s="1"/>
  <c r="T158" i="47"/>
  <c r="T367" i="47" s="1"/>
  <c r="T386" i="47" s="1"/>
  <c r="AC367" i="47"/>
  <c r="AC386" i="47" s="1"/>
  <c r="AH47" i="47"/>
  <c r="AH161" i="47" s="1"/>
  <c r="AH29" i="47"/>
  <c r="AH143" i="47" s="1"/>
  <c r="AM26" i="47"/>
  <c r="AM45" i="47" s="1"/>
  <c r="AJ26" i="47"/>
  <c r="I26" i="47"/>
  <c r="I45" i="47" s="1"/>
  <c r="K26" i="47"/>
  <c r="K45" i="47" s="1"/>
  <c r="AI48" i="47"/>
  <c r="AI162" i="47" s="1"/>
  <c r="AK26" i="47"/>
  <c r="AK45" i="47" s="1"/>
  <c r="AL26" i="47"/>
  <c r="AL45" i="47" s="1"/>
  <c r="AI30" i="47"/>
  <c r="AI144" i="47" s="1"/>
  <c r="AC26" i="47"/>
  <c r="AC45" i="47" s="1"/>
  <c r="O28" i="47"/>
  <c r="R26" i="47"/>
  <c r="R45" i="47" s="1"/>
  <c r="S26" i="47"/>
  <c r="S45" i="47" s="1"/>
  <c r="Q26" i="47"/>
  <c r="Q258" i="47"/>
  <c r="AB26" i="47"/>
  <c r="AB45" i="47" s="1"/>
  <c r="Q354" i="47"/>
  <c r="T313" i="47"/>
  <c r="Q277" i="47"/>
  <c r="Q221" i="47"/>
  <c r="T275" i="47"/>
  <c r="Q296" i="47"/>
  <c r="Z26" i="47"/>
  <c r="Q239" i="47"/>
  <c r="T237" i="47"/>
  <c r="Q335" i="47"/>
  <c r="Q315" i="47"/>
  <c r="R219" i="47"/>
  <c r="H356" i="47"/>
  <c r="H315" i="47"/>
  <c r="H276" i="47"/>
  <c r="H238" i="47"/>
  <c r="J83" i="47"/>
  <c r="J102" i="47" s="1"/>
  <c r="J26" i="47"/>
  <c r="J45" i="47" s="1"/>
  <c r="F27" i="47"/>
  <c r="H26" i="47"/>
  <c r="AD196" i="47"/>
  <c r="AI125" i="47"/>
  <c r="AI12" i="47" s="1"/>
  <c r="AI87" i="47"/>
  <c r="S69" i="47"/>
  <c r="O85" i="47"/>
  <c r="O123" i="47"/>
  <c r="H220" i="47"/>
  <c r="AB83" i="47"/>
  <c r="AB102" i="47" s="1"/>
  <c r="AB70" i="47"/>
  <c r="Q83" i="47"/>
  <c r="Q102" i="47" s="1"/>
  <c r="J70" i="47"/>
  <c r="AH86" i="47"/>
  <c r="AH124" i="47"/>
  <c r="AH11" i="47" s="1"/>
  <c r="AC69" i="47"/>
  <c r="AM76" i="47"/>
  <c r="F122" i="47"/>
  <c r="F84" i="47"/>
  <c r="AJ83" i="47"/>
  <c r="AJ102" i="47" s="1"/>
  <c r="H258" i="47"/>
  <c r="I70" i="47"/>
  <c r="S83" i="47"/>
  <c r="S102" i="47" s="1"/>
  <c r="AJ70" i="47"/>
  <c r="AL83" i="47"/>
  <c r="AL102" i="47" s="1"/>
  <c r="U196" i="47"/>
  <c r="AK69" i="47"/>
  <c r="AM83" i="47"/>
  <c r="AM102" i="47" s="1"/>
  <c r="H335" i="47"/>
  <c r="AN196" i="47"/>
  <c r="K69" i="47"/>
  <c r="Z69" i="47"/>
  <c r="R83" i="47"/>
  <c r="R102" i="47" s="1"/>
  <c r="T69" i="47"/>
  <c r="AL69" i="47"/>
  <c r="H70" i="47"/>
  <c r="Q77" i="47"/>
  <c r="AK83" i="47"/>
  <c r="AK102" i="47" s="1"/>
  <c r="Z83" i="47"/>
  <c r="Z102" i="47" s="1"/>
  <c r="AC83" i="47"/>
  <c r="AC102" i="47" s="1"/>
  <c r="H296" i="47"/>
  <c r="R69" i="47"/>
  <c r="AA70" i="47"/>
  <c r="L215" i="25"/>
  <c r="H45" i="25"/>
  <c r="H64" i="25" s="1"/>
  <c r="L234" i="25"/>
  <c r="S234" i="25"/>
  <c r="AB8" i="25"/>
  <c r="AB46" i="25" s="1"/>
  <c r="AB65" i="25" s="1"/>
  <c r="Q234" i="25"/>
  <c r="AB216" i="25"/>
  <c r="AB235" i="25" s="1"/>
  <c r="AC8" i="25"/>
  <c r="AC46" i="25" s="1"/>
  <c r="AC65" i="25" s="1"/>
  <c r="AC216" i="25"/>
  <c r="AC235" i="25" s="1"/>
  <c r="R8" i="45"/>
  <c r="AD121" i="25"/>
  <c r="G9" i="25"/>
  <c r="S8" i="45" s="1"/>
  <c r="U120" i="25"/>
  <c r="U215" i="25"/>
  <c r="AN234" i="25"/>
  <c r="AL216" i="25"/>
  <c r="AL235" i="25" s="1"/>
  <c r="AM8" i="25"/>
  <c r="AM216" i="25"/>
  <c r="AL8" i="25"/>
  <c r="AL46" i="25" s="1"/>
  <c r="AL65" i="25" s="1"/>
  <c r="AK8" i="25"/>
  <c r="AK46" i="25" s="1"/>
  <c r="AK65" i="25" s="1"/>
  <c r="AK216" i="25"/>
  <c r="AJ216" i="25"/>
  <c r="AN121" i="25"/>
  <c r="AJ8" i="25"/>
  <c r="AI87" i="25"/>
  <c r="AI12" i="25" s="1"/>
  <c r="AI50" i="25" s="1"/>
  <c r="Z8" i="25"/>
  <c r="Z46" i="25" s="1"/>
  <c r="Z65" i="25" s="1"/>
  <c r="Z216" i="25"/>
  <c r="X86" i="25"/>
  <c r="Y86" i="25"/>
  <c r="X48" i="25"/>
  <c r="R234" i="25"/>
  <c r="R45" i="25"/>
  <c r="R64" i="25" s="1"/>
  <c r="I203" i="25"/>
  <c r="L202" i="25"/>
  <c r="S45" i="25"/>
  <c r="S64" i="25" s="1"/>
  <c r="P87" i="25"/>
  <c r="P12" i="25" s="1"/>
  <c r="P50" i="25" s="1"/>
  <c r="O87" i="25"/>
  <c r="O12" i="25" s="1"/>
  <c r="O50" i="25" s="1"/>
  <c r="F85" i="25"/>
  <c r="F10" i="25" s="1"/>
  <c r="F47" i="25"/>
  <c r="I46" i="29"/>
  <c r="I65" i="29" s="1"/>
  <c r="L121" i="29"/>
  <c r="H46" i="29"/>
  <c r="H65" i="29" s="1"/>
  <c r="K46" i="29"/>
  <c r="K65" i="29" s="1"/>
  <c r="K84" i="29" s="1"/>
  <c r="K9" i="29" s="1"/>
  <c r="F85" i="29"/>
  <c r="F47" i="29"/>
  <c r="G13" i="29"/>
  <c r="G89" i="29"/>
  <c r="G51" i="29"/>
  <c r="K122" i="29"/>
  <c r="K217" i="29"/>
  <c r="H218" i="37"/>
  <c r="I218" i="37"/>
  <c r="J218" i="37"/>
  <c r="K218" i="37"/>
  <c r="F10" i="37"/>
  <c r="L181" i="29"/>
  <c r="H182" i="29"/>
  <c r="H163" i="29"/>
  <c r="L162" i="29"/>
  <c r="L181" i="37"/>
  <c r="H182" i="37"/>
  <c r="K183" i="25"/>
  <c r="L182" i="25"/>
  <c r="L143" i="41"/>
  <c r="H144" i="41"/>
  <c r="H144" i="29"/>
  <c r="L143" i="29"/>
  <c r="H47" i="41"/>
  <c r="H66" i="41" s="1"/>
  <c r="H217" i="41"/>
  <c r="L198" i="41"/>
  <c r="I47" i="41"/>
  <c r="I66" i="41" s="1"/>
  <c r="J47" i="41"/>
  <c r="J66" i="41" s="1"/>
  <c r="K47" i="41"/>
  <c r="K66" i="41" s="1"/>
  <c r="K85" i="41" s="1"/>
  <c r="K10" i="41"/>
  <c r="G50" i="41"/>
  <c r="G88" i="41"/>
  <c r="G13" i="41" s="1"/>
  <c r="G49" i="39"/>
  <c r="G87" i="39"/>
  <c r="G12" i="39" s="1"/>
  <c r="F47" i="39"/>
  <c r="F85" i="39"/>
  <c r="F10" i="39" s="1"/>
  <c r="H235" i="39"/>
  <c r="L216" i="39"/>
  <c r="H46" i="39"/>
  <c r="H65" i="39" s="1"/>
  <c r="I46" i="39"/>
  <c r="I65" i="39" s="1"/>
  <c r="J46" i="39"/>
  <c r="J65" i="39" s="1"/>
  <c r="K46" i="39"/>
  <c r="K65" i="39" s="1"/>
  <c r="K84" i="39" s="1"/>
  <c r="K9" i="39" s="1"/>
  <c r="J8" i="37"/>
  <c r="J46" i="37" s="1"/>
  <c r="J65" i="37" s="1"/>
  <c r="J121" i="37"/>
  <c r="J235" i="37" s="1"/>
  <c r="K8" i="37"/>
  <c r="K46" i="37" s="1"/>
  <c r="K65" i="37" s="1"/>
  <c r="K121" i="37"/>
  <c r="K235" i="37" s="1"/>
  <c r="I8" i="37"/>
  <c r="I46" i="37" s="1"/>
  <c r="I65" i="37" s="1"/>
  <c r="I121" i="37"/>
  <c r="I235" i="37" s="1"/>
  <c r="L216" i="37"/>
  <c r="H204" i="29"/>
  <c r="L203" i="29"/>
  <c r="H32" i="29"/>
  <c r="H33" i="37"/>
  <c r="H203" i="37"/>
  <c r="L202" i="37"/>
  <c r="L164" i="37"/>
  <c r="L145" i="37"/>
  <c r="K108" i="37"/>
  <c r="H107" i="37"/>
  <c r="J107" i="37"/>
  <c r="I107" i="37"/>
  <c r="H211" i="25"/>
  <c r="H212" i="25" s="1"/>
  <c r="L147" i="25"/>
  <c r="I32" i="25"/>
  <c r="H31" i="25"/>
  <c r="C87" i="13"/>
  <c r="F17" i="20"/>
  <c r="E120" i="20"/>
  <c r="E118" i="20"/>
  <c r="K18" i="13" s="1"/>
  <c r="E119" i="20"/>
  <c r="E116" i="20"/>
  <c r="F16" i="20"/>
  <c r="E117" i="20"/>
  <c r="E149" i="20"/>
  <c r="E249" i="20" s="1"/>
  <c r="E349" i="20" s="1"/>
  <c r="E178" i="20"/>
  <c r="E278" i="20" s="1"/>
  <c r="E378" i="20" s="1"/>
  <c r="E218" i="20"/>
  <c r="E318" i="20" s="1"/>
  <c r="E418" i="20" s="1"/>
  <c r="E158" i="20"/>
  <c r="E258" i="20" s="1"/>
  <c r="E358" i="20" s="1"/>
  <c r="E154" i="20"/>
  <c r="E254" i="20" s="1"/>
  <c r="E354" i="20" s="1"/>
  <c r="E195" i="20"/>
  <c r="E295" i="20" s="1"/>
  <c r="E395" i="20" s="1"/>
  <c r="E176" i="20"/>
  <c r="E276" i="20" s="1"/>
  <c r="E376" i="20" s="1"/>
  <c r="E134" i="20"/>
  <c r="E234" i="20" s="1"/>
  <c r="E334" i="20" s="1"/>
  <c r="E126" i="20"/>
  <c r="E226" i="20" s="1"/>
  <c r="E326" i="20" s="1"/>
  <c r="E133" i="20"/>
  <c r="E233" i="20" s="1"/>
  <c r="E333" i="20" s="1"/>
  <c r="E130" i="20"/>
  <c r="E230" i="20" s="1"/>
  <c r="E330" i="20" s="1"/>
  <c r="E186" i="20"/>
  <c r="E286" i="20" s="1"/>
  <c r="E386" i="20" s="1"/>
  <c r="E217" i="20"/>
  <c r="E317" i="20" s="1"/>
  <c r="E417" i="20" s="1"/>
  <c r="E190" i="20"/>
  <c r="E290" i="20" s="1"/>
  <c r="E390" i="20" s="1"/>
  <c r="E179" i="20"/>
  <c r="E279" i="20" s="1"/>
  <c r="E379" i="20" s="1"/>
  <c r="E132" i="20"/>
  <c r="E232" i="20" s="1"/>
  <c r="E332" i="20" s="1"/>
  <c r="E155" i="20"/>
  <c r="E255" i="20" s="1"/>
  <c r="E355" i="20" s="1"/>
  <c r="E157" i="20"/>
  <c r="E257" i="20" s="1"/>
  <c r="E357" i="20" s="1"/>
  <c r="E204" i="20"/>
  <c r="E304" i="20" s="1"/>
  <c r="E404" i="20" s="1"/>
  <c r="E215" i="20"/>
  <c r="E315" i="20" s="1"/>
  <c r="E415" i="20" s="1"/>
  <c r="E209" i="20"/>
  <c r="E309" i="20" s="1"/>
  <c r="E409" i="20" s="1"/>
  <c r="E182" i="20"/>
  <c r="E282" i="20" s="1"/>
  <c r="E382" i="20" s="1"/>
  <c r="E171" i="20"/>
  <c r="E271" i="20" s="1"/>
  <c r="E371" i="20" s="1"/>
  <c r="E161" i="20"/>
  <c r="E261" i="20" s="1"/>
  <c r="E361" i="20" s="1"/>
  <c r="F152" i="20"/>
  <c r="F252" i="20" s="1"/>
  <c r="F352" i="20" s="1"/>
  <c r="E136" i="20"/>
  <c r="E236" i="20" s="1"/>
  <c r="E336" i="20" s="1"/>
  <c r="E172" i="20"/>
  <c r="E272" i="20" s="1"/>
  <c r="E372" i="20" s="1"/>
  <c r="E199" i="20"/>
  <c r="E299" i="20" s="1"/>
  <c r="E399" i="20" s="1"/>
  <c r="E201" i="20"/>
  <c r="E301" i="20" s="1"/>
  <c r="E401" i="20" s="1"/>
  <c r="E174" i="20"/>
  <c r="E274" i="20" s="1"/>
  <c r="E374" i="20" s="1"/>
  <c r="E208" i="20"/>
  <c r="E308" i="20" s="1"/>
  <c r="E408" i="20" s="1"/>
  <c r="E153" i="20"/>
  <c r="E253" i="20" s="1"/>
  <c r="E353" i="20" s="1"/>
  <c r="E191" i="20"/>
  <c r="E291" i="20" s="1"/>
  <c r="E391" i="20" s="1"/>
  <c r="E159" i="20"/>
  <c r="E259" i="20" s="1"/>
  <c r="E359" i="20" s="1"/>
  <c r="E183" i="20"/>
  <c r="E283" i="20" s="1"/>
  <c r="E383" i="20" s="1"/>
  <c r="E169" i="20"/>
  <c r="E269" i="20" s="1"/>
  <c r="E369" i="20" s="1"/>
  <c r="E146" i="20"/>
  <c r="E246" i="20" s="1"/>
  <c r="E346" i="20" s="1"/>
  <c r="E200" i="20"/>
  <c r="E300" i="20" s="1"/>
  <c r="E400" i="20" s="1"/>
  <c r="E145" i="20"/>
  <c r="E245" i="20" s="1"/>
  <c r="E345" i="20" s="1"/>
  <c r="E127" i="20"/>
  <c r="E227" i="20" s="1"/>
  <c r="E327" i="20" s="1"/>
  <c r="E188" i="20"/>
  <c r="E288" i="20" s="1"/>
  <c r="E388" i="20" s="1"/>
  <c r="E151" i="20"/>
  <c r="E251" i="20" s="1"/>
  <c r="E351" i="20" s="1"/>
  <c r="E170" i="20"/>
  <c r="E270" i="20" s="1"/>
  <c r="E370" i="20" s="1"/>
  <c r="E212" i="20"/>
  <c r="E312" i="20" s="1"/>
  <c r="E412" i="20" s="1"/>
  <c r="E193" i="20"/>
  <c r="E293" i="20" s="1"/>
  <c r="E393" i="20" s="1"/>
  <c r="E214" i="20"/>
  <c r="E314" i="20" s="1"/>
  <c r="E414" i="20" s="1"/>
  <c r="E125" i="20"/>
  <c r="E225" i="20" s="1"/>
  <c r="E325" i="20" s="1"/>
  <c r="E164" i="20"/>
  <c r="E264" i="20" s="1"/>
  <c r="E364" i="20" s="1"/>
  <c r="E168" i="20"/>
  <c r="E268" i="20" s="1"/>
  <c r="E368" i="20" s="1"/>
  <c r="E137" i="20"/>
  <c r="E237" i="20" s="1"/>
  <c r="E337" i="20" s="1"/>
  <c r="E147" i="20"/>
  <c r="E247" i="20" s="1"/>
  <c r="E347" i="20" s="1"/>
  <c r="E213" i="20"/>
  <c r="E313" i="20" s="1"/>
  <c r="E413" i="20" s="1"/>
  <c r="E207" i="20"/>
  <c r="E307" i="20" s="1"/>
  <c r="E407" i="20" s="1"/>
  <c r="E205" i="20"/>
  <c r="E305" i="20" s="1"/>
  <c r="E405" i="20" s="1"/>
  <c r="E167" i="20"/>
  <c r="E267" i="20" s="1"/>
  <c r="E367" i="20" s="1"/>
  <c r="E196" i="20"/>
  <c r="E296" i="20" s="1"/>
  <c r="E396" i="20" s="1"/>
  <c r="E185" i="20"/>
  <c r="E285" i="20" s="1"/>
  <c r="E385" i="20" s="1"/>
  <c r="E206" i="20"/>
  <c r="E306" i="20" s="1"/>
  <c r="E406" i="20" s="1"/>
  <c r="E219" i="20"/>
  <c r="E319" i="20" s="1"/>
  <c r="E419" i="20" s="1"/>
  <c r="E138" i="20"/>
  <c r="E238" i="20" s="1"/>
  <c r="E338" i="20" s="1"/>
  <c r="E163" i="20"/>
  <c r="E263" i="20" s="1"/>
  <c r="E363" i="20" s="1"/>
  <c r="E129" i="20"/>
  <c r="E229" i="20" s="1"/>
  <c r="E329" i="20" s="1"/>
  <c r="E139" i="20"/>
  <c r="E239" i="20" s="1"/>
  <c r="E339" i="20" s="1"/>
  <c r="E197" i="20"/>
  <c r="E297" i="20" s="1"/>
  <c r="E397" i="20" s="1"/>
  <c r="E181" i="20"/>
  <c r="E281" i="20" s="1"/>
  <c r="E381" i="20" s="1"/>
  <c r="E175" i="20"/>
  <c r="E275" i="20" s="1"/>
  <c r="E375" i="20" s="1"/>
  <c r="E189" i="20"/>
  <c r="E289" i="20" s="1"/>
  <c r="E389" i="20" s="1"/>
  <c r="E162" i="20"/>
  <c r="E262" i="20" s="1"/>
  <c r="E362" i="20" s="1"/>
  <c r="E180" i="20"/>
  <c r="E280" i="20" s="1"/>
  <c r="E380" i="20" s="1"/>
  <c r="E177" i="20"/>
  <c r="E277" i="20" s="1"/>
  <c r="E377" i="20" s="1"/>
  <c r="E198" i="20"/>
  <c r="E298" i="20" s="1"/>
  <c r="E398" i="20" s="1"/>
  <c r="E211" i="20"/>
  <c r="E311" i="20" s="1"/>
  <c r="E411" i="20" s="1"/>
  <c r="E216" i="20"/>
  <c r="E316" i="20" s="1"/>
  <c r="E416" i="20" s="1"/>
  <c r="E135" i="20"/>
  <c r="E235" i="20" s="1"/>
  <c r="E335" i="20" s="1"/>
  <c r="E121" i="20"/>
  <c r="E221" i="20" s="1"/>
  <c r="E321" i="20" s="1"/>
  <c r="E122" i="20"/>
  <c r="E222" i="20" s="1"/>
  <c r="E322" i="20" s="1"/>
  <c r="E123" i="20"/>
  <c r="E223" i="20" s="1"/>
  <c r="E323" i="20" s="1"/>
  <c r="F128" i="20"/>
  <c r="F228" i="20" s="1"/>
  <c r="F328" i="20" s="1"/>
  <c r="F136" i="20"/>
  <c r="F236" i="20" s="1"/>
  <c r="F336" i="20" s="1"/>
  <c r="F144" i="20"/>
  <c r="F244" i="20" s="1"/>
  <c r="F344" i="20" s="1"/>
  <c r="F160" i="20"/>
  <c r="F260" i="20" s="1"/>
  <c r="F360" i="20" s="1"/>
  <c r="F147" i="20"/>
  <c r="F247" i="20" s="1"/>
  <c r="F347" i="20" s="1"/>
  <c r="F126" i="20"/>
  <c r="F226" i="20" s="1"/>
  <c r="F326" i="20" s="1"/>
  <c r="F134" i="20"/>
  <c r="F234" i="20" s="1"/>
  <c r="F334" i="20" s="1"/>
  <c r="F142" i="20"/>
  <c r="F242" i="20" s="1"/>
  <c r="F342" i="20" s="1"/>
  <c r="F158" i="20"/>
  <c r="F258" i="20" s="1"/>
  <c r="F358" i="20" s="1"/>
  <c r="F129" i="20"/>
  <c r="F229" i="20" s="1"/>
  <c r="F329" i="20" s="1"/>
  <c r="F137" i="20"/>
  <c r="F237" i="20" s="1"/>
  <c r="F337" i="20" s="1"/>
  <c r="F132" i="20"/>
  <c r="F232" i="20" s="1"/>
  <c r="F332" i="20" s="1"/>
  <c r="F148" i="20"/>
  <c r="F248" i="20" s="1"/>
  <c r="F348" i="20" s="1"/>
  <c r="F173" i="20"/>
  <c r="F273" i="20" s="1"/>
  <c r="F373" i="20" s="1"/>
  <c r="F197" i="20"/>
  <c r="F297" i="20" s="1"/>
  <c r="F397" i="20" s="1"/>
  <c r="F205" i="20"/>
  <c r="F305" i="20" s="1"/>
  <c r="F405" i="20" s="1"/>
  <c r="F213" i="20"/>
  <c r="F313" i="20" s="1"/>
  <c r="F413" i="20" s="1"/>
  <c r="F135" i="20"/>
  <c r="F235" i="20" s="1"/>
  <c r="F335" i="20" s="1"/>
  <c r="F168" i="20"/>
  <c r="F268" i="20" s="1"/>
  <c r="F368" i="20" s="1"/>
  <c r="F192" i="20"/>
  <c r="F292" i="20" s="1"/>
  <c r="F392" i="20" s="1"/>
  <c r="F200" i="20"/>
  <c r="F300" i="20" s="1"/>
  <c r="F400" i="20" s="1"/>
  <c r="F208" i="20"/>
  <c r="F308" i="20" s="1"/>
  <c r="F408" i="20" s="1"/>
  <c r="F216" i="20"/>
  <c r="F316" i="20" s="1"/>
  <c r="F416" i="20" s="1"/>
  <c r="F164" i="20"/>
  <c r="F264" i="20" s="1"/>
  <c r="F364" i="20" s="1"/>
  <c r="F187" i="20"/>
  <c r="F287" i="20" s="1"/>
  <c r="F387" i="20" s="1"/>
  <c r="F195" i="20"/>
  <c r="F295" i="20" s="1"/>
  <c r="F395" i="20" s="1"/>
  <c r="F203" i="20"/>
  <c r="F303" i="20" s="1"/>
  <c r="F403" i="20" s="1"/>
  <c r="F211" i="20"/>
  <c r="F311" i="20" s="1"/>
  <c r="F411" i="20" s="1"/>
  <c r="F125" i="20"/>
  <c r="F225" i="20" s="1"/>
  <c r="F325" i="20" s="1"/>
  <c r="F146" i="20"/>
  <c r="F246" i="20" s="1"/>
  <c r="F346" i="20" s="1"/>
  <c r="F153" i="20"/>
  <c r="F253" i="20" s="1"/>
  <c r="F353" i="20" s="1"/>
  <c r="F174" i="20"/>
  <c r="F274" i="20" s="1"/>
  <c r="F374" i="20" s="1"/>
  <c r="F182" i="20"/>
  <c r="F282" i="20" s="1"/>
  <c r="F382" i="20" s="1"/>
  <c r="F198" i="20"/>
  <c r="F298" i="20" s="1"/>
  <c r="F398" i="20" s="1"/>
  <c r="F140" i="20"/>
  <c r="F240" i="20" s="1"/>
  <c r="F340" i="20" s="1"/>
  <c r="F154" i="20"/>
  <c r="F254" i="20" s="1"/>
  <c r="F354" i="20" s="1"/>
  <c r="F156" i="20"/>
  <c r="F256" i="20" s="1"/>
  <c r="F356" i="20" s="1"/>
  <c r="F165" i="20"/>
  <c r="F265" i="20" s="1"/>
  <c r="F365" i="20" s="1"/>
  <c r="F193" i="20"/>
  <c r="F293" i="20" s="1"/>
  <c r="F393" i="20" s="1"/>
  <c r="F196" i="20"/>
  <c r="F296" i="20" s="1"/>
  <c r="F396" i="20" s="1"/>
  <c r="F212" i="20"/>
  <c r="F312" i="20" s="1"/>
  <c r="F412" i="20" s="1"/>
  <c r="F143" i="20"/>
  <c r="F243" i="20" s="1"/>
  <c r="F343" i="20" s="1"/>
  <c r="F183" i="20"/>
  <c r="F283" i="20" s="1"/>
  <c r="F383" i="20" s="1"/>
  <c r="F215" i="20"/>
  <c r="F315" i="20" s="1"/>
  <c r="F415" i="20" s="1"/>
  <c r="F170" i="20"/>
  <c r="F270" i="20" s="1"/>
  <c r="F370" i="20" s="1"/>
  <c r="F186" i="20"/>
  <c r="F286" i="20" s="1"/>
  <c r="F386" i="20" s="1"/>
  <c r="F202" i="20"/>
  <c r="F302" i="20" s="1"/>
  <c r="F402" i="20" s="1"/>
  <c r="F218" i="20"/>
  <c r="F318" i="20" s="1"/>
  <c r="F418" i="20" s="1"/>
  <c r="F169" i="20"/>
  <c r="F269" i="20" s="1"/>
  <c r="F369" i="20" s="1"/>
  <c r="F188" i="20"/>
  <c r="F288" i="20" s="1"/>
  <c r="F388" i="20" s="1"/>
  <c r="F151" i="20"/>
  <c r="F251" i="20" s="1"/>
  <c r="F351" i="20" s="1"/>
  <c r="F159" i="20"/>
  <c r="F259" i="20" s="1"/>
  <c r="F359" i="20" s="1"/>
  <c r="F172" i="20"/>
  <c r="F272" i="20" s="1"/>
  <c r="F372" i="20" s="1"/>
  <c r="F127" i="20"/>
  <c r="F227" i="20" s="1"/>
  <c r="F327" i="20" s="1"/>
  <c r="F175" i="20"/>
  <c r="F275" i="20" s="1"/>
  <c r="F375" i="20" s="1"/>
  <c r="F207" i="20"/>
  <c r="F307" i="20" s="1"/>
  <c r="F407" i="20" s="1"/>
  <c r="F161" i="20"/>
  <c r="F261" i="20" s="1"/>
  <c r="F361" i="20" s="1"/>
  <c r="F178" i="20"/>
  <c r="F278" i="20" s="1"/>
  <c r="F378" i="20" s="1"/>
  <c r="F185" i="20"/>
  <c r="F285" i="20" s="1"/>
  <c r="F385" i="20" s="1"/>
  <c r="F194" i="20"/>
  <c r="F294" i="20" s="1"/>
  <c r="F394" i="20" s="1"/>
  <c r="F220" i="20"/>
  <c r="F320" i="20" s="1"/>
  <c r="F420" i="20" s="1"/>
  <c r="E124" i="20"/>
  <c r="E224" i="20" s="1"/>
  <c r="E324" i="20" s="1"/>
  <c r="I26" i="56" l="1"/>
  <c r="E79" i="56" s="1"/>
  <c r="K79" i="56" s="1"/>
  <c r="E27" i="46"/>
  <c r="AN253" i="55"/>
  <c r="F6" i="46" s="1"/>
  <c r="J7" i="56"/>
  <c r="J28" i="46"/>
  <c r="V28" i="46" s="1"/>
  <c r="AJ178" i="55"/>
  <c r="I28" i="46"/>
  <c r="U28" i="46" s="1"/>
  <c r="F27" i="46"/>
  <c r="L26" i="56"/>
  <c r="M26" i="56" s="1"/>
  <c r="I6" i="56"/>
  <c r="I6" i="48"/>
  <c r="Y104" i="55"/>
  <c r="Y10" i="55"/>
  <c r="G11" i="55"/>
  <c r="E29" i="27" s="1"/>
  <c r="E86" i="27" s="1"/>
  <c r="AJ128" i="55"/>
  <c r="AL128" i="55"/>
  <c r="AM128" i="55"/>
  <c r="AK128" i="55"/>
  <c r="N7" i="56"/>
  <c r="F55" i="56" s="1"/>
  <c r="J27" i="56"/>
  <c r="T27" i="27"/>
  <c r="T84" i="27" s="1"/>
  <c r="T160" i="27" s="1"/>
  <c r="X47" i="55"/>
  <c r="X85" i="55"/>
  <c r="O106" i="55"/>
  <c r="AL83" i="55"/>
  <c r="AL102" i="55" s="1"/>
  <c r="AJ83" i="55"/>
  <c r="AJ102" i="55" s="1"/>
  <c r="AB28" i="27"/>
  <c r="AB85" i="27" s="1"/>
  <c r="AB161" i="27" s="1"/>
  <c r="AH86" i="55"/>
  <c r="AH48" i="55"/>
  <c r="AC28" i="27"/>
  <c r="AC85" i="27" s="1"/>
  <c r="AC161" i="27" s="1"/>
  <c r="AI48" i="55"/>
  <c r="AI86" i="55"/>
  <c r="AA140" i="55"/>
  <c r="AA235" i="55"/>
  <c r="AN178" i="55"/>
  <c r="AC140" i="55"/>
  <c r="AC235" i="55"/>
  <c r="AK83" i="55"/>
  <c r="AK102" i="55" s="1"/>
  <c r="Z140" i="55"/>
  <c r="Z235" i="55"/>
  <c r="AM83" i="55"/>
  <c r="AM102" i="55" s="1"/>
  <c r="O50" i="55"/>
  <c r="AB8" i="55"/>
  <c r="AB102" i="55"/>
  <c r="AD253" i="55"/>
  <c r="E6" i="46" s="1"/>
  <c r="I26" i="48"/>
  <c r="L26" i="48" s="1"/>
  <c r="M26" i="48" s="1"/>
  <c r="O88" i="55"/>
  <c r="O107" i="55" s="1"/>
  <c r="AD225" i="55"/>
  <c r="Z226" i="55"/>
  <c r="Z186" i="55"/>
  <c r="AD185" i="55"/>
  <c r="AJ204" i="55"/>
  <c r="AN203" i="55"/>
  <c r="Z205" i="55"/>
  <c r="AD204" i="55"/>
  <c r="AN226" i="55"/>
  <c r="AJ227" i="55"/>
  <c r="H128" i="55"/>
  <c r="Q33" i="55"/>
  <c r="Z165" i="55"/>
  <c r="AD165" i="55" s="1"/>
  <c r="Q202" i="55"/>
  <c r="U202" i="55" s="1"/>
  <c r="Q223" i="55"/>
  <c r="U223" i="55" s="1"/>
  <c r="T33" i="55"/>
  <c r="H34" i="55"/>
  <c r="AL33" i="55"/>
  <c r="AK35" i="55"/>
  <c r="H165" i="55"/>
  <c r="L165" i="55" s="1"/>
  <c r="S33" i="55"/>
  <c r="AJ34" i="55"/>
  <c r="AA8" i="55"/>
  <c r="W26" i="27" s="1"/>
  <c r="H184" i="55"/>
  <c r="L184" i="55" s="1"/>
  <c r="I35" i="55"/>
  <c r="J34" i="55"/>
  <c r="R33" i="55"/>
  <c r="Z8" i="55"/>
  <c r="V26" i="27" s="1"/>
  <c r="AA35" i="55"/>
  <c r="AC33" i="55"/>
  <c r="Q183" i="55"/>
  <c r="U183" i="55" s="1"/>
  <c r="Z34" i="55"/>
  <c r="AJ164" i="55"/>
  <c r="AN164" i="55" s="1"/>
  <c r="AM33" i="55"/>
  <c r="Q164" i="55"/>
  <c r="U164" i="55" s="1"/>
  <c r="AC8" i="55"/>
  <c r="Y26" i="27" s="1"/>
  <c r="H223" i="55"/>
  <c r="L223" i="55" s="1"/>
  <c r="P86" i="55"/>
  <c r="P105" i="55" s="1"/>
  <c r="P48" i="55"/>
  <c r="AB34" i="55"/>
  <c r="H203" i="55"/>
  <c r="L203" i="55" s="1"/>
  <c r="K34" i="55"/>
  <c r="AB27" i="53"/>
  <c r="AB46" i="53" s="1"/>
  <c r="AB140" i="53"/>
  <c r="AB197" i="53"/>
  <c r="AL368" i="53"/>
  <c r="H221" i="53"/>
  <c r="Q71" i="53"/>
  <c r="AL197" i="53"/>
  <c r="AL8" i="53"/>
  <c r="H316" i="53"/>
  <c r="Q337" i="53"/>
  <c r="AJ197" i="53"/>
  <c r="AJ8" i="53"/>
  <c r="AJ368" i="53"/>
  <c r="G144" i="53"/>
  <c r="G163" i="53" s="1"/>
  <c r="AM197" i="53"/>
  <c r="AM8" i="53"/>
  <c r="O87" i="53"/>
  <c r="O125" i="53"/>
  <c r="O30" i="53"/>
  <c r="O12" i="53"/>
  <c r="O49" i="53"/>
  <c r="AB368" i="53"/>
  <c r="AB387" i="53" s="1"/>
  <c r="Y127" i="53"/>
  <c r="Y14" i="53" s="1"/>
  <c r="Y89" i="53"/>
  <c r="Y32" i="53"/>
  <c r="Y51" i="53"/>
  <c r="AM368" i="53"/>
  <c r="AM387" i="53" s="1"/>
  <c r="AA197" i="53"/>
  <c r="AA159" i="53"/>
  <c r="AA140" i="53"/>
  <c r="AA8" i="53"/>
  <c r="S140" i="53"/>
  <c r="S159" i="53" s="1"/>
  <c r="S197" i="53"/>
  <c r="S8" i="53"/>
  <c r="R159" i="53"/>
  <c r="R368" i="53" s="1"/>
  <c r="R387" i="53" s="1"/>
  <c r="AI127" i="53"/>
  <c r="AI14" i="53" s="1"/>
  <c r="AI89" i="53"/>
  <c r="AI32" i="53"/>
  <c r="AI146" i="53" s="1"/>
  <c r="H72" i="53"/>
  <c r="AJ71" i="53"/>
  <c r="AC197" i="53"/>
  <c r="AC140" i="53"/>
  <c r="AC8" i="53"/>
  <c r="AB159" i="53"/>
  <c r="J74" i="53"/>
  <c r="Z197" i="53"/>
  <c r="AD197" i="53" s="1"/>
  <c r="Z140" i="53"/>
  <c r="Z159" i="53" s="1"/>
  <c r="Z8" i="53"/>
  <c r="H259" i="53"/>
  <c r="S73" i="53"/>
  <c r="Q316" i="53"/>
  <c r="AH87" i="53"/>
  <c r="AH125" i="53"/>
  <c r="AH30" i="53"/>
  <c r="AH144" i="53" s="1"/>
  <c r="AH12" i="53"/>
  <c r="AH49" i="53"/>
  <c r="AH163" i="53" s="1"/>
  <c r="AK197" i="53"/>
  <c r="AK8" i="53"/>
  <c r="I74" i="53"/>
  <c r="X143" i="53"/>
  <c r="X162" i="53" s="1"/>
  <c r="Q259" i="53"/>
  <c r="Q240" i="53"/>
  <c r="AB72" i="53"/>
  <c r="Q221" i="53"/>
  <c r="AK72" i="53"/>
  <c r="Y145" i="53"/>
  <c r="Y164" i="53" s="1"/>
  <c r="K159" i="53"/>
  <c r="K368" i="53" s="1"/>
  <c r="K387" i="53" s="1"/>
  <c r="Q197" i="53"/>
  <c r="Q140" i="53"/>
  <c r="Q159" i="53" s="1"/>
  <c r="Q8" i="53"/>
  <c r="AK368" i="53"/>
  <c r="P124" i="53"/>
  <c r="P86" i="53"/>
  <c r="P29" i="53"/>
  <c r="P48" i="53" s="1"/>
  <c r="P11" i="53"/>
  <c r="H297" i="53"/>
  <c r="Q278" i="53"/>
  <c r="AL71" i="53"/>
  <c r="T72" i="53"/>
  <c r="AL387" i="53"/>
  <c r="Q356" i="53"/>
  <c r="F125" i="53"/>
  <c r="F12" i="53" s="1"/>
  <c r="F87" i="53"/>
  <c r="F30" i="53"/>
  <c r="F49" i="53" s="1"/>
  <c r="R84" i="53"/>
  <c r="R103" i="53" s="1"/>
  <c r="R27" i="53"/>
  <c r="R46" i="53"/>
  <c r="H278" i="53"/>
  <c r="G12" i="53"/>
  <c r="H240" i="53"/>
  <c r="H356" i="53"/>
  <c r="H197" i="53"/>
  <c r="H140" i="53"/>
  <c r="H8" i="53"/>
  <c r="T140" i="53"/>
  <c r="T159" i="53" s="1"/>
  <c r="T197" i="53"/>
  <c r="T8" i="53"/>
  <c r="K71" i="53"/>
  <c r="Q297" i="53"/>
  <c r="H337" i="53"/>
  <c r="AC72" i="53"/>
  <c r="J197" i="53"/>
  <c r="J140" i="53"/>
  <c r="J159" i="53" s="1"/>
  <c r="J8" i="53"/>
  <c r="AA73" i="53"/>
  <c r="R72" i="53"/>
  <c r="Z72" i="53"/>
  <c r="I197" i="53"/>
  <c r="I140" i="53"/>
  <c r="I159" i="53" s="1"/>
  <c r="I8" i="53"/>
  <c r="AM72" i="53"/>
  <c r="X11" i="53"/>
  <c r="AN311" i="52"/>
  <c r="AN273" i="52"/>
  <c r="AN235" i="52"/>
  <c r="AK368" i="52" s="1"/>
  <c r="H83" i="25"/>
  <c r="H121" i="25" s="1"/>
  <c r="AH88" i="25"/>
  <c r="AH13" i="25" s="1"/>
  <c r="AH51" i="25" s="1"/>
  <c r="Y29" i="47"/>
  <c r="Y48" i="47" s="1"/>
  <c r="Y142" i="47"/>
  <c r="Y161" i="47" s="1"/>
  <c r="U330" i="52"/>
  <c r="U254" i="52"/>
  <c r="U216" i="52"/>
  <c r="U311" i="52"/>
  <c r="U292" i="52"/>
  <c r="U386" i="52"/>
  <c r="O144" i="52"/>
  <c r="O163" i="52" s="1"/>
  <c r="O88" i="52"/>
  <c r="O126" i="52"/>
  <c r="O13" i="52" s="1"/>
  <c r="O89" i="52" s="1"/>
  <c r="T27" i="52"/>
  <c r="T46" i="52" s="1"/>
  <c r="X10" i="52"/>
  <c r="X124" i="52" s="1"/>
  <c r="X11" i="52" s="1"/>
  <c r="T197" i="52"/>
  <c r="T140" i="52"/>
  <c r="T159" i="52" s="1"/>
  <c r="S197" i="52"/>
  <c r="U273" i="52"/>
  <c r="Q8" i="52"/>
  <c r="Q27" i="52" s="1"/>
  <c r="U349" i="52"/>
  <c r="Q159" i="52"/>
  <c r="Q197" i="52"/>
  <c r="S8" i="52"/>
  <c r="S27" i="52" s="1"/>
  <c r="S46" i="52" s="1"/>
  <c r="U235" i="52"/>
  <c r="AH49" i="52"/>
  <c r="AH163" i="52" s="1"/>
  <c r="R140" i="52"/>
  <c r="R159" i="52" s="1"/>
  <c r="AC27" i="52"/>
  <c r="AC46" i="52" s="1"/>
  <c r="AC140" i="52"/>
  <c r="AC159" i="52" s="1"/>
  <c r="AC368" i="52" s="1"/>
  <c r="R8" i="52"/>
  <c r="R27" i="52" s="1"/>
  <c r="AC197" i="52"/>
  <c r="AI29" i="52"/>
  <c r="AI143" i="52" s="1"/>
  <c r="AI86" i="52"/>
  <c r="AI124" i="52"/>
  <c r="P31" i="52"/>
  <c r="P50" i="52" s="1"/>
  <c r="P88" i="52"/>
  <c r="P126" i="52"/>
  <c r="R73" i="52"/>
  <c r="Z140" i="52"/>
  <c r="Z197" i="52"/>
  <c r="Z8" i="52"/>
  <c r="AI47" i="52"/>
  <c r="AI161" i="52" s="1"/>
  <c r="AJ197" i="52"/>
  <c r="AJ8" i="52"/>
  <c r="Z72" i="52"/>
  <c r="Q222" i="52"/>
  <c r="H72" i="52"/>
  <c r="AJ368" i="52"/>
  <c r="F29" i="52"/>
  <c r="F48" i="52" s="1"/>
  <c r="F86" i="52"/>
  <c r="F124" i="52"/>
  <c r="F11" i="52" s="1"/>
  <c r="Y143" i="52"/>
  <c r="Y162" i="52" s="1"/>
  <c r="AM8" i="52"/>
  <c r="AM122" i="52" s="1"/>
  <c r="AC71" i="52"/>
  <c r="AA140" i="52"/>
  <c r="AA159" i="52" s="1"/>
  <c r="AA197" i="52"/>
  <c r="AA8" i="52"/>
  <c r="AK197" i="52"/>
  <c r="AK8" i="52"/>
  <c r="G144" i="52"/>
  <c r="G163" i="52" s="1"/>
  <c r="S74" i="52"/>
  <c r="AL197" i="52"/>
  <c r="AL8" i="52"/>
  <c r="AB140" i="52"/>
  <c r="AB159" i="52" s="1"/>
  <c r="AB197" i="52"/>
  <c r="AB8" i="52"/>
  <c r="AB76" i="52"/>
  <c r="P144" i="52"/>
  <c r="P163" i="52" s="1"/>
  <c r="AH12" i="52"/>
  <c r="Y11" i="52"/>
  <c r="AJ72" i="52"/>
  <c r="AA72" i="52"/>
  <c r="AK72" i="52"/>
  <c r="K140" i="52"/>
  <c r="K159" i="52" s="1"/>
  <c r="K8" i="52"/>
  <c r="T73" i="52"/>
  <c r="Q71" i="52"/>
  <c r="H226" i="52"/>
  <c r="Q321" i="52"/>
  <c r="G12" i="52"/>
  <c r="J121" i="47"/>
  <c r="J197" i="47" s="1"/>
  <c r="L217" i="41"/>
  <c r="L235" i="39"/>
  <c r="H206" i="39"/>
  <c r="L205" i="39"/>
  <c r="L147" i="39"/>
  <c r="H148" i="39"/>
  <c r="H185" i="41"/>
  <c r="L184" i="41"/>
  <c r="H166" i="39"/>
  <c r="L165" i="39"/>
  <c r="H165" i="41"/>
  <c r="L164" i="41"/>
  <c r="W6" i="45"/>
  <c r="W44" i="45" s="1"/>
  <c r="K83" i="25"/>
  <c r="K8" i="25" s="1"/>
  <c r="AC84" i="25"/>
  <c r="AC122" i="25" s="1"/>
  <c r="AN367" i="47"/>
  <c r="G162" i="47"/>
  <c r="G11" i="47"/>
  <c r="G125" i="47" s="1"/>
  <c r="Y125" i="47"/>
  <c r="Y144" i="47" s="1"/>
  <c r="Y163" i="47" s="1"/>
  <c r="Y87" i="47"/>
  <c r="Y30" i="47"/>
  <c r="Y49" i="47" s="1"/>
  <c r="F141" i="47"/>
  <c r="F160" i="47" s="1"/>
  <c r="AD367" i="47"/>
  <c r="O10" i="47"/>
  <c r="O29" i="47" s="1"/>
  <c r="O142" i="47"/>
  <c r="O161" i="47" s="1"/>
  <c r="Y143" i="47"/>
  <c r="Y162" i="47" s="1"/>
  <c r="X85" i="47"/>
  <c r="X28" i="47"/>
  <c r="X47" i="47" s="1"/>
  <c r="X123" i="47"/>
  <c r="X10" i="47" s="1"/>
  <c r="I386" i="47"/>
  <c r="L367" i="47"/>
  <c r="U367" i="47"/>
  <c r="P28" i="47"/>
  <c r="P47" i="47" s="1"/>
  <c r="P123" i="47"/>
  <c r="P85" i="47"/>
  <c r="Z45" i="47"/>
  <c r="AD216" i="47"/>
  <c r="AD292" i="47"/>
  <c r="AD330" i="47"/>
  <c r="AD254" i="47"/>
  <c r="AJ45" i="47"/>
  <c r="AN330" i="47"/>
  <c r="AN216" i="47"/>
  <c r="AN254" i="47"/>
  <c r="AN292" i="47"/>
  <c r="H45" i="47"/>
  <c r="L216" i="47"/>
  <c r="L292" i="47"/>
  <c r="L254" i="47"/>
  <c r="L330" i="47"/>
  <c r="Q45" i="47"/>
  <c r="U216" i="47"/>
  <c r="U292" i="47"/>
  <c r="U254" i="47"/>
  <c r="U330" i="47"/>
  <c r="AH30" i="47"/>
  <c r="AH144" i="47" s="1"/>
  <c r="AH48" i="47"/>
  <c r="AH162" i="47" s="1"/>
  <c r="AJ140" i="47"/>
  <c r="AJ159" i="47"/>
  <c r="AK140" i="47"/>
  <c r="AK159" i="47"/>
  <c r="AL159" i="47"/>
  <c r="AL140" i="47"/>
  <c r="AI49" i="47"/>
  <c r="AI163" i="47" s="1"/>
  <c r="AM159" i="47"/>
  <c r="AM140" i="47"/>
  <c r="AI31" i="47"/>
  <c r="AI145" i="47" s="1"/>
  <c r="Q316" i="47"/>
  <c r="T238" i="47"/>
  <c r="T276" i="47"/>
  <c r="Q222" i="47"/>
  <c r="T314" i="47"/>
  <c r="R220" i="47"/>
  <c r="Q336" i="47"/>
  <c r="Q240" i="47"/>
  <c r="Q297" i="47"/>
  <c r="Q278" i="47"/>
  <c r="Q355" i="47"/>
  <c r="Q259" i="47"/>
  <c r="O47" i="47"/>
  <c r="H357" i="47"/>
  <c r="H316" i="47"/>
  <c r="H277" i="47"/>
  <c r="H239" i="47"/>
  <c r="F46" i="47"/>
  <c r="H121" i="47"/>
  <c r="H8" i="47" s="1"/>
  <c r="K121" i="47"/>
  <c r="I121" i="47"/>
  <c r="AD386" i="47"/>
  <c r="AK121" i="47"/>
  <c r="AK8" i="47" s="1"/>
  <c r="AC121" i="47"/>
  <c r="R121" i="47"/>
  <c r="AN386" i="47"/>
  <c r="T70" i="47"/>
  <c r="AM121" i="47"/>
  <c r="AJ71" i="47"/>
  <c r="I71" i="47"/>
  <c r="AJ121" i="47"/>
  <c r="AM77" i="47"/>
  <c r="AI126" i="47"/>
  <c r="AI13" i="47" s="1"/>
  <c r="AI88" i="47"/>
  <c r="AB71" i="47"/>
  <c r="H71" i="47"/>
  <c r="Z70" i="47"/>
  <c r="AK70" i="47"/>
  <c r="AH87" i="47"/>
  <c r="AH125" i="47"/>
  <c r="AH12" i="47" s="1"/>
  <c r="R70" i="47"/>
  <c r="Q78" i="47"/>
  <c r="AL70" i="47"/>
  <c r="H336" i="47"/>
  <c r="F9" i="47"/>
  <c r="H221" i="47"/>
  <c r="S70" i="47"/>
  <c r="AA71" i="47"/>
  <c r="H297" i="47"/>
  <c r="Z121" i="47"/>
  <c r="AA121" i="47"/>
  <c r="U386" i="47"/>
  <c r="K70" i="47"/>
  <c r="AL121" i="47"/>
  <c r="S121" i="47"/>
  <c r="H259" i="47"/>
  <c r="AC70" i="47"/>
  <c r="J71" i="47"/>
  <c r="T121" i="47"/>
  <c r="Q121" i="47"/>
  <c r="AB121" i="47"/>
  <c r="V6" i="45"/>
  <c r="V44" i="45" s="1"/>
  <c r="T6" i="45"/>
  <c r="T44" i="45" s="1"/>
  <c r="U6" i="45"/>
  <c r="U44" i="45" s="1"/>
  <c r="G85" i="25"/>
  <c r="G10" i="25" s="1"/>
  <c r="E161" i="27" s="1"/>
  <c r="I83" i="25"/>
  <c r="I8" i="25" s="1"/>
  <c r="J83" i="25"/>
  <c r="J8" i="25" s="1"/>
  <c r="U234" i="25"/>
  <c r="G47" i="25"/>
  <c r="E160" i="27"/>
  <c r="R9" i="45"/>
  <c r="AJ235" i="25"/>
  <c r="AN216" i="25"/>
  <c r="AK235" i="25"/>
  <c r="AM46" i="25"/>
  <c r="AM65" i="25" s="1"/>
  <c r="AJ46" i="25"/>
  <c r="AJ65" i="25" s="1"/>
  <c r="AM235" i="25"/>
  <c r="AI88" i="25"/>
  <c r="AI13" i="25" s="1"/>
  <c r="AI51" i="25" s="1"/>
  <c r="AA84" i="25"/>
  <c r="AA122" i="25" s="1"/>
  <c r="Z84" i="25"/>
  <c r="Z122" i="25" s="1"/>
  <c r="AB84" i="25"/>
  <c r="AB122" i="25" s="1"/>
  <c r="AD216" i="25"/>
  <c r="Z235" i="25"/>
  <c r="AD235" i="25" s="1"/>
  <c r="Y11" i="25"/>
  <c r="Y49" i="25" s="1"/>
  <c r="X11" i="25"/>
  <c r="X49" i="25" s="1"/>
  <c r="L235" i="37"/>
  <c r="S83" i="25"/>
  <c r="I204" i="25"/>
  <c r="L203" i="25"/>
  <c r="T83" i="25"/>
  <c r="Q83" i="25"/>
  <c r="R83" i="25"/>
  <c r="P88" i="25"/>
  <c r="P13" i="25" s="1"/>
  <c r="P51" i="25" s="1"/>
  <c r="O88" i="25"/>
  <c r="O13" i="25" s="1"/>
  <c r="O51" i="25" s="1"/>
  <c r="F86" i="25"/>
  <c r="F11" i="25" s="1"/>
  <c r="F48" i="25"/>
  <c r="G14" i="29"/>
  <c r="F10" i="29"/>
  <c r="H84" i="29"/>
  <c r="J84" i="29"/>
  <c r="I84" i="29"/>
  <c r="K47" i="29"/>
  <c r="K66" i="29" s="1"/>
  <c r="G90" i="29"/>
  <c r="G52" i="29"/>
  <c r="H219" i="37"/>
  <c r="I219" i="37"/>
  <c r="J219" i="37"/>
  <c r="K219" i="37"/>
  <c r="L182" i="37"/>
  <c r="H183" i="37"/>
  <c r="H164" i="29"/>
  <c r="L163" i="29"/>
  <c r="L182" i="29"/>
  <c r="H183" i="29"/>
  <c r="J85" i="41"/>
  <c r="J10" i="41" s="1"/>
  <c r="I85" i="41"/>
  <c r="I10" i="41" s="1"/>
  <c r="H85" i="41"/>
  <c r="H10" i="41" s="1"/>
  <c r="K184" i="25"/>
  <c r="L183" i="25"/>
  <c r="H145" i="29"/>
  <c r="L144" i="29"/>
  <c r="L144" i="41"/>
  <c r="H145" i="41"/>
  <c r="G51" i="41"/>
  <c r="G89" i="41"/>
  <c r="G14" i="41" s="1"/>
  <c r="F48" i="41"/>
  <c r="F86" i="41"/>
  <c r="F11" i="41" s="1"/>
  <c r="K123" i="41"/>
  <c r="K199" i="41"/>
  <c r="J123" i="41"/>
  <c r="J199" i="41"/>
  <c r="I123" i="41"/>
  <c r="I199" i="41"/>
  <c r="H123" i="41"/>
  <c r="H199" i="41"/>
  <c r="K47" i="39"/>
  <c r="K66" i="39" s="1"/>
  <c r="K122" i="39"/>
  <c r="K217" i="39"/>
  <c r="J84" i="39"/>
  <c r="J9" i="39" s="1"/>
  <c r="I84" i="39"/>
  <c r="I9" i="39" s="1"/>
  <c r="H84" i="39"/>
  <c r="H9" i="39" s="1"/>
  <c r="F48" i="39"/>
  <c r="F86" i="39"/>
  <c r="F11" i="39" s="1"/>
  <c r="G50" i="39"/>
  <c r="G88" i="39"/>
  <c r="G13" i="39" s="1"/>
  <c r="I84" i="37"/>
  <c r="H84" i="37"/>
  <c r="K84" i="37"/>
  <c r="J84" i="37"/>
  <c r="H9" i="37"/>
  <c r="H47" i="37" s="1"/>
  <c r="H66" i="37" s="1"/>
  <c r="H122" i="37"/>
  <c r="H236" i="37" s="1"/>
  <c r="I9" i="37"/>
  <c r="I47" i="37" s="1"/>
  <c r="I66" i="37" s="1"/>
  <c r="I122" i="37"/>
  <c r="I236" i="37" s="1"/>
  <c r="G48" i="37"/>
  <c r="G86" i="37"/>
  <c r="G11" i="37" s="1"/>
  <c r="F48" i="37"/>
  <c r="F86" i="37"/>
  <c r="F11" i="37" s="1"/>
  <c r="H205" i="29"/>
  <c r="L204" i="29"/>
  <c r="H34" i="37"/>
  <c r="H33" i="29"/>
  <c r="H204" i="37"/>
  <c r="L203" i="37"/>
  <c r="L165" i="37"/>
  <c r="L146" i="37"/>
  <c r="I108" i="37"/>
  <c r="H108" i="37"/>
  <c r="K109" i="37"/>
  <c r="J108" i="37"/>
  <c r="L148" i="25"/>
  <c r="H32" i="25"/>
  <c r="I33" i="25"/>
  <c r="C88" i="13"/>
  <c r="G17" i="20"/>
  <c r="F120" i="20"/>
  <c r="F118" i="20"/>
  <c r="K19" i="13" s="1"/>
  <c r="F119" i="20"/>
  <c r="F116" i="20"/>
  <c r="G16" i="20"/>
  <c r="F117" i="20"/>
  <c r="F133" i="20"/>
  <c r="F233" i="20" s="1"/>
  <c r="F333" i="20" s="1"/>
  <c r="F130" i="20"/>
  <c r="F230" i="20" s="1"/>
  <c r="F330" i="20" s="1"/>
  <c r="F217" i="20"/>
  <c r="F317" i="20" s="1"/>
  <c r="F417" i="20" s="1"/>
  <c r="F167" i="20"/>
  <c r="F267" i="20" s="1"/>
  <c r="F367" i="20" s="1"/>
  <c r="F180" i="20"/>
  <c r="F280" i="20" s="1"/>
  <c r="F380" i="20" s="1"/>
  <c r="F214" i="20"/>
  <c r="F314" i="20" s="1"/>
  <c r="F414" i="20" s="1"/>
  <c r="F145" i="20"/>
  <c r="F245" i="20" s="1"/>
  <c r="F345" i="20" s="1"/>
  <c r="F179" i="20"/>
  <c r="F279" i="20" s="1"/>
  <c r="F379" i="20" s="1"/>
  <c r="F184" i="20"/>
  <c r="F284" i="20" s="1"/>
  <c r="F384" i="20" s="1"/>
  <c r="F189" i="20"/>
  <c r="F289" i="20" s="1"/>
  <c r="F389" i="20" s="1"/>
  <c r="F121" i="20"/>
  <c r="F221" i="20" s="1"/>
  <c r="F321" i="20" s="1"/>
  <c r="F139" i="20"/>
  <c r="F239" i="20" s="1"/>
  <c r="F339" i="20" s="1"/>
  <c r="F191" i="20"/>
  <c r="F291" i="20" s="1"/>
  <c r="F391" i="20" s="1"/>
  <c r="F157" i="20"/>
  <c r="F257" i="20" s="1"/>
  <c r="F357" i="20" s="1"/>
  <c r="F201" i="20"/>
  <c r="F301" i="20" s="1"/>
  <c r="F401" i="20" s="1"/>
  <c r="F162" i="20"/>
  <c r="F262" i="20" s="1"/>
  <c r="F362" i="20" s="1"/>
  <c r="F209" i="20"/>
  <c r="F309" i="20" s="1"/>
  <c r="F409" i="20" s="1"/>
  <c r="F206" i="20"/>
  <c r="F306" i="20" s="1"/>
  <c r="F406" i="20" s="1"/>
  <c r="F141" i="20"/>
  <c r="F241" i="20" s="1"/>
  <c r="F341" i="20" s="1"/>
  <c r="F171" i="20"/>
  <c r="F271" i="20" s="1"/>
  <c r="F371" i="20" s="1"/>
  <c r="F176" i="20"/>
  <c r="F276" i="20" s="1"/>
  <c r="F376" i="20" s="1"/>
  <c r="F181" i="20"/>
  <c r="F281" i="20" s="1"/>
  <c r="F381" i="20" s="1"/>
  <c r="F166" i="20"/>
  <c r="F266" i="20" s="1"/>
  <c r="F366" i="20" s="1"/>
  <c r="F131" i="20"/>
  <c r="F231" i="20" s="1"/>
  <c r="F331" i="20" s="1"/>
  <c r="F210" i="20"/>
  <c r="F310" i="20" s="1"/>
  <c r="F410" i="20" s="1"/>
  <c r="F204" i="20"/>
  <c r="F304" i="20" s="1"/>
  <c r="F404" i="20" s="1"/>
  <c r="F155" i="20"/>
  <c r="F255" i="20" s="1"/>
  <c r="F355" i="20" s="1"/>
  <c r="F199" i="20"/>
  <c r="F299" i="20" s="1"/>
  <c r="F399" i="20" s="1"/>
  <c r="F177" i="20"/>
  <c r="F277" i="20" s="1"/>
  <c r="F377" i="20" s="1"/>
  <c r="F190" i="20"/>
  <c r="F290" i="20" s="1"/>
  <c r="F390" i="20" s="1"/>
  <c r="F219" i="20"/>
  <c r="F319" i="20" s="1"/>
  <c r="F419" i="20" s="1"/>
  <c r="F138" i="20"/>
  <c r="F238" i="20" s="1"/>
  <c r="F338" i="20" s="1"/>
  <c r="F163" i="20"/>
  <c r="F263" i="20" s="1"/>
  <c r="F363" i="20" s="1"/>
  <c r="F149" i="20"/>
  <c r="F249" i="20" s="1"/>
  <c r="F349" i="20" s="1"/>
  <c r="F150" i="20"/>
  <c r="F250" i="20" s="1"/>
  <c r="F350" i="20" s="1"/>
  <c r="F124" i="20"/>
  <c r="F224" i="20" s="1"/>
  <c r="F324" i="20" s="1"/>
  <c r="G125" i="20"/>
  <c r="G225" i="20" s="1"/>
  <c r="G325" i="20" s="1"/>
  <c r="G133" i="20"/>
  <c r="G233" i="20" s="1"/>
  <c r="G333" i="20" s="1"/>
  <c r="G141" i="20"/>
  <c r="G241" i="20" s="1"/>
  <c r="G341" i="20" s="1"/>
  <c r="G149" i="20"/>
  <c r="G249" i="20" s="1"/>
  <c r="G349" i="20" s="1"/>
  <c r="G157" i="20"/>
  <c r="G257" i="20" s="1"/>
  <c r="G357" i="20" s="1"/>
  <c r="G128" i="20"/>
  <c r="G228" i="20" s="1"/>
  <c r="G328" i="20" s="1"/>
  <c r="G136" i="20"/>
  <c r="G236" i="20" s="1"/>
  <c r="G336" i="20" s="1"/>
  <c r="G144" i="20"/>
  <c r="G244" i="20" s="1"/>
  <c r="G344" i="20" s="1"/>
  <c r="G152" i="20"/>
  <c r="G252" i="20" s="1"/>
  <c r="G352" i="20" s="1"/>
  <c r="G131" i="20"/>
  <c r="G231" i="20" s="1"/>
  <c r="G331" i="20" s="1"/>
  <c r="G139" i="20"/>
  <c r="G239" i="20" s="1"/>
  <c r="G339" i="20" s="1"/>
  <c r="G147" i="20"/>
  <c r="G247" i="20" s="1"/>
  <c r="G347" i="20" s="1"/>
  <c r="G155" i="20"/>
  <c r="G255" i="20" s="1"/>
  <c r="G355" i="20" s="1"/>
  <c r="G163" i="20"/>
  <c r="G263" i="20" s="1"/>
  <c r="G363" i="20" s="1"/>
  <c r="G126" i="20"/>
  <c r="G226" i="20" s="1"/>
  <c r="G326" i="20" s="1"/>
  <c r="G134" i="20"/>
  <c r="G234" i="20" s="1"/>
  <c r="G334" i="20" s="1"/>
  <c r="G142" i="20"/>
  <c r="G242" i="20" s="1"/>
  <c r="G342" i="20" s="1"/>
  <c r="G129" i="20"/>
  <c r="G229" i="20" s="1"/>
  <c r="G329" i="20" s="1"/>
  <c r="G162" i="20"/>
  <c r="G262" i="20" s="1"/>
  <c r="G362" i="20" s="1"/>
  <c r="G167" i="20"/>
  <c r="G267" i="20" s="1"/>
  <c r="G367" i="20" s="1"/>
  <c r="G170" i="20"/>
  <c r="G270" i="20" s="1"/>
  <c r="G370" i="20" s="1"/>
  <c r="G178" i="20"/>
  <c r="G278" i="20" s="1"/>
  <c r="G378" i="20" s="1"/>
  <c r="G186" i="20"/>
  <c r="G286" i="20" s="1"/>
  <c r="G386" i="20" s="1"/>
  <c r="G194" i="20"/>
  <c r="G294" i="20" s="1"/>
  <c r="G394" i="20" s="1"/>
  <c r="G202" i="20"/>
  <c r="G302" i="20" s="1"/>
  <c r="G402" i="20" s="1"/>
  <c r="G210" i="20"/>
  <c r="G310" i="20" s="1"/>
  <c r="G410" i="20" s="1"/>
  <c r="G218" i="20"/>
  <c r="G318" i="20" s="1"/>
  <c r="G418" i="20" s="1"/>
  <c r="G132" i="20"/>
  <c r="G232" i="20" s="1"/>
  <c r="G332" i="20" s="1"/>
  <c r="G148" i="20"/>
  <c r="G248" i="20" s="1"/>
  <c r="G348" i="20" s="1"/>
  <c r="G173" i="20"/>
  <c r="G273" i="20" s="1"/>
  <c r="G373" i="20" s="1"/>
  <c r="G181" i="20"/>
  <c r="G281" i="20" s="1"/>
  <c r="G381" i="20" s="1"/>
  <c r="G189" i="20"/>
  <c r="G289" i="20" s="1"/>
  <c r="G389" i="20" s="1"/>
  <c r="G197" i="20"/>
  <c r="G297" i="20" s="1"/>
  <c r="G397" i="20" s="1"/>
  <c r="G205" i="20"/>
  <c r="G305" i="20" s="1"/>
  <c r="G405" i="20" s="1"/>
  <c r="G213" i="20"/>
  <c r="G313" i="20" s="1"/>
  <c r="G413" i="20" s="1"/>
  <c r="G135" i="20"/>
  <c r="G235" i="20" s="1"/>
  <c r="G335" i="20" s="1"/>
  <c r="G168" i="20"/>
  <c r="G268" i="20" s="1"/>
  <c r="G368" i="20" s="1"/>
  <c r="G176" i="20"/>
  <c r="G276" i="20" s="1"/>
  <c r="G376" i="20" s="1"/>
  <c r="G184" i="20"/>
  <c r="G284" i="20" s="1"/>
  <c r="G384" i="20" s="1"/>
  <c r="G192" i="20"/>
  <c r="G292" i="20" s="1"/>
  <c r="G392" i="20" s="1"/>
  <c r="G200" i="20"/>
  <c r="G300" i="20" s="1"/>
  <c r="G400" i="20" s="1"/>
  <c r="G208" i="20"/>
  <c r="G308" i="20" s="1"/>
  <c r="G408" i="20" s="1"/>
  <c r="G216" i="20"/>
  <c r="G316" i="20" s="1"/>
  <c r="G416" i="20" s="1"/>
  <c r="G138" i="20"/>
  <c r="G238" i="20" s="1"/>
  <c r="G338" i="20" s="1"/>
  <c r="G164" i="20"/>
  <c r="G264" i="20" s="1"/>
  <c r="G364" i="20" s="1"/>
  <c r="G171" i="20"/>
  <c r="G271" i="20" s="1"/>
  <c r="G371" i="20" s="1"/>
  <c r="G179" i="20"/>
  <c r="G279" i="20" s="1"/>
  <c r="G379" i="20" s="1"/>
  <c r="G187" i="20"/>
  <c r="G287" i="20" s="1"/>
  <c r="G387" i="20" s="1"/>
  <c r="G195" i="20"/>
  <c r="G295" i="20" s="1"/>
  <c r="G395" i="20" s="1"/>
  <c r="G203" i="20"/>
  <c r="G303" i="20" s="1"/>
  <c r="G403" i="20" s="1"/>
  <c r="G211" i="20"/>
  <c r="G311" i="20" s="1"/>
  <c r="G411" i="20" s="1"/>
  <c r="G137" i="20"/>
  <c r="G237" i="20" s="1"/>
  <c r="G337" i="20" s="1"/>
  <c r="G145" i="20"/>
  <c r="G245" i="20" s="1"/>
  <c r="G345" i="20" s="1"/>
  <c r="G174" i="20"/>
  <c r="G274" i="20" s="1"/>
  <c r="G374" i="20" s="1"/>
  <c r="G190" i="20"/>
  <c r="G290" i="20" s="1"/>
  <c r="G390" i="20" s="1"/>
  <c r="G206" i="20"/>
  <c r="G306" i="20" s="1"/>
  <c r="G406" i="20" s="1"/>
  <c r="G219" i="20"/>
  <c r="G319" i="20" s="1"/>
  <c r="G419" i="20" s="1"/>
  <c r="G220" i="20"/>
  <c r="G320" i="20" s="1"/>
  <c r="G420" i="20" s="1"/>
  <c r="G140" i="20"/>
  <c r="G240" i="20" s="1"/>
  <c r="G340" i="20" s="1"/>
  <c r="G154" i="20"/>
  <c r="G254" i="20" s="1"/>
  <c r="G354" i="20" s="1"/>
  <c r="G156" i="20"/>
  <c r="G256" i="20" s="1"/>
  <c r="G356" i="20" s="1"/>
  <c r="G158" i="20"/>
  <c r="G258" i="20" s="1"/>
  <c r="G358" i="20" s="1"/>
  <c r="G165" i="20"/>
  <c r="G265" i="20" s="1"/>
  <c r="G365" i="20" s="1"/>
  <c r="G177" i="20"/>
  <c r="G277" i="20" s="1"/>
  <c r="G377" i="20" s="1"/>
  <c r="G193" i="20"/>
  <c r="G293" i="20" s="1"/>
  <c r="G393" i="20" s="1"/>
  <c r="G209" i="20"/>
  <c r="G309" i="20" s="1"/>
  <c r="G409" i="20" s="1"/>
  <c r="G150" i="20"/>
  <c r="G250" i="20" s="1"/>
  <c r="G350" i="20" s="1"/>
  <c r="G160" i="20"/>
  <c r="G260" i="20" s="1"/>
  <c r="G360" i="20" s="1"/>
  <c r="G180" i="20"/>
  <c r="G280" i="20" s="1"/>
  <c r="G380" i="20" s="1"/>
  <c r="G196" i="20"/>
  <c r="G296" i="20" s="1"/>
  <c r="G396" i="20" s="1"/>
  <c r="G212" i="20"/>
  <c r="G312" i="20" s="1"/>
  <c r="G412" i="20" s="1"/>
  <c r="G143" i="20"/>
  <c r="G243" i="20" s="1"/>
  <c r="G343" i="20" s="1"/>
  <c r="G183" i="20"/>
  <c r="G283" i="20" s="1"/>
  <c r="G383" i="20" s="1"/>
  <c r="G199" i="20"/>
  <c r="G299" i="20" s="1"/>
  <c r="G399" i="20" s="1"/>
  <c r="G215" i="20"/>
  <c r="G315" i="20" s="1"/>
  <c r="G415" i="20" s="1"/>
  <c r="G146" i="20"/>
  <c r="G246" i="20" s="1"/>
  <c r="G346" i="20" s="1"/>
  <c r="G198" i="20"/>
  <c r="G298" i="20" s="1"/>
  <c r="G398" i="20" s="1"/>
  <c r="G182" i="20"/>
  <c r="G282" i="20" s="1"/>
  <c r="G382" i="20" s="1"/>
  <c r="G217" i="20"/>
  <c r="G317" i="20" s="1"/>
  <c r="G417" i="20" s="1"/>
  <c r="G169" i="20"/>
  <c r="G269" i="20" s="1"/>
  <c r="G369" i="20" s="1"/>
  <c r="G201" i="20"/>
  <c r="G301" i="20" s="1"/>
  <c r="G401" i="20" s="1"/>
  <c r="G151" i="20"/>
  <c r="G251" i="20" s="1"/>
  <c r="G351" i="20" s="1"/>
  <c r="G159" i="20"/>
  <c r="G259" i="20" s="1"/>
  <c r="G359" i="20" s="1"/>
  <c r="G166" i="20"/>
  <c r="G266" i="20" s="1"/>
  <c r="G366" i="20" s="1"/>
  <c r="G172" i="20"/>
  <c r="G272" i="20" s="1"/>
  <c r="G372" i="20" s="1"/>
  <c r="G204" i="20"/>
  <c r="G304" i="20" s="1"/>
  <c r="G404" i="20" s="1"/>
  <c r="G185" i="20"/>
  <c r="G285" i="20" s="1"/>
  <c r="G385" i="20" s="1"/>
  <c r="G130" i="20"/>
  <c r="G230" i="20" s="1"/>
  <c r="G330" i="20" s="1"/>
  <c r="G175" i="20"/>
  <c r="G275" i="20" s="1"/>
  <c r="G375" i="20" s="1"/>
  <c r="G207" i="20"/>
  <c r="G307" i="20" s="1"/>
  <c r="G407" i="20" s="1"/>
  <c r="G153" i="20"/>
  <c r="G253" i="20" s="1"/>
  <c r="G353" i="20" s="1"/>
  <c r="G214" i="20"/>
  <c r="G314" i="20" s="1"/>
  <c r="G414" i="20" s="1"/>
  <c r="G191" i="20"/>
  <c r="G291" i="20" s="1"/>
  <c r="G391" i="20" s="1"/>
  <c r="G161" i="20"/>
  <c r="G261" i="20" s="1"/>
  <c r="G361" i="20" s="1"/>
  <c r="G127" i="20"/>
  <c r="G227" i="20" s="1"/>
  <c r="G327" i="20" s="1"/>
  <c r="G188" i="20"/>
  <c r="G288" i="20" s="1"/>
  <c r="G388" i="20" s="1"/>
  <c r="F123" i="20"/>
  <c r="F223" i="20" s="1"/>
  <c r="F323" i="20" s="1"/>
  <c r="F122" i="20"/>
  <c r="F222" i="20" s="1"/>
  <c r="F322" i="20" s="1"/>
  <c r="Y27" i="46" l="1"/>
  <c r="Q27" i="46"/>
  <c r="L6" i="56"/>
  <c r="M6" i="56" s="1"/>
  <c r="F79" i="56"/>
  <c r="L79" i="56" s="1"/>
  <c r="Z27" i="46"/>
  <c r="R27" i="46"/>
  <c r="G87" i="55"/>
  <c r="G106" i="55" s="1"/>
  <c r="G49" i="55"/>
  <c r="AM235" i="55"/>
  <c r="AM140" i="55"/>
  <c r="U28" i="27"/>
  <c r="U85" i="27" s="1"/>
  <c r="U161" i="27" s="1"/>
  <c r="Y48" i="55"/>
  <c r="Y86" i="55"/>
  <c r="Y105" i="55" s="1"/>
  <c r="AK235" i="55"/>
  <c r="AK140" i="55"/>
  <c r="AJ235" i="55"/>
  <c r="AJ140" i="55"/>
  <c r="AL235" i="55"/>
  <c r="AL140" i="55"/>
  <c r="AK129" i="55"/>
  <c r="AL129" i="55"/>
  <c r="AM129" i="55"/>
  <c r="AJ129" i="55"/>
  <c r="N27" i="56"/>
  <c r="E55" i="56" s="1"/>
  <c r="AL8" i="55"/>
  <c r="AF26" i="27" s="1"/>
  <c r="X10" i="55"/>
  <c r="X104" i="55"/>
  <c r="AK8" i="55"/>
  <c r="AE26" i="27" s="1"/>
  <c r="AE83" i="27" s="1"/>
  <c r="AE159" i="27" s="1"/>
  <c r="AJ8" i="55"/>
  <c r="AD26" i="27" s="1"/>
  <c r="P11" i="55"/>
  <c r="M29" i="27" s="1"/>
  <c r="O13" i="55"/>
  <c r="L31" i="27" s="1"/>
  <c r="G12" i="55"/>
  <c r="E30" i="27" s="1"/>
  <c r="E87" i="27" s="1"/>
  <c r="L30" i="27"/>
  <c r="AI11" i="55"/>
  <c r="AI105" i="55"/>
  <c r="AH11" i="55"/>
  <c r="AH105" i="55"/>
  <c r="AM8" i="55"/>
  <c r="AG26" i="27" s="1"/>
  <c r="AB140" i="55"/>
  <c r="AD140" i="55" s="1"/>
  <c r="AB235" i="55"/>
  <c r="X26" i="27"/>
  <c r="AB46" i="55"/>
  <c r="AB65" i="55" s="1"/>
  <c r="AJ205" i="55"/>
  <c r="AN204" i="55"/>
  <c r="Z187" i="55"/>
  <c r="AD186" i="55"/>
  <c r="AD205" i="55"/>
  <c r="Z206" i="55"/>
  <c r="Z227" i="55"/>
  <c r="AD226" i="55"/>
  <c r="AJ228" i="55"/>
  <c r="AN227" i="55"/>
  <c r="H129" i="55"/>
  <c r="J35" i="55"/>
  <c r="Q34" i="55"/>
  <c r="K35" i="55"/>
  <c r="H224" i="55"/>
  <c r="L224" i="55" s="1"/>
  <c r="AC46" i="55"/>
  <c r="AC65" i="55" s="1"/>
  <c r="H204" i="55"/>
  <c r="L204" i="55" s="1"/>
  <c r="AA46" i="55"/>
  <c r="AA65" i="55" s="1"/>
  <c r="AM34" i="55"/>
  <c r="AC254" i="55"/>
  <c r="AJ165" i="55"/>
  <c r="AN165" i="55" s="1"/>
  <c r="AA36" i="55"/>
  <c r="AA254" i="55"/>
  <c r="H166" i="55"/>
  <c r="L166" i="55" s="1"/>
  <c r="H185" i="55"/>
  <c r="L185" i="55" s="1"/>
  <c r="AL34" i="55"/>
  <c r="AB35" i="55"/>
  <c r="Z35" i="55"/>
  <c r="I36" i="55"/>
  <c r="H35" i="55"/>
  <c r="AK36" i="55"/>
  <c r="AC34" i="55"/>
  <c r="Z46" i="55"/>
  <c r="Z65" i="55" s="1"/>
  <c r="S34" i="55"/>
  <c r="Q184" i="55"/>
  <c r="U184" i="55" s="1"/>
  <c r="AJ35" i="55"/>
  <c r="T34" i="55"/>
  <c r="Z166" i="55"/>
  <c r="AD166" i="55" s="1"/>
  <c r="Q224" i="55"/>
  <c r="U224" i="55" s="1"/>
  <c r="Q165" i="55"/>
  <c r="U165" i="55" s="1"/>
  <c r="R34" i="55"/>
  <c r="Q203" i="55"/>
  <c r="U203" i="55" s="1"/>
  <c r="U197" i="53"/>
  <c r="AN197" i="53"/>
  <c r="H368" i="53"/>
  <c r="H159" i="53"/>
  <c r="L197" i="53"/>
  <c r="Y128" i="53"/>
  <c r="Y90" i="53"/>
  <c r="Y15" i="53"/>
  <c r="Y33" i="53"/>
  <c r="Y52" i="53" s="1"/>
  <c r="Q279" i="53"/>
  <c r="AJ84" i="53"/>
  <c r="AJ103" i="53" s="1"/>
  <c r="AJ27" i="53"/>
  <c r="AJ46" i="53" s="1"/>
  <c r="AA74" i="53"/>
  <c r="H241" i="53"/>
  <c r="X125" i="53"/>
  <c r="X12" i="53" s="1"/>
  <c r="X30" i="53"/>
  <c r="X49" i="53" s="1"/>
  <c r="X87" i="53"/>
  <c r="K72" i="53"/>
  <c r="F144" i="53"/>
  <c r="F163" i="53" s="1"/>
  <c r="P125" i="53"/>
  <c r="P12" i="53" s="1"/>
  <c r="P87" i="53"/>
  <c r="P30" i="53"/>
  <c r="P49" i="53"/>
  <c r="AA368" i="53"/>
  <c r="AA387" i="53" s="1"/>
  <c r="Q338" i="53"/>
  <c r="H298" i="53"/>
  <c r="H73" i="53"/>
  <c r="O88" i="53"/>
  <c r="O31" i="53"/>
  <c r="O50" i="53" s="1"/>
  <c r="O126" i="53"/>
  <c r="O13" i="53" s="1"/>
  <c r="J84" i="53"/>
  <c r="J103" i="53" s="1"/>
  <c r="J27" i="53"/>
  <c r="J46" i="53" s="1"/>
  <c r="T84" i="53"/>
  <c r="T103" i="53" s="1"/>
  <c r="T27" i="53"/>
  <c r="T46" i="53" s="1"/>
  <c r="G126" i="53"/>
  <c r="G88" i="53"/>
  <c r="G31" i="53"/>
  <c r="G50" i="53" s="1"/>
  <c r="AK73" i="53"/>
  <c r="J75" i="53"/>
  <c r="AI51" i="53"/>
  <c r="AI165" i="53" s="1"/>
  <c r="O163" i="53"/>
  <c r="O144" i="53"/>
  <c r="H317" i="53"/>
  <c r="H357" i="53"/>
  <c r="Z84" i="53"/>
  <c r="Z103" i="53" s="1"/>
  <c r="Z27" i="53"/>
  <c r="Z46" i="53" s="1"/>
  <c r="Q298" i="53"/>
  <c r="Z368" i="53"/>
  <c r="AA84" i="53"/>
  <c r="AA103" i="53" s="1"/>
  <c r="AA27" i="53"/>
  <c r="AA46" i="53" s="1"/>
  <c r="AM73" i="53"/>
  <c r="H279" i="53"/>
  <c r="Q357" i="53"/>
  <c r="AI128" i="53"/>
  <c r="AI15" i="53" s="1"/>
  <c r="AI90" i="53"/>
  <c r="AI33" i="53"/>
  <c r="AI147" i="53" s="1"/>
  <c r="S368" i="53"/>
  <c r="S387" i="53" s="1"/>
  <c r="J368" i="53"/>
  <c r="J387" i="53" s="1"/>
  <c r="AL84" i="53"/>
  <c r="AL103" i="53" s="1"/>
  <c r="AL27" i="53"/>
  <c r="AL46" i="53" s="1"/>
  <c r="T73" i="53"/>
  <c r="P143" i="53"/>
  <c r="P162" i="53" s="1"/>
  <c r="Q222" i="53"/>
  <c r="Q317" i="53"/>
  <c r="AC84" i="53"/>
  <c r="AC103" i="53" s="1"/>
  <c r="AC27" i="53"/>
  <c r="AC46" i="53" s="1"/>
  <c r="R73" i="53"/>
  <c r="F126" i="53"/>
  <c r="F13" i="53" s="1"/>
  <c r="F88" i="53"/>
  <c r="F31" i="53"/>
  <c r="F50" i="53" s="1"/>
  <c r="AH88" i="53"/>
  <c r="AH126" i="53"/>
  <c r="AH31" i="53"/>
  <c r="AH145" i="53" s="1"/>
  <c r="I84" i="53"/>
  <c r="I103" i="53" s="1"/>
  <c r="I27" i="53"/>
  <c r="I46" i="53" s="1"/>
  <c r="T368" i="53"/>
  <c r="T387" i="53" s="1"/>
  <c r="AM84" i="53"/>
  <c r="AM103" i="53" s="1"/>
  <c r="AM27" i="53"/>
  <c r="AM46" i="53" s="1"/>
  <c r="I368" i="53"/>
  <c r="I387" i="53" s="1"/>
  <c r="H84" i="53"/>
  <c r="H103" i="53" s="1"/>
  <c r="H27" i="53"/>
  <c r="AK387" i="53"/>
  <c r="AB73" i="53"/>
  <c r="I75" i="53"/>
  <c r="S74" i="53"/>
  <c r="Q72" i="53"/>
  <c r="Q260" i="53"/>
  <c r="AC73" i="53"/>
  <c r="H387" i="53"/>
  <c r="AL72" i="53"/>
  <c r="Q84" i="53"/>
  <c r="Q103" i="53" s="1"/>
  <c r="Q122" i="53" s="1"/>
  <c r="Q9" i="53" s="1"/>
  <c r="Q27" i="53"/>
  <c r="AC159" i="53"/>
  <c r="AC368" i="53" s="1"/>
  <c r="AC387" i="53" s="1"/>
  <c r="Z73" i="53"/>
  <c r="H338" i="53"/>
  <c r="Q368" i="53"/>
  <c r="AK84" i="53"/>
  <c r="AK103" i="53" s="1"/>
  <c r="AK27" i="53"/>
  <c r="AK46" i="53" s="1"/>
  <c r="S84" i="53"/>
  <c r="S103" i="53" s="1"/>
  <c r="S27" i="53"/>
  <c r="S46" i="53" s="1"/>
  <c r="H222" i="53"/>
  <c r="Q241" i="53"/>
  <c r="H260" i="53"/>
  <c r="AJ72" i="53"/>
  <c r="Y146" i="53"/>
  <c r="Y165" i="53"/>
  <c r="AJ387" i="53"/>
  <c r="AN368" i="53"/>
  <c r="AL368" i="52"/>
  <c r="AH89" i="25"/>
  <c r="AH14" i="25" s="1"/>
  <c r="AH52" i="25" s="1"/>
  <c r="H8" i="25"/>
  <c r="H46" i="25" s="1"/>
  <c r="H65" i="25" s="1"/>
  <c r="O124" i="47"/>
  <c r="O11" i="47" s="1"/>
  <c r="H216" i="25"/>
  <c r="H235" i="25" s="1"/>
  <c r="K121" i="25"/>
  <c r="K216" i="25"/>
  <c r="J140" i="47"/>
  <c r="J159" i="47" s="1"/>
  <c r="O145" i="52"/>
  <c r="O164" i="52" s="1"/>
  <c r="O32" i="52"/>
  <c r="O51" i="52" s="1"/>
  <c r="O127" i="52"/>
  <c r="O14" i="52" s="1"/>
  <c r="O33" i="52" s="1"/>
  <c r="O52" i="52" s="1"/>
  <c r="X86" i="52"/>
  <c r="X29" i="52"/>
  <c r="X48" i="52" s="1"/>
  <c r="U197" i="52"/>
  <c r="Q84" i="52"/>
  <c r="Q103" i="52" s="1"/>
  <c r="Q368" i="52"/>
  <c r="Q387" i="52" s="1"/>
  <c r="R368" i="52"/>
  <c r="R387" i="52" s="1"/>
  <c r="S84" i="52"/>
  <c r="S103" i="52" s="1"/>
  <c r="AC387" i="52"/>
  <c r="AI48" i="52"/>
  <c r="AI162" i="52" s="1"/>
  <c r="K122" i="52"/>
  <c r="K141" i="52" s="1"/>
  <c r="AM387" i="52"/>
  <c r="X87" i="52"/>
  <c r="X125" i="52"/>
  <c r="X30" i="52"/>
  <c r="X49" i="52" s="1"/>
  <c r="S368" i="52"/>
  <c r="S387" i="52" s="1"/>
  <c r="T368" i="52"/>
  <c r="T387" i="52" s="1"/>
  <c r="AK387" i="52"/>
  <c r="X143" i="52"/>
  <c r="X162" i="52" s="1"/>
  <c r="R84" i="52"/>
  <c r="R103" i="52" s="1"/>
  <c r="R46" i="52"/>
  <c r="Q72" i="52"/>
  <c r="AJ73" i="52"/>
  <c r="AB77" i="52"/>
  <c r="S75" i="52"/>
  <c r="AM27" i="52"/>
  <c r="AM84" i="52"/>
  <c r="F30" i="52"/>
  <c r="F49" i="52" s="1"/>
  <c r="F87" i="52"/>
  <c r="F125" i="52"/>
  <c r="T74" i="52"/>
  <c r="Y30" i="52"/>
  <c r="Y49" i="52" s="1"/>
  <c r="Y87" i="52"/>
  <c r="Y125" i="52"/>
  <c r="Y12" i="52" s="1"/>
  <c r="AB27" i="52"/>
  <c r="AB46" i="52" s="1"/>
  <c r="AB84" i="52"/>
  <c r="AB103" i="52" s="1"/>
  <c r="AN368" i="52"/>
  <c r="AJ387" i="52"/>
  <c r="Z27" i="52"/>
  <c r="Z46" i="52" s="1"/>
  <c r="Z84" i="52"/>
  <c r="Z103" i="52" s="1"/>
  <c r="AD197" i="52"/>
  <c r="P145" i="52"/>
  <c r="P164" i="52" s="1"/>
  <c r="K27" i="52"/>
  <c r="K46" i="52" s="1"/>
  <c r="K84" i="52"/>
  <c r="H73" i="52"/>
  <c r="R74" i="52"/>
  <c r="AB368" i="52"/>
  <c r="AB387" i="52" s="1"/>
  <c r="AK27" i="52"/>
  <c r="AK46" i="52" s="1"/>
  <c r="AK84" i="52"/>
  <c r="AK103" i="52" s="1"/>
  <c r="Z159" i="52"/>
  <c r="Z368" i="52" s="1"/>
  <c r="G31" i="52"/>
  <c r="G50" i="52" s="1"/>
  <c r="G88" i="52"/>
  <c r="G126" i="52"/>
  <c r="U331" i="52"/>
  <c r="U293" i="52"/>
  <c r="U255" i="52"/>
  <c r="U217" i="52"/>
  <c r="AA27" i="52"/>
  <c r="AA46" i="52" s="1"/>
  <c r="AA84" i="52"/>
  <c r="AA103" i="52" s="1"/>
  <c r="AJ27" i="52"/>
  <c r="AJ46" i="52" s="1"/>
  <c r="AJ84" i="52"/>
  <c r="AJ103" i="52" s="1"/>
  <c r="P13" i="52"/>
  <c r="Q322" i="52"/>
  <c r="Q46" i="52"/>
  <c r="AH31" i="52"/>
  <c r="AH145" i="52" s="1"/>
  <c r="AH88" i="52"/>
  <c r="AH126" i="52"/>
  <c r="AN197" i="52"/>
  <c r="AA73" i="52"/>
  <c r="AK73" i="52"/>
  <c r="AL387" i="52"/>
  <c r="F143" i="52"/>
  <c r="F162" i="52" s="1"/>
  <c r="Q223" i="52"/>
  <c r="H227" i="52"/>
  <c r="AC72" i="52"/>
  <c r="AL27" i="52"/>
  <c r="AL46" i="52" s="1"/>
  <c r="AL84" i="52"/>
  <c r="AL103" i="52" s="1"/>
  <c r="AA368" i="52"/>
  <c r="AA387" i="52" s="1"/>
  <c r="Z73" i="52"/>
  <c r="AI11" i="52"/>
  <c r="J8" i="47"/>
  <c r="J84" i="47" s="1"/>
  <c r="J103" i="47" s="1"/>
  <c r="H27" i="47"/>
  <c r="F123" i="47"/>
  <c r="O86" i="47"/>
  <c r="L85" i="27"/>
  <c r="L161" i="27" s="1"/>
  <c r="L386" i="47"/>
  <c r="I218" i="41"/>
  <c r="J218" i="41"/>
  <c r="K218" i="41"/>
  <c r="L165" i="41"/>
  <c r="H166" i="41"/>
  <c r="L166" i="39"/>
  <c r="H167" i="39"/>
  <c r="L206" i="39"/>
  <c r="H207" i="39"/>
  <c r="L185" i="41"/>
  <c r="H186" i="41"/>
  <c r="K236" i="39"/>
  <c r="L148" i="39"/>
  <c r="H149" i="39"/>
  <c r="AC9" i="25"/>
  <c r="AC47" i="25" s="1"/>
  <c r="AC66" i="25" s="1"/>
  <c r="X44" i="45"/>
  <c r="AC217" i="25"/>
  <c r="AC236" i="25" s="1"/>
  <c r="E162" i="27"/>
  <c r="G86" i="25"/>
  <c r="G11" i="25" s="1"/>
  <c r="G49" i="25" s="1"/>
  <c r="K46" i="25"/>
  <c r="K65" i="25" s="1"/>
  <c r="G48" i="25"/>
  <c r="S9" i="45"/>
  <c r="I46" i="25"/>
  <c r="I65" i="25" s="1"/>
  <c r="J121" i="25"/>
  <c r="Y12" i="47"/>
  <c r="G87" i="47"/>
  <c r="G30" i="47"/>
  <c r="G49" i="47" s="1"/>
  <c r="X29" i="47"/>
  <c r="X48" i="47" s="1"/>
  <c r="X124" i="47"/>
  <c r="X86" i="47"/>
  <c r="X142" i="47"/>
  <c r="X161" i="47" s="1"/>
  <c r="P10" i="47"/>
  <c r="M85" i="27" s="1"/>
  <c r="M161" i="27" s="1"/>
  <c r="P142" i="47"/>
  <c r="P161" i="47" s="1"/>
  <c r="AN235" i="47"/>
  <c r="AN311" i="47"/>
  <c r="AN273" i="47"/>
  <c r="AN349" i="47"/>
  <c r="AB140" i="47"/>
  <c r="AB159" i="47" s="1"/>
  <c r="H197" i="47"/>
  <c r="H140" i="47"/>
  <c r="H159" i="47" s="1"/>
  <c r="AC8" i="47"/>
  <c r="AC140" i="47"/>
  <c r="AC159" i="47" s="1"/>
  <c r="AA140" i="47"/>
  <c r="Z140" i="47"/>
  <c r="Z159" i="47" s="1"/>
  <c r="L311" i="47"/>
  <c r="L235" i="47"/>
  <c r="L349" i="47"/>
  <c r="L273" i="47"/>
  <c r="AD311" i="47"/>
  <c r="AD235" i="47"/>
  <c r="AD273" i="47"/>
  <c r="AD349" i="47"/>
  <c r="T140" i="47"/>
  <c r="T159" i="47" s="1"/>
  <c r="I197" i="47"/>
  <c r="I140" i="47"/>
  <c r="I159" i="47" s="1"/>
  <c r="Q140" i="47"/>
  <c r="Q159" i="47" s="1"/>
  <c r="S140" i="47"/>
  <c r="S159" i="47" s="1"/>
  <c r="R8" i="47"/>
  <c r="R140" i="47"/>
  <c r="R159" i="47" s="1"/>
  <c r="K197" i="47"/>
  <c r="K140" i="47"/>
  <c r="K159" i="47" s="1"/>
  <c r="U311" i="47"/>
  <c r="U235" i="47"/>
  <c r="U273" i="47"/>
  <c r="U349" i="47"/>
  <c r="AH49" i="47"/>
  <c r="AH163" i="47" s="1"/>
  <c r="AH31" i="47"/>
  <c r="AH145" i="47" s="1"/>
  <c r="AK84" i="47"/>
  <c r="AK103" i="47" s="1"/>
  <c r="AK27" i="47"/>
  <c r="AK46" i="47" s="1"/>
  <c r="AI50" i="47"/>
  <c r="AI164" i="47" s="1"/>
  <c r="AI32" i="47"/>
  <c r="AI146" i="47" s="1"/>
  <c r="Q356" i="47"/>
  <c r="Q337" i="47"/>
  <c r="Q223" i="47"/>
  <c r="Q260" i="47"/>
  <c r="O48" i="47"/>
  <c r="T239" i="47"/>
  <c r="Q279" i="47"/>
  <c r="Q241" i="47"/>
  <c r="R221" i="47"/>
  <c r="T315" i="47"/>
  <c r="T277" i="47"/>
  <c r="Q298" i="47"/>
  <c r="Q317" i="47"/>
  <c r="H358" i="47"/>
  <c r="H317" i="47"/>
  <c r="H278" i="47"/>
  <c r="H240" i="47"/>
  <c r="K8" i="47"/>
  <c r="I8" i="47"/>
  <c r="F28" i="47"/>
  <c r="H84" i="47"/>
  <c r="H103" i="47" s="1"/>
  <c r="AC197" i="47"/>
  <c r="AK197" i="47"/>
  <c r="R197" i="47"/>
  <c r="AI127" i="47"/>
  <c r="AI14" i="47" s="1"/>
  <c r="AI89" i="47"/>
  <c r="AH88" i="47"/>
  <c r="AH126" i="47"/>
  <c r="AH13" i="47" s="1"/>
  <c r="AB197" i="47"/>
  <c r="AB8" i="47"/>
  <c r="X83" i="27" s="1"/>
  <c r="X159" i="27" s="1"/>
  <c r="J72" i="47"/>
  <c r="Z197" i="47"/>
  <c r="Z8" i="47"/>
  <c r="V83" i="27" s="1"/>
  <c r="V159" i="27" s="1"/>
  <c r="AA72" i="47"/>
  <c r="S71" i="47"/>
  <c r="F85" i="47"/>
  <c r="AK71" i="47"/>
  <c r="H72" i="47"/>
  <c r="AJ197" i="47"/>
  <c r="AJ8" i="47"/>
  <c r="T71" i="47"/>
  <c r="Q197" i="47"/>
  <c r="Q8" i="47"/>
  <c r="AC71" i="47"/>
  <c r="S197" i="47"/>
  <c r="S8" i="47"/>
  <c r="Q79" i="47"/>
  <c r="AM197" i="47"/>
  <c r="AM8" i="47"/>
  <c r="T197" i="47"/>
  <c r="T8" i="47"/>
  <c r="AL197" i="47"/>
  <c r="AL8" i="47"/>
  <c r="AF83" i="27" s="1"/>
  <c r="AF159" i="27" s="1"/>
  <c r="H298" i="47"/>
  <c r="H337" i="47"/>
  <c r="Z71" i="47"/>
  <c r="AM78" i="47"/>
  <c r="I72" i="47"/>
  <c r="H260" i="47"/>
  <c r="K71" i="47"/>
  <c r="AA197" i="47"/>
  <c r="AA8" i="47"/>
  <c r="W83" i="27" s="1"/>
  <c r="W159" i="27" s="1"/>
  <c r="H222" i="47"/>
  <c r="AL71" i="47"/>
  <c r="R71" i="47"/>
  <c r="AB72" i="47"/>
  <c r="AJ72" i="47"/>
  <c r="J216" i="25"/>
  <c r="I216" i="25"/>
  <c r="J46" i="25"/>
  <c r="J65" i="25" s="1"/>
  <c r="I121" i="25"/>
  <c r="AB217" i="25"/>
  <c r="AB236" i="25" s="1"/>
  <c r="AA217" i="25"/>
  <c r="AA236" i="25" s="1"/>
  <c r="AJ84" i="25"/>
  <c r="AJ122" i="25" s="1"/>
  <c r="R10" i="45"/>
  <c r="AB9" i="25"/>
  <c r="AB47" i="25" s="1"/>
  <c r="AB66" i="25" s="1"/>
  <c r="Z9" i="25"/>
  <c r="Z47" i="25" s="1"/>
  <c r="Z66" i="25" s="1"/>
  <c r="AA9" i="25"/>
  <c r="AA47" i="25" s="1"/>
  <c r="AA66" i="25" s="1"/>
  <c r="AN235" i="25"/>
  <c r="AM84" i="25"/>
  <c r="AM122" i="25" s="1"/>
  <c r="AL84" i="25"/>
  <c r="AL122" i="25" s="1"/>
  <c r="AK84" i="25"/>
  <c r="AK122" i="25" s="1"/>
  <c r="AH90" i="25"/>
  <c r="AH15" i="25" s="1"/>
  <c r="AI89" i="25"/>
  <c r="AI14" i="25" s="1"/>
  <c r="AI52" i="25" s="1"/>
  <c r="Z217" i="25"/>
  <c r="Z236" i="25" s="1"/>
  <c r="AD122" i="25"/>
  <c r="Y87" i="25"/>
  <c r="Y12" i="25" s="1"/>
  <c r="X87" i="25"/>
  <c r="X12" i="25" s="1"/>
  <c r="T121" i="25"/>
  <c r="T216" i="25"/>
  <c r="T8" i="25"/>
  <c r="L204" i="25"/>
  <c r="I205" i="25"/>
  <c r="R121" i="25"/>
  <c r="R216" i="25"/>
  <c r="R8" i="25"/>
  <c r="S121" i="25"/>
  <c r="S8" i="25"/>
  <c r="S216" i="25"/>
  <c r="Q121" i="25"/>
  <c r="Q216" i="25"/>
  <c r="Q8" i="25"/>
  <c r="O89" i="25"/>
  <c r="O14" i="25" s="1"/>
  <c r="O52" i="25" s="1"/>
  <c r="P89" i="25"/>
  <c r="P14" i="25" s="1"/>
  <c r="P52" i="25" s="1"/>
  <c r="F87" i="25"/>
  <c r="F12" i="25" s="1"/>
  <c r="F49" i="25"/>
  <c r="I9" i="29"/>
  <c r="I122" i="29"/>
  <c r="I217" i="29"/>
  <c r="J9" i="29"/>
  <c r="J122" i="29"/>
  <c r="J217" i="29"/>
  <c r="H122" i="29"/>
  <c r="H217" i="29"/>
  <c r="H9" i="29"/>
  <c r="F86" i="29"/>
  <c r="F48" i="29"/>
  <c r="G15" i="29"/>
  <c r="G91" i="29"/>
  <c r="G53" i="29"/>
  <c r="H220" i="37"/>
  <c r="I220" i="37"/>
  <c r="J220" i="37"/>
  <c r="K220" i="37"/>
  <c r="L183" i="29"/>
  <c r="H184" i="29"/>
  <c r="H165" i="29"/>
  <c r="L164" i="29"/>
  <c r="L183" i="37"/>
  <c r="H184" i="37"/>
  <c r="K185" i="25"/>
  <c r="L184" i="25"/>
  <c r="L145" i="41"/>
  <c r="H146" i="41"/>
  <c r="H146" i="29"/>
  <c r="L145" i="29"/>
  <c r="H48" i="41"/>
  <c r="H67" i="41" s="1"/>
  <c r="H218" i="41"/>
  <c r="L199" i="41"/>
  <c r="I48" i="41"/>
  <c r="I67" i="41" s="1"/>
  <c r="J48" i="41"/>
  <c r="J67" i="41" s="1"/>
  <c r="K48" i="41"/>
  <c r="K67" i="41" s="1"/>
  <c r="K86" i="41" s="1"/>
  <c r="K11" i="41"/>
  <c r="G52" i="41"/>
  <c r="G90" i="41"/>
  <c r="G15" i="41" s="1"/>
  <c r="G51" i="39"/>
  <c r="G89" i="39"/>
  <c r="G14" i="39" s="1"/>
  <c r="F49" i="39"/>
  <c r="F87" i="39"/>
  <c r="F12" i="39" s="1"/>
  <c r="H122" i="39"/>
  <c r="H217" i="39"/>
  <c r="I122" i="39"/>
  <c r="I217" i="39"/>
  <c r="J122" i="39"/>
  <c r="J217" i="39"/>
  <c r="J9" i="37"/>
  <c r="J47" i="37" s="1"/>
  <c r="J66" i="37" s="1"/>
  <c r="J122" i="37"/>
  <c r="J236" i="37" s="1"/>
  <c r="K9" i="37"/>
  <c r="K47" i="37" s="1"/>
  <c r="K66" i="37" s="1"/>
  <c r="K85" i="37" s="1"/>
  <c r="K122" i="37"/>
  <c r="K236" i="37" s="1"/>
  <c r="L217" i="37"/>
  <c r="H206" i="29"/>
  <c r="L205" i="29"/>
  <c r="H34" i="29"/>
  <c r="H35" i="37"/>
  <c r="L204" i="37"/>
  <c r="H205" i="37"/>
  <c r="L166" i="37"/>
  <c r="L147" i="37"/>
  <c r="J109" i="37"/>
  <c r="H109" i="37"/>
  <c r="K110" i="37"/>
  <c r="I109" i="37"/>
  <c r="L149" i="25"/>
  <c r="I34" i="25"/>
  <c r="I35" i="25" s="1"/>
  <c r="H33" i="25"/>
  <c r="C89" i="13"/>
  <c r="H17" i="20"/>
  <c r="G120" i="20"/>
  <c r="G118" i="20"/>
  <c r="K20" i="13" s="1"/>
  <c r="G119" i="20"/>
  <c r="G121" i="20"/>
  <c r="G221" i="20" s="1"/>
  <c r="G321" i="20" s="1"/>
  <c r="G116" i="20"/>
  <c r="H16" i="20"/>
  <c r="H121" i="20" s="1"/>
  <c r="H221" i="20" s="1"/>
  <c r="H321" i="20" s="1"/>
  <c r="G117" i="20"/>
  <c r="G122" i="20"/>
  <c r="G222" i="20" s="1"/>
  <c r="G322" i="20" s="1"/>
  <c r="G123" i="20"/>
  <c r="G223" i="20" s="1"/>
  <c r="G323" i="20" s="1"/>
  <c r="H130" i="20"/>
  <c r="H230" i="20" s="1"/>
  <c r="H330" i="20" s="1"/>
  <c r="H138" i="20"/>
  <c r="H238" i="20" s="1"/>
  <c r="H338" i="20" s="1"/>
  <c r="H146" i="20"/>
  <c r="H246" i="20" s="1"/>
  <c r="H346" i="20" s="1"/>
  <c r="H154" i="20"/>
  <c r="H254" i="20" s="1"/>
  <c r="H354" i="20" s="1"/>
  <c r="H125" i="20"/>
  <c r="H225" i="20" s="1"/>
  <c r="H325" i="20" s="1"/>
  <c r="H133" i="20"/>
  <c r="H233" i="20" s="1"/>
  <c r="H333" i="20" s="1"/>
  <c r="H141" i="20"/>
  <c r="H241" i="20" s="1"/>
  <c r="H341" i="20" s="1"/>
  <c r="H149" i="20"/>
  <c r="H249" i="20" s="1"/>
  <c r="H349" i="20" s="1"/>
  <c r="H128" i="20"/>
  <c r="H228" i="20" s="1"/>
  <c r="H328" i="20" s="1"/>
  <c r="H136" i="20"/>
  <c r="H236" i="20" s="1"/>
  <c r="H336" i="20" s="1"/>
  <c r="H144" i="20"/>
  <c r="H244" i="20" s="1"/>
  <c r="H344" i="20" s="1"/>
  <c r="H152" i="20"/>
  <c r="H252" i="20" s="1"/>
  <c r="H352" i="20" s="1"/>
  <c r="H160" i="20"/>
  <c r="H260" i="20" s="1"/>
  <c r="H360" i="20" s="1"/>
  <c r="H131" i="20"/>
  <c r="H231" i="20" s="1"/>
  <c r="H331" i="20" s="1"/>
  <c r="H139" i="20"/>
  <c r="H239" i="20" s="1"/>
  <c r="H339" i="20" s="1"/>
  <c r="H126" i="20"/>
  <c r="H226" i="20" s="1"/>
  <c r="H326" i="20" s="1"/>
  <c r="H142" i="20"/>
  <c r="H242" i="20" s="1"/>
  <c r="H342" i="20" s="1"/>
  <c r="H143" i="20"/>
  <c r="H243" i="20" s="1"/>
  <c r="H343" i="20" s="1"/>
  <c r="H175" i="20"/>
  <c r="H275" i="20" s="1"/>
  <c r="H375" i="20" s="1"/>
  <c r="H183" i="20"/>
  <c r="H283" i="20" s="1"/>
  <c r="H383" i="20" s="1"/>
  <c r="H191" i="20"/>
  <c r="H291" i="20" s="1"/>
  <c r="H391" i="20" s="1"/>
  <c r="H199" i="20"/>
  <c r="H299" i="20" s="1"/>
  <c r="H399" i="20" s="1"/>
  <c r="H207" i="20"/>
  <c r="H307" i="20" s="1"/>
  <c r="H407" i="20" s="1"/>
  <c r="H215" i="20"/>
  <c r="H315" i="20" s="1"/>
  <c r="H415" i="20" s="1"/>
  <c r="H129" i="20"/>
  <c r="H229" i="20" s="1"/>
  <c r="H329" i="20" s="1"/>
  <c r="H162" i="20"/>
  <c r="H262" i="20" s="1"/>
  <c r="H362" i="20" s="1"/>
  <c r="H167" i="20"/>
  <c r="H267" i="20" s="1"/>
  <c r="H367" i="20" s="1"/>
  <c r="H170" i="20"/>
  <c r="H270" i="20" s="1"/>
  <c r="H370" i="20" s="1"/>
  <c r="H178" i="20"/>
  <c r="H278" i="20" s="1"/>
  <c r="H378" i="20" s="1"/>
  <c r="H186" i="20"/>
  <c r="H286" i="20" s="1"/>
  <c r="H386" i="20" s="1"/>
  <c r="H194" i="20"/>
  <c r="H294" i="20" s="1"/>
  <c r="H394" i="20" s="1"/>
  <c r="H202" i="20"/>
  <c r="H302" i="20" s="1"/>
  <c r="H402" i="20" s="1"/>
  <c r="H210" i="20"/>
  <c r="H310" i="20" s="1"/>
  <c r="H410" i="20" s="1"/>
  <c r="H218" i="20"/>
  <c r="H318" i="20" s="1"/>
  <c r="H418" i="20" s="1"/>
  <c r="H132" i="20"/>
  <c r="H232" i="20" s="1"/>
  <c r="H332" i="20" s="1"/>
  <c r="H147" i="20"/>
  <c r="H247" i="20" s="1"/>
  <c r="H347" i="20" s="1"/>
  <c r="H148" i="20"/>
  <c r="H248" i="20" s="1"/>
  <c r="H348" i="20" s="1"/>
  <c r="H163" i="20"/>
  <c r="H263" i="20" s="1"/>
  <c r="H363" i="20" s="1"/>
  <c r="H173" i="20"/>
  <c r="H273" i="20" s="1"/>
  <c r="H373" i="20" s="1"/>
  <c r="H181" i="20"/>
  <c r="H281" i="20" s="1"/>
  <c r="H381" i="20" s="1"/>
  <c r="H189" i="20"/>
  <c r="H289" i="20" s="1"/>
  <c r="H389" i="20" s="1"/>
  <c r="H197" i="20"/>
  <c r="H297" i="20" s="1"/>
  <c r="H397" i="20" s="1"/>
  <c r="H205" i="20"/>
  <c r="H305" i="20" s="1"/>
  <c r="H405" i="20" s="1"/>
  <c r="H213" i="20"/>
  <c r="H313" i="20" s="1"/>
  <c r="H413" i="20" s="1"/>
  <c r="H135" i="20"/>
  <c r="H235" i="20" s="1"/>
  <c r="H335" i="20" s="1"/>
  <c r="H168" i="20"/>
  <c r="H268" i="20" s="1"/>
  <c r="H368" i="20" s="1"/>
  <c r="H176" i="20"/>
  <c r="H276" i="20" s="1"/>
  <c r="H376" i="20" s="1"/>
  <c r="H184" i="20"/>
  <c r="H284" i="20" s="1"/>
  <c r="H384" i="20" s="1"/>
  <c r="H192" i="20"/>
  <c r="H292" i="20" s="1"/>
  <c r="H392" i="20" s="1"/>
  <c r="H200" i="20"/>
  <c r="H300" i="20" s="1"/>
  <c r="H400" i="20" s="1"/>
  <c r="H208" i="20"/>
  <c r="H308" i="20" s="1"/>
  <c r="H408" i="20" s="1"/>
  <c r="H216" i="20"/>
  <c r="H316" i="20" s="1"/>
  <c r="H416" i="20" s="1"/>
  <c r="H134" i="20"/>
  <c r="H234" i="20" s="1"/>
  <c r="H334" i="20" s="1"/>
  <c r="H171" i="20"/>
  <c r="H271" i="20" s="1"/>
  <c r="H371" i="20" s="1"/>
  <c r="H187" i="20"/>
  <c r="H287" i="20" s="1"/>
  <c r="H387" i="20" s="1"/>
  <c r="H203" i="20"/>
  <c r="H303" i="20" s="1"/>
  <c r="H403" i="20" s="1"/>
  <c r="H137" i="20"/>
  <c r="H237" i="20" s="1"/>
  <c r="H337" i="20" s="1"/>
  <c r="H145" i="20"/>
  <c r="H245" i="20" s="1"/>
  <c r="H345" i="20" s="1"/>
  <c r="H174" i="20"/>
  <c r="H274" i="20" s="1"/>
  <c r="H374" i="20" s="1"/>
  <c r="H190" i="20"/>
  <c r="H290" i="20" s="1"/>
  <c r="H390" i="20" s="1"/>
  <c r="H206" i="20"/>
  <c r="H306" i="20" s="1"/>
  <c r="H406" i="20" s="1"/>
  <c r="H219" i="20"/>
  <c r="H319" i="20" s="1"/>
  <c r="H419" i="20" s="1"/>
  <c r="H220" i="20"/>
  <c r="H320" i="20" s="1"/>
  <c r="H420" i="20" s="1"/>
  <c r="H140" i="20"/>
  <c r="H240" i="20" s="1"/>
  <c r="H340" i="20" s="1"/>
  <c r="H156" i="20"/>
  <c r="H256" i="20" s="1"/>
  <c r="H356" i="20" s="1"/>
  <c r="H158" i="20"/>
  <c r="H258" i="20" s="1"/>
  <c r="H358" i="20" s="1"/>
  <c r="H165" i="20"/>
  <c r="H265" i="20" s="1"/>
  <c r="H365" i="20" s="1"/>
  <c r="H177" i="20"/>
  <c r="H277" i="20" s="1"/>
  <c r="H377" i="20" s="1"/>
  <c r="H193" i="20"/>
  <c r="H293" i="20" s="1"/>
  <c r="H393" i="20" s="1"/>
  <c r="H209" i="20"/>
  <c r="H309" i="20" s="1"/>
  <c r="H409" i="20" s="1"/>
  <c r="H150" i="20"/>
  <c r="H250" i="20" s="1"/>
  <c r="H350" i="20" s="1"/>
  <c r="H180" i="20"/>
  <c r="H280" i="20" s="1"/>
  <c r="H380" i="20" s="1"/>
  <c r="H196" i="20"/>
  <c r="H296" i="20" s="1"/>
  <c r="H396" i="20" s="1"/>
  <c r="H212" i="20"/>
  <c r="H312" i="20" s="1"/>
  <c r="H412" i="20" s="1"/>
  <c r="H195" i="20"/>
  <c r="H295" i="20" s="1"/>
  <c r="H395" i="20" s="1"/>
  <c r="H153" i="20"/>
  <c r="H253" i="20" s="1"/>
  <c r="H353" i="20" s="1"/>
  <c r="H155" i="20"/>
  <c r="H255" i="20" s="1"/>
  <c r="H355" i="20" s="1"/>
  <c r="H198" i="20"/>
  <c r="H298" i="20" s="1"/>
  <c r="H398" i="20" s="1"/>
  <c r="H182" i="20"/>
  <c r="H282" i="20" s="1"/>
  <c r="H382" i="20" s="1"/>
  <c r="H169" i="20"/>
  <c r="H269" i="20" s="1"/>
  <c r="H369" i="20" s="1"/>
  <c r="H201" i="20"/>
  <c r="H301" i="20" s="1"/>
  <c r="H401" i="20" s="1"/>
  <c r="H211" i="20"/>
  <c r="H311" i="20" s="1"/>
  <c r="H411" i="20" s="1"/>
  <c r="H214" i="20"/>
  <c r="H314" i="20" s="1"/>
  <c r="H414" i="20" s="1"/>
  <c r="H151" i="20"/>
  <c r="H251" i="20" s="1"/>
  <c r="H351" i="20" s="1"/>
  <c r="H159" i="20"/>
  <c r="H259" i="20" s="1"/>
  <c r="H359" i="20" s="1"/>
  <c r="H166" i="20"/>
  <c r="H266" i="20" s="1"/>
  <c r="H366" i="20" s="1"/>
  <c r="H172" i="20"/>
  <c r="H272" i="20" s="1"/>
  <c r="H372" i="20" s="1"/>
  <c r="H204" i="20"/>
  <c r="H304" i="20" s="1"/>
  <c r="H404" i="20" s="1"/>
  <c r="H164" i="20"/>
  <c r="H264" i="20" s="1"/>
  <c r="H364" i="20" s="1"/>
  <c r="H179" i="20"/>
  <c r="H279" i="20" s="1"/>
  <c r="H379" i="20" s="1"/>
  <c r="H157" i="20"/>
  <c r="H257" i="20" s="1"/>
  <c r="H357" i="20" s="1"/>
  <c r="H217" i="20"/>
  <c r="H317" i="20" s="1"/>
  <c r="H417" i="20" s="1"/>
  <c r="H185" i="20"/>
  <c r="H285" i="20" s="1"/>
  <c r="H385" i="20" s="1"/>
  <c r="H161" i="20"/>
  <c r="H261" i="20" s="1"/>
  <c r="H361" i="20" s="1"/>
  <c r="H127" i="20"/>
  <c r="H227" i="20" s="1"/>
  <c r="H327" i="20" s="1"/>
  <c r="H188" i="20"/>
  <c r="H288" i="20" s="1"/>
  <c r="H388" i="20" s="1"/>
  <c r="G124" i="20"/>
  <c r="G224" i="20" s="1"/>
  <c r="G324" i="20" s="1"/>
  <c r="AL46" i="55" l="1"/>
  <c r="AD83" i="27"/>
  <c r="AD159" i="27" s="1"/>
  <c r="O51" i="55"/>
  <c r="AJ254" i="55"/>
  <c r="Y11" i="55"/>
  <c r="Y87" i="55" s="1"/>
  <c r="AL254" i="55"/>
  <c r="AN235" i="55"/>
  <c r="AK254" i="55"/>
  <c r="U29" i="27"/>
  <c r="U86" i="27" s="1"/>
  <c r="U162" i="27" s="1"/>
  <c r="Y49" i="55"/>
  <c r="AM254" i="55"/>
  <c r="AB254" i="55"/>
  <c r="AJ130" i="55"/>
  <c r="AL130" i="55"/>
  <c r="AM130" i="55"/>
  <c r="AK130" i="55"/>
  <c r="AG83" i="27"/>
  <c r="AG159" i="27" s="1"/>
  <c r="J8" i="56" s="1"/>
  <c r="AK46" i="55"/>
  <c r="AK65" i="55" s="1"/>
  <c r="G88" i="55"/>
  <c r="G13" i="55" s="1"/>
  <c r="G50" i="55"/>
  <c r="T28" i="27"/>
  <c r="T85" i="27" s="1"/>
  <c r="T161" i="27" s="1"/>
  <c r="X86" i="55"/>
  <c r="X48" i="55"/>
  <c r="AJ46" i="55"/>
  <c r="AJ65" i="55" s="1"/>
  <c r="AN140" i="55"/>
  <c r="AL65" i="55"/>
  <c r="AL179" i="55"/>
  <c r="AM46" i="55"/>
  <c r="AC29" i="27"/>
  <c r="AC86" i="27" s="1"/>
  <c r="AC162" i="27" s="1"/>
  <c r="AI87" i="55"/>
  <c r="AI49" i="55"/>
  <c r="O89" i="55"/>
  <c r="O108" i="55" s="1"/>
  <c r="AB29" i="27"/>
  <c r="AB86" i="27" s="1"/>
  <c r="AB162" i="27" s="1"/>
  <c r="AH87" i="55"/>
  <c r="AH106" i="55" s="1"/>
  <c r="AH49" i="55"/>
  <c r="Z207" i="55"/>
  <c r="AD206" i="55"/>
  <c r="AD187" i="55"/>
  <c r="Z188" i="55"/>
  <c r="Z228" i="55"/>
  <c r="AD227" i="55"/>
  <c r="AJ206" i="55"/>
  <c r="AN205" i="55"/>
  <c r="AJ229" i="55"/>
  <c r="AN228" i="55"/>
  <c r="AA84" i="55"/>
  <c r="H130" i="55"/>
  <c r="S35" i="55"/>
  <c r="AA37" i="55"/>
  <c r="Q35" i="55"/>
  <c r="Q225" i="55"/>
  <c r="U225" i="55" s="1"/>
  <c r="AJ36" i="55"/>
  <c r="I37" i="55"/>
  <c r="AL35" i="55"/>
  <c r="H186" i="55"/>
  <c r="L186" i="55" s="1"/>
  <c r="AC35" i="55"/>
  <c r="AJ166" i="55"/>
  <c r="AN166" i="55" s="1"/>
  <c r="H205" i="55"/>
  <c r="L205" i="55" s="1"/>
  <c r="AC84" i="55"/>
  <c r="AC103" i="55" s="1"/>
  <c r="H225" i="55"/>
  <c r="L225" i="55" s="1"/>
  <c r="H36" i="55"/>
  <c r="H167" i="55"/>
  <c r="L167" i="55" s="1"/>
  <c r="Z36" i="55"/>
  <c r="K36" i="55"/>
  <c r="Z167" i="55"/>
  <c r="AD167" i="55" s="1"/>
  <c r="Z254" i="55"/>
  <c r="AD235" i="55"/>
  <c r="Q204" i="55"/>
  <c r="U204" i="55" s="1"/>
  <c r="AB36" i="55"/>
  <c r="R35" i="55"/>
  <c r="Z84" i="55"/>
  <c r="Z103" i="55" s="1"/>
  <c r="AB84" i="55"/>
  <c r="AB103" i="55" s="1"/>
  <c r="J36" i="55"/>
  <c r="Q185" i="55"/>
  <c r="U185" i="55" s="1"/>
  <c r="P87" i="55"/>
  <c r="P12" i="55" s="1"/>
  <c r="P49" i="55"/>
  <c r="AM35" i="55"/>
  <c r="T35" i="55"/>
  <c r="Q166" i="55"/>
  <c r="U166" i="55" s="1"/>
  <c r="AK37" i="55"/>
  <c r="AH50" i="53"/>
  <c r="AH164" i="53" s="1"/>
  <c r="AN387" i="53"/>
  <c r="AC122" i="53"/>
  <c r="AC141" i="53" s="1"/>
  <c r="AI129" i="53"/>
  <c r="AI91" i="53"/>
  <c r="AI34" i="53"/>
  <c r="AI148" i="53" s="1"/>
  <c r="AI16" i="53"/>
  <c r="Q85" i="53"/>
  <c r="Q104" i="53" s="1"/>
  <c r="Q28" i="53"/>
  <c r="Q47" i="53" s="1"/>
  <c r="T74" i="53"/>
  <c r="AC198" i="53"/>
  <c r="Q299" i="53"/>
  <c r="AJ73" i="53"/>
  <c r="H122" i="53"/>
  <c r="K122" i="53"/>
  <c r="AC9" i="53"/>
  <c r="Z387" i="53"/>
  <c r="AD387" i="53" s="1"/>
  <c r="AD368" i="53"/>
  <c r="O145" i="53"/>
  <c r="O164" i="53" s="1"/>
  <c r="AN350" i="53"/>
  <c r="AN312" i="53"/>
  <c r="AN236" i="53"/>
  <c r="AN274" i="53"/>
  <c r="AK160" i="53"/>
  <c r="AK141" i="53"/>
  <c r="AK122" i="53"/>
  <c r="AL73" i="53"/>
  <c r="Q358" i="53"/>
  <c r="AN331" i="53"/>
  <c r="AN293" i="53"/>
  <c r="AN217" i="53"/>
  <c r="AN255" i="53"/>
  <c r="Q387" i="53"/>
  <c r="U387" i="53" s="1"/>
  <c r="U368" i="53"/>
  <c r="I76" i="53"/>
  <c r="F127" i="53"/>
  <c r="F14" i="53" s="1"/>
  <c r="F89" i="53"/>
  <c r="F32" i="53"/>
  <c r="F51" i="53" s="1"/>
  <c r="Q318" i="53"/>
  <c r="H280" i="53"/>
  <c r="AD293" i="53"/>
  <c r="AD255" i="53"/>
  <c r="AD331" i="53"/>
  <c r="AD217" i="53"/>
  <c r="P126" i="53"/>
  <c r="P13" i="53" s="1"/>
  <c r="P88" i="53"/>
  <c r="P31" i="53"/>
  <c r="P50" i="53" s="1"/>
  <c r="AJ160" i="53"/>
  <c r="AJ141" i="53"/>
  <c r="AJ122" i="53"/>
  <c r="Q242" i="53"/>
  <c r="R122" i="53"/>
  <c r="L368" i="53"/>
  <c r="AM160" i="53"/>
  <c r="AM141" i="53"/>
  <c r="AM122" i="53"/>
  <c r="AD350" i="53"/>
  <c r="AD312" i="53"/>
  <c r="AD274" i="53"/>
  <c r="AD236" i="53"/>
  <c r="H74" i="53"/>
  <c r="X126" i="53"/>
  <c r="X88" i="53"/>
  <c r="X31" i="53"/>
  <c r="X50" i="53" s="1"/>
  <c r="Q198" i="53"/>
  <c r="Q141" i="53"/>
  <c r="G145" i="53"/>
  <c r="G164" i="53" s="1"/>
  <c r="H223" i="53"/>
  <c r="H339" i="53"/>
  <c r="L387" i="53"/>
  <c r="AB74" i="53"/>
  <c r="Q223" i="53"/>
  <c r="AL160" i="53"/>
  <c r="AL141" i="53"/>
  <c r="AL122" i="53"/>
  <c r="AM74" i="53"/>
  <c r="Z122" i="53"/>
  <c r="AB122" i="53"/>
  <c r="J76" i="53"/>
  <c r="T122" i="53"/>
  <c r="Q280" i="53"/>
  <c r="AC74" i="53"/>
  <c r="H358" i="53"/>
  <c r="H299" i="53"/>
  <c r="P144" i="53"/>
  <c r="P163" i="53" s="1"/>
  <c r="Z74" i="53"/>
  <c r="F145" i="53"/>
  <c r="F164" i="53" s="1"/>
  <c r="AK74" i="53"/>
  <c r="X144" i="53"/>
  <c r="X163" i="53" s="1"/>
  <c r="Y129" i="53"/>
  <c r="Y16" i="53" s="1"/>
  <c r="Y91" i="53"/>
  <c r="Y34" i="53"/>
  <c r="Y53" i="53" s="1"/>
  <c r="U331" i="53"/>
  <c r="U293" i="53"/>
  <c r="U255" i="53"/>
  <c r="U217" i="53"/>
  <c r="O89" i="53"/>
  <c r="O127" i="53"/>
  <c r="O14" i="53" s="1"/>
  <c r="O32" i="53"/>
  <c r="O51" i="53" s="1"/>
  <c r="S75" i="53"/>
  <c r="K73" i="53"/>
  <c r="L331" i="53"/>
  <c r="L217" i="53"/>
  <c r="L293" i="53"/>
  <c r="L255" i="53"/>
  <c r="R74" i="53"/>
  <c r="H318" i="53"/>
  <c r="J122" i="53"/>
  <c r="Q339" i="53"/>
  <c r="H242" i="53"/>
  <c r="Q261" i="53"/>
  <c r="I122" i="53"/>
  <c r="H261" i="53"/>
  <c r="S122" i="53"/>
  <c r="Q46" i="53"/>
  <c r="Q73" i="53"/>
  <c r="H46" i="53"/>
  <c r="AH13" i="53"/>
  <c r="AI52" i="53"/>
  <c r="AI166" i="53" s="1"/>
  <c r="AA122" i="53"/>
  <c r="G13" i="53"/>
  <c r="AA75" i="53"/>
  <c r="Y147" i="53"/>
  <c r="Y166" i="53" s="1"/>
  <c r="O143" i="47"/>
  <c r="O162" i="47" s="1"/>
  <c r="AL122" i="52"/>
  <c r="F12" i="52"/>
  <c r="K235" i="25"/>
  <c r="J27" i="47"/>
  <c r="J46" i="47" s="1"/>
  <c r="G87" i="25"/>
  <c r="G12" i="25" s="1"/>
  <c r="G50" i="25" s="1"/>
  <c r="S10" i="45"/>
  <c r="AK122" i="52"/>
  <c r="AJ122" i="52"/>
  <c r="AM46" i="52"/>
  <c r="AM160" i="52" s="1"/>
  <c r="AM141" i="52"/>
  <c r="O128" i="52"/>
  <c r="O147" i="52" s="1"/>
  <c r="O166" i="52" s="1"/>
  <c r="O146" i="52"/>
  <c r="O165" i="52" s="1"/>
  <c r="O90" i="52"/>
  <c r="T122" i="52"/>
  <c r="T9" i="52" s="1"/>
  <c r="T85" i="52" s="1"/>
  <c r="T104" i="52" s="1"/>
  <c r="Q122" i="52"/>
  <c r="Q198" i="52" s="1"/>
  <c r="U368" i="52"/>
  <c r="X12" i="52"/>
  <c r="X144" i="52"/>
  <c r="X163" i="52" s="1"/>
  <c r="AN387" i="52"/>
  <c r="U387" i="52"/>
  <c r="AA122" i="52"/>
  <c r="AA141" i="52" s="1"/>
  <c r="AA160" i="52" s="1"/>
  <c r="S122" i="52"/>
  <c r="R122" i="52"/>
  <c r="R9" i="52" s="1"/>
  <c r="Z387" i="52"/>
  <c r="AD387" i="52" s="1"/>
  <c r="AD368" i="52"/>
  <c r="AA74" i="52"/>
  <c r="P32" i="52"/>
  <c r="P51" i="52" s="1"/>
  <c r="P89" i="52"/>
  <c r="P127" i="52"/>
  <c r="H74" i="52"/>
  <c r="AD255" i="52"/>
  <c r="AD217" i="52"/>
  <c r="AD331" i="52"/>
  <c r="AD293" i="52"/>
  <c r="F31" i="52"/>
  <c r="F50" i="52" s="1"/>
  <c r="F88" i="52"/>
  <c r="F126" i="52"/>
  <c r="AJ141" i="52"/>
  <c r="AJ160" i="52"/>
  <c r="AK160" i="52"/>
  <c r="AK141" i="52"/>
  <c r="Y31" i="52"/>
  <c r="Y50" i="52" s="1"/>
  <c r="Y88" i="52"/>
  <c r="Y126" i="52"/>
  <c r="Y13" i="52" s="1"/>
  <c r="AI30" i="52"/>
  <c r="AI144" i="52" s="1"/>
  <c r="AI87" i="52"/>
  <c r="AI125" i="52"/>
  <c r="AI12" i="52" s="1"/>
  <c r="AL160" i="52"/>
  <c r="AL141" i="52"/>
  <c r="AN255" i="52"/>
  <c r="AN293" i="52"/>
  <c r="AN217" i="52"/>
  <c r="AN331" i="52"/>
  <c r="G145" i="52"/>
  <c r="G164" i="52" s="1"/>
  <c r="T75" i="52"/>
  <c r="AB122" i="52"/>
  <c r="S76" i="52"/>
  <c r="AH50" i="52"/>
  <c r="AH164" i="52" s="1"/>
  <c r="G13" i="52"/>
  <c r="R75" i="52"/>
  <c r="AB78" i="52"/>
  <c r="Q224" i="52"/>
  <c r="AC73" i="52"/>
  <c r="AH13" i="52"/>
  <c r="U236" i="52"/>
  <c r="U274" i="52"/>
  <c r="U350" i="52"/>
  <c r="U312" i="52"/>
  <c r="F144" i="52"/>
  <c r="F163" i="52" s="1"/>
  <c r="Z74" i="52"/>
  <c r="AK74" i="52"/>
  <c r="Y144" i="52"/>
  <c r="Y163" i="52" s="1"/>
  <c r="AJ74" i="52"/>
  <c r="AD236" i="52"/>
  <c r="AD274" i="52"/>
  <c r="AD312" i="52"/>
  <c r="AD350" i="52"/>
  <c r="H228" i="52"/>
  <c r="Q323" i="52"/>
  <c r="Z122" i="52"/>
  <c r="AC122" i="52"/>
  <c r="Q73" i="52"/>
  <c r="O125" i="47"/>
  <c r="O144" i="47" s="1"/>
  <c r="O163" i="47" s="1"/>
  <c r="L86" i="27"/>
  <c r="L162" i="27" s="1"/>
  <c r="R84" i="47"/>
  <c r="R103" i="47" s="1"/>
  <c r="AC84" i="47"/>
  <c r="AC103" i="47" s="1"/>
  <c r="Y83" i="27"/>
  <c r="Y159" i="27" s="1"/>
  <c r="J28" i="48" s="1"/>
  <c r="N28" i="48" s="1"/>
  <c r="Y31" i="47"/>
  <c r="Y50" i="47" s="1"/>
  <c r="L218" i="41"/>
  <c r="I236" i="39"/>
  <c r="J236" i="39"/>
  <c r="L236" i="37"/>
  <c r="L122" i="29"/>
  <c r="L167" i="39"/>
  <c r="H168" i="39"/>
  <c r="L149" i="39"/>
  <c r="H150" i="39"/>
  <c r="H187" i="41"/>
  <c r="L186" i="41"/>
  <c r="L166" i="41"/>
  <c r="H167" i="41"/>
  <c r="H208" i="39"/>
  <c r="L207" i="39"/>
  <c r="I84" i="47"/>
  <c r="I103" i="47" s="1"/>
  <c r="I235" i="25"/>
  <c r="K27" i="47"/>
  <c r="K46" i="47" s="1"/>
  <c r="L216" i="25"/>
  <c r="J235" i="25"/>
  <c r="AJ9" i="25"/>
  <c r="AJ47" i="25" s="1"/>
  <c r="AJ66" i="25" s="1"/>
  <c r="AA85" i="25"/>
  <c r="AA123" i="25" s="1"/>
  <c r="H84" i="25"/>
  <c r="H122" i="25" s="1"/>
  <c r="AC27" i="47"/>
  <c r="AC46" i="47" s="1"/>
  <c r="Y126" i="47"/>
  <c r="Y145" i="47" s="1"/>
  <c r="Y164" i="47" s="1"/>
  <c r="Y88" i="47"/>
  <c r="G144" i="47"/>
  <c r="G163" i="47" s="1"/>
  <c r="G12" i="47"/>
  <c r="G126" i="47" s="1"/>
  <c r="AM368" i="47"/>
  <c r="AM387" i="47" s="1"/>
  <c r="O87" i="47"/>
  <c r="O30" i="47"/>
  <c r="O49" i="47" s="1"/>
  <c r="AL368" i="47"/>
  <c r="AL387" i="47" s="1"/>
  <c r="F10" i="47"/>
  <c r="F124" i="47" s="1"/>
  <c r="F142" i="47"/>
  <c r="F161" i="47" s="1"/>
  <c r="K368" i="47"/>
  <c r="K387" i="47" s="1"/>
  <c r="AJ368" i="47"/>
  <c r="AJ387" i="47" s="1"/>
  <c r="T368" i="47"/>
  <c r="T387" i="47" s="1"/>
  <c r="Q368" i="47"/>
  <c r="Q387" i="47" s="1"/>
  <c r="AC368" i="47"/>
  <c r="AC387" i="47" s="1"/>
  <c r="R27" i="47"/>
  <c r="R46" i="47" s="1"/>
  <c r="AK368" i="47"/>
  <c r="AK387" i="47" s="1"/>
  <c r="X11" i="47"/>
  <c r="X143" i="47"/>
  <c r="X162" i="47" s="1"/>
  <c r="R368" i="47"/>
  <c r="R387" i="47" s="1"/>
  <c r="J368" i="47"/>
  <c r="J387" i="47" s="1"/>
  <c r="I368" i="47"/>
  <c r="I387" i="47" s="1"/>
  <c r="Z368" i="47"/>
  <c r="Z387" i="47" s="1"/>
  <c r="AB368" i="47"/>
  <c r="AB387" i="47" s="1"/>
  <c r="H368" i="47"/>
  <c r="H387" i="47" s="1"/>
  <c r="H46" i="47"/>
  <c r="AA159" i="47"/>
  <c r="AA368" i="47" s="1"/>
  <c r="P29" i="47"/>
  <c r="P48" i="47" s="1"/>
  <c r="P124" i="47"/>
  <c r="P86" i="47"/>
  <c r="S368" i="47"/>
  <c r="AH32" i="47"/>
  <c r="AH146" i="47" s="1"/>
  <c r="AH50" i="47"/>
  <c r="AH164" i="47" s="1"/>
  <c r="AL27" i="47"/>
  <c r="AL46" i="47" s="1"/>
  <c r="AJ27" i="47"/>
  <c r="AI33" i="47"/>
  <c r="AI147" i="47" s="1"/>
  <c r="AM27" i="47"/>
  <c r="AM46" i="47" s="1"/>
  <c r="AI51" i="47"/>
  <c r="AI165" i="47" s="1"/>
  <c r="Q27" i="47"/>
  <c r="Q318" i="47"/>
  <c r="Q261" i="47"/>
  <c r="AA27" i="47"/>
  <c r="AA46" i="47" s="1"/>
  <c r="T27" i="47"/>
  <c r="T46" i="47" s="1"/>
  <c r="S27" i="47"/>
  <c r="S46" i="47" s="1"/>
  <c r="T278" i="47"/>
  <c r="R222" i="47"/>
  <c r="Q280" i="47"/>
  <c r="T240" i="47"/>
  <c r="Q338" i="47"/>
  <c r="Z27" i="47"/>
  <c r="AB27" i="47"/>
  <c r="AB46" i="47" s="1"/>
  <c r="Q299" i="47"/>
  <c r="T316" i="47"/>
  <c r="Q242" i="47"/>
  <c r="Q224" i="47"/>
  <c r="Q357" i="47"/>
  <c r="K84" i="47"/>
  <c r="K103" i="47" s="1"/>
  <c r="H359" i="47"/>
  <c r="H318" i="47"/>
  <c r="H279" i="47"/>
  <c r="H241" i="47"/>
  <c r="F47" i="47"/>
  <c r="I27" i="47"/>
  <c r="I46" i="47" s="1"/>
  <c r="L197" i="47"/>
  <c r="AJ73" i="47"/>
  <c r="H223" i="47"/>
  <c r="Z72" i="47"/>
  <c r="AM84" i="47"/>
  <c r="AM103" i="47" s="1"/>
  <c r="AC72" i="47"/>
  <c r="AN197" i="47"/>
  <c r="AA73" i="47"/>
  <c r="AL72" i="47"/>
  <c r="H261" i="47"/>
  <c r="H299" i="47"/>
  <c r="T84" i="47"/>
  <c r="T103" i="47" s="1"/>
  <c r="S84" i="47"/>
  <c r="S103" i="47" s="1"/>
  <c r="Z84" i="47"/>
  <c r="Z103" i="47" s="1"/>
  <c r="J73" i="47"/>
  <c r="AI128" i="47"/>
  <c r="AI15" i="47" s="1"/>
  <c r="AI90" i="47"/>
  <c r="AB73" i="47"/>
  <c r="K72" i="47"/>
  <c r="AM79" i="47"/>
  <c r="AL84" i="47"/>
  <c r="AL103" i="47" s="1"/>
  <c r="Q84" i="47"/>
  <c r="Q103" i="47" s="1"/>
  <c r="T72" i="47"/>
  <c r="AK72" i="47"/>
  <c r="AD197" i="47"/>
  <c r="AB84" i="47"/>
  <c r="AB103" i="47" s="1"/>
  <c r="AH89" i="47"/>
  <c r="AH127" i="47"/>
  <c r="AH14" i="47" s="1"/>
  <c r="R72" i="47"/>
  <c r="AA84" i="47"/>
  <c r="AA103" i="47" s="1"/>
  <c r="I73" i="47"/>
  <c r="H338" i="47"/>
  <c r="U197" i="47"/>
  <c r="AJ84" i="47"/>
  <c r="AJ103" i="47" s="1"/>
  <c r="H73" i="47"/>
  <c r="S72" i="47"/>
  <c r="T7" i="45"/>
  <c r="T45" i="45" s="1"/>
  <c r="W7" i="45"/>
  <c r="W45" i="45" s="1"/>
  <c r="J84" i="25"/>
  <c r="J9" i="25" s="1"/>
  <c r="K84" i="25"/>
  <c r="K217" i="25" s="1"/>
  <c r="U7" i="45"/>
  <c r="U45" i="45" s="1"/>
  <c r="V7" i="45"/>
  <c r="V45" i="45" s="1"/>
  <c r="I84" i="25"/>
  <c r="I217" i="25" s="1"/>
  <c r="L121" i="25"/>
  <c r="AJ217" i="25"/>
  <c r="AJ236" i="25" s="1"/>
  <c r="AC85" i="25"/>
  <c r="AC123" i="25" s="1"/>
  <c r="Z85" i="25"/>
  <c r="Z123" i="25" s="1"/>
  <c r="R11" i="45"/>
  <c r="AH53" i="25"/>
  <c r="AB85" i="25"/>
  <c r="AB123" i="25" s="1"/>
  <c r="AN122" i="25"/>
  <c r="S11" i="45"/>
  <c r="U121" i="25"/>
  <c r="U216" i="25"/>
  <c r="AK217" i="25"/>
  <c r="AK9" i="25"/>
  <c r="AK47" i="25" s="1"/>
  <c r="AK66" i="25" s="1"/>
  <c r="AL9" i="25"/>
  <c r="AL47" i="25" s="1"/>
  <c r="AL66" i="25" s="1"/>
  <c r="AL217" i="25"/>
  <c r="AM217" i="25"/>
  <c r="AM9" i="25"/>
  <c r="AM47" i="25" s="1"/>
  <c r="AM66" i="25" s="1"/>
  <c r="AH91" i="25"/>
  <c r="AH16" i="25" s="1"/>
  <c r="AI90" i="25"/>
  <c r="AI15" i="25" s="1"/>
  <c r="AD236" i="25"/>
  <c r="AD217" i="25"/>
  <c r="Y88" i="25"/>
  <c r="X50" i="25"/>
  <c r="X88" i="25"/>
  <c r="Y50" i="25"/>
  <c r="R235" i="25"/>
  <c r="S235" i="25"/>
  <c r="T235" i="25"/>
  <c r="S46" i="25"/>
  <c r="S65" i="25" s="1"/>
  <c r="T46" i="25"/>
  <c r="T65" i="25" s="1"/>
  <c r="R46" i="25"/>
  <c r="R65" i="25" s="1"/>
  <c r="Q46" i="25"/>
  <c r="Q65" i="25" s="1"/>
  <c r="Q235" i="25"/>
  <c r="L205" i="25"/>
  <c r="I206" i="25"/>
  <c r="O90" i="25"/>
  <c r="O15" i="25" s="1"/>
  <c r="O53" i="25" s="1"/>
  <c r="P90" i="25"/>
  <c r="P15" i="25" s="1"/>
  <c r="P53" i="25" s="1"/>
  <c r="F88" i="25"/>
  <c r="F13" i="25" s="1"/>
  <c r="F50" i="25"/>
  <c r="G16" i="29"/>
  <c r="F11" i="29"/>
  <c r="H47" i="29"/>
  <c r="H66" i="29" s="1"/>
  <c r="J47" i="29"/>
  <c r="J66" i="29" s="1"/>
  <c r="I47" i="29"/>
  <c r="I66" i="29" s="1"/>
  <c r="I85" i="29" s="1"/>
  <c r="I10" i="29" s="1"/>
  <c r="I123" i="29"/>
  <c r="I218" i="29"/>
  <c r="H221" i="37"/>
  <c r="I221" i="37"/>
  <c r="J221" i="37"/>
  <c r="K221" i="37"/>
  <c r="H85" i="37"/>
  <c r="L184" i="37"/>
  <c r="H185" i="37"/>
  <c r="H166" i="29"/>
  <c r="L165" i="29"/>
  <c r="L184" i="29"/>
  <c r="H185" i="29"/>
  <c r="J86" i="41"/>
  <c r="J11" i="41" s="1"/>
  <c r="I86" i="41"/>
  <c r="I11" i="41" s="1"/>
  <c r="H86" i="41"/>
  <c r="H11" i="41" s="1"/>
  <c r="K186" i="25"/>
  <c r="L185" i="25"/>
  <c r="H147" i="29"/>
  <c r="L146" i="29"/>
  <c r="L146" i="41"/>
  <c r="H147" i="41"/>
  <c r="G53" i="41"/>
  <c r="G91" i="41"/>
  <c r="G16" i="41" s="1"/>
  <c r="F49" i="41"/>
  <c r="F87" i="41"/>
  <c r="F12" i="41" s="1"/>
  <c r="K124" i="41"/>
  <c r="K200" i="41"/>
  <c r="J124" i="41"/>
  <c r="J200" i="41"/>
  <c r="I124" i="41"/>
  <c r="I200" i="41"/>
  <c r="H124" i="41"/>
  <c r="H200" i="41"/>
  <c r="J47" i="39"/>
  <c r="J66" i="39" s="1"/>
  <c r="I47" i="39"/>
  <c r="I66" i="39" s="1"/>
  <c r="H47" i="39"/>
  <c r="H66" i="39" s="1"/>
  <c r="H236" i="39"/>
  <c r="L217" i="39"/>
  <c r="L122" i="39"/>
  <c r="F50" i="39"/>
  <c r="F88" i="39"/>
  <c r="F13" i="39" s="1"/>
  <c r="G52" i="39"/>
  <c r="G90" i="39"/>
  <c r="G15" i="39" s="1"/>
  <c r="F51" i="39"/>
  <c r="F89" i="39"/>
  <c r="J85" i="37"/>
  <c r="I85" i="37"/>
  <c r="H10" i="37"/>
  <c r="H48" i="37" s="1"/>
  <c r="H67" i="37" s="1"/>
  <c r="H123" i="37"/>
  <c r="H237" i="37" s="1"/>
  <c r="I10" i="37"/>
  <c r="I48" i="37" s="1"/>
  <c r="I67" i="37" s="1"/>
  <c r="I123" i="37"/>
  <c r="I237" i="37" s="1"/>
  <c r="K10" i="37"/>
  <c r="K48" i="37" s="1"/>
  <c r="K67" i="37" s="1"/>
  <c r="K123" i="37"/>
  <c r="K237" i="37" s="1"/>
  <c r="G49" i="37"/>
  <c r="G87" i="37"/>
  <c r="G12" i="37" s="1"/>
  <c r="F49" i="37"/>
  <c r="F87" i="37"/>
  <c r="F12" i="37" s="1"/>
  <c r="H207" i="29"/>
  <c r="L206" i="29"/>
  <c r="H36" i="37"/>
  <c r="H35" i="29"/>
  <c r="H206" i="37"/>
  <c r="L205" i="37"/>
  <c r="L167" i="37"/>
  <c r="L148" i="37"/>
  <c r="I110" i="37"/>
  <c r="H110" i="37"/>
  <c r="K111" i="37"/>
  <c r="J110" i="37"/>
  <c r="L150" i="25"/>
  <c r="I36" i="25"/>
  <c r="I37" i="25" s="1"/>
  <c r="I38" i="25" s="1"/>
  <c r="I39" i="25" s="1"/>
  <c r="I40" i="25" s="1"/>
  <c r="I41" i="25" s="1"/>
  <c r="H34" i="25"/>
  <c r="H35" i="25" s="1"/>
  <c r="H36" i="25" s="1"/>
  <c r="H37" i="25" s="1"/>
  <c r="H38" i="25" s="1"/>
  <c r="H39" i="25" s="1"/>
  <c r="H40" i="25" s="1"/>
  <c r="H41" i="25" s="1"/>
  <c r="C90" i="13"/>
  <c r="I17" i="20"/>
  <c r="H120" i="20"/>
  <c r="H118" i="20"/>
  <c r="K21" i="13" s="1"/>
  <c r="H119" i="20"/>
  <c r="H116" i="20"/>
  <c r="I16" i="20"/>
  <c r="H117" i="20"/>
  <c r="H124" i="20"/>
  <c r="H224" i="20" s="1"/>
  <c r="H324" i="20" s="1"/>
  <c r="I127" i="20"/>
  <c r="I227" i="20" s="1"/>
  <c r="I327" i="20" s="1"/>
  <c r="I135" i="20"/>
  <c r="I235" i="20" s="1"/>
  <c r="I335" i="20" s="1"/>
  <c r="I143" i="20"/>
  <c r="I243" i="20" s="1"/>
  <c r="I343" i="20" s="1"/>
  <c r="I151" i="20"/>
  <c r="I251" i="20" s="1"/>
  <c r="I351" i="20" s="1"/>
  <c r="I159" i="20"/>
  <c r="I259" i="20" s="1"/>
  <c r="I359" i="20" s="1"/>
  <c r="I130" i="20"/>
  <c r="I230" i="20" s="1"/>
  <c r="I330" i="20" s="1"/>
  <c r="I138" i="20"/>
  <c r="I238" i="20" s="1"/>
  <c r="I338" i="20" s="1"/>
  <c r="I146" i="20"/>
  <c r="I246" i="20" s="1"/>
  <c r="I346" i="20" s="1"/>
  <c r="I125" i="20"/>
  <c r="I225" i="20" s="1"/>
  <c r="I325" i="20" s="1"/>
  <c r="I133" i="20"/>
  <c r="I233" i="20" s="1"/>
  <c r="I333" i="20" s="1"/>
  <c r="I141" i="20"/>
  <c r="I241" i="20" s="1"/>
  <c r="I341" i="20" s="1"/>
  <c r="I149" i="20"/>
  <c r="I249" i="20" s="1"/>
  <c r="I349" i="20" s="1"/>
  <c r="I157" i="20"/>
  <c r="I257" i="20" s="1"/>
  <c r="I357" i="20" s="1"/>
  <c r="I165" i="20"/>
  <c r="I265" i="20" s="1"/>
  <c r="I365" i="20" s="1"/>
  <c r="I128" i="20"/>
  <c r="I228" i="20" s="1"/>
  <c r="I328" i="20" s="1"/>
  <c r="I136" i="20"/>
  <c r="I236" i="20" s="1"/>
  <c r="I336" i="20" s="1"/>
  <c r="I139" i="20"/>
  <c r="I239" i="20" s="1"/>
  <c r="I339" i="20" s="1"/>
  <c r="I150" i="20"/>
  <c r="I250" i="20" s="1"/>
  <c r="I350" i="20" s="1"/>
  <c r="I161" i="20"/>
  <c r="I261" i="20" s="1"/>
  <c r="I361" i="20" s="1"/>
  <c r="I166" i="20"/>
  <c r="I266" i="20" s="1"/>
  <c r="I366" i="20" s="1"/>
  <c r="I172" i="20"/>
  <c r="I272" i="20" s="1"/>
  <c r="I372" i="20" s="1"/>
  <c r="I180" i="20"/>
  <c r="I280" i="20" s="1"/>
  <c r="I380" i="20" s="1"/>
  <c r="I188" i="20"/>
  <c r="I288" i="20" s="1"/>
  <c r="I388" i="20" s="1"/>
  <c r="I196" i="20"/>
  <c r="I296" i="20" s="1"/>
  <c r="I396" i="20" s="1"/>
  <c r="I204" i="20"/>
  <c r="I304" i="20" s="1"/>
  <c r="I404" i="20" s="1"/>
  <c r="I212" i="20"/>
  <c r="I312" i="20" s="1"/>
  <c r="I412" i="20" s="1"/>
  <c r="I220" i="20"/>
  <c r="I320" i="20" s="1"/>
  <c r="I420" i="20" s="1"/>
  <c r="I126" i="20"/>
  <c r="I226" i="20" s="1"/>
  <c r="I326" i="20" s="1"/>
  <c r="I142" i="20"/>
  <c r="I242" i="20" s="1"/>
  <c r="I342" i="20" s="1"/>
  <c r="I175" i="20"/>
  <c r="I275" i="20" s="1"/>
  <c r="I375" i="20" s="1"/>
  <c r="I183" i="20"/>
  <c r="I283" i="20" s="1"/>
  <c r="I383" i="20" s="1"/>
  <c r="I191" i="20"/>
  <c r="I291" i="20" s="1"/>
  <c r="I391" i="20" s="1"/>
  <c r="I199" i="20"/>
  <c r="I299" i="20" s="1"/>
  <c r="I399" i="20" s="1"/>
  <c r="I207" i="20"/>
  <c r="I307" i="20" s="1"/>
  <c r="I407" i="20" s="1"/>
  <c r="I215" i="20"/>
  <c r="I315" i="20" s="1"/>
  <c r="I415" i="20" s="1"/>
  <c r="I129" i="20"/>
  <c r="I229" i="20" s="1"/>
  <c r="I329" i="20" s="1"/>
  <c r="I162" i="20"/>
  <c r="I262" i="20" s="1"/>
  <c r="I362" i="20" s="1"/>
  <c r="I167" i="20"/>
  <c r="I267" i="20" s="1"/>
  <c r="I367" i="20" s="1"/>
  <c r="I170" i="20"/>
  <c r="I270" i="20" s="1"/>
  <c r="I370" i="20" s="1"/>
  <c r="I178" i="20"/>
  <c r="I278" i="20" s="1"/>
  <c r="I378" i="20" s="1"/>
  <c r="I186" i="20"/>
  <c r="I286" i="20" s="1"/>
  <c r="I386" i="20" s="1"/>
  <c r="I194" i="20"/>
  <c r="I294" i="20" s="1"/>
  <c r="I394" i="20" s="1"/>
  <c r="I202" i="20"/>
  <c r="I302" i="20" s="1"/>
  <c r="I402" i="20" s="1"/>
  <c r="I210" i="20"/>
  <c r="I310" i="20" s="1"/>
  <c r="I410" i="20" s="1"/>
  <c r="I218" i="20"/>
  <c r="I318" i="20" s="1"/>
  <c r="I418" i="20" s="1"/>
  <c r="I132" i="20"/>
  <c r="I232" i="20" s="1"/>
  <c r="I332" i="20" s="1"/>
  <c r="I147" i="20"/>
  <c r="I247" i="20" s="1"/>
  <c r="I347" i="20" s="1"/>
  <c r="I148" i="20"/>
  <c r="I248" i="20" s="1"/>
  <c r="I348" i="20" s="1"/>
  <c r="I163" i="20"/>
  <c r="I263" i="20" s="1"/>
  <c r="I363" i="20" s="1"/>
  <c r="I173" i="20"/>
  <c r="I273" i="20" s="1"/>
  <c r="I373" i="20" s="1"/>
  <c r="I181" i="20"/>
  <c r="I281" i="20" s="1"/>
  <c r="I381" i="20" s="1"/>
  <c r="I189" i="20"/>
  <c r="I289" i="20" s="1"/>
  <c r="I389" i="20" s="1"/>
  <c r="I197" i="20"/>
  <c r="I297" i="20" s="1"/>
  <c r="I397" i="20" s="1"/>
  <c r="I205" i="20"/>
  <c r="I305" i="20" s="1"/>
  <c r="I405" i="20" s="1"/>
  <c r="I213" i="20"/>
  <c r="I313" i="20" s="1"/>
  <c r="I413" i="20" s="1"/>
  <c r="I131" i="20"/>
  <c r="I231" i="20" s="1"/>
  <c r="I331" i="20" s="1"/>
  <c r="I168" i="20"/>
  <c r="I268" i="20" s="1"/>
  <c r="I368" i="20" s="1"/>
  <c r="I184" i="20"/>
  <c r="I284" i="20" s="1"/>
  <c r="I384" i="20" s="1"/>
  <c r="I200" i="20"/>
  <c r="I300" i="20" s="1"/>
  <c r="I400" i="20" s="1"/>
  <c r="I216" i="20"/>
  <c r="I316" i="20" s="1"/>
  <c r="I416" i="20" s="1"/>
  <c r="I134" i="20"/>
  <c r="I234" i="20" s="1"/>
  <c r="I334" i="20" s="1"/>
  <c r="I152" i="20"/>
  <c r="I252" i="20" s="1"/>
  <c r="I352" i="20" s="1"/>
  <c r="I171" i="20"/>
  <c r="I271" i="20" s="1"/>
  <c r="I371" i="20" s="1"/>
  <c r="I187" i="20"/>
  <c r="I287" i="20" s="1"/>
  <c r="I387" i="20" s="1"/>
  <c r="I203" i="20"/>
  <c r="I303" i="20" s="1"/>
  <c r="I403" i="20" s="1"/>
  <c r="I137" i="20"/>
  <c r="I237" i="20" s="1"/>
  <c r="I337" i="20" s="1"/>
  <c r="I145" i="20"/>
  <c r="I245" i="20" s="1"/>
  <c r="I345" i="20" s="1"/>
  <c r="I154" i="20"/>
  <c r="I254" i="20" s="1"/>
  <c r="I354" i="20" s="1"/>
  <c r="I174" i="20"/>
  <c r="I274" i="20" s="1"/>
  <c r="I374" i="20" s="1"/>
  <c r="I190" i="20"/>
  <c r="I290" i="20" s="1"/>
  <c r="I390" i="20" s="1"/>
  <c r="I206" i="20"/>
  <c r="I306" i="20" s="1"/>
  <c r="I406" i="20" s="1"/>
  <c r="I219" i="20"/>
  <c r="I319" i="20" s="1"/>
  <c r="I419" i="20" s="1"/>
  <c r="I140" i="20"/>
  <c r="I240" i="20" s="1"/>
  <c r="I340" i="20" s="1"/>
  <c r="I156" i="20"/>
  <c r="I256" i="20" s="1"/>
  <c r="I356" i="20" s="1"/>
  <c r="I158" i="20"/>
  <c r="I258" i="20" s="1"/>
  <c r="I358" i="20" s="1"/>
  <c r="I160" i="20"/>
  <c r="I260" i="20" s="1"/>
  <c r="I360" i="20" s="1"/>
  <c r="I177" i="20"/>
  <c r="I277" i="20" s="1"/>
  <c r="I377" i="20" s="1"/>
  <c r="I193" i="20"/>
  <c r="I293" i="20" s="1"/>
  <c r="I393" i="20" s="1"/>
  <c r="I209" i="20"/>
  <c r="I309" i="20" s="1"/>
  <c r="I409" i="20" s="1"/>
  <c r="I192" i="20"/>
  <c r="I292" i="20" s="1"/>
  <c r="I392" i="20" s="1"/>
  <c r="I195" i="20"/>
  <c r="I295" i="20" s="1"/>
  <c r="I395" i="20" s="1"/>
  <c r="I208" i="20"/>
  <c r="I308" i="20" s="1"/>
  <c r="I408" i="20" s="1"/>
  <c r="I211" i="20"/>
  <c r="I311" i="20" s="1"/>
  <c r="I411" i="20" s="1"/>
  <c r="I155" i="20"/>
  <c r="I255" i="20" s="1"/>
  <c r="I355" i="20" s="1"/>
  <c r="I198" i="20"/>
  <c r="I298" i="20" s="1"/>
  <c r="I398" i="20" s="1"/>
  <c r="I176" i="20"/>
  <c r="I276" i="20" s="1"/>
  <c r="I376" i="20" s="1"/>
  <c r="I164" i="20"/>
  <c r="I264" i="20" s="1"/>
  <c r="I364" i="20" s="1"/>
  <c r="I179" i="20"/>
  <c r="I279" i="20" s="1"/>
  <c r="I379" i="20" s="1"/>
  <c r="I169" i="20"/>
  <c r="I269" i="20" s="1"/>
  <c r="I369" i="20" s="1"/>
  <c r="I201" i="20"/>
  <c r="I301" i="20" s="1"/>
  <c r="I401" i="20" s="1"/>
  <c r="I153" i="20"/>
  <c r="I253" i="20" s="1"/>
  <c r="I353" i="20" s="1"/>
  <c r="I214" i="20"/>
  <c r="I314" i="20" s="1"/>
  <c r="I414" i="20" s="1"/>
  <c r="I182" i="20"/>
  <c r="I282" i="20" s="1"/>
  <c r="I382" i="20" s="1"/>
  <c r="I217" i="20"/>
  <c r="I317" i="20" s="1"/>
  <c r="I417" i="20" s="1"/>
  <c r="I144" i="20"/>
  <c r="I244" i="20" s="1"/>
  <c r="I344" i="20" s="1"/>
  <c r="I185" i="20"/>
  <c r="I285" i="20" s="1"/>
  <c r="I385" i="20" s="1"/>
  <c r="H123" i="20"/>
  <c r="H223" i="20" s="1"/>
  <c r="H323" i="20" s="1"/>
  <c r="H122" i="20"/>
  <c r="H222" i="20" s="1"/>
  <c r="H322" i="20" s="1"/>
  <c r="E28" i="46" l="1"/>
  <c r="Y28" i="46"/>
  <c r="Q28" i="46"/>
  <c r="J29" i="46"/>
  <c r="V29" i="46" s="1"/>
  <c r="I29" i="46"/>
  <c r="U29" i="46" s="1"/>
  <c r="F28" i="46"/>
  <c r="I7" i="56"/>
  <c r="I7" i="48"/>
  <c r="AN254" i="55"/>
  <c r="F7" i="46" s="1"/>
  <c r="AH12" i="55"/>
  <c r="AH50" i="55" s="1"/>
  <c r="Y12" i="55"/>
  <c r="Y106" i="55"/>
  <c r="G107" i="55"/>
  <c r="I27" i="56"/>
  <c r="E80" i="56" s="1"/>
  <c r="K80" i="56" s="1"/>
  <c r="AK131" i="55"/>
  <c r="AM131" i="55"/>
  <c r="AL131" i="55"/>
  <c r="AJ131" i="55"/>
  <c r="N8" i="56"/>
  <c r="F56" i="56" s="1"/>
  <c r="J28" i="56"/>
  <c r="AK179" i="55"/>
  <c r="AJ179" i="55"/>
  <c r="X105" i="55"/>
  <c r="X11" i="55"/>
  <c r="O14" i="55"/>
  <c r="L32" i="27" s="1"/>
  <c r="E31" i="27"/>
  <c r="E88" i="27" s="1"/>
  <c r="G89" i="55"/>
  <c r="G14" i="55" s="1"/>
  <c r="G51" i="55"/>
  <c r="Z141" i="55"/>
  <c r="Z236" i="55"/>
  <c r="AA9" i="55"/>
  <c r="AA103" i="55"/>
  <c r="AM65" i="55"/>
  <c r="AM179" i="55"/>
  <c r="AN179" i="55" s="1"/>
  <c r="M30" i="27"/>
  <c r="P106" i="55"/>
  <c r="AC141" i="55"/>
  <c r="AC236" i="55"/>
  <c r="AI12" i="55"/>
  <c r="AI106" i="55"/>
  <c r="AB141" i="55"/>
  <c r="AB236" i="55"/>
  <c r="AD254" i="55"/>
  <c r="E7" i="46" s="1"/>
  <c r="I27" i="48"/>
  <c r="L27" i="48" s="1"/>
  <c r="M27" i="48" s="1"/>
  <c r="AJ207" i="55"/>
  <c r="AN206" i="55"/>
  <c r="Z229" i="55"/>
  <c r="AD228" i="55"/>
  <c r="AD188" i="55"/>
  <c r="Z189" i="55"/>
  <c r="Z208" i="55"/>
  <c r="AD207" i="55"/>
  <c r="AJ230" i="55"/>
  <c r="AN229" i="55"/>
  <c r="H131" i="55"/>
  <c r="AB9" i="55"/>
  <c r="X27" i="27" s="1"/>
  <c r="Q205" i="55"/>
  <c r="U205" i="55" s="1"/>
  <c r="AC36" i="55"/>
  <c r="Q36" i="55"/>
  <c r="T36" i="55"/>
  <c r="AK38" i="55"/>
  <c r="AM36" i="55"/>
  <c r="Z9" i="55"/>
  <c r="V27" i="27" s="1"/>
  <c r="H168" i="55"/>
  <c r="L168" i="55" s="1"/>
  <c r="Q167" i="55"/>
  <c r="U167" i="55" s="1"/>
  <c r="J37" i="55"/>
  <c r="K37" i="55"/>
  <c r="H37" i="55"/>
  <c r="R36" i="55"/>
  <c r="H226" i="55"/>
  <c r="L226" i="55" s="1"/>
  <c r="AJ167" i="55"/>
  <c r="AN167" i="55" s="1"/>
  <c r="AB37" i="55"/>
  <c r="I38" i="55"/>
  <c r="Z168" i="55"/>
  <c r="AD168" i="55" s="1"/>
  <c r="AC9" i="55"/>
  <c r="Y27" i="27" s="1"/>
  <c r="H206" i="55"/>
  <c r="L206" i="55" s="1"/>
  <c r="H187" i="55"/>
  <c r="L187" i="55" s="1"/>
  <c r="AJ37" i="55"/>
  <c r="S36" i="55"/>
  <c r="Q186" i="55"/>
  <c r="U186" i="55" s="1"/>
  <c r="AA38" i="55"/>
  <c r="Z37" i="55"/>
  <c r="AL36" i="55"/>
  <c r="Q226" i="55"/>
  <c r="U226" i="55" s="1"/>
  <c r="AJ369" i="53"/>
  <c r="AK369" i="53"/>
  <c r="J198" i="53"/>
  <c r="J141" i="53"/>
  <c r="J160" i="53" s="1"/>
  <c r="J9" i="53"/>
  <c r="AB198" i="53"/>
  <c r="AB141" i="53"/>
  <c r="AB160" i="53" s="1"/>
  <c r="AB9" i="53"/>
  <c r="H340" i="53"/>
  <c r="R198" i="53"/>
  <c r="U198" i="53" s="1"/>
  <c r="R141" i="53"/>
  <c r="R160" i="53" s="1"/>
  <c r="R9" i="53"/>
  <c r="I77" i="53"/>
  <c r="AK198" i="53"/>
  <c r="AK9" i="53"/>
  <c r="AK388" i="53"/>
  <c r="H300" i="53"/>
  <c r="T75" i="53"/>
  <c r="R75" i="53"/>
  <c r="S76" i="53"/>
  <c r="Y130" i="53"/>
  <c r="Y17" i="53" s="1"/>
  <c r="Y92" i="53"/>
  <c r="Y35" i="53"/>
  <c r="Y54" i="53" s="1"/>
  <c r="H359" i="53"/>
  <c r="AJ198" i="53"/>
  <c r="AJ9" i="53"/>
  <c r="H281" i="53"/>
  <c r="AC85" i="53"/>
  <c r="AC104" i="53" s="1"/>
  <c r="AC28" i="53"/>
  <c r="AC47" i="53" s="1"/>
  <c r="U350" i="53"/>
  <c r="U236" i="53"/>
  <c r="U274" i="53"/>
  <c r="U312" i="53"/>
  <c r="X164" i="53"/>
  <c r="X145" i="53"/>
  <c r="H224" i="53"/>
  <c r="AA76" i="53"/>
  <c r="H262" i="53"/>
  <c r="AL198" i="53"/>
  <c r="AL9" i="53"/>
  <c r="K198" i="53"/>
  <c r="K141" i="53"/>
  <c r="K160" i="53" s="1"/>
  <c r="K9" i="53"/>
  <c r="I198" i="53"/>
  <c r="I141" i="53"/>
  <c r="I9" i="53"/>
  <c r="O90" i="53"/>
  <c r="O128" i="53"/>
  <c r="O33" i="53"/>
  <c r="O15" i="53"/>
  <c r="O52" i="53"/>
  <c r="AC75" i="53"/>
  <c r="AL369" i="53"/>
  <c r="H198" i="53"/>
  <c r="H141" i="53"/>
  <c r="H160" i="53" s="1"/>
  <c r="H9" i="53"/>
  <c r="G127" i="53"/>
  <c r="G14" i="53" s="1"/>
  <c r="G89" i="53"/>
  <c r="G32" i="53"/>
  <c r="G51" i="53" s="1"/>
  <c r="Y148" i="53"/>
  <c r="Y167" i="53" s="1"/>
  <c r="Q319" i="53"/>
  <c r="AJ74" i="53"/>
  <c r="Z141" i="53"/>
  <c r="Z160" i="53" s="1"/>
  <c r="Z198" i="53"/>
  <c r="Z9" i="53"/>
  <c r="AA198" i="53"/>
  <c r="AA141" i="53"/>
  <c r="AA160" i="53"/>
  <c r="AA9" i="53"/>
  <c r="Q262" i="53"/>
  <c r="Q160" i="53"/>
  <c r="P127" i="53"/>
  <c r="P89" i="53"/>
  <c r="P32" i="53"/>
  <c r="P51" i="53" s="1"/>
  <c r="P14" i="53"/>
  <c r="F128" i="53"/>
  <c r="F90" i="53"/>
  <c r="F33" i="53"/>
  <c r="F52" i="53" s="1"/>
  <c r="AI53" i="53"/>
  <c r="AI167" i="53" s="1"/>
  <c r="H75" i="53"/>
  <c r="H243" i="53"/>
  <c r="O146" i="53"/>
  <c r="O165" i="53" s="1"/>
  <c r="Q281" i="53"/>
  <c r="Q224" i="53"/>
  <c r="AM198" i="53"/>
  <c r="AM9" i="53"/>
  <c r="AI130" i="53"/>
  <c r="AI17" i="53" s="1"/>
  <c r="AI92" i="53"/>
  <c r="AI35" i="53"/>
  <c r="AI149" i="53" s="1"/>
  <c r="H319" i="53"/>
  <c r="AH89" i="53"/>
  <c r="AH127" i="53"/>
  <c r="AH14" i="53" s="1"/>
  <c r="AH32" i="53"/>
  <c r="AH146" i="53" s="1"/>
  <c r="K74" i="53"/>
  <c r="T141" i="53"/>
  <c r="T160" i="53" s="1"/>
  <c r="T198" i="53"/>
  <c r="T9" i="53"/>
  <c r="AB75" i="53"/>
  <c r="X13" i="53"/>
  <c r="AM369" i="53"/>
  <c r="Q359" i="53"/>
  <c r="Q300" i="53"/>
  <c r="AK75" i="53"/>
  <c r="L350" i="53"/>
  <c r="L312" i="53"/>
  <c r="L236" i="53"/>
  <c r="L274" i="53"/>
  <c r="Z75" i="53"/>
  <c r="J77" i="53"/>
  <c r="P145" i="53"/>
  <c r="P164" i="53" s="1"/>
  <c r="AL74" i="53"/>
  <c r="S198" i="53"/>
  <c r="S141" i="53"/>
  <c r="S160" i="53" s="1"/>
  <c r="S9" i="53"/>
  <c r="AM75" i="53"/>
  <c r="Q243" i="53"/>
  <c r="Q74" i="53"/>
  <c r="Q340" i="53"/>
  <c r="F146" i="53"/>
  <c r="F165" i="53" s="1"/>
  <c r="AC160" i="53"/>
  <c r="AC369" i="53" s="1"/>
  <c r="AC388" i="53" s="1"/>
  <c r="O12" i="47"/>
  <c r="G88" i="25"/>
  <c r="G13" i="25" s="1"/>
  <c r="G51" i="25" s="1"/>
  <c r="AN312" i="52"/>
  <c r="AN350" i="52"/>
  <c r="AN274" i="52"/>
  <c r="AN236" i="52"/>
  <c r="AK369" i="52" s="1"/>
  <c r="O15" i="52"/>
  <c r="O129" i="52" s="1"/>
  <c r="Q141" i="52"/>
  <c r="Q160" i="52" s="1"/>
  <c r="R198" i="52"/>
  <c r="T198" i="52"/>
  <c r="T141" i="52"/>
  <c r="T160" i="52" s="1"/>
  <c r="T28" i="52"/>
  <c r="T47" i="52" s="1"/>
  <c r="Q9" i="52"/>
  <c r="Q28" i="52" s="1"/>
  <c r="Q47" i="52" s="1"/>
  <c r="R141" i="52"/>
  <c r="R160" i="52" s="1"/>
  <c r="AA9" i="52"/>
  <c r="AA85" i="52" s="1"/>
  <c r="AA104" i="52" s="1"/>
  <c r="X126" i="52"/>
  <c r="X13" i="52" s="1"/>
  <c r="X31" i="52"/>
  <c r="X50" i="52" s="1"/>
  <c r="X88" i="52"/>
  <c r="AA198" i="52"/>
  <c r="S9" i="52"/>
  <c r="S141" i="52"/>
  <c r="S160" i="52" s="1"/>
  <c r="S369" i="52" s="1"/>
  <c r="S198" i="52"/>
  <c r="AB79" i="52"/>
  <c r="AI31" i="52"/>
  <c r="AI145" i="52" s="1"/>
  <c r="AI88" i="52"/>
  <c r="AI126" i="52"/>
  <c r="AI13" i="52" s="1"/>
  <c r="AJ75" i="52"/>
  <c r="Y32" i="52"/>
  <c r="Y51" i="52" s="1"/>
  <c r="Y89" i="52"/>
  <c r="Y127" i="52"/>
  <c r="H75" i="52"/>
  <c r="AK75" i="52"/>
  <c r="R76" i="52"/>
  <c r="AK198" i="52"/>
  <c r="AK9" i="52"/>
  <c r="AJ369" i="52"/>
  <c r="P146" i="52"/>
  <c r="P165" i="52" s="1"/>
  <c r="AA369" i="52"/>
  <c r="K9" i="52"/>
  <c r="F145" i="52"/>
  <c r="F164" i="52" s="1"/>
  <c r="Q324" i="52"/>
  <c r="Z75" i="52"/>
  <c r="S77" i="52"/>
  <c r="AL198" i="52"/>
  <c r="AL9" i="52"/>
  <c r="AH32" i="52"/>
  <c r="AH146" i="52" s="1"/>
  <c r="AH89" i="52"/>
  <c r="AH127" i="52"/>
  <c r="Q74" i="52"/>
  <c r="H229" i="52"/>
  <c r="AB141" i="52"/>
  <c r="AB160" i="52" s="1"/>
  <c r="AB198" i="52"/>
  <c r="AB9" i="52"/>
  <c r="AM9" i="52"/>
  <c r="AM123" i="52" s="1"/>
  <c r="P14" i="52"/>
  <c r="AC141" i="52"/>
  <c r="AC160" i="52" s="1"/>
  <c r="AC198" i="52"/>
  <c r="AC9" i="52"/>
  <c r="AC74" i="52"/>
  <c r="G32" i="52"/>
  <c r="G51" i="52" s="1"/>
  <c r="G89" i="52"/>
  <c r="G127" i="52"/>
  <c r="G14" i="52" s="1"/>
  <c r="F13" i="52"/>
  <c r="Z141" i="52"/>
  <c r="Z160" i="52" s="1"/>
  <c r="Z198" i="52"/>
  <c r="Z9" i="52"/>
  <c r="Q225" i="52"/>
  <c r="AA75" i="52"/>
  <c r="AJ198" i="52"/>
  <c r="AJ9" i="52"/>
  <c r="R28" i="52"/>
  <c r="R47" i="52" s="1"/>
  <c r="R85" i="52"/>
  <c r="R104" i="52" s="1"/>
  <c r="T76" i="52"/>
  <c r="AI49" i="52"/>
  <c r="AI163" i="52" s="1"/>
  <c r="Y145" i="52"/>
  <c r="Y164" i="52" s="1"/>
  <c r="AA218" i="25"/>
  <c r="AA237" i="25" s="1"/>
  <c r="O126" i="47"/>
  <c r="O13" i="47" s="1"/>
  <c r="L87" i="27"/>
  <c r="L163" i="27" s="1"/>
  <c r="L236" i="39"/>
  <c r="J219" i="41"/>
  <c r="K219" i="41"/>
  <c r="L187" i="41"/>
  <c r="H188" i="41"/>
  <c r="H151" i="39"/>
  <c r="L150" i="39"/>
  <c r="H209" i="39"/>
  <c r="L208" i="39"/>
  <c r="L167" i="41"/>
  <c r="H168" i="41"/>
  <c r="L168" i="39"/>
  <c r="H169" i="39"/>
  <c r="I219" i="41"/>
  <c r="L235" i="25"/>
  <c r="F29" i="47"/>
  <c r="F48" i="47" s="1"/>
  <c r="F11" i="47"/>
  <c r="F125" i="47" s="1"/>
  <c r="E163" i="27"/>
  <c r="H9" i="25"/>
  <c r="H47" i="25" s="1"/>
  <c r="H66" i="25" s="1"/>
  <c r="I9" i="25"/>
  <c r="H217" i="25"/>
  <c r="H236" i="25" s="1"/>
  <c r="J217" i="25"/>
  <c r="AA10" i="25"/>
  <c r="AA48" i="25" s="1"/>
  <c r="AA67" i="25" s="1"/>
  <c r="J122" i="25"/>
  <c r="F86" i="47"/>
  <c r="Y13" i="47"/>
  <c r="O31" i="47"/>
  <c r="O50" i="47" s="1"/>
  <c r="U368" i="47"/>
  <c r="AN368" i="47"/>
  <c r="S387" i="47"/>
  <c r="U387" i="47" s="1"/>
  <c r="O88" i="47"/>
  <c r="G31" i="47"/>
  <c r="G50" i="47" s="1"/>
  <c r="G88" i="47"/>
  <c r="L331" i="47"/>
  <c r="L255" i="47"/>
  <c r="X125" i="47"/>
  <c r="X12" i="47" s="1"/>
  <c r="X87" i="47"/>
  <c r="X30" i="47"/>
  <c r="X49" i="47" s="1"/>
  <c r="L368" i="47"/>
  <c r="AD368" i="47"/>
  <c r="AA387" i="47"/>
  <c r="AD387" i="47" s="1"/>
  <c r="AJ46" i="47"/>
  <c r="AN217" i="47"/>
  <c r="AN255" i="47"/>
  <c r="AN293" i="47"/>
  <c r="AN331" i="47"/>
  <c r="L217" i="47"/>
  <c r="Q46" i="47"/>
  <c r="U217" i="47"/>
  <c r="U293" i="47"/>
  <c r="U255" i="47"/>
  <c r="U331" i="47"/>
  <c r="L312" i="47"/>
  <c r="L350" i="47"/>
  <c r="L274" i="47"/>
  <c r="L236" i="47"/>
  <c r="P11" i="47"/>
  <c r="M86" i="27" s="1"/>
  <c r="M162" i="27" s="1"/>
  <c r="P143" i="47"/>
  <c r="P162" i="47" s="1"/>
  <c r="Z46" i="47"/>
  <c r="AD255" i="47"/>
  <c r="AD331" i="47"/>
  <c r="AD293" i="47"/>
  <c r="AD217" i="47"/>
  <c r="L387" i="47"/>
  <c r="L293" i="47"/>
  <c r="AH51" i="47"/>
  <c r="AH165" i="47" s="1"/>
  <c r="AH33" i="47"/>
  <c r="AH147" i="47" s="1"/>
  <c r="I122" i="47"/>
  <c r="H122" i="47"/>
  <c r="AI52" i="47"/>
  <c r="AI166" i="47" s="1"/>
  <c r="AI34" i="47"/>
  <c r="AI148" i="47" s="1"/>
  <c r="AL141" i="47"/>
  <c r="AL160" i="47"/>
  <c r="AK141" i="47"/>
  <c r="AM141" i="47"/>
  <c r="AM160" i="47"/>
  <c r="AK160" i="47"/>
  <c r="AJ141" i="47"/>
  <c r="AJ160" i="47"/>
  <c r="Q225" i="47"/>
  <c r="Q339" i="47"/>
  <c r="Q281" i="47"/>
  <c r="T279" i="47"/>
  <c r="Q243" i="47"/>
  <c r="Q319" i="47"/>
  <c r="J122" i="47"/>
  <c r="K122" i="47"/>
  <c r="Q358" i="47"/>
  <c r="T241" i="47"/>
  <c r="R223" i="47"/>
  <c r="T317" i="47"/>
  <c r="Q300" i="47"/>
  <c r="Q262" i="47"/>
  <c r="H360" i="47"/>
  <c r="H319" i="47"/>
  <c r="H280" i="47"/>
  <c r="H242" i="47"/>
  <c r="Q122" i="47"/>
  <c r="AN387" i="47"/>
  <c r="AA122" i="47"/>
  <c r="AM122" i="47"/>
  <c r="AK73" i="47"/>
  <c r="H224" i="47"/>
  <c r="I74" i="47"/>
  <c r="Z122" i="47"/>
  <c r="AC122" i="47"/>
  <c r="S122" i="47"/>
  <c r="AL73" i="47"/>
  <c r="AC73" i="47"/>
  <c r="AJ122" i="47"/>
  <c r="AK122" i="47"/>
  <c r="R73" i="47"/>
  <c r="AH90" i="47"/>
  <c r="AH128" i="47"/>
  <c r="AH15" i="47" s="1"/>
  <c r="AB122" i="47"/>
  <c r="T73" i="47"/>
  <c r="K73" i="47"/>
  <c r="R122" i="47"/>
  <c r="Z73" i="47"/>
  <c r="AJ74" i="47"/>
  <c r="H74" i="47"/>
  <c r="H339" i="47"/>
  <c r="AI129" i="47"/>
  <c r="AI16" i="47" s="1"/>
  <c r="AI130" i="47" s="1"/>
  <c r="AI91" i="47"/>
  <c r="H300" i="47"/>
  <c r="AA74" i="47"/>
  <c r="S73" i="47"/>
  <c r="AL122" i="47"/>
  <c r="AB74" i="47"/>
  <c r="J74" i="47"/>
  <c r="T122" i="47"/>
  <c r="H262" i="47"/>
  <c r="K9" i="25"/>
  <c r="K47" i="25" s="1"/>
  <c r="K66" i="25" s="1"/>
  <c r="I122" i="25"/>
  <c r="I236" i="25" s="1"/>
  <c r="K122" i="25"/>
  <c r="K236" i="25" s="1"/>
  <c r="X45" i="45"/>
  <c r="AC10" i="25"/>
  <c r="AC48" i="25" s="1"/>
  <c r="AC67" i="25" s="1"/>
  <c r="AD123" i="25"/>
  <c r="AC218" i="25"/>
  <c r="AC237" i="25" s="1"/>
  <c r="Z218" i="25"/>
  <c r="Z237" i="25" s="1"/>
  <c r="Z10" i="25"/>
  <c r="Z48" i="25" s="1"/>
  <c r="Z67" i="25" s="1"/>
  <c r="AB218" i="25"/>
  <c r="AH54" i="25"/>
  <c r="R12" i="45"/>
  <c r="AB10" i="25"/>
  <c r="AB48" i="25" s="1"/>
  <c r="AB67" i="25" s="1"/>
  <c r="Q84" i="25"/>
  <c r="Q9" i="25" s="1"/>
  <c r="S12" i="45"/>
  <c r="AI53" i="25"/>
  <c r="U235" i="25"/>
  <c r="AM236" i="25"/>
  <c r="AL236" i="25"/>
  <c r="AM85" i="25"/>
  <c r="AK236" i="25"/>
  <c r="AN217" i="25"/>
  <c r="AJ85" i="25"/>
  <c r="AJ123" i="25" s="1"/>
  <c r="AL85" i="25"/>
  <c r="AL123" i="25" s="1"/>
  <c r="AK85" i="25"/>
  <c r="AK123" i="25" s="1"/>
  <c r="AI91" i="25"/>
  <c r="AI16" i="25" s="1"/>
  <c r="AH92" i="25"/>
  <c r="AH17" i="25" s="1"/>
  <c r="AH55" i="25" s="1"/>
  <c r="X13" i="25"/>
  <c r="Y13" i="25"/>
  <c r="R84" i="25"/>
  <c r="I47" i="25"/>
  <c r="I66" i="25" s="1"/>
  <c r="J47" i="25"/>
  <c r="J66" i="25" s="1"/>
  <c r="I207" i="25"/>
  <c r="L206" i="25"/>
  <c r="T84" i="25"/>
  <c r="S84" i="25"/>
  <c r="O91" i="25"/>
  <c r="O16" i="25" s="1"/>
  <c r="O54" i="25" s="1"/>
  <c r="P91" i="25"/>
  <c r="P16" i="25" s="1"/>
  <c r="P54" i="25" s="1"/>
  <c r="F89" i="25"/>
  <c r="F14" i="25" s="1"/>
  <c r="F51" i="25"/>
  <c r="J85" i="29"/>
  <c r="H85" i="29"/>
  <c r="K85" i="29"/>
  <c r="F87" i="29"/>
  <c r="F49" i="29"/>
  <c r="G92" i="29"/>
  <c r="G17" i="29" s="1"/>
  <c r="G54" i="29"/>
  <c r="I48" i="29"/>
  <c r="I67" i="29" s="1"/>
  <c r="H222" i="37"/>
  <c r="I222" i="37"/>
  <c r="J222" i="37"/>
  <c r="K222" i="37"/>
  <c r="L185" i="29"/>
  <c r="H186" i="29"/>
  <c r="H167" i="29"/>
  <c r="L166" i="29"/>
  <c r="L185" i="37"/>
  <c r="H186" i="37"/>
  <c r="K187" i="25"/>
  <c r="L186" i="25"/>
  <c r="L147" i="41"/>
  <c r="H148" i="41"/>
  <c r="H148" i="29"/>
  <c r="L147" i="29"/>
  <c r="H49" i="41"/>
  <c r="H68" i="41" s="1"/>
  <c r="H219" i="41"/>
  <c r="L200" i="41"/>
  <c r="I49" i="41"/>
  <c r="I68" i="41" s="1"/>
  <c r="J49" i="41"/>
  <c r="J68" i="41" s="1"/>
  <c r="K49" i="41"/>
  <c r="K68" i="41" s="1"/>
  <c r="K87" i="41" s="1"/>
  <c r="K12" i="41"/>
  <c r="G54" i="41"/>
  <c r="G92" i="41"/>
  <c r="G17" i="41" s="1"/>
  <c r="F14" i="39"/>
  <c r="G53" i="39"/>
  <c r="G91" i="39"/>
  <c r="G16" i="39" s="1"/>
  <c r="H85" i="39"/>
  <c r="H10" i="39" s="1"/>
  <c r="K85" i="39"/>
  <c r="K10" i="39" s="1"/>
  <c r="I85" i="39"/>
  <c r="I10" i="39" s="1"/>
  <c r="J85" i="39"/>
  <c r="J10" i="39" s="1"/>
  <c r="J10" i="37"/>
  <c r="J48" i="37" s="1"/>
  <c r="J67" i="37" s="1"/>
  <c r="J123" i="37"/>
  <c r="J237" i="37" s="1"/>
  <c r="L237" i="37" s="1"/>
  <c r="L218" i="37"/>
  <c r="H208" i="29"/>
  <c r="L207" i="29"/>
  <c r="H36" i="29"/>
  <c r="H37" i="37"/>
  <c r="H207" i="37"/>
  <c r="L206" i="37"/>
  <c r="L168" i="37"/>
  <c r="L149" i="37"/>
  <c r="J111" i="37"/>
  <c r="H111" i="37"/>
  <c r="K112" i="37"/>
  <c r="I111" i="37"/>
  <c r="L151" i="25"/>
  <c r="C91" i="13"/>
  <c r="J17" i="20"/>
  <c r="I120" i="20"/>
  <c r="I118" i="20"/>
  <c r="K22" i="13" s="1"/>
  <c r="I119" i="20"/>
  <c r="I116" i="20"/>
  <c r="J16" i="20"/>
  <c r="I117" i="20"/>
  <c r="I121" i="20"/>
  <c r="I221" i="20" s="1"/>
  <c r="I321" i="20" s="1"/>
  <c r="I122" i="20"/>
  <c r="I222" i="20" s="1"/>
  <c r="I322" i="20" s="1"/>
  <c r="I123" i="20"/>
  <c r="I223" i="20" s="1"/>
  <c r="I323" i="20" s="1"/>
  <c r="J132" i="20"/>
  <c r="J232" i="20" s="1"/>
  <c r="J332" i="20" s="1"/>
  <c r="J140" i="20"/>
  <c r="J240" i="20" s="1"/>
  <c r="J340" i="20" s="1"/>
  <c r="J148" i="20"/>
  <c r="J248" i="20" s="1"/>
  <c r="J348" i="20" s="1"/>
  <c r="J156" i="20"/>
  <c r="J256" i="20" s="1"/>
  <c r="J356" i="20" s="1"/>
  <c r="J127" i="20"/>
  <c r="J227" i="20" s="1"/>
  <c r="J327" i="20" s="1"/>
  <c r="J135" i="20"/>
  <c r="J235" i="20" s="1"/>
  <c r="J335" i="20" s="1"/>
  <c r="J143" i="20"/>
  <c r="J243" i="20" s="1"/>
  <c r="J343" i="20" s="1"/>
  <c r="J151" i="20"/>
  <c r="J251" i="20" s="1"/>
  <c r="J351" i="20" s="1"/>
  <c r="J130" i="20"/>
  <c r="J230" i="20" s="1"/>
  <c r="J330" i="20" s="1"/>
  <c r="J138" i="20"/>
  <c r="J238" i="20" s="1"/>
  <c r="J338" i="20" s="1"/>
  <c r="J146" i="20"/>
  <c r="J246" i="20" s="1"/>
  <c r="J346" i="20" s="1"/>
  <c r="J154" i="20"/>
  <c r="J254" i="20" s="1"/>
  <c r="J354" i="20" s="1"/>
  <c r="J162" i="20"/>
  <c r="J262" i="20" s="1"/>
  <c r="J362" i="20" s="1"/>
  <c r="J125" i="20"/>
  <c r="J225" i="20" s="1"/>
  <c r="J325" i="20" s="1"/>
  <c r="J133" i="20"/>
  <c r="J233" i="20" s="1"/>
  <c r="J333" i="20" s="1"/>
  <c r="J141" i="20"/>
  <c r="J241" i="20" s="1"/>
  <c r="J341" i="20" s="1"/>
  <c r="J136" i="20"/>
  <c r="J236" i="20" s="1"/>
  <c r="J336" i="20" s="1"/>
  <c r="J158" i="20"/>
  <c r="J258" i="20" s="1"/>
  <c r="J358" i="20" s="1"/>
  <c r="J159" i="20"/>
  <c r="J259" i="20" s="1"/>
  <c r="J359" i="20" s="1"/>
  <c r="J160" i="20"/>
  <c r="J260" i="20" s="1"/>
  <c r="J360" i="20" s="1"/>
  <c r="J169" i="20"/>
  <c r="J269" i="20" s="1"/>
  <c r="J369" i="20" s="1"/>
  <c r="J177" i="20"/>
  <c r="J277" i="20" s="1"/>
  <c r="J377" i="20" s="1"/>
  <c r="J185" i="20"/>
  <c r="J285" i="20" s="1"/>
  <c r="J385" i="20" s="1"/>
  <c r="J193" i="20"/>
  <c r="J293" i="20" s="1"/>
  <c r="J393" i="20" s="1"/>
  <c r="J201" i="20"/>
  <c r="J301" i="20" s="1"/>
  <c r="J401" i="20" s="1"/>
  <c r="J209" i="20"/>
  <c r="J309" i="20" s="1"/>
  <c r="J409" i="20" s="1"/>
  <c r="J217" i="20"/>
  <c r="J317" i="20" s="1"/>
  <c r="J417" i="20" s="1"/>
  <c r="J139" i="20"/>
  <c r="J239" i="20" s="1"/>
  <c r="J339" i="20" s="1"/>
  <c r="J149" i="20"/>
  <c r="J249" i="20" s="1"/>
  <c r="J349" i="20" s="1"/>
  <c r="J150" i="20"/>
  <c r="J250" i="20" s="1"/>
  <c r="J350" i="20" s="1"/>
  <c r="J161" i="20"/>
  <c r="J261" i="20" s="1"/>
  <c r="J361" i="20" s="1"/>
  <c r="J166" i="20"/>
  <c r="J266" i="20" s="1"/>
  <c r="J366" i="20" s="1"/>
  <c r="J172" i="20"/>
  <c r="J272" i="20" s="1"/>
  <c r="J372" i="20" s="1"/>
  <c r="J180" i="20"/>
  <c r="J280" i="20" s="1"/>
  <c r="J380" i="20" s="1"/>
  <c r="J188" i="20"/>
  <c r="J288" i="20" s="1"/>
  <c r="J388" i="20" s="1"/>
  <c r="J196" i="20"/>
  <c r="J296" i="20" s="1"/>
  <c r="J396" i="20" s="1"/>
  <c r="J204" i="20"/>
  <c r="J304" i="20" s="1"/>
  <c r="J404" i="20" s="1"/>
  <c r="J212" i="20"/>
  <c r="J312" i="20" s="1"/>
  <c r="J412" i="20" s="1"/>
  <c r="J220" i="20"/>
  <c r="J320" i="20" s="1"/>
  <c r="J420" i="20" s="1"/>
  <c r="J126" i="20"/>
  <c r="J226" i="20" s="1"/>
  <c r="J326" i="20" s="1"/>
  <c r="J142" i="20"/>
  <c r="J242" i="20" s="1"/>
  <c r="J342" i="20" s="1"/>
  <c r="J175" i="20"/>
  <c r="J275" i="20" s="1"/>
  <c r="J375" i="20" s="1"/>
  <c r="J183" i="20"/>
  <c r="J283" i="20" s="1"/>
  <c r="J383" i="20" s="1"/>
  <c r="J191" i="20"/>
  <c r="J291" i="20" s="1"/>
  <c r="J391" i="20" s="1"/>
  <c r="J199" i="20"/>
  <c r="J299" i="20" s="1"/>
  <c r="J399" i="20" s="1"/>
  <c r="J207" i="20"/>
  <c r="J307" i="20" s="1"/>
  <c r="J407" i="20" s="1"/>
  <c r="J215" i="20"/>
  <c r="J315" i="20" s="1"/>
  <c r="J415" i="20" s="1"/>
  <c r="J129" i="20"/>
  <c r="J229" i="20" s="1"/>
  <c r="J329" i="20" s="1"/>
  <c r="J167" i="20"/>
  <c r="J267" i="20" s="1"/>
  <c r="J367" i="20" s="1"/>
  <c r="J170" i="20"/>
  <c r="J270" i="20" s="1"/>
  <c r="J370" i="20" s="1"/>
  <c r="J178" i="20"/>
  <c r="J278" i="20" s="1"/>
  <c r="J378" i="20" s="1"/>
  <c r="J186" i="20"/>
  <c r="J286" i="20" s="1"/>
  <c r="J386" i="20" s="1"/>
  <c r="J194" i="20"/>
  <c r="J294" i="20" s="1"/>
  <c r="J394" i="20" s="1"/>
  <c r="J202" i="20"/>
  <c r="J302" i="20" s="1"/>
  <c r="J402" i="20" s="1"/>
  <c r="J210" i="20"/>
  <c r="J310" i="20" s="1"/>
  <c r="J410" i="20" s="1"/>
  <c r="J218" i="20"/>
  <c r="J318" i="20" s="1"/>
  <c r="J418" i="20" s="1"/>
  <c r="J128" i="20"/>
  <c r="J228" i="20" s="1"/>
  <c r="J328" i="20" s="1"/>
  <c r="J147" i="20"/>
  <c r="J247" i="20" s="1"/>
  <c r="J347" i="20" s="1"/>
  <c r="J163" i="20"/>
  <c r="J263" i="20" s="1"/>
  <c r="J363" i="20" s="1"/>
  <c r="J181" i="20"/>
  <c r="J281" i="20" s="1"/>
  <c r="J381" i="20" s="1"/>
  <c r="J197" i="20"/>
  <c r="J297" i="20" s="1"/>
  <c r="J397" i="20" s="1"/>
  <c r="J213" i="20"/>
  <c r="J313" i="20" s="1"/>
  <c r="J413" i="20" s="1"/>
  <c r="J131" i="20"/>
  <c r="J231" i="20" s="1"/>
  <c r="J331" i="20" s="1"/>
  <c r="J168" i="20"/>
  <c r="J268" i="20" s="1"/>
  <c r="J368" i="20" s="1"/>
  <c r="J184" i="20"/>
  <c r="J284" i="20" s="1"/>
  <c r="J384" i="20" s="1"/>
  <c r="J200" i="20"/>
  <c r="J300" i="20" s="1"/>
  <c r="J400" i="20" s="1"/>
  <c r="J216" i="20"/>
  <c r="J316" i="20" s="1"/>
  <c r="J416" i="20" s="1"/>
  <c r="J134" i="20"/>
  <c r="J234" i="20" s="1"/>
  <c r="J334" i="20" s="1"/>
  <c r="J152" i="20"/>
  <c r="J252" i="20" s="1"/>
  <c r="J352" i="20" s="1"/>
  <c r="J171" i="20"/>
  <c r="J271" i="20" s="1"/>
  <c r="J371" i="20" s="1"/>
  <c r="J187" i="20"/>
  <c r="J287" i="20" s="1"/>
  <c r="J387" i="20" s="1"/>
  <c r="J203" i="20"/>
  <c r="J303" i="20" s="1"/>
  <c r="J403" i="20" s="1"/>
  <c r="J137" i="20"/>
  <c r="J237" i="20" s="1"/>
  <c r="J337" i="20" s="1"/>
  <c r="J145" i="20"/>
  <c r="J245" i="20" s="1"/>
  <c r="J345" i="20" s="1"/>
  <c r="J165" i="20"/>
  <c r="J265" i="20" s="1"/>
  <c r="J365" i="20" s="1"/>
  <c r="J174" i="20"/>
  <c r="J274" i="20" s="1"/>
  <c r="J374" i="20" s="1"/>
  <c r="J190" i="20"/>
  <c r="J290" i="20" s="1"/>
  <c r="J390" i="20" s="1"/>
  <c r="J206" i="20"/>
  <c r="J306" i="20" s="1"/>
  <c r="J406" i="20" s="1"/>
  <c r="J219" i="20"/>
  <c r="J319" i="20" s="1"/>
  <c r="J419" i="20" s="1"/>
  <c r="J189" i="20"/>
  <c r="J289" i="20" s="1"/>
  <c r="J389" i="20" s="1"/>
  <c r="J192" i="20"/>
  <c r="J292" i="20" s="1"/>
  <c r="J392" i="20" s="1"/>
  <c r="J195" i="20"/>
  <c r="J295" i="20" s="1"/>
  <c r="J395" i="20" s="1"/>
  <c r="J176" i="20"/>
  <c r="J276" i="20" s="1"/>
  <c r="J376" i="20" s="1"/>
  <c r="J208" i="20"/>
  <c r="J308" i="20" s="1"/>
  <c r="J408" i="20" s="1"/>
  <c r="J155" i="20"/>
  <c r="J255" i="20" s="1"/>
  <c r="J355" i="20" s="1"/>
  <c r="J198" i="20"/>
  <c r="J298" i="20" s="1"/>
  <c r="J398" i="20" s="1"/>
  <c r="J173" i="20"/>
  <c r="J273" i="20" s="1"/>
  <c r="J373" i="20" s="1"/>
  <c r="J205" i="20"/>
  <c r="J305" i="20" s="1"/>
  <c r="J405" i="20" s="1"/>
  <c r="J179" i="20"/>
  <c r="J279" i="20" s="1"/>
  <c r="J379" i="20" s="1"/>
  <c r="J144" i="20"/>
  <c r="J244" i="20" s="1"/>
  <c r="J344" i="20" s="1"/>
  <c r="J153" i="20"/>
  <c r="J253" i="20" s="1"/>
  <c r="J353" i="20" s="1"/>
  <c r="J214" i="20"/>
  <c r="J314" i="20" s="1"/>
  <c r="J414" i="20" s="1"/>
  <c r="J164" i="20"/>
  <c r="J264" i="20" s="1"/>
  <c r="J364" i="20" s="1"/>
  <c r="J211" i="20"/>
  <c r="J311" i="20" s="1"/>
  <c r="J411" i="20" s="1"/>
  <c r="J157" i="20"/>
  <c r="J257" i="20" s="1"/>
  <c r="J357" i="20" s="1"/>
  <c r="J182" i="20"/>
  <c r="J282" i="20" s="1"/>
  <c r="J382" i="20" s="1"/>
  <c r="I124" i="20"/>
  <c r="I224" i="20" s="1"/>
  <c r="I324" i="20" s="1"/>
  <c r="AH88" i="55" l="1"/>
  <c r="AH107" i="55" s="1"/>
  <c r="AB30" i="27"/>
  <c r="AB87" i="27" s="1"/>
  <c r="AB163" i="27" s="1"/>
  <c r="L7" i="56"/>
  <c r="M7" i="56" s="1"/>
  <c r="F80" i="56"/>
  <c r="L80" i="56" s="1"/>
  <c r="R28" i="46"/>
  <c r="Z28" i="46"/>
  <c r="L27" i="56"/>
  <c r="M27" i="56" s="1"/>
  <c r="Y50" i="55"/>
  <c r="Y88" i="55"/>
  <c r="Y107" i="55" s="1"/>
  <c r="U30" i="27"/>
  <c r="U87" i="27" s="1"/>
  <c r="U163" i="27" s="1"/>
  <c r="AJ132" i="55"/>
  <c r="AM132" i="55"/>
  <c r="AL132" i="55"/>
  <c r="AK132" i="55"/>
  <c r="N28" i="56"/>
  <c r="E56" i="56" s="1"/>
  <c r="T29" i="27"/>
  <c r="T86" i="27" s="1"/>
  <c r="T162" i="27" s="1"/>
  <c r="X87" i="55"/>
  <c r="X106" i="55" s="1"/>
  <c r="X49" i="55"/>
  <c r="G108" i="55"/>
  <c r="O90" i="55"/>
  <c r="O109" i="55" s="1"/>
  <c r="AH13" i="55"/>
  <c r="O52" i="55"/>
  <c r="AL84" i="55"/>
  <c r="AM84" i="55"/>
  <c r="AC30" i="27"/>
  <c r="AC87" i="27" s="1"/>
  <c r="AC163" i="27" s="1"/>
  <c r="AI50" i="55"/>
  <c r="AI88" i="55"/>
  <c r="AA141" i="55"/>
  <c r="AD141" i="55" s="1"/>
  <c r="AA236" i="55"/>
  <c r="AJ84" i="55"/>
  <c r="W27" i="27"/>
  <c r="AA47" i="55"/>
  <c r="AA66" i="55" s="1"/>
  <c r="P50" i="55"/>
  <c r="P88" i="55"/>
  <c r="P13" i="55" s="1"/>
  <c r="AK84" i="55"/>
  <c r="AD229" i="55"/>
  <c r="Z230" i="55"/>
  <c r="Z209" i="55"/>
  <c r="AD208" i="55"/>
  <c r="Z190" i="55"/>
  <c r="AD189" i="55"/>
  <c r="AJ208" i="55"/>
  <c r="AN207" i="55"/>
  <c r="AJ231" i="55"/>
  <c r="AN231" i="55" s="1"/>
  <c r="AN230" i="55"/>
  <c r="H132" i="55"/>
  <c r="Z169" i="55"/>
  <c r="AD169" i="55" s="1"/>
  <c r="Q168" i="55"/>
  <c r="U168" i="55" s="1"/>
  <c r="AM37" i="55"/>
  <c r="AB47" i="55"/>
  <c r="AB66" i="55" s="1"/>
  <c r="I39" i="55"/>
  <c r="AK39" i="55"/>
  <c r="T37" i="55"/>
  <c r="S37" i="55"/>
  <c r="AB38" i="55"/>
  <c r="H227" i="55"/>
  <c r="L227" i="55" s="1"/>
  <c r="H169" i="55"/>
  <c r="L169" i="55" s="1"/>
  <c r="AJ38" i="55"/>
  <c r="K38" i="55"/>
  <c r="AJ168" i="55"/>
  <c r="AN168" i="55" s="1"/>
  <c r="Q37" i="55"/>
  <c r="Q227" i="55"/>
  <c r="U227" i="55" s="1"/>
  <c r="H188" i="55"/>
  <c r="L188" i="55" s="1"/>
  <c r="AC47" i="55"/>
  <c r="AC66" i="55" s="1"/>
  <c r="H38" i="55"/>
  <c r="Z47" i="55"/>
  <c r="Z66" i="55" s="1"/>
  <c r="AB255" i="55"/>
  <c r="AL37" i="55"/>
  <c r="H207" i="55"/>
  <c r="L207" i="55" s="1"/>
  <c r="AC255" i="55"/>
  <c r="J38" i="55"/>
  <c r="Q187" i="55"/>
  <c r="U187" i="55" s="1"/>
  <c r="R37" i="55"/>
  <c r="AC37" i="55"/>
  <c r="AA39" i="55"/>
  <c r="Q206" i="55"/>
  <c r="U206" i="55" s="1"/>
  <c r="Z38" i="55"/>
  <c r="AI54" i="53"/>
  <c r="AI168" i="53" s="1"/>
  <c r="AL388" i="53"/>
  <c r="AH51" i="53"/>
  <c r="AH165" i="53" s="1"/>
  <c r="Q369" i="53"/>
  <c r="Q388" i="53" s="1"/>
  <c r="AM388" i="53"/>
  <c r="AN198" i="53"/>
  <c r="AD198" i="53"/>
  <c r="L198" i="53"/>
  <c r="AI131" i="53"/>
  <c r="AI18" i="53" s="1"/>
  <c r="AI93" i="53"/>
  <c r="AI36" i="53"/>
  <c r="AI150" i="53" s="1"/>
  <c r="F147" i="53"/>
  <c r="F166" i="53"/>
  <c r="AA77" i="53"/>
  <c r="AJ85" i="53"/>
  <c r="AJ104" i="53" s="1"/>
  <c r="AJ28" i="53"/>
  <c r="AJ47" i="53" s="1"/>
  <c r="Q244" i="53"/>
  <c r="H341" i="53"/>
  <c r="AM76" i="53"/>
  <c r="Q360" i="53"/>
  <c r="AH90" i="53"/>
  <c r="AH128" i="53"/>
  <c r="AH15" i="53" s="1"/>
  <c r="AH33" i="53"/>
  <c r="AH147" i="53" s="1"/>
  <c r="H244" i="53"/>
  <c r="Z369" i="53"/>
  <c r="K369" i="53"/>
  <c r="K388" i="53" s="1"/>
  <c r="S85" i="53"/>
  <c r="S104" i="53" s="1"/>
  <c r="S28" i="53"/>
  <c r="S47" i="53" s="1"/>
  <c r="Z76" i="53"/>
  <c r="AC76" i="53"/>
  <c r="Y131" i="53"/>
  <c r="Y93" i="53"/>
  <c r="Y55" i="53"/>
  <c r="Y36" i="53"/>
  <c r="H301" i="53"/>
  <c r="AB85" i="53"/>
  <c r="AB104" i="53" s="1"/>
  <c r="AB28" i="53"/>
  <c r="AB47" i="53" s="1"/>
  <c r="J78" i="53"/>
  <c r="S369" i="53"/>
  <c r="S388" i="53" s="1"/>
  <c r="X127" i="53"/>
  <c r="X32" i="53"/>
  <c r="X51" i="53" s="1"/>
  <c r="X89" i="53"/>
  <c r="H76" i="53"/>
  <c r="P146" i="53"/>
  <c r="P165" i="53" s="1"/>
  <c r="G146" i="53"/>
  <c r="G165" i="53" s="1"/>
  <c r="K85" i="53"/>
  <c r="K104" i="53" s="1"/>
  <c r="K28" i="53"/>
  <c r="K47" i="53" s="1"/>
  <c r="AB76" i="53"/>
  <c r="Q225" i="53"/>
  <c r="AJ75" i="53"/>
  <c r="O91" i="53"/>
  <c r="O129" i="53"/>
  <c r="O16" i="53" s="1"/>
  <c r="O34" i="53"/>
  <c r="O53" i="53" s="1"/>
  <c r="AN369" i="53"/>
  <c r="AK85" i="53"/>
  <c r="AK104" i="53" s="1"/>
  <c r="AK28" i="53"/>
  <c r="AK47" i="53" s="1"/>
  <c r="AB369" i="53"/>
  <c r="AB388" i="53" s="1"/>
  <c r="K75" i="53"/>
  <c r="T76" i="53"/>
  <c r="H320" i="53"/>
  <c r="AJ388" i="53"/>
  <c r="H225" i="53"/>
  <c r="T85" i="53"/>
  <c r="T104" i="53" s="1"/>
  <c r="T28" i="53"/>
  <c r="T47" i="53" s="1"/>
  <c r="Q282" i="53"/>
  <c r="F15" i="53"/>
  <c r="Q263" i="53"/>
  <c r="O147" i="53"/>
  <c r="O166" i="53" s="1"/>
  <c r="AL28" i="53"/>
  <c r="AL47" i="53" s="1"/>
  <c r="AL85" i="53"/>
  <c r="AL104" i="53" s="1"/>
  <c r="Y149" i="53"/>
  <c r="Y168" i="53" s="1"/>
  <c r="I78" i="53"/>
  <c r="J85" i="53"/>
  <c r="J104" i="53" s="1"/>
  <c r="J28" i="53"/>
  <c r="J47" i="53" s="1"/>
  <c r="Q301" i="53"/>
  <c r="Z85" i="53"/>
  <c r="Z104" i="53" s="1"/>
  <c r="Z28" i="53"/>
  <c r="Z47" i="53" s="1"/>
  <c r="Q341" i="53"/>
  <c r="AA85" i="53"/>
  <c r="AA104" i="53" s="1"/>
  <c r="AA28" i="53"/>
  <c r="AA47" i="53" s="1"/>
  <c r="Q320" i="53"/>
  <c r="S77" i="53"/>
  <c r="G128" i="53"/>
  <c r="G15" i="53" s="1"/>
  <c r="G90" i="53"/>
  <c r="G33" i="53"/>
  <c r="G52" i="53" s="1"/>
  <c r="Q75" i="53"/>
  <c r="AL75" i="53"/>
  <c r="AK76" i="53"/>
  <c r="T369" i="53"/>
  <c r="T388" i="53" s="1"/>
  <c r="H85" i="53"/>
  <c r="H104" i="53" s="1"/>
  <c r="H28" i="53"/>
  <c r="I85" i="53"/>
  <c r="I104" i="53" s="1"/>
  <c r="I123" i="53" s="1"/>
  <c r="I28" i="53"/>
  <c r="I47" i="53" s="1"/>
  <c r="H263" i="53"/>
  <c r="H282" i="53"/>
  <c r="R85" i="53"/>
  <c r="R104" i="53" s="1"/>
  <c r="R28" i="53"/>
  <c r="R47" i="53" s="1"/>
  <c r="J369" i="53"/>
  <c r="J388" i="53" s="1"/>
  <c r="P128" i="53"/>
  <c r="P90" i="53"/>
  <c r="P33" i="53"/>
  <c r="P52" i="53" s="1"/>
  <c r="AM85" i="53"/>
  <c r="AM104" i="53" s="1"/>
  <c r="AM28" i="53"/>
  <c r="AM47" i="53" s="1"/>
  <c r="H360" i="53"/>
  <c r="AA369" i="53"/>
  <c r="AA388" i="53" s="1"/>
  <c r="H369" i="53"/>
  <c r="I160" i="53"/>
  <c r="I369" i="53" s="1"/>
  <c r="I388" i="53" s="1"/>
  <c r="R76" i="53"/>
  <c r="R369" i="53"/>
  <c r="R388" i="53" s="1"/>
  <c r="G89" i="25"/>
  <c r="G14" i="25" s="1"/>
  <c r="S13" i="45" s="1"/>
  <c r="AL369" i="52"/>
  <c r="O91" i="52"/>
  <c r="O34" i="52"/>
  <c r="O53" i="52" s="1"/>
  <c r="AA388" i="52"/>
  <c r="Q369" i="52"/>
  <c r="Q388" i="52" s="1"/>
  <c r="R369" i="52"/>
  <c r="R388" i="52" s="1"/>
  <c r="T369" i="52"/>
  <c r="T388" i="52" s="1"/>
  <c r="U198" i="52"/>
  <c r="Q85" i="52"/>
  <c r="Q104" i="52" s="1"/>
  <c r="AA28" i="52"/>
  <c r="AA47" i="52" s="1"/>
  <c r="S388" i="52"/>
  <c r="AH51" i="52"/>
  <c r="AH165" i="52" s="1"/>
  <c r="K123" i="52"/>
  <c r="X127" i="52"/>
  <c r="X14" i="52" s="1"/>
  <c r="X32" i="52"/>
  <c r="X51" i="52" s="1"/>
  <c r="X89" i="52"/>
  <c r="X145" i="52"/>
  <c r="X164" i="52" s="1"/>
  <c r="AD198" i="52"/>
  <c r="S28" i="52"/>
  <c r="S47" i="52" s="1"/>
  <c r="U275" i="52" s="1"/>
  <c r="S85" i="52"/>
  <c r="S104" i="52" s="1"/>
  <c r="AM388" i="52"/>
  <c r="Z369" i="52"/>
  <c r="Z388" i="52" s="1"/>
  <c r="AL388" i="52"/>
  <c r="AA76" i="52"/>
  <c r="F32" i="52"/>
  <c r="F51" i="52" s="1"/>
  <c r="F89" i="52"/>
  <c r="F127" i="52"/>
  <c r="P33" i="52"/>
  <c r="P52" i="52" s="1"/>
  <c r="P90" i="52"/>
  <c r="P128" i="52"/>
  <c r="P15" i="52" s="1"/>
  <c r="AK28" i="52"/>
  <c r="AK47" i="52" s="1"/>
  <c r="AK85" i="52"/>
  <c r="AK104" i="52" s="1"/>
  <c r="AI50" i="52"/>
  <c r="AI164" i="52" s="1"/>
  <c r="T77" i="52"/>
  <c r="Q226" i="52"/>
  <c r="AM28" i="52"/>
  <c r="AM85" i="52"/>
  <c r="S78" i="52"/>
  <c r="AI32" i="52"/>
  <c r="AI146" i="52" s="1"/>
  <c r="AI89" i="52"/>
  <c r="AI127" i="52"/>
  <c r="AI14" i="52" s="1"/>
  <c r="G33" i="52"/>
  <c r="G52" i="52" s="1"/>
  <c r="G90" i="52"/>
  <c r="G128" i="52"/>
  <c r="Y146" i="52"/>
  <c r="Y165" i="52" s="1"/>
  <c r="O148" i="52"/>
  <c r="O167" i="52" s="1"/>
  <c r="H76" i="52"/>
  <c r="Z28" i="52"/>
  <c r="Z47" i="52" s="1"/>
  <c r="Z85" i="52"/>
  <c r="Z104" i="52" s="1"/>
  <c r="AB28" i="52"/>
  <c r="AB47" i="52" s="1"/>
  <c r="AB85" i="52"/>
  <c r="AB104" i="52" s="1"/>
  <c r="AC75" i="52"/>
  <c r="AK388" i="52"/>
  <c r="R77" i="52"/>
  <c r="AH14" i="52"/>
  <c r="K28" i="52"/>
  <c r="K85" i="52"/>
  <c r="AB369" i="52"/>
  <c r="AB388" i="52" s="1"/>
  <c r="AL28" i="52"/>
  <c r="AL47" i="52" s="1"/>
  <c r="AL85" i="52"/>
  <c r="AL104" i="52" s="1"/>
  <c r="AK76" i="52"/>
  <c r="Y14" i="52"/>
  <c r="O16" i="52"/>
  <c r="AC28" i="52"/>
  <c r="AC47" i="52" s="1"/>
  <c r="AC85" i="52"/>
  <c r="AC104" i="52" s="1"/>
  <c r="Z76" i="52"/>
  <c r="AJ28" i="52"/>
  <c r="AJ47" i="52" s="1"/>
  <c r="AJ85" i="52"/>
  <c r="AJ104" i="52" s="1"/>
  <c r="AJ123" i="52" s="1"/>
  <c r="H230" i="52"/>
  <c r="K160" i="52"/>
  <c r="AJ76" i="52"/>
  <c r="AN198" i="52"/>
  <c r="Q325" i="52"/>
  <c r="G146" i="52"/>
  <c r="G165" i="52" s="1"/>
  <c r="AC369" i="52"/>
  <c r="AC388" i="52" s="1"/>
  <c r="Q75" i="52"/>
  <c r="AN369" i="52"/>
  <c r="AJ388" i="52"/>
  <c r="O145" i="47"/>
  <c r="O164" i="47" s="1"/>
  <c r="G90" i="25"/>
  <c r="G15" i="25" s="1"/>
  <c r="S14" i="45" s="1"/>
  <c r="G52" i="25"/>
  <c r="O89" i="47"/>
  <c r="L88" i="27"/>
  <c r="L164" i="27" s="1"/>
  <c r="AI17" i="47"/>
  <c r="J236" i="25"/>
  <c r="L236" i="25" s="1"/>
  <c r="L219" i="41"/>
  <c r="L209" i="39"/>
  <c r="H210" i="39"/>
  <c r="L151" i="39"/>
  <c r="H152" i="39"/>
  <c r="L169" i="39"/>
  <c r="H170" i="39"/>
  <c r="L168" i="41"/>
  <c r="H169" i="41"/>
  <c r="L188" i="41"/>
  <c r="H189" i="41"/>
  <c r="F143" i="47"/>
  <c r="F162" i="47" s="1"/>
  <c r="L217" i="25"/>
  <c r="Q122" i="25"/>
  <c r="F30" i="47"/>
  <c r="F49" i="47" s="1"/>
  <c r="F87" i="47"/>
  <c r="F12" i="47"/>
  <c r="F126" i="47" s="1"/>
  <c r="Y127" i="47"/>
  <c r="Y146" i="47" s="1"/>
  <c r="Y165" i="47" s="1"/>
  <c r="Y89" i="47"/>
  <c r="Y32" i="47"/>
  <c r="Y51" i="47" s="1"/>
  <c r="G13" i="47"/>
  <c r="G145" i="47"/>
  <c r="G164" i="47" s="1"/>
  <c r="O127" i="47"/>
  <c r="O14" i="47" s="1"/>
  <c r="O32" i="47"/>
  <c r="O51" i="47" s="1"/>
  <c r="X126" i="47"/>
  <c r="X88" i="47"/>
  <c r="X31" i="47"/>
  <c r="X50" i="47" s="1"/>
  <c r="X144" i="47"/>
  <c r="X163" i="47" s="1"/>
  <c r="Q9" i="47"/>
  <c r="Q141" i="47"/>
  <c r="K9" i="47"/>
  <c r="K141" i="47"/>
  <c r="K160" i="47" s="1"/>
  <c r="K369" i="47" s="1"/>
  <c r="AD312" i="47"/>
  <c r="AD236" i="47"/>
  <c r="AD274" i="47"/>
  <c r="AD350" i="47"/>
  <c r="S141" i="47"/>
  <c r="S160" i="47" s="1"/>
  <c r="J198" i="47"/>
  <c r="J141" i="47"/>
  <c r="J160" i="47" s="1"/>
  <c r="Z141" i="47"/>
  <c r="Z160" i="47" s="1"/>
  <c r="P30" i="47"/>
  <c r="P49" i="47" s="1"/>
  <c r="P87" i="47"/>
  <c r="P125" i="47"/>
  <c r="R141" i="47"/>
  <c r="R160" i="47" s="1"/>
  <c r="AA141" i="47"/>
  <c r="AA160" i="47" s="1"/>
  <c r="AN350" i="47"/>
  <c r="AN312" i="47"/>
  <c r="AN236" i="47"/>
  <c r="AN274" i="47"/>
  <c r="AC141" i="47"/>
  <c r="AC160" i="47" s="1"/>
  <c r="T141" i="47"/>
  <c r="T160" i="47" s="1"/>
  <c r="H198" i="47"/>
  <c r="H141" i="47"/>
  <c r="H160" i="47" s="1"/>
  <c r="H369" i="47" s="1"/>
  <c r="AB141" i="47"/>
  <c r="I198" i="47"/>
  <c r="I141" i="47"/>
  <c r="I160" i="47" s="1"/>
  <c r="U312" i="47"/>
  <c r="U236" i="47"/>
  <c r="U274" i="47"/>
  <c r="U350" i="47"/>
  <c r="K198" i="47"/>
  <c r="H9" i="47"/>
  <c r="AH34" i="47"/>
  <c r="AH148" i="47" s="1"/>
  <c r="AH52" i="47"/>
  <c r="AH166" i="47" s="1"/>
  <c r="I9" i="47"/>
  <c r="J9" i="47"/>
  <c r="AI35" i="47"/>
  <c r="AI149" i="47" s="1"/>
  <c r="Q198" i="47"/>
  <c r="AI53" i="47"/>
  <c r="AI167" i="47" s="1"/>
  <c r="T318" i="47"/>
  <c r="T280" i="47"/>
  <c r="Q340" i="47"/>
  <c r="R224" i="47"/>
  <c r="Q301" i="47"/>
  <c r="Q359" i="47"/>
  <c r="Q244" i="47"/>
  <c r="Q282" i="47"/>
  <c r="Q226" i="47"/>
  <c r="Q263" i="47"/>
  <c r="T242" i="47"/>
  <c r="Q320" i="47"/>
  <c r="H361" i="47"/>
  <c r="H320" i="47"/>
  <c r="H281" i="47"/>
  <c r="H243" i="47"/>
  <c r="AA198" i="47"/>
  <c r="AA9" i="47"/>
  <c r="AM198" i="47"/>
  <c r="AM9" i="47"/>
  <c r="AI92" i="47"/>
  <c r="S198" i="47"/>
  <c r="S9" i="47"/>
  <c r="H263" i="47"/>
  <c r="H301" i="47"/>
  <c r="R74" i="47"/>
  <c r="AB198" i="47"/>
  <c r="AB9" i="47"/>
  <c r="X84" i="27" s="1"/>
  <c r="X160" i="27" s="1"/>
  <c r="T198" i="47"/>
  <c r="T9" i="47"/>
  <c r="AB75" i="47"/>
  <c r="S74" i="47"/>
  <c r="H75" i="47"/>
  <c r="Z74" i="47"/>
  <c r="AH91" i="47"/>
  <c r="AH129" i="47"/>
  <c r="AC198" i="47"/>
  <c r="AC9" i="47"/>
  <c r="Y84" i="27" s="1"/>
  <c r="Y160" i="27" s="1"/>
  <c r="AL198" i="47"/>
  <c r="AL9" i="47"/>
  <c r="AA75" i="47"/>
  <c r="T74" i="47"/>
  <c r="AK198" i="47"/>
  <c r="AK9" i="47"/>
  <c r="AL74" i="47"/>
  <c r="Z198" i="47"/>
  <c r="Z9" i="47"/>
  <c r="V84" i="27" s="1"/>
  <c r="V160" i="27" s="1"/>
  <c r="K74" i="47"/>
  <c r="AC74" i="47"/>
  <c r="H225" i="47"/>
  <c r="AK74" i="47"/>
  <c r="J75" i="47"/>
  <c r="H340" i="47"/>
  <c r="AJ75" i="47"/>
  <c r="R198" i="47"/>
  <c r="R9" i="47"/>
  <c r="AJ198" i="47"/>
  <c r="AJ9" i="47"/>
  <c r="I75" i="47"/>
  <c r="L122" i="25"/>
  <c r="AD218" i="25"/>
  <c r="AB237" i="25"/>
  <c r="AD237" i="25" s="1"/>
  <c r="Q217" i="25"/>
  <c r="R13" i="45"/>
  <c r="AM218" i="25"/>
  <c r="AM123" i="25"/>
  <c r="AI54" i="25"/>
  <c r="U8" i="45"/>
  <c r="U46" i="45" s="1"/>
  <c r="T8" i="45"/>
  <c r="T46" i="45" s="1"/>
  <c r="V8" i="45"/>
  <c r="V46" i="45" s="1"/>
  <c r="W8" i="45"/>
  <c r="W46" i="45" s="1"/>
  <c r="AN236" i="25"/>
  <c r="AM10" i="25"/>
  <c r="AM48" i="25" s="1"/>
  <c r="AM67" i="25" s="1"/>
  <c r="AK10" i="25"/>
  <c r="AK48" i="25" s="1"/>
  <c r="AK67" i="25" s="1"/>
  <c r="AK218" i="25"/>
  <c r="AL10" i="25"/>
  <c r="AL48" i="25" s="1"/>
  <c r="AL67" i="25" s="1"/>
  <c r="AL218" i="25"/>
  <c r="AJ10" i="25"/>
  <c r="AJ48" i="25" s="1"/>
  <c r="AJ67" i="25" s="1"/>
  <c r="AJ218" i="25"/>
  <c r="AH93" i="25"/>
  <c r="AH18" i="25" s="1"/>
  <c r="AH56" i="25" s="1"/>
  <c r="AI92" i="25"/>
  <c r="AI17" i="25" s="1"/>
  <c r="AI55" i="25" s="1"/>
  <c r="AB86" i="25"/>
  <c r="AB124" i="25" s="1"/>
  <c r="AC86" i="25"/>
  <c r="AC124" i="25" s="1"/>
  <c r="Z86" i="25"/>
  <c r="Z124" i="25" s="1"/>
  <c r="AA86" i="25"/>
  <c r="AA124" i="25" s="1"/>
  <c r="X89" i="25"/>
  <c r="X14" i="25" s="1"/>
  <c r="Y89" i="25"/>
  <c r="Y14" i="25" s="1"/>
  <c r="Y51" i="25"/>
  <c r="X51" i="25"/>
  <c r="H85" i="25"/>
  <c r="T9" i="25"/>
  <c r="T122" i="25"/>
  <c r="T217" i="25"/>
  <c r="I85" i="25"/>
  <c r="K85" i="25"/>
  <c r="L207" i="25"/>
  <c r="I208" i="25"/>
  <c r="S122" i="25"/>
  <c r="S217" i="25"/>
  <c r="S9" i="25"/>
  <c r="Q47" i="25"/>
  <c r="Q66" i="25" s="1"/>
  <c r="J85" i="25"/>
  <c r="R122" i="25"/>
  <c r="R217" i="25"/>
  <c r="R9" i="25"/>
  <c r="P92" i="25"/>
  <c r="P17" i="25" s="1"/>
  <c r="P55" i="25" s="1"/>
  <c r="O92" i="25"/>
  <c r="G91" i="25"/>
  <c r="G16" i="25" s="1"/>
  <c r="S15" i="45" s="1"/>
  <c r="G53" i="25"/>
  <c r="F90" i="25"/>
  <c r="F15" i="25" s="1"/>
  <c r="F52" i="25"/>
  <c r="G93" i="29"/>
  <c r="G18" i="29" s="1"/>
  <c r="G55" i="29"/>
  <c r="F12" i="29"/>
  <c r="K10" i="29"/>
  <c r="K123" i="29"/>
  <c r="K218" i="29"/>
  <c r="H10" i="29"/>
  <c r="H123" i="29"/>
  <c r="H218" i="29"/>
  <c r="J10" i="29"/>
  <c r="J123" i="29"/>
  <c r="J218" i="29"/>
  <c r="H223" i="37"/>
  <c r="I223" i="37"/>
  <c r="J223" i="37"/>
  <c r="K223" i="37"/>
  <c r="L186" i="37"/>
  <c r="H187" i="37"/>
  <c r="H168" i="29"/>
  <c r="L167" i="29"/>
  <c r="L186" i="29"/>
  <c r="H187" i="29"/>
  <c r="J87" i="41"/>
  <c r="J12" i="41" s="1"/>
  <c r="I87" i="41"/>
  <c r="I12" i="41" s="1"/>
  <c r="H87" i="41"/>
  <c r="H12" i="41" s="1"/>
  <c r="K188" i="25"/>
  <c r="L187" i="25"/>
  <c r="H149" i="29"/>
  <c r="L148" i="29"/>
  <c r="L148" i="41"/>
  <c r="H149" i="41"/>
  <c r="G55" i="41"/>
  <c r="G93" i="41"/>
  <c r="G18" i="41" s="1"/>
  <c r="F50" i="41"/>
  <c r="F88" i="41"/>
  <c r="F13" i="41" s="1"/>
  <c r="K125" i="41"/>
  <c r="K201" i="41"/>
  <c r="J125" i="41"/>
  <c r="J201" i="41"/>
  <c r="I125" i="41"/>
  <c r="I201" i="41"/>
  <c r="H125" i="41"/>
  <c r="H201" i="41"/>
  <c r="J123" i="39"/>
  <c r="J218" i="39"/>
  <c r="I123" i="39"/>
  <c r="I218" i="39"/>
  <c r="K123" i="39"/>
  <c r="K218" i="39"/>
  <c r="H123" i="39"/>
  <c r="H218" i="39"/>
  <c r="G54" i="39"/>
  <c r="G92" i="39"/>
  <c r="G17" i="39" s="1"/>
  <c r="F52" i="39"/>
  <c r="F90" i="39"/>
  <c r="F15" i="39" s="1"/>
  <c r="J86" i="37"/>
  <c r="K86" i="37"/>
  <c r="I86" i="37"/>
  <c r="H86" i="37"/>
  <c r="H11" i="37"/>
  <c r="H49" i="37" s="1"/>
  <c r="H68" i="37" s="1"/>
  <c r="H124" i="37"/>
  <c r="H238" i="37" s="1"/>
  <c r="I11" i="37"/>
  <c r="I49" i="37" s="1"/>
  <c r="I68" i="37" s="1"/>
  <c r="I124" i="37"/>
  <c r="I238" i="37" s="1"/>
  <c r="K11" i="37"/>
  <c r="K49" i="37" s="1"/>
  <c r="K68" i="37" s="1"/>
  <c r="K124" i="37"/>
  <c r="K238" i="37" s="1"/>
  <c r="J11" i="37"/>
  <c r="J49" i="37" s="1"/>
  <c r="J68" i="37" s="1"/>
  <c r="J87" i="37" s="1"/>
  <c r="J124" i="37"/>
  <c r="J238" i="37" s="1"/>
  <c r="G50" i="37"/>
  <c r="G88" i="37"/>
  <c r="G13" i="37" s="1"/>
  <c r="F50" i="37"/>
  <c r="F88" i="37"/>
  <c r="F13" i="37" s="1"/>
  <c r="H209" i="29"/>
  <c r="L208" i="29"/>
  <c r="H38" i="37"/>
  <c r="H37" i="29"/>
  <c r="H208" i="37"/>
  <c r="L207" i="37"/>
  <c r="L169" i="37"/>
  <c r="L150" i="37"/>
  <c r="I112" i="37"/>
  <c r="H112" i="37"/>
  <c r="K113" i="37"/>
  <c r="J112" i="37"/>
  <c r="L152" i="25"/>
  <c r="C92" i="13"/>
  <c r="K17" i="20"/>
  <c r="J119" i="20"/>
  <c r="J120" i="20"/>
  <c r="J121" i="20"/>
  <c r="J221" i="20" s="1"/>
  <c r="J321" i="20" s="1"/>
  <c r="J118" i="20"/>
  <c r="K23" i="13" s="1"/>
  <c r="J116" i="20"/>
  <c r="K16" i="20"/>
  <c r="J117" i="20"/>
  <c r="J124" i="20"/>
  <c r="J224" i="20" s="1"/>
  <c r="J324" i="20" s="1"/>
  <c r="K129" i="20"/>
  <c r="K229" i="20" s="1"/>
  <c r="K329" i="20" s="1"/>
  <c r="K137" i="20"/>
  <c r="K237" i="20" s="1"/>
  <c r="K337" i="20" s="1"/>
  <c r="K145" i="20"/>
  <c r="K245" i="20" s="1"/>
  <c r="K345" i="20" s="1"/>
  <c r="K153" i="20"/>
  <c r="K253" i="20" s="1"/>
  <c r="K353" i="20" s="1"/>
  <c r="K132" i="20"/>
  <c r="K232" i="20" s="1"/>
  <c r="K332" i="20" s="1"/>
  <c r="K140" i="20"/>
  <c r="K240" i="20" s="1"/>
  <c r="K340" i="20" s="1"/>
  <c r="K148" i="20"/>
  <c r="K248" i="20" s="1"/>
  <c r="K348" i="20" s="1"/>
  <c r="K127" i="20"/>
  <c r="K227" i="20" s="1"/>
  <c r="K327" i="20" s="1"/>
  <c r="K135" i="20"/>
  <c r="K235" i="20" s="1"/>
  <c r="K335" i="20" s="1"/>
  <c r="K143" i="20"/>
  <c r="K243" i="20" s="1"/>
  <c r="K343" i="20" s="1"/>
  <c r="K151" i="20"/>
  <c r="K251" i="20" s="1"/>
  <c r="K351" i="20" s="1"/>
  <c r="K159" i="20"/>
  <c r="K259" i="20" s="1"/>
  <c r="K359" i="20" s="1"/>
  <c r="K167" i="20"/>
  <c r="K267" i="20" s="1"/>
  <c r="K367" i="20" s="1"/>
  <c r="K130" i="20"/>
  <c r="K230" i="20" s="1"/>
  <c r="K330" i="20" s="1"/>
  <c r="K138" i="20"/>
  <c r="K238" i="20" s="1"/>
  <c r="K338" i="20" s="1"/>
  <c r="K133" i="20"/>
  <c r="K233" i="20" s="1"/>
  <c r="K333" i="20" s="1"/>
  <c r="K144" i="20"/>
  <c r="K244" i="20" s="1"/>
  <c r="K344" i="20" s="1"/>
  <c r="K155" i="20"/>
  <c r="K255" i="20" s="1"/>
  <c r="K355" i="20" s="1"/>
  <c r="K156" i="20"/>
  <c r="K256" i="20" s="1"/>
  <c r="K356" i="20" s="1"/>
  <c r="K157" i="20"/>
  <c r="K257" i="20" s="1"/>
  <c r="K357" i="20" s="1"/>
  <c r="K165" i="20"/>
  <c r="K265" i="20" s="1"/>
  <c r="K365" i="20" s="1"/>
  <c r="K174" i="20"/>
  <c r="K274" i="20" s="1"/>
  <c r="K374" i="20" s="1"/>
  <c r="K182" i="20"/>
  <c r="K282" i="20" s="1"/>
  <c r="K382" i="20" s="1"/>
  <c r="K190" i="20"/>
  <c r="K290" i="20" s="1"/>
  <c r="K390" i="20" s="1"/>
  <c r="K198" i="20"/>
  <c r="K298" i="20" s="1"/>
  <c r="K398" i="20" s="1"/>
  <c r="K206" i="20"/>
  <c r="K306" i="20" s="1"/>
  <c r="K406" i="20" s="1"/>
  <c r="K214" i="20"/>
  <c r="K314" i="20" s="1"/>
  <c r="K414" i="20" s="1"/>
  <c r="K136" i="20"/>
  <c r="K236" i="20" s="1"/>
  <c r="K336" i="20" s="1"/>
  <c r="K158" i="20"/>
  <c r="K258" i="20" s="1"/>
  <c r="K358" i="20" s="1"/>
  <c r="K160" i="20"/>
  <c r="K260" i="20" s="1"/>
  <c r="K360" i="20" s="1"/>
  <c r="K169" i="20"/>
  <c r="K269" i="20" s="1"/>
  <c r="K369" i="20" s="1"/>
  <c r="K177" i="20"/>
  <c r="K277" i="20" s="1"/>
  <c r="K377" i="20" s="1"/>
  <c r="K185" i="20"/>
  <c r="K285" i="20" s="1"/>
  <c r="K385" i="20" s="1"/>
  <c r="K193" i="20"/>
  <c r="K293" i="20" s="1"/>
  <c r="K393" i="20" s="1"/>
  <c r="K201" i="20"/>
  <c r="K301" i="20" s="1"/>
  <c r="K401" i="20" s="1"/>
  <c r="K209" i="20"/>
  <c r="K309" i="20" s="1"/>
  <c r="K409" i="20" s="1"/>
  <c r="K217" i="20"/>
  <c r="K317" i="20" s="1"/>
  <c r="K417" i="20" s="1"/>
  <c r="K139" i="20"/>
  <c r="K239" i="20" s="1"/>
  <c r="K339" i="20" s="1"/>
  <c r="K149" i="20"/>
  <c r="K249" i="20" s="1"/>
  <c r="K349" i="20" s="1"/>
  <c r="K150" i="20"/>
  <c r="K250" i="20" s="1"/>
  <c r="K350" i="20" s="1"/>
  <c r="K161" i="20"/>
  <c r="K261" i="20" s="1"/>
  <c r="K361" i="20" s="1"/>
  <c r="K166" i="20"/>
  <c r="K266" i="20" s="1"/>
  <c r="K366" i="20" s="1"/>
  <c r="K172" i="20"/>
  <c r="K272" i="20" s="1"/>
  <c r="K372" i="20" s="1"/>
  <c r="K180" i="20"/>
  <c r="K280" i="20" s="1"/>
  <c r="K380" i="20" s="1"/>
  <c r="K188" i="20"/>
  <c r="K288" i="20" s="1"/>
  <c r="K388" i="20" s="1"/>
  <c r="K196" i="20"/>
  <c r="K296" i="20" s="1"/>
  <c r="K396" i="20" s="1"/>
  <c r="K204" i="20"/>
  <c r="K304" i="20" s="1"/>
  <c r="K404" i="20" s="1"/>
  <c r="K212" i="20"/>
  <c r="K312" i="20" s="1"/>
  <c r="K412" i="20" s="1"/>
  <c r="K220" i="20"/>
  <c r="K320" i="20" s="1"/>
  <c r="K420" i="20" s="1"/>
  <c r="K126" i="20"/>
  <c r="K226" i="20" s="1"/>
  <c r="K326" i="20" s="1"/>
  <c r="K142" i="20"/>
  <c r="K242" i="20" s="1"/>
  <c r="K342" i="20" s="1"/>
  <c r="K162" i="20"/>
  <c r="K262" i="20" s="1"/>
  <c r="K362" i="20" s="1"/>
  <c r="K175" i="20"/>
  <c r="K275" i="20" s="1"/>
  <c r="K375" i="20" s="1"/>
  <c r="K183" i="20"/>
  <c r="K283" i="20" s="1"/>
  <c r="K383" i="20" s="1"/>
  <c r="K191" i="20"/>
  <c r="K291" i="20" s="1"/>
  <c r="K391" i="20" s="1"/>
  <c r="K199" i="20"/>
  <c r="K299" i="20" s="1"/>
  <c r="K399" i="20" s="1"/>
  <c r="K207" i="20"/>
  <c r="K307" i="20" s="1"/>
  <c r="K407" i="20" s="1"/>
  <c r="K215" i="20"/>
  <c r="K315" i="20" s="1"/>
  <c r="K415" i="20" s="1"/>
  <c r="K125" i="20"/>
  <c r="K225" i="20" s="1"/>
  <c r="K325" i="20" s="1"/>
  <c r="K178" i="20"/>
  <c r="K278" i="20" s="1"/>
  <c r="K378" i="20" s="1"/>
  <c r="K194" i="20"/>
  <c r="K294" i="20" s="1"/>
  <c r="K394" i="20" s="1"/>
  <c r="K210" i="20"/>
  <c r="K310" i="20" s="1"/>
  <c r="K410" i="20" s="1"/>
  <c r="K128" i="20"/>
  <c r="K228" i="20" s="1"/>
  <c r="K328" i="20" s="1"/>
  <c r="K147" i="20"/>
  <c r="K247" i="20" s="1"/>
  <c r="K347" i="20" s="1"/>
  <c r="K163" i="20"/>
  <c r="K263" i="20" s="1"/>
  <c r="K363" i="20" s="1"/>
  <c r="K181" i="20"/>
  <c r="K281" i="20" s="1"/>
  <c r="K381" i="20" s="1"/>
  <c r="K197" i="20"/>
  <c r="K297" i="20" s="1"/>
  <c r="K397" i="20" s="1"/>
  <c r="K213" i="20"/>
  <c r="K313" i="20" s="1"/>
  <c r="K413" i="20" s="1"/>
  <c r="K131" i="20"/>
  <c r="K231" i="20" s="1"/>
  <c r="K331" i="20" s="1"/>
  <c r="K168" i="20"/>
  <c r="K268" i="20" s="1"/>
  <c r="K368" i="20" s="1"/>
  <c r="K184" i="20"/>
  <c r="K284" i="20" s="1"/>
  <c r="K384" i="20" s="1"/>
  <c r="K200" i="20"/>
  <c r="K300" i="20" s="1"/>
  <c r="K400" i="20" s="1"/>
  <c r="K216" i="20"/>
  <c r="K316" i="20" s="1"/>
  <c r="K416" i="20" s="1"/>
  <c r="K134" i="20"/>
  <c r="K234" i="20" s="1"/>
  <c r="K334" i="20" s="1"/>
  <c r="K152" i="20"/>
  <c r="K252" i="20" s="1"/>
  <c r="K352" i="20" s="1"/>
  <c r="K154" i="20"/>
  <c r="K254" i="20" s="1"/>
  <c r="K354" i="20" s="1"/>
  <c r="K171" i="20"/>
  <c r="K271" i="20" s="1"/>
  <c r="K371" i="20" s="1"/>
  <c r="K187" i="20"/>
  <c r="K287" i="20" s="1"/>
  <c r="K387" i="20" s="1"/>
  <c r="K203" i="20"/>
  <c r="K303" i="20" s="1"/>
  <c r="K403" i="20" s="1"/>
  <c r="K141" i="20"/>
  <c r="K241" i="20" s="1"/>
  <c r="K341" i="20" s="1"/>
  <c r="K186" i="20"/>
  <c r="K286" i="20" s="1"/>
  <c r="K386" i="20" s="1"/>
  <c r="K218" i="20"/>
  <c r="K318" i="20" s="1"/>
  <c r="K418" i="20" s="1"/>
  <c r="K202" i="20"/>
  <c r="K302" i="20" s="1"/>
  <c r="K402" i="20" s="1"/>
  <c r="K173" i="20"/>
  <c r="K273" i="20" s="1"/>
  <c r="K373" i="20" s="1"/>
  <c r="K146" i="20"/>
  <c r="K246" i="20" s="1"/>
  <c r="K346" i="20" s="1"/>
  <c r="K189" i="20"/>
  <c r="K289" i="20" s="1"/>
  <c r="K389" i="20" s="1"/>
  <c r="K205" i="20"/>
  <c r="K305" i="20" s="1"/>
  <c r="K405" i="20" s="1"/>
  <c r="K192" i="20"/>
  <c r="K292" i="20" s="1"/>
  <c r="K392" i="20" s="1"/>
  <c r="K195" i="20"/>
  <c r="K295" i="20" s="1"/>
  <c r="K395" i="20" s="1"/>
  <c r="K170" i="20"/>
  <c r="K270" i="20" s="1"/>
  <c r="K370" i="20" s="1"/>
  <c r="K219" i="20"/>
  <c r="K319" i="20" s="1"/>
  <c r="K419" i="20" s="1"/>
  <c r="K179" i="20"/>
  <c r="K279" i="20" s="1"/>
  <c r="K379" i="20" s="1"/>
  <c r="K176" i="20"/>
  <c r="K276" i="20" s="1"/>
  <c r="K376" i="20" s="1"/>
  <c r="K164" i="20"/>
  <c r="K264" i="20" s="1"/>
  <c r="K364" i="20" s="1"/>
  <c r="K211" i="20"/>
  <c r="K311" i="20" s="1"/>
  <c r="K411" i="20" s="1"/>
  <c r="K208" i="20"/>
  <c r="K308" i="20" s="1"/>
  <c r="K408" i="20" s="1"/>
  <c r="J123" i="20"/>
  <c r="J223" i="20" s="1"/>
  <c r="J323" i="20" s="1"/>
  <c r="J122" i="20"/>
  <c r="J222" i="20" s="1"/>
  <c r="J322" i="20" s="1"/>
  <c r="E14" i="13"/>
  <c r="E15" i="13" s="1"/>
  <c r="E16" i="13" s="1"/>
  <c r="F14" i="13"/>
  <c r="F15" i="13" s="1"/>
  <c r="F16" i="13" s="1"/>
  <c r="G14" i="13"/>
  <c r="G15" i="13" s="1"/>
  <c r="G16" i="13" s="1"/>
  <c r="H14" i="13"/>
  <c r="H15" i="13" s="1"/>
  <c r="H16" i="13" s="1"/>
  <c r="D4" i="13"/>
  <c r="E4" i="13"/>
  <c r="F4" i="13"/>
  <c r="G4" i="13"/>
  <c r="H4" i="13"/>
  <c r="C4" i="13"/>
  <c r="U34" i="18"/>
  <c r="U35" i="18"/>
  <c r="U36" i="18"/>
  <c r="U37" i="18"/>
  <c r="U38" i="18"/>
  <c r="U39" i="18"/>
  <c r="U40" i="18"/>
  <c r="U41" i="18"/>
  <c r="U42" i="18"/>
  <c r="U43" i="18"/>
  <c r="U33" i="18"/>
  <c r="T34" i="18"/>
  <c r="T35" i="18"/>
  <c r="T36" i="18"/>
  <c r="T37" i="18"/>
  <c r="T38" i="18"/>
  <c r="T39" i="18"/>
  <c r="T40" i="18"/>
  <c r="T41" i="18"/>
  <c r="T42" i="18"/>
  <c r="T43" i="18"/>
  <c r="T33" i="18"/>
  <c r="S34" i="18"/>
  <c r="S35" i="18"/>
  <c r="S36" i="18"/>
  <c r="S37" i="18"/>
  <c r="S38" i="18"/>
  <c r="S39" i="18"/>
  <c r="S40" i="18"/>
  <c r="S41" i="18"/>
  <c r="S42" i="18"/>
  <c r="S43" i="18"/>
  <c r="C18" i="18"/>
  <c r="C17" i="18"/>
  <c r="C16" i="18"/>
  <c r="O41" i="18"/>
  <c r="P41" i="18"/>
  <c r="Q41" i="18"/>
  <c r="Q43" i="18"/>
  <c r="P43" i="18"/>
  <c r="O43" i="18"/>
  <c r="Q34" i="18"/>
  <c r="Q35" i="18"/>
  <c r="Q36" i="18"/>
  <c r="Q37" i="18"/>
  <c r="Q38" i="18"/>
  <c r="Q39" i="18"/>
  <c r="Q40" i="18"/>
  <c r="Q42" i="18"/>
  <c r="Q33" i="18"/>
  <c r="P34" i="18"/>
  <c r="P35" i="18"/>
  <c r="P36" i="18"/>
  <c r="P37" i="18"/>
  <c r="P38" i="18"/>
  <c r="P39" i="18"/>
  <c r="P40" i="18"/>
  <c r="P42" i="18"/>
  <c r="P33" i="18"/>
  <c r="O35" i="18"/>
  <c r="O36" i="18"/>
  <c r="O37" i="18"/>
  <c r="O38" i="18"/>
  <c r="O39" i="18"/>
  <c r="O40" i="18"/>
  <c r="O42" i="18"/>
  <c r="O33" i="18"/>
  <c r="C9" i="16"/>
  <c r="F15" i="16"/>
  <c r="D8" i="16"/>
  <c r="D9" i="16" s="1"/>
  <c r="D10" i="16" s="1"/>
  <c r="D11" i="16" s="1"/>
  <c r="D12" i="16" s="1"/>
  <c r="D13" i="16" s="1"/>
  <c r="D14" i="16" s="1"/>
  <c r="D15" i="16" s="1"/>
  <c r="D16" i="16" s="1"/>
  <c r="D17" i="16" s="1"/>
  <c r="E8" i="16"/>
  <c r="E9" i="16" s="1"/>
  <c r="E10" i="16" s="1"/>
  <c r="E11" i="16" s="1"/>
  <c r="E12" i="16" s="1"/>
  <c r="E13" i="16" s="1"/>
  <c r="E14" i="16" s="1"/>
  <c r="E15" i="16" s="1"/>
  <c r="E16" i="16" s="1"/>
  <c r="E17" i="16" s="1"/>
  <c r="F8" i="16"/>
  <c r="F9" i="16" s="1"/>
  <c r="F10" i="16" s="1"/>
  <c r="F11" i="16" s="1"/>
  <c r="F12" i="16" s="1"/>
  <c r="F13" i="16" s="1"/>
  <c r="F14" i="16" s="1"/>
  <c r="G8" i="16"/>
  <c r="G9" i="16" s="1"/>
  <c r="G10" i="16" s="1"/>
  <c r="G11" i="16" s="1"/>
  <c r="G12" i="16" s="1"/>
  <c r="G13" i="16" s="1"/>
  <c r="G14" i="16" s="1"/>
  <c r="G15" i="16" s="1"/>
  <c r="G16" i="16" s="1"/>
  <c r="G17" i="16" s="1"/>
  <c r="H8" i="16"/>
  <c r="H9" i="16" s="1"/>
  <c r="H10" i="16" s="1"/>
  <c r="H11" i="16" s="1"/>
  <c r="H12" i="16" s="1"/>
  <c r="H13" i="16" s="1"/>
  <c r="H14" i="16" s="1"/>
  <c r="H15" i="16" s="1"/>
  <c r="H16" i="16" s="1"/>
  <c r="H17" i="16" s="1"/>
  <c r="C8" i="16"/>
  <c r="C10" i="16" s="1"/>
  <c r="C11" i="16" s="1"/>
  <c r="C12" i="16" s="1"/>
  <c r="C13" i="16" s="1"/>
  <c r="C14" i="16" s="1"/>
  <c r="C15" i="16" s="1"/>
  <c r="C16" i="16" s="1"/>
  <c r="C17" i="16" s="1"/>
  <c r="D6" i="13"/>
  <c r="E6" i="13"/>
  <c r="F6" i="13"/>
  <c r="G6" i="13"/>
  <c r="H6" i="13"/>
  <c r="C6" i="13"/>
  <c r="D2" i="13"/>
  <c r="E2" i="13"/>
  <c r="F2" i="13"/>
  <c r="G2" i="13"/>
  <c r="H2" i="13"/>
  <c r="F22" i="5"/>
  <c r="D18" i="9" s="1"/>
  <c r="D22" i="5"/>
  <c r="B8" i="9" s="1"/>
  <c r="B3" i="3"/>
  <c r="C13" i="9"/>
  <c r="C14" i="9"/>
  <c r="D14" i="9"/>
  <c r="C15" i="9"/>
  <c r="D15" i="9"/>
  <c r="C16" i="9"/>
  <c r="D16" i="9"/>
  <c r="C18" i="9"/>
  <c r="C19" i="9"/>
  <c r="D19" i="9"/>
  <c r="C20" i="9"/>
  <c r="D20" i="9"/>
  <c r="C21" i="9"/>
  <c r="D21" i="9"/>
  <c r="C23" i="9"/>
  <c r="C24" i="9"/>
  <c r="D24" i="9"/>
  <c r="C25" i="9"/>
  <c r="D25" i="9"/>
  <c r="C26" i="9"/>
  <c r="D26" i="9"/>
  <c r="C28" i="9"/>
  <c r="D28" i="9"/>
  <c r="C29" i="9"/>
  <c r="D29" i="9"/>
  <c r="C30" i="9"/>
  <c r="D30" i="9"/>
  <c r="C31" i="9"/>
  <c r="D31" i="9"/>
  <c r="C33" i="9"/>
  <c r="C34" i="9"/>
  <c r="D34" i="9"/>
  <c r="C35" i="9"/>
  <c r="D35" i="9"/>
  <c r="C36" i="9"/>
  <c r="D36" i="9"/>
  <c r="C38" i="9"/>
  <c r="C39" i="9"/>
  <c r="D39" i="9"/>
  <c r="C40" i="9"/>
  <c r="D40" i="9"/>
  <c r="C41" i="9"/>
  <c r="D41" i="9"/>
  <c r="C43" i="9"/>
  <c r="D43" i="9"/>
  <c r="C44" i="9"/>
  <c r="D44" i="9"/>
  <c r="C45" i="9"/>
  <c r="D45" i="9"/>
  <c r="C46" i="9"/>
  <c r="D46" i="9"/>
  <c r="C48" i="9"/>
  <c r="D48" i="9"/>
  <c r="C49" i="9"/>
  <c r="D49" i="9"/>
  <c r="C50" i="9"/>
  <c r="D50" i="9"/>
  <c r="C51" i="9"/>
  <c r="D51" i="9"/>
  <c r="C53" i="9"/>
  <c r="D53" i="9"/>
  <c r="C54" i="9"/>
  <c r="D54" i="9"/>
  <c r="C55" i="9"/>
  <c r="D55" i="9"/>
  <c r="C56" i="9"/>
  <c r="D56" i="9"/>
  <c r="D11" i="9"/>
  <c r="C11" i="9"/>
  <c r="D10" i="9"/>
  <c r="C10" i="9"/>
  <c r="D9" i="9"/>
  <c r="C9" i="9"/>
  <c r="D8" i="9"/>
  <c r="C8" i="9"/>
  <c r="D3" i="9"/>
  <c r="C3" i="9"/>
  <c r="B3" i="9"/>
  <c r="B4" i="9" s="1"/>
  <c r="B5" i="9" s="1"/>
  <c r="B6" i="9" s="1"/>
  <c r="D9" i="3"/>
  <c r="D8" i="3"/>
  <c r="D7" i="3"/>
  <c r="D4" i="9"/>
  <c r="D5" i="9" s="1"/>
  <c r="D6" i="9" s="1"/>
  <c r="C4" i="9"/>
  <c r="C5" i="9" s="1"/>
  <c r="C6" i="9" s="1"/>
  <c r="D5" i="3"/>
  <c r="D4" i="3"/>
  <c r="C9" i="3"/>
  <c r="C8" i="3"/>
  <c r="C7" i="3"/>
  <c r="C6" i="3"/>
  <c r="C5" i="3"/>
  <c r="D15" i="6"/>
  <c r="D14" i="6"/>
  <c r="D13" i="6"/>
  <c r="B9" i="3"/>
  <c r="B8" i="3"/>
  <c r="B7" i="3"/>
  <c r="B6" i="3"/>
  <c r="B5" i="3"/>
  <c r="B4" i="3"/>
  <c r="D15" i="4"/>
  <c r="C3" i="8"/>
  <c r="D3" i="8"/>
  <c r="B3" i="8"/>
  <c r="B4" i="8" s="1"/>
  <c r="B5" i="8" s="1"/>
  <c r="B6" i="8" s="1"/>
  <c r="D3" i="3"/>
  <c r="D15" i="5" s="1"/>
  <c r="C3" i="3"/>
  <c r="D13" i="5"/>
  <c r="D4" i="8"/>
  <c r="D5" i="8" s="1"/>
  <c r="D6" i="8" s="1"/>
  <c r="C4" i="8"/>
  <c r="C5" i="8" s="1"/>
  <c r="C6" i="8" s="1"/>
  <c r="C3" i="7"/>
  <c r="C4" i="7" s="1"/>
  <c r="C5" i="7" s="1"/>
  <c r="C6" i="7" s="1"/>
  <c r="D3" i="7"/>
  <c r="D4" i="7" s="1"/>
  <c r="D5" i="7" s="1"/>
  <c r="D6" i="7" s="1"/>
  <c r="B3" i="7"/>
  <c r="B4" i="7" s="1"/>
  <c r="B5" i="7" s="1"/>
  <c r="B6" i="7" s="1"/>
  <c r="D14" i="4"/>
  <c r="D13" i="4"/>
  <c r="D21" i="4" s="1"/>
  <c r="D14" i="5"/>
  <c r="B4" i="1"/>
  <c r="X12" i="55" l="1"/>
  <c r="Y13" i="55"/>
  <c r="AK133" i="55"/>
  <c r="AL133" i="55"/>
  <c r="AM133" i="55"/>
  <c r="AJ133" i="55"/>
  <c r="W84" i="27"/>
  <c r="W160" i="27" s="1"/>
  <c r="J29" i="56" s="1"/>
  <c r="X50" i="55"/>
  <c r="O15" i="55"/>
  <c r="O91" i="55" s="1"/>
  <c r="O110" i="55" s="1"/>
  <c r="E32" i="27"/>
  <c r="E89" i="27" s="1"/>
  <c r="G90" i="55"/>
  <c r="G15" i="55" s="1"/>
  <c r="G52" i="55"/>
  <c r="P107" i="55"/>
  <c r="AM103" i="55"/>
  <c r="AM9" i="55"/>
  <c r="AJ103" i="55"/>
  <c r="AJ9" i="55"/>
  <c r="AL103" i="55"/>
  <c r="AL9" i="55"/>
  <c r="AA255" i="55"/>
  <c r="AK103" i="55"/>
  <c r="AK9" i="55"/>
  <c r="AI13" i="55"/>
  <c r="AI107" i="55"/>
  <c r="AB31" i="27"/>
  <c r="AB88" i="27" s="1"/>
  <c r="AB164" i="27" s="1"/>
  <c r="AH51" i="55"/>
  <c r="AH89" i="55"/>
  <c r="AD209" i="55"/>
  <c r="Z210" i="55"/>
  <c r="AJ209" i="55"/>
  <c r="AN208" i="55"/>
  <c r="Z191" i="55"/>
  <c r="AD190" i="55"/>
  <c r="AD230" i="55"/>
  <c r="Z231" i="55"/>
  <c r="AD231" i="55" s="1"/>
  <c r="AC85" i="55"/>
  <c r="AC104" i="55" s="1"/>
  <c r="H133" i="55"/>
  <c r="AA40" i="55"/>
  <c r="AJ39" i="55"/>
  <c r="H189" i="55"/>
  <c r="L189" i="55" s="1"/>
  <c r="AC38" i="55"/>
  <c r="T38" i="55"/>
  <c r="Z255" i="55"/>
  <c r="AD236" i="55"/>
  <c r="H208" i="55"/>
  <c r="L208" i="55" s="1"/>
  <c r="Q228" i="55"/>
  <c r="U228" i="55" s="1"/>
  <c r="H228" i="55"/>
  <c r="L228" i="55" s="1"/>
  <c r="AB85" i="55"/>
  <c r="AB104" i="55" s="1"/>
  <c r="K39" i="55"/>
  <c r="H170" i="55"/>
  <c r="L170" i="55" s="1"/>
  <c r="AB39" i="55"/>
  <c r="AK40" i="55"/>
  <c r="J39" i="55"/>
  <c r="Z39" i="55"/>
  <c r="AL38" i="55"/>
  <c r="Z170" i="55"/>
  <c r="AD170" i="55" s="1"/>
  <c r="Q38" i="55"/>
  <c r="S38" i="55"/>
  <c r="I40" i="55"/>
  <c r="AM38" i="55"/>
  <c r="R38" i="55"/>
  <c r="H39" i="55"/>
  <c r="Q207" i="55"/>
  <c r="U207" i="55" s="1"/>
  <c r="Q188" i="55"/>
  <c r="U188" i="55" s="1"/>
  <c r="Q169" i="55"/>
  <c r="U169" i="55" s="1"/>
  <c r="Z85" i="55"/>
  <c r="Z104" i="55" s="1"/>
  <c r="AA85" i="55"/>
  <c r="AA104" i="55" s="1"/>
  <c r="AJ169" i="55"/>
  <c r="AN169" i="55" s="1"/>
  <c r="AN388" i="53"/>
  <c r="AA123" i="53"/>
  <c r="AA10" i="53" s="1"/>
  <c r="AI55" i="53"/>
  <c r="AI169" i="53" s="1"/>
  <c r="Y150" i="53"/>
  <c r="Y169" i="53" s="1"/>
  <c r="H388" i="53"/>
  <c r="L369" i="53"/>
  <c r="Q321" i="53"/>
  <c r="Q302" i="53"/>
  <c r="AJ76" i="53"/>
  <c r="X146" i="53"/>
  <c r="X165" i="53" s="1"/>
  <c r="Z388" i="53"/>
  <c r="AD388" i="53" s="1"/>
  <c r="AD369" i="53"/>
  <c r="H342" i="53"/>
  <c r="I199" i="53"/>
  <c r="I142" i="53"/>
  <c r="I161" i="53" s="1"/>
  <c r="H361" i="53"/>
  <c r="U351" i="53"/>
  <c r="U275" i="53"/>
  <c r="U313" i="53"/>
  <c r="U237" i="53"/>
  <c r="G129" i="53"/>
  <c r="G16" i="53" s="1"/>
  <c r="G91" i="53"/>
  <c r="G34" i="53"/>
  <c r="G53" i="53" s="1"/>
  <c r="J123" i="53"/>
  <c r="T123" i="53"/>
  <c r="Q226" i="53"/>
  <c r="H77" i="53"/>
  <c r="AC77" i="53"/>
  <c r="AH91" i="53"/>
  <c r="AH129" i="53"/>
  <c r="AH34" i="53"/>
  <c r="AH148" i="53" s="1"/>
  <c r="Q245" i="53"/>
  <c r="L332" i="53"/>
  <c r="L294" i="53"/>
  <c r="L256" i="53"/>
  <c r="L218" i="53"/>
  <c r="AA199" i="53"/>
  <c r="AA142" i="53"/>
  <c r="AA161" i="53" s="1"/>
  <c r="H226" i="53"/>
  <c r="AB77" i="53"/>
  <c r="AN351" i="53"/>
  <c r="AN313" i="53"/>
  <c r="AN275" i="53"/>
  <c r="AN237" i="53"/>
  <c r="P147" i="53"/>
  <c r="P166" i="53" s="1"/>
  <c r="U332" i="53"/>
  <c r="U256" i="53"/>
  <c r="U294" i="53"/>
  <c r="U218" i="53"/>
  <c r="H47" i="53"/>
  <c r="I79" i="53"/>
  <c r="AK161" i="53"/>
  <c r="AK142" i="53"/>
  <c r="AK123" i="53"/>
  <c r="Z77" i="53"/>
  <c r="AH52" i="53"/>
  <c r="AH166" i="53" s="1"/>
  <c r="U369" i="53"/>
  <c r="R123" i="53"/>
  <c r="Q123" i="53"/>
  <c r="H123" i="53"/>
  <c r="Q342" i="53"/>
  <c r="AB123" i="53"/>
  <c r="AN332" i="53"/>
  <c r="AN256" i="53"/>
  <c r="AN294" i="53"/>
  <c r="AN218" i="53"/>
  <c r="U388" i="53"/>
  <c r="Q76" i="53"/>
  <c r="H245" i="53"/>
  <c r="H283" i="53"/>
  <c r="G147" i="53"/>
  <c r="G166" i="53" s="1"/>
  <c r="AD332" i="53"/>
  <c r="AD294" i="53"/>
  <c r="AD218" i="53"/>
  <c r="AD256" i="53"/>
  <c r="H321" i="53"/>
  <c r="AJ161" i="53"/>
  <c r="AJ142" i="53"/>
  <c r="AJ123" i="53"/>
  <c r="AA86" i="53"/>
  <c r="AA105" i="53" s="1"/>
  <c r="AA29" i="53"/>
  <c r="AA48" i="53" s="1"/>
  <c r="AM161" i="53"/>
  <c r="AM142" i="53"/>
  <c r="AM123" i="53"/>
  <c r="S78" i="53"/>
  <c r="AD351" i="53"/>
  <c r="AD313" i="53"/>
  <c r="AD275" i="53"/>
  <c r="AD237" i="53"/>
  <c r="Q264" i="53"/>
  <c r="O130" i="53"/>
  <c r="O17" i="53" s="1"/>
  <c r="O35" i="53"/>
  <c r="O54" i="53" s="1"/>
  <c r="O92" i="53"/>
  <c r="AA78" i="53"/>
  <c r="AI132" i="53"/>
  <c r="AI19" i="53" s="1"/>
  <c r="AI94" i="53"/>
  <c r="AI37" i="53"/>
  <c r="AI151" i="53" s="1"/>
  <c r="R77" i="53"/>
  <c r="H264" i="53"/>
  <c r="AK77" i="53"/>
  <c r="F129" i="53"/>
  <c r="F16" i="53" s="1"/>
  <c r="F91" i="53"/>
  <c r="F34" i="53"/>
  <c r="F53" i="53" s="1"/>
  <c r="T77" i="53"/>
  <c r="K123" i="53"/>
  <c r="X14" i="53"/>
  <c r="H302" i="53"/>
  <c r="S123" i="53"/>
  <c r="Q361" i="53"/>
  <c r="P15" i="53"/>
  <c r="AC123" i="53"/>
  <c r="Z123" i="53"/>
  <c r="AL161" i="53"/>
  <c r="AL142" i="53"/>
  <c r="AL123" i="53"/>
  <c r="O148" i="53"/>
  <c r="O167" i="53" s="1"/>
  <c r="AM77" i="53"/>
  <c r="J79" i="53"/>
  <c r="I10" i="53"/>
  <c r="AL76" i="53"/>
  <c r="Q283" i="53"/>
  <c r="K76" i="53"/>
  <c r="Y18" i="53"/>
  <c r="AM47" i="52"/>
  <c r="AM161" i="52" s="1"/>
  <c r="AM142" i="52"/>
  <c r="AK123" i="52"/>
  <c r="AL123" i="52"/>
  <c r="S123" i="52"/>
  <c r="S199" i="52" s="1"/>
  <c r="U218" i="52"/>
  <c r="U369" i="52"/>
  <c r="U351" i="52"/>
  <c r="U388" i="52"/>
  <c r="Q123" i="52"/>
  <c r="Q10" i="52" s="1"/>
  <c r="T123" i="52"/>
  <c r="T10" i="52" s="1"/>
  <c r="R123" i="52"/>
  <c r="R199" i="52" s="1"/>
  <c r="AC123" i="52"/>
  <c r="AC10" i="52" s="1"/>
  <c r="AC29" i="52" s="1"/>
  <c r="AC48" i="52" s="1"/>
  <c r="X146" i="52"/>
  <c r="X165" i="52" s="1"/>
  <c r="X90" i="52"/>
  <c r="X128" i="52"/>
  <c r="X33" i="52"/>
  <c r="X52" i="52" s="1"/>
  <c r="U237" i="52"/>
  <c r="U313" i="52"/>
  <c r="U332" i="52"/>
  <c r="U256" i="52"/>
  <c r="U294" i="52"/>
  <c r="K10" i="52"/>
  <c r="AD237" i="52"/>
  <c r="AD275" i="52"/>
  <c r="AD313" i="52"/>
  <c r="AD351" i="52"/>
  <c r="P34" i="52"/>
  <c r="P53" i="52" s="1"/>
  <c r="P91" i="52"/>
  <c r="P129" i="52"/>
  <c r="AJ142" i="52"/>
  <c r="AJ161" i="52"/>
  <c r="O35" i="52"/>
  <c r="O54" i="52" s="1"/>
  <c r="O92" i="52"/>
  <c r="O130" i="52"/>
  <c r="AI33" i="52"/>
  <c r="AI147" i="52" s="1"/>
  <c r="AI90" i="52"/>
  <c r="AI128" i="52"/>
  <c r="AI15" i="52" s="1"/>
  <c r="AK142" i="52"/>
  <c r="AK161" i="52"/>
  <c r="F146" i="52"/>
  <c r="F165" i="52" s="1"/>
  <c r="AJ77" i="52"/>
  <c r="AN351" i="52"/>
  <c r="AN313" i="52"/>
  <c r="Y33" i="52"/>
  <c r="Y52" i="52" s="1"/>
  <c r="Y90" i="52"/>
  <c r="Y128" i="52"/>
  <c r="Y15" i="52" s="1"/>
  <c r="AC76" i="52"/>
  <c r="AA123" i="52"/>
  <c r="Q227" i="52"/>
  <c r="AN256" i="52"/>
  <c r="AN294" i="52"/>
  <c r="AN218" i="52"/>
  <c r="AN332" i="52"/>
  <c r="AK77" i="52"/>
  <c r="K47" i="52"/>
  <c r="G147" i="52"/>
  <c r="G166" i="52" s="1"/>
  <c r="Z77" i="52"/>
  <c r="H77" i="52"/>
  <c r="S79" i="52"/>
  <c r="T78" i="52"/>
  <c r="AD256" i="52"/>
  <c r="AD218" i="52"/>
  <c r="AD332" i="52"/>
  <c r="AD294" i="52"/>
  <c r="AH33" i="52"/>
  <c r="AH147" i="52" s="1"/>
  <c r="AH90" i="52"/>
  <c r="AH128" i="52"/>
  <c r="AH15" i="52" s="1"/>
  <c r="F14" i="52"/>
  <c r="AL161" i="52"/>
  <c r="AL142" i="52"/>
  <c r="H231" i="52"/>
  <c r="AB123" i="52"/>
  <c r="G15" i="52"/>
  <c r="AA77" i="52"/>
  <c r="Q76" i="52"/>
  <c r="AD388" i="52"/>
  <c r="P147" i="52"/>
  <c r="P166" i="52" s="1"/>
  <c r="AN388" i="52"/>
  <c r="AD369" i="52"/>
  <c r="Q326" i="52"/>
  <c r="R78" i="52"/>
  <c r="Z123" i="52"/>
  <c r="AI51" i="52"/>
  <c r="AI165" i="52" s="1"/>
  <c r="G127" i="47"/>
  <c r="G14" i="47" s="1"/>
  <c r="O33" i="47"/>
  <c r="O52" i="47" s="1"/>
  <c r="L89" i="27"/>
  <c r="L165" i="27" s="1"/>
  <c r="R28" i="47"/>
  <c r="R47" i="47" s="1"/>
  <c r="T28" i="47"/>
  <c r="T47" i="47" s="1"/>
  <c r="AI131" i="47"/>
  <c r="AI18" i="47" s="1"/>
  <c r="Q28" i="47"/>
  <c r="Q47" i="47" s="1"/>
  <c r="Q236" i="25"/>
  <c r="J237" i="39"/>
  <c r="I237" i="39"/>
  <c r="J220" i="41"/>
  <c r="K220" i="41"/>
  <c r="L123" i="39"/>
  <c r="L170" i="39"/>
  <c r="H171" i="39"/>
  <c r="L189" i="41"/>
  <c r="H190" i="41"/>
  <c r="H153" i="39"/>
  <c r="L152" i="39"/>
  <c r="L169" i="41"/>
  <c r="H170" i="41"/>
  <c r="L210" i="39"/>
  <c r="H211" i="39"/>
  <c r="K237" i="39"/>
  <c r="I220" i="41"/>
  <c r="K85" i="47"/>
  <c r="K104" i="47" s="1"/>
  <c r="H85" i="47"/>
  <c r="H104" i="47" s="1"/>
  <c r="E164" i="27"/>
  <c r="J28" i="47"/>
  <c r="J47" i="47" s="1"/>
  <c r="I28" i="47"/>
  <c r="I47" i="47" s="1"/>
  <c r="F13" i="47"/>
  <c r="F127" i="47" s="1"/>
  <c r="Y14" i="47"/>
  <c r="O146" i="47"/>
  <c r="O165" i="47" s="1"/>
  <c r="F31" i="47"/>
  <c r="F50" i="47" s="1"/>
  <c r="F88" i="47"/>
  <c r="Q85" i="47"/>
  <c r="Q104" i="47" s="1"/>
  <c r="F144" i="47"/>
  <c r="F163" i="47" s="1"/>
  <c r="L198" i="47"/>
  <c r="I369" i="47"/>
  <c r="I388" i="47" s="1"/>
  <c r="H28" i="47"/>
  <c r="O90" i="47"/>
  <c r="K28" i="47"/>
  <c r="K47" i="47" s="1"/>
  <c r="AL369" i="47"/>
  <c r="AL388" i="47" s="1"/>
  <c r="S369" i="47"/>
  <c r="S388" i="47" s="1"/>
  <c r="O128" i="47"/>
  <c r="O15" i="47" s="1"/>
  <c r="AM369" i="47"/>
  <c r="AM388" i="47" s="1"/>
  <c r="K388" i="47"/>
  <c r="T369" i="47"/>
  <c r="T388" i="47" s="1"/>
  <c r="G89" i="47"/>
  <c r="G32" i="47"/>
  <c r="G51" i="47" s="1"/>
  <c r="R369" i="47"/>
  <c r="R388" i="47" s="1"/>
  <c r="X13" i="47"/>
  <c r="X145" i="47"/>
  <c r="X164" i="47" s="1"/>
  <c r="J369" i="47"/>
  <c r="J388" i="47" s="1"/>
  <c r="AJ369" i="47"/>
  <c r="AJ388" i="47" s="1"/>
  <c r="AK369" i="47"/>
  <c r="AK388" i="47" s="1"/>
  <c r="AC369" i="47"/>
  <c r="AC388" i="47" s="1"/>
  <c r="AA369" i="47"/>
  <c r="AA388" i="47" s="1"/>
  <c r="Q160" i="47"/>
  <c r="Q369" i="47" s="1"/>
  <c r="AB160" i="47"/>
  <c r="AB369" i="47" s="1"/>
  <c r="Z369" i="47"/>
  <c r="Z388" i="47" s="1"/>
  <c r="P12" i="47"/>
  <c r="M87" i="27" s="1"/>
  <c r="M163" i="27" s="1"/>
  <c r="P144" i="47"/>
  <c r="P163" i="47" s="1"/>
  <c r="J85" i="47"/>
  <c r="J104" i="47" s="1"/>
  <c r="I85" i="47"/>
  <c r="I104" i="47" s="1"/>
  <c r="H388" i="47"/>
  <c r="AH53" i="47"/>
  <c r="AH167" i="47" s="1"/>
  <c r="AL28" i="47"/>
  <c r="AL47" i="47" s="1"/>
  <c r="AK28" i="47"/>
  <c r="AK47" i="47" s="1"/>
  <c r="AM85" i="47"/>
  <c r="AM104" i="47" s="1"/>
  <c r="AM28" i="47"/>
  <c r="AM47" i="47" s="1"/>
  <c r="AI54" i="47"/>
  <c r="AI168" i="47" s="1"/>
  <c r="AJ28" i="47"/>
  <c r="AI36" i="47"/>
  <c r="AI150" i="47" s="1"/>
  <c r="AA28" i="47"/>
  <c r="AA47" i="47" s="1"/>
  <c r="Q264" i="47"/>
  <c r="AC28" i="47"/>
  <c r="AC47" i="47" s="1"/>
  <c r="Z28" i="47"/>
  <c r="Q227" i="47"/>
  <c r="Q245" i="47"/>
  <c r="Q302" i="47"/>
  <c r="Q341" i="47"/>
  <c r="T319" i="47"/>
  <c r="U198" i="47"/>
  <c r="AA85" i="47"/>
  <c r="AA104" i="47" s="1"/>
  <c r="AB28" i="47"/>
  <c r="AB47" i="47" s="1"/>
  <c r="T243" i="47"/>
  <c r="S28" i="47"/>
  <c r="S47" i="47" s="1"/>
  <c r="Q321" i="47"/>
  <c r="Q283" i="47"/>
  <c r="Q360" i="47"/>
  <c r="R225" i="47"/>
  <c r="T281" i="47"/>
  <c r="H362" i="47"/>
  <c r="H321" i="47"/>
  <c r="H282" i="47"/>
  <c r="H244" i="47"/>
  <c r="AD198" i="47"/>
  <c r="AI93" i="47"/>
  <c r="AJ76" i="47"/>
  <c r="AK75" i="47"/>
  <c r="Z85" i="47"/>
  <c r="Z104" i="47" s="1"/>
  <c r="AA76" i="47"/>
  <c r="AL85" i="47"/>
  <c r="AL104" i="47" s="1"/>
  <c r="AC85" i="47"/>
  <c r="AC104" i="47" s="1"/>
  <c r="H76" i="47"/>
  <c r="S75" i="47"/>
  <c r="R85" i="47"/>
  <c r="R104" i="47" s="1"/>
  <c r="AC75" i="47"/>
  <c r="AK85" i="47"/>
  <c r="AK104" i="47" s="1"/>
  <c r="T75" i="47"/>
  <c r="AB85" i="47"/>
  <c r="AB104" i="47" s="1"/>
  <c r="AJ85" i="47"/>
  <c r="AJ104" i="47" s="1"/>
  <c r="Z75" i="47"/>
  <c r="AB76" i="47"/>
  <c r="H302" i="47"/>
  <c r="S85" i="47"/>
  <c r="S104" i="47" s="1"/>
  <c r="I76" i="47"/>
  <c r="AN198" i="47"/>
  <c r="H341" i="47"/>
  <c r="J76" i="47"/>
  <c r="H226" i="47"/>
  <c r="K75" i="47"/>
  <c r="AL75" i="47"/>
  <c r="AH16" i="47"/>
  <c r="AH130" i="47" s="1"/>
  <c r="T85" i="47"/>
  <c r="T104" i="47" s="1"/>
  <c r="R75" i="47"/>
  <c r="H264" i="47"/>
  <c r="AM237" i="25"/>
  <c r="AN123" i="25"/>
  <c r="R14" i="45"/>
  <c r="U122" i="25"/>
  <c r="X46" i="45"/>
  <c r="U217" i="25"/>
  <c r="AL237" i="25"/>
  <c r="AL86" i="25"/>
  <c r="AJ86" i="25"/>
  <c r="AK237" i="25"/>
  <c r="AK86" i="25"/>
  <c r="AK124" i="25" s="1"/>
  <c r="AJ237" i="25"/>
  <c r="AN218" i="25"/>
  <c r="AM86" i="25"/>
  <c r="AM124" i="25" s="1"/>
  <c r="AH94" i="25"/>
  <c r="AH19" i="25" s="1"/>
  <c r="AH57" i="25" s="1"/>
  <c r="AI93" i="25"/>
  <c r="AI18" i="25" s="1"/>
  <c r="AI56" i="25" s="1"/>
  <c r="AB11" i="25"/>
  <c r="AB49" i="25" s="1"/>
  <c r="AB68" i="25" s="1"/>
  <c r="Z219" i="25"/>
  <c r="Z238" i="25" s="1"/>
  <c r="AB219" i="25"/>
  <c r="AB238" i="25" s="1"/>
  <c r="AA219" i="25"/>
  <c r="AA11" i="25"/>
  <c r="AD124" i="25"/>
  <c r="Z11" i="25"/>
  <c r="AC219" i="25"/>
  <c r="AC11" i="25"/>
  <c r="Y90" i="25"/>
  <c r="Y15" i="25" s="1"/>
  <c r="X52" i="25"/>
  <c r="Y52" i="25"/>
  <c r="X90" i="25"/>
  <c r="X15" i="25" s="1"/>
  <c r="R236" i="25"/>
  <c r="S236" i="25"/>
  <c r="H10" i="25"/>
  <c r="H123" i="25"/>
  <c r="T236" i="25"/>
  <c r="H218" i="25"/>
  <c r="G92" i="25"/>
  <c r="G17" i="25" s="1"/>
  <c r="S16" i="45" s="1"/>
  <c r="G54" i="25"/>
  <c r="J10" i="25"/>
  <c r="J218" i="25"/>
  <c r="J123" i="25"/>
  <c r="K10" i="25"/>
  <c r="K123" i="25"/>
  <c r="K218" i="25"/>
  <c r="R47" i="25"/>
  <c r="R66" i="25" s="1"/>
  <c r="I10" i="25"/>
  <c r="I218" i="25"/>
  <c r="I123" i="25"/>
  <c r="T47" i="25"/>
  <c r="T66" i="25" s="1"/>
  <c r="S47" i="25"/>
  <c r="S66" i="25" s="1"/>
  <c r="I209" i="25"/>
  <c r="L208" i="25"/>
  <c r="O17" i="25"/>
  <c r="O55" i="25" s="1"/>
  <c r="P93" i="25"/>
  <c r="P18" i="25" s="1"/>
  <c r="P56" i="25" s="1"/>
  <c r="F91" i="25"/>
  <c r="F16" i="25" s="1"/>
  <c r="F92" i="25" s="1"/>
  <c r="F53" i="25"/>
  <c r="J48" i="29"/>
  <c r="J67" i="29" s="1"/>
  <c r="L123" i="29"/>
  <c r="H48" i="29"/>
  <c r="H67" i="29" s="1"/>
  <c r="K48" i="29"/>
  <c r="K67" i="29" s="1"/>
  <c r="K86" i="29" s="1"/>
  <c r="F88" i="29"/>
  <c r="F50" i="29"/>
  <c r="G94" i="29"/>
  <c r="G19" i="29" s="1"/>
  <c r="G56" i="29"/>
  <c r="H224" i="37"/>
  <c r="I224" i="37"/>
  <c r="J224" i="37"/>
  <c r="K224" i="37"/>
  <c r="L187" i="29"/>
  <c r="H188" i="29"/>
  <c r="H169" i="29"/>
  <c r="L168" i="29"/>
  <c r="L187" i="37"/>
  <c r="H188" i="37"/>
  <c r="K189" i="25"/>
  <c r="L188" i="25"/>
  <c r="L149" i="41"/>
  <c r="H150" i="41"/>
  <c r="H150" i="29"/>
  <c r="L149" i="29"/>
  <c r="H50" i="41"/>
  <c r="H69" i="41" s="1"/>
  <c r="H220" i="41"/>
  <c r="L201" i="41"/>
  <c r="I50" i="41"/>
  <c r="I69" i="41" s="1"/>
  <c r="J50" i="41"/>
  <c r="J69" i="41" s="1"/>
  <c r="K50" i="41"/>
  <c r="K69" i="41" s="1"/>
  <c r="K88" i="41" s="1"/>
  <c r="K13" i="41"/>
  <c r="G56" i="41"/>
  <c r="G94" i="41"/>
  <c r="G19" i="41" s="1"/>
  <c r="G55" i="39"/>
  <c r="G93" i="39"/>
  <c r="G18" i="39" s="1"/>
  <c r="H48" i="39"/>
  <c r="H67" i="39" s="1"/>
  <c r="H237" i="39"/>
  <c r="L218" i="39"/>
  <c r="K48" i="39"/>
  <c r="K67" i="39" s="1"/>
  <c r="I48" i="39"/>
  <c r="I67" i="39" s="1"/>
  <c r="J48" i="39"/>
  <c r="J67" i="39" s="1"/>
  <c r="J86" i="39" s="1"/>
  <c r="J11" i="39" s="1"/>
  <c r="K87" i="37"/>
  <c r="I87" i="37"/>
  <c r="H87" i="37"/>
  <c r="J12" i="37"/>
  <c r="J50" i="37" s="1"/>
  <c r="J69" i="37" s="1"/>
  <c r="J125" i="37"/>
  <c r="J239" i="37" s="1"/>
  <c r="L238" i="37"/>
  <c r="L219" i="37"/>
  <c r="H210" i="29"/>
  <c r="L209" i="29"/>
  <c r="H38" i="29"/>
  <c r="H39" i="37"/>
  <c r="L208" i="37"/>
  <c r="H209" i="37"/>
  <c r="L170" i="37"/>
  <c r="L151" i="37"/>
  <c r="J113" i="37"/>
  <c r="H113" i="37"/>
  <c r="K114" i="37"/>
  <c r="I113" i="37"/>
  <c r="L153" i="25"/>
  <c r="H3" i="13"/>
  <c r="G3" i="13"/>
  <c r="E3" i="13"/>
  <c r="E71" i="13"/>
  <c r="F3" i="13"/>
  <c r="D3" i="13"/>
  <c r="D71" i="13"/>
  <c r="C93" i="13"/>
  <c r="C35" i="18" a="1"/>
  <c r="C35" i="18" s="1"/>
  <c r="C34" i="18" a="1"/>
  <c r="C34" i="18" s="1"/>
  <c r="C36" i="18" a="1"/>
  <c r="C36" i="18" s="1"/>
  <c r="E17" i="13"/>
  <c r="H17" i="13"/>
  <c r="F17" i="13"/>
  <c r="G17" i="13"/>
  <c r="D14" i="13"/>
  <c r="L17" i="20"/>
  <c r="L122" i="20" s="1"/>
  <c r="L222" i="20" s="1"/>
  <c r="L322" i="20" s="1"/>
  <c r="K119" i="20"/>
  <c r="K120" i="20"/>
  <c r="K121" i="20"/>
  <c r="K221" i="20" s="1"/>
  <c r="K321" i="20" s="1"/>
  <c r="K118" i="20"/>
  <c r="K24" i="13" s="1"/>
  <c r="K116" i="20"/>
  <c r="L16" i="20"/>
  <c r="K117" i="20"/>
  <c r="K122" i="20"/>
  <c r="K222" i="20" s="1"/>
  <c r="K322" i="20" s="1"/>
  <c r="L123" i="20"/>
  <c r="L223" i="20" s="1"/>
  <c r="L323" i="20" s="1"/>
  <c r="K123" i="20"/>
  <c r="K223" i="20" s="1"/>
  <c r="K323" i="20" s="1"/>
  <c r="L124" i="20"/>
  <c r="L224" i="20" s="1"/>
  <c r="L324" i="20" s="1"/>
  <c r="K124" i="20"/>
  <c r="K224" i="20" s="1"/>
  <c r="K324" i="20" s="1"/>
  <c r="L126" i="20"/>
  <c r="L226" i="20" s="1"/>
  <c r="L326" i="20" s="1"/>
  <c r="L134" i="20"/>
  <c r="L234" i="20" s="1"/>
  <c r="L334" i="20" s="1"/>
  <c r="L142" i="20"/>
  <c r="L242" i="20" s="1"/>
  <c r="L342" i="20" s="1"/>
  <c r="L150" i="20"/>
  <c r="L250" i="20" s="1"/>
  <c r="L350" i="20" s="1"/>
  <c r="L158" i="20"/>
  <c r="L258" i="20" s="1"/>
  <c r="L358" i="20" s="1"/>
  <c r="L129" i="20"/>
  <c r="L229" i="20" s="1"/>
  <c r="L329" i="20" s="1"/>
  <c r="L137" i="20"/>
  <c r="L237" i="20" s="1"/>
  <c r="L337" i="20" s="1"/>
  <c r="L145" i="20"/>
  <c r="L245" i="20" s="1"/>
  <c r="L345" i="20" s="1"/>
  <c r="L132" i="20"/>
  <c r="L232" i="20" s="1"/>
  <c r="L332" i="20" s="1"/>
  <c r="L140" i="20"/>
  <c r="L240" i="20" s="1"/>
  <c r="L340" i="20" s="1"/>
  <c r="L148" i="20"/>
  <c r="L248" i="20" s="1"/>
  <c r="L348" i="20" s="1"/>
  <c r="L156" i="20"/>
  <c r="L256" i="20" s="1"/>
  <c r="L356" i="20" s="1"/>
  <c r="L164" i="20"/>
  <c r="L264" i="20" s="1"/>
  <c r="L364" i="20" s="1"/>
  <c r="L127" i="20"/>
  <c r="L227" i="20" s="1"/>
  <c r="L327" i="20" s="1"/>
  <c r="L135" i="20"/>
  <c r="L235" i="20" s="1"/>
  <c r="L335" i="20" s="1"/>
  <c r="L130" i="20"/>
  <c r="L230" i="20" s="1"/>
  <c r="L330" i="20" s="1"/>
  <c r="L151" i="20"/>
  <c r="L251" i="20" s="1"/>
  <c r="L351" i="20" s="1"/>
  <c r="L152" i="20"/>
  <c r="L252" i="20" s="1"/>
  <c r="L352" i="20" s="1"/>
  <c r="L153" i="20"/>
  <c r="L253" i="20" s="1"/>
  <c r="L353" i="20" s="1"/>
  <c r="L154" i="20"/>
  <c r="L254" i="20" s="1"/>
  <c r="L354" i="20" s="1"/>
  <c r="L171" i="20"/>
  <c r="L271" i="20" s="1"/>
  <c r="L371" i="20" s="1"/>
  <c r="L179" i="20"/>
  <c r="L279" i="20" s="1"/>
  <c r="L379" i="20" s="1"/>
  <c r="L187" i="20"/>
  <c r="L287" i="20" s="1"/>
  <c r="L387" i="20" s="1"/>
  <c r="L195" i="20"/>
  <c r="L295" i="20" s="1"/>
  <c r="L395" i="20" s="1"/>
  <c r="L203" i="20"/>
  <c r="L303" i="20" s="1"/>
  <c r="L403" i="20" s="1"/>
  <c r="L211" i="20"/>
  <c r="L311" i="20" s="1"/>
  <c r="L411" i="20" s="1"/>
  <c r="L219" i="20"/>
  <c r="L319" i="20" s="1"/>
  <c r="L419" i="20" s="1"/>
  <c r="L133" i="20"/>
  <c r="L233" i="20" s="1"/>
  <c r="L333" i="20" s="1"/>
  <c r="L143" i="20"/>
  <c r="L243" i="20" s="1"/>
  <c r="L343" i="20" s="1"/>
  <c r="L144" i="20"/>
  <c r="L244" i="20" s="1"/>
  <c r="L344" i="20" s="1"/>
  <c r="L155" i="20"/>
  <c r="L255" i="20" s="1"/>
  <c r="L355" i="20" s="1"/>
  <c r="L157" i="20"/>
  <c r="L257" i="20" s="1"/>
  <c r="L357" i="20" s="1"/>
  <c r="L159" i="20"/>
  <c r="L259" i="20" s="1"/>
  <c r="L359" i="20" s="1"/>
  <c r="L165" i="20"/>
  <c r="L265" i="20" s="1"/>
  <c r="L365" i="20" s="1"/>
  <c r="L174" i="20"/>
  <c r="L274" i="20" s="1"/>
  <c r="L374" i="20" s="1"/>
  <c r="L182" i="20"/>
  <c r="L282" i="20" s="1"/>
  <c r="L382" i="20" s="1"/>
  <c r="L190" i="20"/>
  <c r="L290" i="20" s="1"/>
  <c r="L390" i="20" s="1"/>
  <c r="L198" i="20"/>
  <c r="L298" i="20" s="1"/>
  <c r="L398" i="20" s="1"/>
  <c r="L206" i="20"/>
  <c r="L306" i="20" s="1"/>
  <c r="L406" i="20" s="1"/>
  <c r="L214" i="20"/>
  <c r="L314" i="20" s="1"/>
  <c r="L414" i="20" s="1"/>
  <c r="L136" i="20"/>
  <c r="L236" i="20" s="1"/>
  <c r="L336" i="20" s="1"/>
  <c r="L160" i="20"/>
  <c r="L260" i="20" s="1"/>
  <c r="L360" i="20" s="1"/>
  <c r="L169" i="20"/>
  <c r="L269" i="20" s="1"/>
  <c r="L369" i="20" s="1"/>
  <c r="L177" i="20"/>
  <c r="L277" i="20" s="1"/>
  <c r="L377" i="20" s="1"/>
  <c r="L185" i="20"/>
  <c r="L285" i="20" s="1"/>
  <c r="L385" i="20" s="1"/>
  <c r="L193" i="20"/>
  <c r="L293" i="20" s="1"/>
  <c r="L393" i="20" s="1"/>
  <c r="L201" i="20"/>
  <c r="L301" i="20" s="1"/>
  <c r="L401" i="20" s="1"/>
  <c r="L209" i="20"/>
  <c r="L309" i="20" s="1"/>
  <c r="L409" i="20" s="1"/>
  <c r="L217" i="20"/>
  <c r="L317" i="20" s="1"/>
  <c r="L417" i="20" s="1"/>
  <c r="L139" i="20"/>
  <c r="L239" i="20" s="1"/>
  <c r="L339" i="20" s="1"/>
  <c r="L149" i="20"/>
  <c r="L249" i="20" s="1"/>
  <c r="L349" i="20" s="1"/>
  <c r="L161" i="20"/>
  <c r="L261" i="20" s="1"/>
  <c r="L361" i="20" s="1"/>
  <c r="L166" i="20"/>
  <c r="L266" i="20" s="1"/>
  <c r="L366" i="20" s="1"/>
  <c r="L172" i="20"/>
  <c r="L272" i="20" s="1"/>
  <c r="L372" i="20" s="1"/>
  <c r="L180" i="20"/>
  <c r="L280" i="20" s="1"/>
  <c r="L380" i="20" s="1"/>
  <c r="L188" i="20"/>
  <c r="L288" i="20" s="1"/>
  <c r="L388" i="20" s="1"/>
  <c r="L196" i="20"/>
  <c r="L296" i="20" s="1"/>
  <c r="L396" i="20" s="1"/>
  <c r="L204" i="20"/>
  <c r="L304" i="20" s="1"/>
  <c r="L404" i="20" s="1"/>
  <c r="L212" i="20"/>
  <c r="L312" i="20" s="1"/>
  <c r="L412" i="20" s="1"/>
  <c r="L175" i="20"/>
  <c r="L275" i="20" s="1"/>
  <c r="L375" i="20" s="1"/>
  <c r="L191" i="20"/>
  <c r="L291" i="20" s="1"/>
  <c r="L391" i="20" s="1"/>
  <c r="L207" i="20"/>
  <c r="L307" i="20" s="1"/>
  <c r="L407" i="20" s="1"/>
  <c r="L125" i="20"/>
  <c r="L225" i="20" s="1"/>
  <c r="L325" i="20" s="1"/>
  <c r="L178" i="20"/>
  <c r="L278" i="20" s="1"/>
  <c r="L378" i="20" s="1"/>
  <c r="L194" i="20"/>
  <c r="L294" i="20" s="1"/>
  <c r="L394" i="20" s="1"/>
  <c r="L210" i="20"/>
  <c r="L310" i="20" s="1"/>
  <c r="L410" i="20" s="1"/>
  <c r="L128" i="20"/>
  <c r="L228" i="20" s="1"/>
  <c r="L328" i="20" s="1"/>
  <c r="L147" i="20"/>
  <c r="L247" i="20" s="1"/>
  <c r="L347" i="20" s="1"/>
  <c r="L163" i="20"/>
  <c r="L263" i="20" s="1"/>
  <c r="L363" i="20" s="1"/>
  <c r="L181" i="20"/>
  <c r="L281" i="20" s="1"/>
  <c r="L381" i="20" s="1"/>
  <c r="L197" i="20"/>
  <c r="L297" i="20" s="1"/>
  <c r="L397" i="20" s="1"/>
  <c r="L213" i="20"/>
  <c r="L313" i="20" s="1"/>
  <c r="L413" i="20" s="1"/>
  <c r="L220" i="20"/>
  <c r="L320" i="20" s="1"/>
  <c r="L420" i="20" s="1"/>
  <c r="L131" i="20"/>
  <c r="L231" i="20" s="1"/>
  <c r="L331" i="20" s="1"/>
  <c r="L168" i="20"/>
  <c r="L268" i="20" s="1"/>
  <c r="L368" i="20" s="1"/>
  <c r="L184" i="20"/>
  <c r="L284" i="20" s="1"/>
  <c r="L384" i="20" s="1"/>
  <c r="L200" i="20"/>
  <c r="L300" i="20" s="1"/>
  <c r="L400" i="20" s="1"/>
  <c r="L216" i="20"/>
  <c r="L316" i="20" s="1"/>
  <c r="L416" i="20" s="1"/>
  <c r="L162" i="20"/>
  <c r="L262" i="20" s="1"/>
  <c r="L362" i="20" s="1"/>
  <c r="L183" i="20"/>
  <c r="L283" i="20" s="1"/>
  <c r="L383" i="20" s="1"/>
  <c r="L215" i="20"/>
  <c r="L315" i="20" s="1"/>
  <c r="L415" i="20" s="1"/>
  <c r="L202" i="20"/>
  <c r="L302" i="20" s="1"/>
  <c r="L402" i="20" s="1"/>
  <c r="L141" i="20"/>
  <c r="L241" i="20" s="1"/>
  <c r="L341" i="20" s="1"/>
  <c r="L186" i="20"/>
  <c r="L286" i="20" s="1"/>
  <c r="L386" i="20" s="1"/>
  <c r="L218" i="20"/>
  <c r="L318" i="20" s="1"/>
  <c r="L418" i="20" s="1"/>
  <c r="L146" i="20"/>
  <c r="L246" i="20" s="1"/>
  <c r="L346" i="20" s="1"/>
  <c r="L189" i="20"/>
  <c r="L289" i="20" s="1"/>
  <c r="L389" i="20" s="1"/>
  <c r="L199" i="20"/>
  <c r="L299" i="20" s="1"/>
  <c r="L399" i="20" s="1"/>
  <c r="L170" i="20"/>
  <c r="L270" i="20" s="1"/>
  <c r="L370" i="20" s="1"/>
  <c r="L192" i="20"/>
  <c r="L292" i="20" s="1"/>
  <c r="L392" i="20" s="1"/>
  <c r="L138" i="20"/>
  <c r="L238" i="20" s="1"/>
  <c r="L338" i="20" s="1"/>
  <c r="L167" i="20"/>
  <c r="L267" i="20" s="1"/>
  <c r="L367" i="20" s="1"/>
  <c r="L205" i="20"/>
  <c r="L305" i="20" s="1"/>
  <c r="L405" i="20" s="1"/>
  <c r="L208" i="20"/>
  <c r="L308" i="20" s="1"/>
  <c r="L408" i="20" s="1"/>
  <c r="L176" i="20"/>
  <c r="L276" i="20" s="1"/>
  <c r="L376" i="20" s="1"/>
  <c r="L173" i="20"/>
  <c r="L273" i="20" s="1"/>
  <c r="L373" i="20" s="1"/>
  <c r="I4" i="13"/>
  <c r="G9" i="13" s="1"/>
  <c r="C41" i="18" a="1"/>
  <c r="C39" i="18" a="1"/>
  <c r="C40" i="18" a="1"/>
  <c r="F16" i="16"/>
  <c r="F17" i="16" s="1"/>
  <c r="C3" i="13"/>
  <c r="D38" i="9"/>
  <c r="D23" i="9"/>
  <c r="D13" i="9"/>
  <c r="D33" i="9"/>
  <c r="P21" i="4"/>
  <c r="L21" i="4"/>
  <c r="H21" i="4"/>
  <c r="Q21" i="4"/>
  <c r="M21" i="4"/>
  <c r="I21" i="4"/>
  <c r="E21" i="4"/>
  <c r="R21" i="4"/>
  <c r="N21" i="4"/>
  <c r="J21" i="4"/>
  <c r="F21" i="4"/>
  <c r="P21" i="6"/>
  <c r="L21" i="6"/>
  <c r="H21" i="6"/>
  <c r="D21" i="6"/>
  <c r="Q21" i="6"/>
  <c r="M21" i="6"/>
  <c r="I21" i="6"/>
  <c r="E21" i="6"/>
  <c r="R21" i="6"/>
  <c r="N21" i="6"/>
  <c r="J21" i="6"/>
  <c r="F21" i="6"/>
  <c r="P21" i="5"/>
  <c r="L21" i="5"/>
  <c r="H21" i="5"/>
  <c r="D21" i="5"/>
  <c r="Q21" i="5"/>
  <c r="M21" i="5"/>
  <c r="I21" i="5"/>
  <c r="E21" i="5"/>
  <c r="R21" i="5"/>
  <c r="N21" i="5"/>
  <c r="J21" i="5"/>
  <c r="F21" i="5"/>
  <c r="E29" i="46" l="1"/>
  <c r="I30" i="46"/>
  <c r="U30" i="46" s="1"/>
  <c r="O53" i="55"/>
  <c r="AL236" i="55"/>
  <c r="AL141" i="55"/>
  <c r="AJ236" i="55"/>
  <c r="AJ141" i="55"/>
  <c r="AM236" i="55"/>
  <c r="AM141" i="55"/>
  <c r="AK236" i="55"/>
  <c r="AK141" i="55"/>
  <c r="U31" i="27"/>
  <c r="U88" i="27" s="1"/>
  <c r="U164" i="27" s="1"/>
  <c r="Y89" i="55"/>
  <c r="Y108" i="55" s="1"/>
  <c r="Y51" i="55"/>
  <c r="X88" i="55"/>
  <c r="T30" i="27"/>
  <c r="T87" i="27" s="1"/>
  <c r="T163" i="27" s="1"/>
  <c r="I28" i="56"/>
  <c r="E81" i="56" s="1"/>
  <c r="K81" i="56" s="1"/>
  <c r="J29" i="48"/>
  <c r="N29" i="48" s="1"/>
  <c r="AJ134" i="55"/>
  <c r="AM134" i="55"/>
  <c r="AL134" i="55"/>
  <c r="AK134" i="55"/>
  <c r="N29" i="56"/>
  <c r="E57" i="56" s="1"/>
  <c r="O16" i="55"/>
  <c r="O92" i="55" s="1"/>
  <c r="O111" i="55" s="1"/>
  <c r="L33" i="27"/>
  <c r="L90" i="27" s="1"/>
  <c r="L166" i="27" s="1"/>
  <c r="G109" i="55"/>
  <c r="AC10" i="55"/>
  <c r="Y28" i="27" s="1"/>
  <c r="AA142" i="55"/>
  <c r="AA237" i="55"/>
  <c r="Z142" i="55"/>
  <c r="Z237" i="55"/>
  <c r="AG27" i="27"/>
  <c r="AG84" i="27" s="1"/>
  <c r="AG160" i="27" s="1"/>
  <c r="AM47" i="55"/>
  <c r="AC142" i="55"/>
  <c r="AC237" i="55"/>
  <c r="AH14" i="55"/>
  <c r="AH108" i="55"/>
  <c r="AE27" i="27"/>
  <c r="AE84" i="27" s="1"/>
  <c r="AE160" i="27" s="1"/>
  <c r="AK47" i="55"/>
  <c r="AF27" i="27"/>
  <c r="AF84" i="27" s="1"/>
  <c r="AF160" i="27" s="1"/>
  <c r="AL47" i="55"/>
  <c r="AC31" i="27"/>
  <c r="AC88" i="27" s="1"/>
  <c r="AC164" i="27" s="1"/>
  <c r="AI51" i="55"/>
  <c r="AI89" i="55"/>
  <c r="AB142" i="55"/>
  <c r="AB237" i="55"/>
  <c r="AD27" i="27"/>
  <c r="AD84" i="27" s="1"/>
  <c r="AD160" i="27" s="1"/>
  <c r="AJ47" i="55"/>
  <c r="M31" i="27"/>
  <c r="P89" i="55"/>
  <c r="P14" i="55" s="1"/>
  <c r="P51" i="55"/>
  <c r="AD255" i="55"/>
  <c r="E8" i="46" s="1"/>
  <c r="I28" i="48"/>
  <c r="L28" i="48" s="1"/>
  <c r="M28" i="48" s="1"/>
  <c r="Z192" i="55"/>
  <c r="AD191" i="55"/>
  <c r="AJ210" i="55"/>
  <c r="AN209" i="55"/>
  <c r="Z211" i="55"/>
  <c r="AD210" i="55"/>
  <c r="H134" i="55"/>
  <c r="AL39" i="55"/>
  <c r="R39" i="55"/>
  <c r="AK41" i="55"/>
  <c r="H209" i="55"/>
  <c r="L209" i="55" s="1"/>
  <c r="H190" i="55"/>
  <c r="L190" i="55" s="1"/>
  <c r="AJ170" i="55"/>
  <c r="AN170" i="55" s="1"/>
  <c r="Z40" i="55"/>
  <c r="I41" i="55"/>
  <c r="H171" i="55"/>
  <c r="L171" i="55" s="1"/>
  <c r="Q39" i="55"/>
  <c r="AA10" i="55"/>
  <c r="W28" i="27" s="1"/>
  <c r="Q189" i="55"/>
  <c r="U189" i="55" s="1"/>
  <c r="Z171" i="55"/>
  <c r="AD171" i="55" s="1"/>
  <c r="AC39" i="55"/>
  <c r="AM39" i="55"/>
  <c r="AB40" i="55"/>
  <c r="AJ40" i="55"/>
  <c r="Z10" i="55"/>
  <c r="V28" i="27" s="1"/>
  <c r="S39" i="55"/>
  <c r="J40" i="55"/>
  <c r="K40" i="55"/>
  <c r="AB10" i="55"/>
  <c r="X28" i="27" s="1"/>
  <c r="T39" i="55"/>
  <c r="Q208" i="55"/>
  <c r="U208" i="55" s="1"/>
  <c r="H229" i="55"/>
  <c r="L229" i="55" s="1"/>
  <c r="AA41" i="55"/>
  <c r="Q170" i="55"/>
  <c r="U170" i="55" s="1"/>
  <c r="H40" i="55"/>
  <c r="Q229" i="55"/>
  <c r="U229" i="55" s="1"/>
  <c r="AJ370" i="53"/>
  <c r="AH53" i="53"/>
  <c r="AH167" i="53" s="1"/>
  <c r="AK370" i="53"/>
  <c r="L388" i="53"/>
  <c r="G130" i="53"/>
  <c r="G92" i="53"/>
  <c r="G17" i="53"/>
  <c r="G35" i="53"/>
  <c r="G54" i="53" s="1"/>
  <c r="AI133" i="53"/>
  <c r="AI20" i="53" s="1"/>
  <c r="AI95" i="53"/>
  <c r="AI38" i="53"/>
  <c r="AI152" i="53" s="1"/>
  <c r="Q265" i="53"/>
  <c r="AM78" i="53"/>
  <c r="Z78" i="53"/>
  <c r="T78" i="53"/>
  <c r="AA370" i="53"/>
  <c r="AA389" i="53" s="1"/>
  <c r="AJ77" i="53"/>
  <c r="P129" i="53"/>
  <c r="P91" i="53"/>
  <c r="P34" i="53"/>
  <c r="P16" i="53"/>
  <c r="P53" i="53"/>
  <c r="AJ199" i="53"/>
  <c r="AJ389" i="53" s="1"/>
  <c r="AJ10" i="53"/>
  <c r="AK199" i="53"/>
  <c r="AK10" i="53"/>
  <c r="G148" i="53"/>
  <c r="G167" i="53" s="1"/>
  <c r="Q303" i="53"/>
  <c r="Y132" i="53"/>
  <c r="Y94" i="53"/>
  <c r="Y19" i="53"/>
  <c r="Y37" i="53"/>
  <c r="Y56" i="53" s="1"/>
  <c r="AN370" i="53"/>
  <c r="H246" i="53"/>
  <c r="H78" i="53"/>
  <c r="F130" i="53"/>
  <c r="F92" i="53"/>
  <c r="F35" i="53"/>
  <c r="F54" i="53" s="1"/>
  <c r="F17" i="53"/>
  <c r="K77" i="53"/>
  <c r="Q362" i="53"/>
  <c r="F148" i="53"/>
  <c r="F167" i="53"/>
  <c r="AA79" i="53"/>
  <c r="AB199" i="53"/>
  <c r="AB142" i="53"/>
  <c r="AB10" i="53"/>
  <c r="Q322" i="53"/>
  <c r="AC78" i="53"/>
  <c r="S199" i="53"/>
  <c r="S142" i="53"/>
  <c r="S10" i="53"/>
  <c r="AK78" i="53"/>
  <c r="S79" i="53"/>
  <c r="H322" i="53"/>
  <c r="Q77" i="53"/>
  <c r="AC199" i="53"/>
  <c r="AC142" i="53"/>
  <c r="AC10" i="53"/>
  <c r="Q343" i="53"/>
  <c r="Q227" i="53"/>
  <c r="Q284" i="53"/>
  <c r="H303" i="53"/>
  <c r="H265" i="53"/>
  <c r="O131" i="53"/>
  <c r="O93" i="53"/>
  <c r="O36" i="53"/>
  <c r="O55" i="53" s="1"/>
  <c r="AM199" i="53"/>
  <c r="AM10" i="53"/>
  <c r="H199" i="53"/>
  <c r="H142" i="53"/>
  <c r="H10" i="53"/>
  <c r="AB78" i="53"/>
  <c r="Q246" i="53"/>
  <c r="T199" i="53"/>
  <c r="T142" i="53"/>
  <c r="T10" i="53"/>
  <c r="H362" i="53"/>
  <c r="H343" i="53"/>
  <c r="X128" i="53"/>
  <c r="X15" i="53" s="1"/>
  <c r="X90" i="53"/>
  <c r="X33" i="53"/>
  <c r="X52" i="53" s="1"/>
  <c r="AM370" i="53"/>
  <c r="Q199" i="53"/>
  <c r="Q142" i="53"/>
  <c r="Q10" i="53"/>
  <c r="L351" i="53"/>
  <c r="L275" i="53"/>
  <c r="L237" i="53"/>
  <c r="L313" i="53"/>
  <c r="AI56" i="53"/>
  <c r="AI170" i="53" s="1"/>
  <c r="H284" i="53"/>
  <c r="AL77" i="53"/>
  <c r="AL199" i="53"/>
  <c r="AL10" i="53"/>
  <c r="K199" i="53"/>
  <c r="K142" i="53"/>
  <c r="K10" i="53"/>
  <c r="R78" i="53"/>
  <c r="R199" i="53"/>
  <c r="R142" i="53"/>
  <c r="R161" i="53" s="1"/>
  <c r="R10" i="53"/>
  <c r="H227" i="53"/>
  <c r="AH16" i="53"/>
  <c r="J199" i="53"/>
  <c r="J142" i="53"/>
  <c r="J161" i="53" s="1"/>
  <c r="J10" i="53"/>
  <c r="Z199" i="53"/>
  <c r="Z142" i="53"/>
  <c r="Z161" i="53" s="1"/>
  <c r="Z10" i="53"/>
  <c r="I86" i="53"/>
  <c r="I105" i="53" s="1"/>
  <c r="I29" i="53"/>
  <c r="I48" i="53" s="1"/>
  <c r="AL370" i="53"/>
  <c r="O149" i="53"/>
  <c r="O168" i="53" s="1"/>
  <c r="AN275" i="52"/>
  <c r="AN237" i="52"/>
  <c r="AL370" i="52" s="1"/>
  <c r="S142" i="52"/>
  <c r="S161" i="52" s="1"/>
  <c r="S10" i="52"/>
  <c r="S86" i="52" s="1"/>
  <c r="S105" i="52" s="1"/>
  <c r="AC86" i="52"/>
  <c r="AC105" i="52" s="1"/>
  <c r="T199" i="52"/>
  <c r="T142" i="52"/>
  <c r="T161" i="52" s="1"/>
  <c r="Q142" i="52"/>
  <c r="Q161" i="52" s="1"/>
  <c r="Q199" i="52"/>
  <c r="AC142" i="52"/>
  <c r="AC161" i="52" s="1"/>
  <c r="AC370" i="52" s="1"/>
  <c r="R10" i="52"/>
  <c r="R29" i="52" s="1"/>
  <c r="R142" i="52"/>
  <c r="R161" i="52" s="1"/>
  <c r="AC199" i="52"/>
  <c r="AH52" i="52"/>
  <c r="AH166" i="52" s="1"/>
  <c r="X147" i="52"/>
  <c r="X166" i="52" s="1"/>
  <c r="X15" i="52"/>
  <c r="AI52" i="52"/>
  <c r="AI166" i="52" s="1"/>
  <c r="K86" i="52"/>
  <c r="K124" i="52"/>
  <c r="K29" i="52"/>
  <c r="K48" i="52" s="1"/>
  <c r="K142" i="52"/>
  <c r="K161" i="52" s="1"/>
  <c r="AI34" i="52"/>
  <c r="AI148" i="52" s="1"/>
  <c r="AI91" i="52"/>
  <c r="AI129" i="52"/>
  <c r="AI16" i="52" s="1"/>
  <c r="AI130" i="52" s="1"/>
  <c r="AA78" i="52"/>
  <c r="P148" i="52"/>
  <c r="P167" i="52" s="1"/>
  <c r="AM10" i="52"/>
  <c r="AM124" i="52" s="1"/>
  <c r="Y34" i="52"/>
  <c r="Y53" i="52" s="1"/>
  <c r="Y91" i="52"/>
  <c r="Y129" i="52"/>
  <c r="O149" i="52"/>
  <c r="O168" i="52" s="1"/>
  <c r="AH34" i="52"/>
  <c r="AH148" i="52" s="1"/>
  <c r="AH91" i="52"/>
  <c r="AH129" i="52"/>
  <c r="AH16" i="52" s="1"/>
  <c r="AH130" i="52" s="1"/>
  <c r="H78" i="52"/>
  <c r="Q228" i="52"/>
  <c r="AK199" i="52"/>
  <c r="AK10" i="52"/>
  <c r="AK370" i="52"/>
  <c r="P16" i="52"/>
  <c r="AL199" i="52"/>
  <c r="AL10" i="52"/>
  <c r="AK78" i="52"/>
  <c r="O17" i="52"/>
  <c r="T86" i="52"/>
  <c r="T105" i="52" s="1"/>
  <c r="T29" i="52"/>
  <c r="T48" i="52" s="1"/>
  <c r="AA142" i="52"/>
  <c r="AA161" i="52" s="1"/>
  <c r="AA199" i="52"/>
  <c r="AA10" i="52"/>
  <c r="G34" i="52"/>
  <c r="G53" i="52" s="1"/>
  <c r="G91" i="52"/>
  <c r="G129" i="52"/>
  <c r="AJ78" i="52"/>
  <c r="AB142" i="52"/>
  <c r="AB161" i="52" s="1"/>
  <c r="AB199" i="52"/>
  <c r="AB10" i="52"/>
  <c r="F33" i="52"/>
  <c r="F52" i="52" s="1"/>
  <c r="F90" i="52"/>
  <c r="F128" i="52"/>
  <c r="AC77" i="52"/>
  <c r="Z142" i="52"/>
  <c r="Z199" i="52"/>
  <c r="Z10" i="52"/>
  <c r="Y147" i="52"/>
  <c r="Y166" i="52" s="1"/>
  <c r="AJ199" i="52"/>
  <c r="AJ10" i="52"/>
  <c r="R79" i="52"/>
  <c r="Q77" i="52"/>
  <c r="T79" i="52"/>
  <c r="Q29" i="52"/>
  <c r="Q48" i="52" s="1"/>
  <c r="Q86" i="52"/>
  <c r="Q105" i="52" s="1"/>
  <c r="Z78" i="52"/>
  <c r="AJ370" i="52"/>
  <c r="AH17" i="47"/>
  <c r="AI132" i="47"/>
  <c r="AI19" i="47" s="1"/>
  <c r="Y90" i="47"/>
  <c r="L237" i="39"/>
  <c r="L220" i="41"/>
  <c r="L153" i="39"/>
  <c r="H154" i="39"/>
  <c r="L190" i="41"/>
  <c r="H191" i="41"/>
  <c r="L211" i="39"/>
  <c r="H212" i="39"/>
  <c r="L212" i="39" s="1"/>
  <c r="H172" i="39"/>
  <c r="L171" i="39"/>
  <c r="H171" i="41"/>
  <c r="L170" i="41"/>
  <c r="Y128" i="47"/>
  <c r="Y15" i="47" s="1"/>
  <c r="Y34" i="47" s="1"/>
  <c r="Y53" i="47" s="1"/>
  <c r="Y33" i="47"/>
  <c r="Y52" i="47" s="1"/>
  <c r="F32" i="47"/>
  <c r="F51" i="47" s="1"/>
  <c r="O147" i="47"/>
  <c r="O166" i="47" s="1"/>
  <c r="F145" i="47"/>
  <c r="F164" i="47" s="1"/>
  <c r="L218" i="47"/>
  <c r="O34" i="47"/>
  <c r="O53" i="47" s="1"/>
  <c r="O91" i="47"/>
  <c r="O129" i="47"/>
  <c r="O16" i="47" s="1"/>
  <c r="O130" i="47" s="1"/>
  <c r="H47" i="47"/>
  <c r="L237" i="47" s="1"/>
  <c r="L294" i="47"/>
  <c r="L256" i="47"/>
  <c r="L332" i="47"/>
  <c r="F89" i="47"/>
  <c r="F14" i="47"/>
  <c r="F128" i="47" s="1"/>
  <c r="G128" i="47"/>
  <c r="G146" i="47"/>
  <c r="G165" i="47" s="1"/>
  <c r="H123" i="47"/>
  <c r="L369" i="47"/>
  <c r="X32" i="47"/>
  <c r="X51" i="47" s="1"/>
  <c r="X127" i="47"/>
  <c r="X14" i="47" s="1"/>
  <c r="X89" i="47"/>
  <c r="U218" i="47"/>
  <c r="AN369" i="47"/>
  <c r="AB388" i="47"/>
  <c r="AD388" i="47" s="1"/>
  <c r="AD369" i="47"/>
  <c r="Q388" i="47"/>
  <c r="U369" i="47"/>
  <c r="U332" i="47"/>
  <c r="P88" i="47"/>
  <c r="P31" i="47"/>
  <c r="P50" i="47" s="1"/>
  <c r="P126" i="47"/>
  <c r="AI55" i="47"/>
  <c r="AI169" i="47" s="1"/>
  <c r="U313" i="47"/>
  <c r="U237" i="47"/>
  <c r="U275" i="47"/>
  <c r="U351" i="47"/>
  <c r="AJ47" i="47"/>
  <c r="AN332" i="47"/>
  <c r="AN294" i="47"/>
  <c r="AN256" i="47"/>
  <c r="AN218" i="47"/>
  <c r="Z47" i="47"/>
  <c r="AD332" i="47"/>
  <c r="AD256" i="47"/>
  <c r="AD294" i="47"/>
  <c r="AD218" i="47"/>
  <c r="L388" i="47"/>
  <c r="U294" i="47"/>
  <c r="U256" i="47"/>
  <c r="J123" i="47"/>
  <c r="J199" i="47" s="1"/>
  <c r="I123" i="47"/>
  <c r="K123" i="47"/>
  <c r="AH35" i="47"/>
  <c r="AH149" i="47" s="1"/>
  <c r="AL161" i="47"/>
  <c r="AL142" i="47"/>
  <c r="AK142" i="47"/>
  <c r="AK161" i="47"/>
  <c r="AJ161" i="47"/>
  <c r="AJ142" i="47"/>
  <c r="AM142" i="47"/>
  <c r="AM161" i="47"/>
  <c r="AI37" i="47"/>
  <c r="AI151" i="47" s="1"/>
  <c r="R226" i="47"/>
  <c r="Q284" i="47"/>
  <c r="T320" i="47"/>
  <c r="Q303" i="47"/>
  <c r="Q228" i="47"/>
  <c r="Q265" i="47"/>
  <c r="T282" i="47"/>
  <c r="Q361" i="47"/>
  <c r="T244" i="47"/>
  <c r="Q342" i="47"/>
  <c r="Q246" i="47"/>
  <c r="Q322" i="47"/>
  <c r="H363" i="47"/>
  <c r="H322" i="47"/>
  <c r="H283" i="47"/>
  <c r="H245" i="47"/>
  <c r="AM123" i="47"/>
  <c r="AM199" i="47" s="1"/>
  <c r="T123" i="47"/>
  <c r="Z123" i="47"/>
  <c r="AL123" i="47"/>
  <c r="AB77" i="47"/>
  <c r="R76" i="47"/>
  <c r="J77" i="47"/>
  <c r="S123" i="47"/>
  <c r="Z76" i="47"/>
  <c r="T76" i="47"/>
  <c r="AA77" i="47"/>
  <c r="AI94" i="47"/>
  <c r="AJ77" i="47"/>
  <c r="AL76" i="47"/>
  <c r="AB123" i="47"/>
  <c r="S76" i="47"/>
  <c r="AC123" i="47"/>
  <c r="AK76" i="47"/>
  <c r="H265" i="47"/>
  <c r="K76" i="47"/>
  <c r="AC76" i="47"/>
  <c r="AH92" i="47"/>
  <c r="I77" i="47"/>
  <c r="H227" i="47"/>
  <c r="H342" i="47"/>
  <c r="H303" i="47"/>
  <c r="AJ123" i="47"/>
  <c r="AK123" i="47"/>
  <c r="R123" i="47"/>
  <c r="Q123" i="47"/>
  <c r="H77" i="47"/>
  <c r="AA123" i="47"/>
  <c r="AN388" i="47"/>
  <c r="R15" i="45"/>
  <c r="AJ124" i="25"/>
  <c r="AL219" i="25"/>
  <c r="AL124" i="25"/>
  <c r="R85" i="25"/>
  <c r="R10" i="25" s="1"/>
  <c r="R48" i="25" s="1"/>
  <c r="R67" i="25" s="1"/>
  <c r="L123" i="25"/>
  <c r="U236" i="25"/>
  <c r="AN237" i="25"/>
  <c r="AL11" i="25"/>
  <c r="AL49" i="25" s="1"/>
  <c r="AL68" i="25" s="1"/>
  <c r="AJ219" i="25"/>
  <c r="AJ11" i="25"/>
  <c r="AJ49" i="25" s="1"/>
  <c r="AJ68" i="25" s="1"/>
  <c r="AM11" i="25"/>
  <c r="AM49" i="25" s="1"/>
  <c r="AM68" i="25" s="1"/>
  <c r="AM219" i="25"/>
  <c r="AK219" i="25"/>
  <c r="AK11" i="25"/>
  <c r="AK49" i="25" s="1"/>
  <c r="AK68" i="25" s="1"/>
  <c r="AI94" i="25"/>
  <c r="AI19" i="25" s="1"/>
  <c r="AI57" i="25" s="1"/>
  <c r="AH95" i="25"/>
  <c r="AH20" i="25" s="1"/>
  <c r="Y91" i="25"/>
  <c r="Y16" i="25" s="1"/>
  <c r="Y54" i="25" s="1"/>
  <c r="AC238" i="25"/>
  <c r="Z49" i="25"/>
  <c r="Z68" i="25" s="1"/>
  <c r="AA49" i="25"/>
  <c r="AA68" i="25" s="1"/>
  <c r="AD219" i="25"/>
  <c r="AA238" i="25"/>
  <c r="AC49" i="25"/>
  <c r="AC68" i="25" s="1"/>
  <c r="X53" i="25"/>
  <c r="X91" i="25"/>
  <c r="X16" i="25" s="1"/>
  <c r="Y53" i="25"/>
  <c r="H237" i="25"/>
  <c r="I237" i="25"/>
  <c r="H48" i="25"/>
  <c r="H67" i="25" s="1"/>
  <c r="G55" i="25"/>
  <c r="G93" i="25"/>
  <c r="G18" i="25" s="1"/>
  <c r="S17" i="45" s="1"/>
  <c r="I48" i="25"/>
  <c r="I67" i="25" s="1"/>
  <c r="S85" i="25"/>
  <c r="J237" i="25"/>
  <c r="J48" i="25"/>
  <c r="J67" i="25" s="1"/>
  <c r="L218" i="25"/>
  <c r="T85" i="25"/>
  <c r="Q85" i="25"/>
  <c r="K237" i="25"/>
  <c r="L209" i="25"/>
  <c r="I210" i="25"/>
  <c r="K48" i="25"/>
  <c r="K67" i="25" s="1"/>
  <c r="O93" i="25"/>
  <c r="O18" i="25" s="1"/>
  <c r="O56" i="25" s="1"/>
  <c r="P94" i="25"/>
  <c r="P19" i="25" s="1"/>
  <c r="P57" i="25" s="1"/>
  <c r="F17" i="25"/>
  <c r="F54" i="25"/>
  <c r="G95" i="29"/>
  <c r="G20" i="29" s="1"/>
  <c r="G57" i="29"/>
  <c r="F13" i="29"/>
  <c r="K124" i="29"/>
  <c r="K219" i="29"/>
  <c r="K11" i="29"/>
  <c r="H86" i="29"/>
  <c r="I86" i="29"/>
  <c r="J86" i="29"/>
  <c r="H225" i="37"/>
  <c r="I225" i="37"/>
  <c r="J225" i="37"/>
  <c r="K225" i="37"/>
  <c r="L188" i="37"/>
  <c r="H189" i="37"/>
  <c r="H170" i="29"/>
  <c r="L169" i="29"/>
  <c r="L188" i="29"/>
  <c r="H189" i="29"/>
  <c r="J88" i="41"/>
  <c r="J13" i="41" s="1"/>
  <c r="I88" i="41"/>
  <c r="I13" i="41" s="1"/>
  <c r="H88" i="41"/>
  <c r="H13" i="41" s="1"/>
  <c r="K190" i="25"/>
  <c r="L189" i="25"/>
  <c r="H151" i="29"/>
  <c r="L150" i="29"/>
  <c r="L150" i="41"/>
  <c r="H151" i="41"/>
  <c r="G57" i="41"/>
  <c r="G95" i="41"/>
  <c r="G20" i="41" s="1"/>
  <c r="F51" i="41"/>
  <c r="F89" i="41"/>
  <c r="F14" i="41" s="1"/>
  <c r="K126" i="41"/>
  <c r="K202" i="41"/>
  <c r="J126" i="41"/>
  <c r="J202" i="41"/>
  <c r="I126" i="41"/>
  <c r="I202" i="41"/>
  <c r="H126" i="41"/>
  <c r="H202" i="41"/>
  <c r="J49" i="39"/>
  <c r="J68" i="39" s="1"/>
  <c r="J124" i="39"/>
  <c r="J219" i="39"/>
  <c r="I86" i="39"/>
  <c r="I11" i="39" s="1"/>
  <c r="K86" i="39"/>
  <c r="K11" i="39" s="1"/>
  <c r="H86" i="39"/>
  <c r="H11" i="39" s="1"/>
  <c r="G56" i="39"/>
  <c r="G94" i="39"/>
  <c r="G19" i="39" s="1"/>
  <c r="F53" i="39"/>
  <c r="F91" i="39"/>
  <c r="F16" i="39" s="1"/>
  <c r="H12" i="37"/>
  <c r="H50" i="37" s="1"/>
  <c r="H69" i="37" s="1"/>
  <c r="H125" i="37"/>
  <c r="H239" i="37" s="1"/>
  <c r="I12" i="37"/>
  <c r="I50" i="37" s="1"/>
  <c r="I69" i="37" s="1"/>
  <c r="I125" i="37"/>
  <c r="I239" i="37" s="1"/>
  <c r="K12" i="37"/>
  <c r="K50" i="37" s="1"/>
  <c r="K69" i="37" s="1"/>
  <c r="K88" i="37" s="1"/>
  <c r="K125" i="37"/>
  <c r="K239" i="37" s="1"/>
  <c r="G51" i="37"/>
  <c r="G89" i="37"/>
  <c r="G14" i="37" s="1"/>
  <c r="F51" i="37"/>
  <c r="F89" i="37"/>
  <c r="F14" i="37" s="1"/>
  <c r="H211" i="29"/>
  <c r="L210" i="29"/>
  <c r="H40" i="37"/>
  <c r="H39" i="29"/>
  <c r="H210" i="37"/>
  <c r="L209" i="37"/>
  <c r="L171" i="37"/>
  <c r="L152" i="37"/>
  <c r="I114" i="37"/>
  <c r="H114" i="37"/>
  <c r="K115" i="37"/>
  <c r="J114" i="37"/>
  <c r="L155" i="25"/>
  <c r="L154" i="25"/>
  <c r="I3" i="13"/>
  <c r="F7" i="13" s="1"/>
  <c r="F8" i="13" s="1"/>
  <c r="F71" i="13" s="1"/>
  <c r="E72" i="13"/>
  <c r="E84" i="13"/>
  <c r="D72" i="13"/>
  <c r="D84" i="13"/>
  <c r="C94" i="13"/>
  <c r="G28" i="13"/>
  <c r="G27" i="13"/>
  <c r="C15" i="13"/>
  <c r="C27" i="13"/>
  <c r="D15" i="13"/>
  <c r="D27" i="13"/>
  <c r="G29" i="13"/>
  <c r="G18" i="13"/>
  <c r="G30" i="13"/>
  <c r="F18" i="13"/>
  <c r="H18" i="13"/>
  <c r="E18" i="13"/>
  <c r="L120" i="20"/>
  <c r="L118" i="20"/>
  <c r="L119" i="20"/>
  <c r="L117" i="20"/>
  <c r="L116" i="20"/>
  <c r="L121" i="20"/>
  <c r="L221" i="20" s="1"/>
  <c r="L321" i="20" s="1"/>
  <c r="F9" i="13"/>
  <c r="F30" i="13" s="1"/>
  <c r="E9" i="13"/>
  <c r="H9" i="13"/>
  <c r="H30" i="13" s="1"/>
  <c r="C40" i="18"/>
  <c r="C45" i="18" s="1"/>
  <c r="L45" i="18"/>
  <c r="H45" i="18"/>
  <c r="D45" i="18"/>
  <c r="J45" i="18"/>
  <c r="I45" i="18"/>
  <c r="K45" i="18"/>
  <c r="G45" i="18"/>
  <c r="F45" i="18"/>
  <c r="M45" i="18"/>
  <c r="E45" i="18"/>
  <c r="C39" i="18"/>
  <c r="C44" i="18" s="1"/>
  <c r="K44" i="18"/>
  <c r="G44" i="18"/>
  <c r="M44" i="18"/>
  <c r="F44" i="18"/>
  <c r="L44" i="18"/>
  <c r="D44" i="18"/>
  <c r="J44" i="18"/>
  <c r="E44" i="18"/>
  <c r="I44" i="18"/>
  <c r="H44" i="18"/>
  <c r="C41" i="18"/>
  <c r="C46" i="18" s="1"/>
  <c r="K46" i="18"/>
  <c r="G46" i="18"/>
  <c r="I46" i="18"/>
  <c r="L46" i="18"/>
  <c r="D46" i="18"/>
  <c r="J46" i="18"/>
  <c r="F46" i="18"/>
  <c r="M46" i="18"/>
  <c r="E46" i="18"/>
  <c r="H46" i="18"/>
  <c r="B21" i="9"/>
  <c r="B41" i="9"/>
  <c r="B36" i="9"/>
  <c r="B11" i="9"/>
  <c r="B9" i="9"/>
  <c r="B49" i="9"/>
  <c r="B44" i="9"/>
  <c r="B19" i="9"/>
  <c r="B25" i="9"/>
  <c r="B55" i="9"/>
  <c r="B40" i="9"/>
  <c r="B16" i="8"/>
  <c r="B36" i="8"/>
  <c r="B56" i="8"/>
  <c r="B29" i="8"/>
  <c r="B49" i="8"/>
  <c r="B25" i="8"/>
  <c r="B45" i="8"/>
  <c r="F23" i="4"/>
  <c r="F24" i="4"/>
  <c r="F25" i="4"/>
  <c r="F26" i="4"/>
  <c r="F27" i="4"/>
  <c r="F28" i="4"/>
  <c r="F29" i="4"/>
  <c r="F30" i="4"/>
  <c r="F31" i="4"/>
  <c r="F32" i="4"/>
  <c r="F33" i="4"/>
  <c r="F34" i="4"/>
  <c r="F22" i="4"/>
  <c r="J23" i="4"/>
  <c r="J24" i="4"/>
  <c r="J25" i="4"/>
  <c r="J26" i="4"/>
  <c r="J27" i="4"/>
  <c r="J28" i="4"/>
  <c r="J29" i="4"/>
  <c r="J30" i="4"/>
  <c r="J31" i="4"/>
  <c r="J32" i="4"/>
  <c r="J33" i="4"/>
  <c r="J34" i="4"/>
  <c r="J22" i="4"/>
  <c r="N23" i="4"/>
  <c r="N24" i="4"/>
  <c r="N25" i="4"/>
  <c r="N26" i="4"/>
  <c r="N27" i="4"/>
  <c r="N28" i="4"/>
  <c r="N29" i="4"/>
  <c r="N30" i="4"/>
  <c r="N31" i="4"/>
  <c r="N32" i="4"/>
  <c r="N33" i="4"/>
  <c r="N34" i="4"/>
  <c r="N22" i="4"/>
  <c r="R23" i="4"/>
  <c r="R24" i="4"/>
  <c r="R25" i="4"/>
  <c r="R26" i="4"/>
  <c r="R27" i="4"/>
  <c r="R28" i="4"/>
  <c r="R29" i="4"/>
  <c r="R30" i="4"/>
  <c r="R31" i="4"/>
  <c r="R32" i="4"/>
  <c r="R33" i="4"/>
  <c r="R34" i="4"/>
  <c r="R22" i="4"/>
  <c r="E23" i="4"/>
  <c r="E24" i="4"/>
  <c r="E25" i="4"/>
  <c r="E26" i="4"/>
  <c r="E27" i="4"/>
  <c r="E28" i="4"/>
  <c r="E29" i="4"/>
  <c r="E30" i="4"/>
  <c r="E31" i="4"/>
  <c r="E32" i="4"/>
  <c r="E33" i="4"/>
  <c r="E34" i="4"/>
  <c r="E22" i="4"/>
  <c r="I23" i="4"/>
  <c r="I24" i="4"/>
  <c r="I25" i="4"/>
  <c r="I26" i="4"/>
  <c r="I27" i="4"/>
  <c r="I28" i="4"/>
  <c r="I29" i="4"/>
  <c r="I30" i="4"/>
  <c r="I31" i="4"/>
  <c r="I32" i="4"/>
  <c r="I33" i="4"/>
  <c r="I34" i="4"/>
  <c r="I22" i="4"/>
  <c r="M23" i="4"/>
  <c r="M24" i="4"/>
  <c r="M25" i="4"/>
  <c r="M26" i="4"/>
  <c r="M27" i="4"/>
  <c r="M28" i="4"/>
  <c r="M29" i="4"/>
  <c r="M30" i="4"/>
  <c r="M31" i="4"/>
  <c r="M32" i="4"/>
  <c r="M33" i="4"/>
  <c r="M34" i="4"/>
  <c r="M22" i="4"/>
  <c r="Q23" i="4"/>
  <c r="Q24" i="4"/>
  <c r="Q25" i="4"/>
  <c r="Q26" i="4"/>
  <c r="Q27" i="4"/>
  <c r="Q28" i="4"/>
  <c r="Q29" i="4"/>
  <c r="Q30" i="4"/>
  <c r="Q31" i="4"/>
  <c r="Q32" i="4"/>
  <c r="Q33" i="4"/>
  <c r="Q34" i="4"/>
  <c r="Q22" i="4"/>
  <c r="D22" i="4"/>
  <c r="D23" i="4"/>
  <c r="D24" i="4"/>
  <c r="D25" i="4"/>
  <c r="D26" i="4"/>
  <c r="D27" i="4"/>
  <c r="D28" i="4"/>
  <c r="D29" i="4"/>
  <c r="D30" i="4"/>
  <c r="D31" i="4"/>
  <c r="D32" i="4"/>
  <c r="D33" i="4"/>
  <c r="D34" i="4"/>
  <c r="H23" i="4"/>
  <c r="H24" i="4"/>
  <c r="H25" i="4"/>
  <c r="H26" i="4"/>
  <c r="H27" i="4"/>
  <c r="H28" i="4"/>
  <c r="H29" i="4"/>
  <c r="H30" i="4"/>
  <c r="H31" i="4"/>
  <c r="H32" i="4"/>
  <c r="H33" i="4"/>
  <c r="H34" i="4"/>
  <c r="H22" i="4"/>
  <c r="L23" i="4"/>
  <c r="L24" i="4"/>
  <c r="L25" i="4"/>
  <c r="L26" i="4"/>
  <c r="L27" i="4"/>
  <c r="L28" i="4"/>
  <c r="L29" i="4"/>
  <c r="L30" i="4"/>
  <c r="L31" i="4"/>
  <c r="L32" i="4"/>
  <c r="L33" i="4"/>
  <c r="L34" i="4"/>
  <c r="L22" i="4"/>
  <c r="P23" i="4"/>
  <c r="P24" i="4"/>
  <c r="P25" i="4"/>
  <c r="P26" i="4"/>
  <c r="P27" i="4"/>
  <c r="P28" i="4"/>
  <c r="P29" i="4"/>
  <c r="P30" i="4"/>
  <c r="P31" i="4"/>
  <c r="P32" i="4"/>
  <c r="P33" i="4"/>
  <c r="P34" i="4"/>
  <c r="P22" i="4"/>
  <c r="F34" i="6"/>
  <c r="F33" i="6"/>
  <c r="F32" i="6"/>
  <c r="F31" i="6"/>
  <c r="F30" i="6"/>
  <c r="F29" i="6"/>
  <c r="F28" i="6"/>
  <c r="F27" i="6"/>
  <c r="F26" i="6"/>
  <c r="F25" i="6"/>
  <c r="F24" i="6"/>
  <c r="F23" i="6"/>
  <c r="F22" i="6"/>
  <c r="J34" i="6"/>
  <c r="J33" i="6"/>
  <c r="J32" i="6"/>
  <c r="J31" i="6"/>
  <c r="J30" i="6"/>
  <c r="J29" i="6"/>
  <c r="J28" i="6"/>
  <c r="J27" i="6"/>
  <c r="J26" i="6"/>
  <c r="J25" i="6"/>
  <c r="J24" i="6"/>
  <c r="J23" i="6"/>
  <c r="J22" i="6"/>
  <c r="N34" i="6"/>
  <c r="N33" i="6"/>
  <c r="N32" i="6"/>
  <c r="N31" i="6"/>
  <c r="N30" i="6"/>
  <c r="N29" i="6"/>
  <c r="N28" i="6"/>
  <c r="N27" i="6"/>
  <c r="N26" i="6"/>
  <c r="N25" i="6"/>
  <c r="N24" i="6"/>
  <c r="N23" i="6"/>
  <c r="N22" i="6"/>
  <c r="R34" i="6"/>
  <c r="R33" i="6"/>
  <c r="R32" i="6"/>
  <c r="R31" i="6"/>
  <c r="R30" i="6"/>
  <c r="R29" i="6"/>
  <c r="R28" i="6"/>
  <c r="R27" i="6"/>
  <c r="R26" i="6"/>
  <c r="R25" i="6"/>
  <c r="R24" i="6"/>
  <c r="R23" i="6"/>
  <c r="R22" i="6"/>
  <c r="E34" i="6"/>
  <c r="E33" i="6"/>
  <c r="E32" i="6"/>
  <c r="E31" i="6"/>
  <c r="E30" i="6"/>
  <c r="E29" i="6"/>
  <c r="E28" i="6"/>
  <c r="E27" i="6"/>
  <c r="E26" i="6"/>
  <c r="E25" i="6"/>
  <c r="E24" i="6"/>
  <c r="E23" i="6"/>
  <c r="E22" i="6"/>
  <c r="C23" i="8" s="1"/>
  <c r="I34" i="6"/>
  <c r="I33" i="6"/>
  <c r="I32" i="6"/>
  <c r="I31" i="6"/>
  <c r="I30" i="6"/>
  <c r="I29" i="6"/>
  <c r="I28" i="6"/>
  <c r="I27" i="6"/>
  <c r="I26" i="6"/>
  <c r="I25" i="6"/>
  <c r="I24" i="6"/>
  <c r="I23" i="6"/>
  <c r="I22" i="6"/>
  <c r="M34" i="6"/>
  <c r="M33" i="6"/>
  <c r="M32" i="6"/>
  <c r="M31" i="6"/>
  <c r="M30" i="6"/>
  <c r="M29" i="6"/>
  <c r="M28" i="6"/>
  <c r="M27" i="6"/>
  <c r="M26" i="6"/>
  <c r="M25" i="6"/>
  <c r="M24" i="6"/>
  <c r="M23" i="6"/>
  <c r="M22" i="6"/>
  <c r="C25" i="8" s="1"/>
  <c r="Q34" i="6"/>
  <c r="Q33" i="6"/>
  <c r="Q32" i="6"/>
  <c r="Q31" i="6"/>
  <c r="Q30" i="6"/>
  <c r="Q29" i="6"/>
  <c r="Q28" i="6"/>
  <c r="Q27" i="6"/>
  <c r="Q26" i="6"/>
  <c r="Q25" i="6"/>
  <c r="Q24" i="6"/>
  <c r="Q23" i="6"/>
  <c r="Q22" i="6"/>
  <c r="D34" i="6"/>
  <c r="D33" i="6"/>
  <c r="D32" i="6"/>
  <c r="D31" i="6"/>
  <c r="D30" i="6"/>
  <c r="D29" i="6"/>
  <c r="D28" i="6"/>
  <c r="D27" i="6"/>
  <c r="D26" i="6"/>
  <c r="D25" i="6"/>
  <c r="D24" i="6"/>
  <c r="D23" i="6"/>
  <c r="D22" i="6"/>
  <c r="B13" i="8" s="1"/>
  <c r="H34" i="6"/>
  <c r="H33" i="6"/>
  <c r="H32" i="6"/>
  <c r="H31" i="6"/>
  <c r="H30" i="6"/>
  <c r="H29" i="6"/>
  <c r="H28" i="6"/>
  <c r="H27" i="6"/>
  <c r="H26" i="6"/>
  <c r="H25" i="6"/>
  <c r="H24" i="6"/>
  <c r="H23" i="6"/>
  <c r="H22" i="6"/>
  <c r="B9" i="8" s="1"/>
  <c r="L34" i="6"/>
  <c r="L33" i="6"/>
  <c r="L32" i="6"/>
  <c r="L31" i="6"/>
  <c r="L30" i="6"/>
  <c r="L29" i="6"/>
  <c r="L28" i="6"/>
  <c r="L27" i="6"/>
  <c r="L26" i="6"/>
  <c r="L25" i="6"/>
  <c r="L24" i="6"/>
  <c r="L23" i="6"/>
  <c r="L22" i="6"/>
  <c r="B10" i="8" s="1"/>
  <c r="P34" i="6"/>
  <c r="P33" i="6"/>
  <c r="P32" i="6"/>
  <c r="P31" i="6"/>
  <c r="P30" i="6"/>
  <c r="P29" i="6"/>
  <c r="P28" i="6"/>
  <c r="P27" i="6"/>
  <c r="P26" i="6"/>
  <c r="P25" i="6"/>
  <c r="P24" i="6"/>
  <c r="P23" i="6"/>
  <c r="P22" i="6"/>
  <c r="B11" i="8" s="1"/>
  <c r="F34" i="5"/>
  <c r="F33" i="5"/>
  <c r="F32" i="5"/>
  <c r="F31" i="5"/>
  <c r="F30" i="5"/>
  <c r="F29" i="5"/>
  <c r="F28" i="5"/>
  <c r="F27" i="5"/>
  <c r="F26" i="5"/>
  <c r="F25" i="5"/>
  <c r="F24" i="5"/>
  <c r="F23" i="5"/>
  <c r="J34" i="5"/>
  <c r="J33" i="5"/>
  <c r="J32" i="5"/>
  <c r="J31" i="5"/>
  <c r="J30" i="5"/>
  <c r="J29" i="5"/>
  <c r="J28" i="5"/>
  <c r="J27" i="5"/>
  <c r="J26" i="5"/>
  <c r="J25" i="5"/>
  <c r="J24" i="5"/>
  <c r="J23" i="5"/>
  <c r="J22" i="5"/>
  <c r="N34" i="5"/>
  <c r="N33" i="5"/>
  <c r="N32" i="5"/>
  <c r="N31" i="5"/>
  <c r="N30" i="5"/>
  <c r="N29" i="5"/>
  <c r="N28" i="5"/>
  <c r="N27" i="5"/>
  <c r="N26" i="5"/>
  <c r="N25" i="5"/>
  <c r="N24" i="5"/>
  <c r="N23" i="5"/>
  <c r="N22" i="5"/>
  <c r="R34" i="5"/>
  <c r="R33" i="5"/>
  <c r="R32" i="5"/>
  <c r="R31" i="5"/>
  <c r="R30" i="5"/>
  <c r="R29" i="5"/>
  <c r="R28" i="5"/>
  <c r="R27" i="5"/>
  <c r="R26" i="5"/>
  <c r="R25" i="5"/>
  <c r="R24" i="5"/>
  <c r="R23" i="5"/>
  <c r="R22" i="5"/>
  <c r="E34" i="5"/>
  <c r="E33" i="5"/>
  <c r="E32" i="5"/>
  <c r="E31" i="5"/>
  <c r="E30" i="5"/>
  <c r="E29" i="5"/>
  <c r="E28" i="5"/>
  <c r="E27" i="5"/>
  <c r="E26" i="5"/>
  <c r="E25" i="5"/>
  <c r="E24" i="5"/>
  <c r="E23" i="5"/>
  <c r="E22" i="5"/>
  <c r="I34" i="5"/>
  <c r="I33" i="5"/>
  <c r="I32" i="5"/>
  <c r="I31" i="5"/>
  <c r="I30" i="5"/>
  <c r="I29" i="5"/>
  <c r="I28" i="5"/>
  <c r="I27" i="5"/>
  <c r="I26" i="5"/>
  <c r="I25" i="5"/>
  <c r="I24" i="5"/>
  <c r="I23" i="5"/>
  <c r="I22" i="5"/>
  <c r="M34" i="5"/>
  <c r="M33" i="5"/>
  <c r="M32" i="5"/>
  <c r="M31" i="5"/>
  <c r="M30" i="5"/>
  <c r="M29" i="5"/>
  <c r="M28" i="5"/>
  <c r="M27" i="5"/>
  <c r="M26" i="5"/>
  <c r="M25" i="5"/>
  <c r="M24" i="5"/>
  <c r="M23" i="5"/>
  <c r="M22" i="5"/>
  <c r="Q34" i="5"/>
  <c r="Q33" i="5"/>
  <c r="Q32" i="5"/>
  <c r="Q31" i="5"/>
  <c r="Q30" i="5"/>
  <c r="Q29" i="5"/>
  <c r="Q28" i="5"/>
  <c r="Q27" i="5"/>
  <c r="Q26" i="5"/>
  <c r="Q25" i="5"/>
  <c r="Q24" i="5"/>
  <c r="Q23" i="5"/>
  <c r="Q22" i="5"/>
  <c r="D34" i="5"/>
  <c r="D33" i="5"/>
  <c r="D32" i="5"/>
  <c r="D31" i="5"/>
  <c r="D30" i="5"/>
  <c r="D29" i="5"/>
  <c r="D28" i="5"/>
  <c r="D27" i="5"/>
  <c r="D26" i="5"/>
  <c r="D25" i="5"/>
  <c r="D24" i="5"/>
  <c r="D23" i="5"/>
  <c r="H34" i="5"/>
  <c r="H33" i="5"/>
  <c r="H32" i="5"/>
  <c r="H31" i="5"/>
  <c r="H30" i="5"/>
  <c r="H29" i="5"/>
  <c r="H28" i="5"/>
  <c r="H27" i="5"/>
  <c r="H26" i="5"/>
  <c r="H25" i="5"/>
  <c r="H24" i="5"/>
  <c r="H23" i="5"/>
  <c r="H22" i="5"/>
  <c r="B34" i="9" s="1"/>
  <c r="L34" i="5"/>
  <c r="L33" i="5"/>
  <c r="L32" i="5"/>
  <c r="L31" i="5"/>
  <c r="L30" i="5"/>
  <c r="L29" i="5"/>
  <c r="L28" i="5"/>
  <c r="L27" i="5"/>
  <c r="L26" i="5"/>
  <c r="L25" i="5"/>
  <c r="L24" i="5"/>
  <c r="L23" i="5"/>
  <c r="L22" i="5"/>
  <c r="B45" i="9" s="1"/>
  <c r="P34" i="5"/>
  <c r="P33" i="5"/>
  <c r="P32" i="5"/>
  <c r="P31" i="5"/>
  <c r="P30" i="5"/>
  <c r="P29" i="5"/>
  <c r="P28" i="5"/>
  <c r="P27" i="5"/>
  <c r="P26" i="5"/>
  <c r="P25" i="5"/>
  <c r="P24" i="5"/>
  <c r="P23" i="5"/>
  <c r="P22" i="5"/>
  <c r="B16" i="9" s="1"/>
  <c r="J30" i="46" l="1"/>
  <c r="V30" i="46" s="1"/>
  <c r="Y29" i="46"/>
  <c r="Q29" i="46"/>
  <c r="AN141" i="55"/>
  <c r="L34" i="27"/>
  <c r="L28" i="56"/>
  <c r="M28" i="56" s="1"/>
  <c r="AJ255" i="55"/>
  <c r="O54" i="55"/>
  <c r="Y14" i="55"/>
  <c r="AC256" i="55"/>
  <c r="AK255" i="55"/>
  <c r="AM255" i="55"/>
  <c r="AN236" i="55"/>
  <c r="X13" i="55"/>
  <c r="X107" i="55"/>
  <c r="AL255" i="55"/>
  <c r="AK135" i="55"/>
  <c r="AL135" i="55"/>
  <c r="AM135" i="55"/>
  <c r="AJ135" i="55"/>
  <c r="J9" i="56"/>
  <c r="O17" i="55"/>
  <c r="O55" i="55" s="1"/>
  <c r="G53" i="55"/>
  <c r="E33" i="27"/>
  <c r="E90" i="27" s="1"/>
  <c r="G91" i="55"/>
  <c r="G16" i="55" s="1"/>
  <c r="AI14" i="55"/>
  <c r="AI108" i="55"/>
  <c r="AK66" i="55"/>
  <c r="AK180" i="55"/>
  <c r="AB32" i="27"/>
  <c r="AB89" i="27" s="1"/>
  <c r="AB165" i="27" s="1"/>
  <c r="AH90" i="55"/>
  <c r="AH52" i="55"/>
  <c r="P108" i="55"/>
  <c r="AL66" i="55"/>
  <c r="AL180" i="55"/>
  <c r="AJ66" i="55"/>
  <c r="AJ180" i="55"/>
  <c r="AM66" i="55"/>
  <c r="AM180" i="55"/>
  <c r="AC48" i="55"/>
  <c r="AC67" i="55" s="1"/>
  <c r="AD211" i="55"/>
  <c r="Z212" i="55"/>
  <c r="AD212" i="55" s="1"/>
  <c r="AJ211" i="55"/>
  <c r="AN210" i="55"/>
  <c r="Z193" i="55"/>
  <c r="AD193" i="55" s="1"/>
  <c r="AD192" i="55"/>
  <c r="H135" i="55"/>
  <c r="AJ41" i="55"/>
  <c r="H41" i="55"/>
  <c r="H172" i="55"/>
  <c r="L172" i="55" s="1"/>
  <c r="H210" i="55"/>
  <c r="L210" i="55" s="1"/>
  <c r="AL40" i="55"/>
  <c r="T40" i="55"/>
  <c r="AB41" i="55"/>
  <c r="AA256" i="55"/>
  <c r="AJ171" i="55"/>
  <c r="AN171" i="55" s="1"/>
  <c r="Q171" i="55"/>
  <c r="U171" i="55" s="1"/>
  <c r="AB48" i="55"/>
  <c r="AB67" i="55" s="1"/>
  <c r="AM40" i="55"/>
  <c r="Z172" i="55"/>
  <c r="AD172" i="55" s="1"/>
  <c r="H191" i="55"/>
  <c r="L191" i="55" s="1"/>
  <c r="R40" i="55"/>
  <c r="H230" i="55"/>
  <c r="L230" i="55" s="1"/>
  <c r="AB256" i="55"/>
  <c r="Z48" i="55"/>
  <c r="Z67" i="55" s="1"/>
  <c r="AC40" i="55"/>
  <c r="Q40" i="55"/>
  <c r="Q230" i="55"/>
  <c r="U230" i="55" s="1"/>
  <c r="K41" i="55"/>
  <c r="Q190" i="55"/>
  <c r="U190" i="55" s="1"/>
  <c r="Z41" i="55"/>
  <c r="S40" i="55"/>
  <c r="AD142" i="55"/>
  <c r="Q209" i="55"/>
  <c r="U209" i="55" s="1"/>
  <c r="J41" i="55"/>
  <c r="AA48" i="55"/>
  <c r="AA67" i="55" s="1"/>
  <c r="AL389" i="53"/>
  <c r="I370" i="53"/>
  <c r="I389" i="53" s="1"/>
  <c r="AK389" i="53"/>
  <c r="AD199" i="53"/>
  <c r="AM389" i="53"/>
  <c r="Q363" i="53"/>
  <c r="R79" i="53"/>
  <c r="Z370" i="53"/>
  <c r="H285" i="53"/>
  <c r="X129" i="53"/>
  <c r="X91" i="53"/>
  <c r="X34" i="53"/>
  <c r="X53" i="53" s="1"/>
  <c r="X16" i="53"/>
  <c r="AB48" i="53"/>
  <c r="AB86" i="53"/>
  <c r="AB105" i="53" s="1"/>
  <c r="AB29" i="53"/>
  <c r="Q247" i="53"/>
  <c r="J86" i="53"/>
  <c r="J105" i="53" s="1"/>
  <c r="J29" i="53"/>
  <c r="J48" i="53" s="1"/>
  <c r="AB79" i="53"/>
  <c r="O150" i="53"/>
  <c r="O169" i="53" s="1"/>
  <c r="AC86" i="53"/>
  <c r="AC105" i="53" s="1"/>
  <c r="AC29" i="53"/>
  <c r="AC48" i="53" s="1"/>
  <c r="K78" i="53"/>
  <c r="AN389" i="53"/>
  <c r="AJ86" i="53"/>
  <c r="AJ105" i="53" s="1"/>
  <c r="AJ29" i="53"/>
  <c r="AJ48" i="53"/>
  <c r="H247" i="53"/>
  <c r="J370" i="53"/>
  <c r="J389" i="53" s="1"/>
  <c r="K86" i="53"/>
  <c r="K105" i="53" s="1"/>
  <c r="K29" i="53"/>
  <c r="K48" i="53" s="1"/>
  <c r="X147" i="53"/>
  <c r="X166" i="53" s="1"/>
  <c r="H266" i="53"/>
  <c r="S86" i="53"/>
  <c r="S105" i="53" s="1"/>
  <c r="S29" i="53"/>
  <c r="S48" i="53" s="1"/>
  <c r="F131" i="53"/>
  <c r="F93" i="53"/>
  <c r="F36" i="53"/>
  <c r="F55" i="53" s="1"/>
  <c r="F18" i="53"/>
  <c r="AN199" i="53"/>
  <c r="AI57" i="53"/>
  <c r="AI171" i="53" s="1"/>
  <c r="H344" i="53"/>
  <c r="H86" i="53"/>
  <c r="H105" i="53" s="1"/>
  <c r="H29" i="53"/>
  <c r="H48" i="53" s="1"/>
  <c r="AC161" i="53"/>
  <c r="AC370" i="53" s="1"/>
  <c r="AC389" i="53" s="1"/>
  <c r="Y133" i="53"/>
  <c r="Y20" i="53" s="1"/>
  <c r="Y95" i="53"/>
  <c r="Y38" i="53"/>
  <c r="Y57" i="53" s="1"/>
  <c r="T79" i="53"/>
  <c r="Q344" i="53"/>
  <c r="K161" i="53"/>
  <c r="K370" i="53" s="1"/>
  <c r="K389" i="53" s="1"/>
  <c r="S161" i="53"/>
  <c r="S370" i="53" s="1"/>
  <c r="S389" i="53" s="1"/>
  <c r="P130" i="53"/>
  <c r="P17" i="53" s="1"/>
  <c r="P92" i="53"/>
  <c r="P35" i="53"/>
  <c r="P54" i="53" s="1"/>
  <c r="AI134" i="53"/>
  <c r="AI21" i="53" s="1"/>
  <c r="AI96" i="53"/>
  <c r="AI39" i="53"/>
  <c r="AI153" i="53" s="1"/>
  <c r="AH92" i="53"/>
  <c r="AH35" i="53"/>
  <c r="AH149" i="53" s="1"/>
  <c r="AH130" i="53"/>
  <c r="AH17" i="53" s="1"/>
  <c r="Q86" i="53"/>
  <c r="Q105" i="53" s="1"/>
  <c r="Q48" i="53"/>
  <c r="Q29" i="53"/>
  <c r="H363" i="53"/>
  <c r="H161" i="53"/>
  <c r="H370" i="53" s="1"/>
  <c r="H304" i="53"/>
  <c r="AK79" i="53"/>
  <c r="H228" i="53"/>
  <c r="AL86" i="53"/>
  <c r="AL105" i="53" s="1"/>
  <c r="AL29" i="53"/>
  <c r="AL48" i="53" s="1"/>
  <c r="Q370" i="53"/>
  <c r="L199" i="53"/>
  <c r="Q78" i="53"/>
  <c r="F149" i="53"/>
  <c r="F168" i="53" s="1"/>
  <c r="Y151" i="53"/>
  <c r="Y170" i="53" s="1"/>
  <c r="Z79" i="53"/>
  <c r="G131" i="53"/>
  <c r="G18" i="53" s="1"/>
  <c r="G93" i="53"/>
  <c r="G36" i="53"/>
  <c r="G55" i="53" s="1"/>
  <c r="Q161" i="53"/>
  <c r="T86" i="53"/>
  <c r="T105" i="53" s="1"/>
  <c r="T29" i="53"/>
  <c r="T48" i="53" s="1"/>
  <c r="AM86" i="53"/>
  <c r="AM105" i="53" s="1"/>
  <c r="AM29" i="53"/>
  <c r="AM48" i="53" s="1"/>
  <c r="Q285" i="53"/>
  <c r="AC79" i="53"/>
  <c r="H79" i="53"/>
  <c r="P148" i="53"/>
  <c r="P167" i="53" s="1"/>
  <c r="Q266" i="53"/>
  <c r="AB161" i="53"/>
  <c r="AB370" i="53" s="1"/>
  <c r="AB389" i="53" s="1"/>
  <c r="R86" i="53"/>
  <c r="R105" i="53" s="1"/>
  <c r="R29" i="53"/>
  <c r="R48" i="53" s="1"/>
  <c r="AL78" i="53"/>
  <c r="U199" i="53"/>
  <c r="H323" i="53"/>
  <c r="Q304" i="53"/>
  <c r="AJ78" i="53"/>
  <c r="AK86" i="53"/>
  <c r="AK105" i="53" s="1"/>
  <c r="AK29" i="53"/>
  <c r="AK48" i="53"/>
  <c r="Z86" i="53"/>
  <c r="Z105" i="53" s="1"/>
  <c r="Z29" i="53"/>
  <c r="Z48" i="53" s="1"/>
  <c r="R370" i="53"/>
  <c r="R389" i="53" s="1"/>
  <c r="T161" i="53"/>
  <c r="T370" i="53" s="1"/>
  <c r="T389" i="53" s="1"/>
  <c r="O18" i="53"/>
  <c r="Q228" i="53"/>
  <c r="Q323" i="53"/>
  <c r="AM79" i="53"/>
  <c r="G149" i="53"/>
  <c r="G168" i="53" s="1"/>
  <c r="U388" i="47"/>
  <c r="Y129" i="47"/>
  <c r="Y148" i="47" s="1"/>
  <c r="Y167" i="47" s="1"/>
  <c r="S370" i="52"/>
  <c r="S389" i="52" s="1"/>
  <c r="S29" i="52"/>
  <c r="S48" i="52" s="1"/>
  <c r="T370" i="52"/>
  <c r="T389" i="52" s="1"/>
  <c r="AC389" i="52"/>
  <c r="U199" i="52"/>
  <c r="Q370" i="52"/>
  <c r="R86" i="52"/>
  <c r="R105" i="52" s="1"/>
  <c r="T124" i="52" s="1"/>
  <c r="R48" i="52"/>
  <c r="AM389" i="52"/>
  <c r="R370" i="52"/>
  <c r="R389" i="52" s="1"/>
  <c r="X34" i="52"/>
  <c r="X53" i="52" s="1"/>
  <c r="X91" i="52"/>
  <c r="X129" i="52"/>
  <c r="AH53" i="52"/>
  <c r="AH167" i="52" s="1"/>
  <c r="AN199" i="52"/>
  <c r="AL389" i="52"/>
  <c r="AI53" i="52"/>
  <c r="AI167" i="52" s="1"/>
  <c r="AI35" i="52"/>
  <c r="AI92" i="52"/>
  <c r="AI17" i="52"/>
  <c r="AA29" i="52"/>
  <c r="AA48" i="52" s="1"/>
  <c r="AA86" i="52"/>
  <c r="AA105" i="52" s="1"/>
  <c r="F147" i="52"/>
  <c r="F166" i="52" s="1"/>
  <c r="G148" i="52"/>
  <c r="G167" i="52" s="1"/>
  <c r="AK79" i="52"/>
  <c r="AH35" i="52"/>
  <c r="AH92" i="52"/>
  <c r="AH17" i="52"/>
  <c r="Y148" i="52"/>
  <c r="Y167" i="52" s="1"/>
  <c r="Z29" i="52"/>
  <c r="Z86" i="52"/>
  <c r="Z105" i="52" s="1"/>
  <c r="AA370" i="52"/>
  <c r="AA389" i="52" s="1"/>
  <c r="AN370" i="52"/>
  <c r="AJ389" i="52"/>
  <c r="AD199" i="52"/>
  <c r="AL29" i="52"/>
  <c r="AL48" i="52" s="1"/>
  <c r="AL86" i="52"/>
  <c r="AL105" i="52" s="1"/>
  <c r="AK29" i="52"/>
  <c r="AK48" i="52" s="1"/>
  <c r="AK86" i="52"/>
  <c r="AK105" i="52" s="1"/>
  <c r="AJ29" i="52"/>
  <c r="AJ48" i="52" s="1"/>
  <c r="AJ86" i="52"/>
  <c r="AJ105" i="52" s="1"/>
  <c r="Z161" i="52"/>
  <c r="Z370" i="52" s="1"/>
  <c r="F15" i="52"/>
  <c r="G16" i="52"/>
  <c r="Q229" i="52"/>
  <c r="Y16" i="52"/>
  <c r="AA79" i="52"/>
  <c r="Z79" i="52"/>
  <c r="AB29" i="52"/>
  <c r="AB48" i="52" s="1"/>
  <c r="AB86" i="52"/>
  <c r="AB105" i="52" s="1"/>
  <c r="P35" i="52"/>
  <c r="P54" i="52" s="1"/>
  <c r="P92" i="52"/>
  <c r="P130" i="52"/>
  <c r="P17" i="52" s="1"/>
  <c r="Q389" i="52"/>
  <c r="AC78" i="52"/>
  <c r="AK389" i="52"/>
  <c r="H79" i="52"/>
  <c r="AM29" i="52"/>
  <c r="AM86" i="52"/>
  <c r="U295" i="52"/>
  <c r="Q78" i="52"/>
  <c r="AB370" i="52"/>
  <c r="AB389" i="52" s="1"/>
  <c r="O36" i="52"/>
  <c r="O55" i="52" s="1"/>
  <c r="O131" i="52"/>
  <c r="O93" i="52"/>
  <c r="AJ79" i="52"/>
  <c r="AJ238" i="25"/>
  <c r="AH131" i="47"/>
  <c r="AH18" i="47" s="1"/>
  <c r="O149" i="47"/>
  <c r="O168" i="47" s="1"/>
  <c r="L91" i="27"/>
  <c r="L167" i="27" s="1"/>
  <c r="AI133" i="47"/>
  <c r="Y91" i="47"/>
  <c r="J238" i="39"/>
  <c r="I221" i="41"/>
  <c r="K221" i="41"/>
  <c r="H173" i="39"/>
  <c r="L172" i="39"/>
  <c r="J221" i="41"/>
  <c r="L191" i="41"/>
  <c r="H192" i="41"/>
  <c r="L154" i="39"/>
  <c r="H155" i="39"/>
  <c r="L155" i="39" s="1"/>
  <c r="L171" i="41"/>
  <c r="H172" i="41"/>
  <c r="Y147" i="47"/>
  <c r="Y166" i="47" s="1"/>
  <c r="E165" i="27"/>
  <c r="R123" i="25"/>
  <c r="R218" i="25"/>
  <c r="L351" i="47"/>
  <c r="O148" i="47"/>
  <c r="O167" i="47" s="1"/>
  <c r="L313" i="47"/>
  <c r="L275" i="47"/>
  <c r="F147" i="47"/>
  <c r="F166" i="47" s="1"/>
  <c r="F33" i="47"/>
  <c r="F52" i="47" s="1"/>
  <c r="F146" i="47"/>
  <c r="F165" i="47" s="1"/>
  <c r="J10" i="47"/>
  <c r="F90" i="47"/>
  <c r="O35" i="47"/>
  <c r="O54" i="47" s="1"/>
  <c r="H142" i="47"/>
  <c r="H161" i="47" s="1"/>
  <c r="H199" i="47"/>
  <c r="H10" i="47"/>
  <c r="G147" i="47"/>
  <c r="G166" i="47" s="1"/>
  <c r="G90" i="47"/>
  <c r="G33" i="47"/>
  <c r="G52" i="47" s="1"/>
  <c r="X33" i="47"/>
  <c r="X52" i="47" s="1"/>
  <c r="X128" i="47"/>
  <c r="X90" i="47"/>
  <c r="AH54" i="47"/>
  <c r="AH168" i="47" s="1"/>
  <c r="O92" i="47"/>
  <c r="X146" i="47"/>
  <c r="X165" i="47" s="1"/>
  <c r="AB142" i="47"/>
  <c r="AB161" i="47" s="1"/>
  <c r="K199" i="47"/>
  <c r="K142" i="47"/>
  <c r="AN351" i="47"/>
  <c r="AN237" i="47"/>
  <c r="AN313" i="47"/>
  <c r="AN275" i="47"/>
  <c r="AA142" i="47"/>
  <c r="AA161" i="47" s="1"/>
  <c r="S142" i="47"/>
  <c r="S161" i="47" s="1"/>
  <c r="J142" i="47"/>
  <c r="J161" i="47" s="1"/>
  <c r="AD313" i="47"/>
  <c r="AD237" i="47"/>
  <c r="AD275" i="47"/>
  <c r="AD351" i="47"/>
  <c r="P13" i="47"/>
  <c r="M88" i="27" s="1"/>
  <c r="M164" i="27" s="1"/>
  <c r="P145" i="47"/>
  <c r="P164" i="47" s="1"/>
  <c r="I199" i="47"/>
  <c r="I142" i="47"/>
  <c r="I161" i="47" s="1"/>
  <c r="Q142" i="47"/>
  <c r="Z142" i="47"/>
  <c r="R142" i="47"/>
  <c r="R161" i="47" s="1"/>
  <c r="AC142" i="47"/>
  <c r="T10" i="47"/>
  <c r="T142" i="47"/>
  <c r="T161" i="47" s="1"/>
  <c r="T370" i="47" s="1"/>
  <c r="I10" i="47"/>
  <c r="K10" i="47"/>
  <c r="AI38" i="47"/>
  <c r="AI152" i="47" s="1"/>
  <c r="AI56" i="47"/>
  <c r="AI170" i="47" s="1"/>
  <c r="AH36" i="47"/>
  <c r="AH150" i="47" s="1"/>
  <c r="Q247" i="47"/>
  <c r="Q323" i="47"/>
  <c r="T245" i="47"/>
  <c r="T283" i="47"/>
  <c r="Q229" i="47"/>
  <c r="T321" i="47"/>
  <c r="R227" i="47"/>
  <c r="Q343" i="47"/>
  <c r="Q362" i="47"/>
  <c r="Q266" i="47"/>
  <c r="Q304" i="47"/>
  <c r="Q285" i="47"/>
  <c r="H364" i="47"/>
  <c r="H323" i="47"/>
  <c r="H284" i="47"/>
  <c r="H246" i="47"/>
  <c r="AM10" i="47"/>
  <c r="AL199" i="47"/>
  <c r="T199" i="47"/>
  <c r="Z199" i="47"/>
  <c r="Z10" i="47"/>
  <c r="V85" i="27" s="1"/>
  <c r="V161" i="27" s="1"/>
  <c r="AL10" i="47"/>
  <c r="AH93" i="47"/>
  <c r="AA199" i="47"/>
  <c r="AA10" i="47"/>
  <c r="W85" i="27" s="1"/>
  <c r="W161" i="27" s="1"/>
  <c r="AJ199" i="47"/>
  <c r="AJ10" i="47"/>
  <c r="H228" i="47"/>
  <c r="I78" i="47"/>
  <c r="AC77" i="47"/>
  <c r="K77" i="47"/>
  <c r="AK77" i="47"/>
  <c r="AB199" i="47"/>
  <c r="AB10" i="47"/>
  <c r="X85" i="27" s="1"/>
  <c r="X161" i="27" s="1"/>
  <c r="AL77" i="47"/>
  <c r="AI20" i="47"/>
  <c r="AI95" i="47"/>
  <c r="T77" i="47"/>
  <c r="Q199" i="47"/>
  <c r="Q10" i="47"/>
  <c r="H304" i="47"/>
  <c r="AC199" i="47"/>
  <c r="AC10" i="47"/>
  <c r="Y85" i="27" s="1"/>
  <c r="Y161" i="27" s="1"/>
  <c r="Z77" i="47"/>
  <c r="J78" i="47"/>
  <c r="R199" i="47"/>
  <c r="R10" i="47"/>
  <c r="AJ78" i="47"/>
  <c r="AA78" i="47"/>
  <c r="H78" i="47"/>
  <c r="AK199" i="47"/>
  <c r="AK10" i="47"/>
  <c r="H343" i="47"/>
  <c r="H266" i="47"/>
  <c r="S77" i="47"/>
  <c r="S199" i="47"/>
  <c r="S10" i="47"/>
  <c r="R77" i="47"/>
  <c r="AB78" i="47"/>
  <c r="V9" i="45"/>
  <c r="V47" i="45" s="1"/>
  <c r="AH96" i="25"/>
  <c r="AH21" i="25" s="1"/>
  <c r="AH58" i="25"/>
  <c r="AK87" i="25"/>
  <c r="AK125" i="25" s="1"/>
  <c r="AL238" i="25"/>
  <c r="R16" i="45"/>
  <c r="AN124" i="25"/>
  <c r="U9" i="45"/>
  <c r="U47" i="45" s="1"/>
  <c r="W9" i="45"/>
  <c r="W47" i="45" s="1"/>
  <c r="T9" i="45"/>
  <c r="T47" i="45" s="1"/>
  <c r="AJ87" i="25"/>
  <c r="AL87" i="25"/>
  <c r="AL125" i="25" s="1"/>
  <c r="AN219" i="25"/>
  <c r="AK238" i="25"/>
  <c r="AM238" i="25"/>
  <c r="AM87" i="25"/>
  <c r="AM125" i="25" s="1"/>
  <c r="AI95" i="25"/>
  <c r="AI20" i="25" s="1"/>
  <c r="AI58" i="25" s="1"/>
  <c r="AD238" i="25"/>
  <c r="AB87" i="25"/>
  <c r="AB125" i="25" s="1"/>
  <c r="Y92" i="25"/>
  <c r="Y17" i="25" s="1"/>
  <c r="Y55" i="25" s="1"/>
  <c r="AC87" i="25"/>
  <c r="AC125" i="25" s="1"/>
  <c r="AA87" i="25"/>
  <c r="AA125" i="25" s="1"/>
  <c r="Z87" i="25"/>
  <c r="Z125" i="25" s="1"/>
  <c r="X54" i="25"/>
  <c r="X92" i="25"/>
  <c r="X17" i="25" s="1"/>
  <c r="L237" i="25"/>
  <c r="T123" i="25"/>
  <c r="T218" i="25"/>
  <c r="T10" i="25"/>
  <c r="I86" i="25"/>
  <c r="H86" i="25"/>
  <c r="H124" i="25" s="1"/>
  <c r="K86" i="25"/>
  <c r="J86" i="25"/>
  <c r="I211" i="25"/>
  <c r="L210" i="25"/>
  <c r="G56" i="25"/>
  <c r="G94" i="25"/>
  <c r="G19" i="25" s="1"/>
  <c r="S18" i="45" s="1"/>
  <c r="Q123" i="25"/>
  <c r="Q10" i="25"/>
  <c r="Q218" i="25"/>
  <c r="S123" i="25"/>
  <c r="S218" i="25"/>
  <c r="S10" i="25"/>
  <c r="O94" i="25"/>
  <c r="O19" i="25" s="1"/>
  <c r="O57" i="25" s="1"/>
  <c r="P95" i="25"/>
  <c r="P20" i="25" s="1"/>
  <c r="P58" i="25" s="1"/>
  <c r="F93" i="25"/>
  <c r="F18" i="25" s="1"/>
  <c r="F55" i="25"/>
  <c r="J11" i="29"/>
  <c r="J124" i="29"/>
  <c r="J219" i="29"/>
  <c r="I11" i="29"/>
  <c r="I124" i="29"/>
  <c r="I219" i="29"/>
  <c r="H11" i="29"/>
  <c r="H124" i="29"/>
  <c r="H219" i="29"/>
  <c r="K49" i="29"/>
  <c r="K68" i="29" s="1"/>
  <c r="F89" i="29"/>
  <c r="F51" i="29"/>
  <c r="G96" i="29"/>
  <c r="G21" i="29" s="1"/>
  <c r="G58" i="29"/>
  <c r="H226" i="37"/>
  <c r="I226" i="37"/>
  <c r="J226" i="37"/>
  <c r="K226" i="37"/>
  <c r="L189" i="29"/>
  <c r="H190" i="29"/>
  <c r="H171" i="29"/>
  <c r="L170" i="29"/>
  <c r="L189" i="37"/>
  <c r="H190" i="37"/>
  <c r="K191" i="25"/>
  <c r="L190" i="25"/>
  <c r="L151" i="41"/>
  <c r="H152" i="41"/>
  <c r="H152" i="29"/>
  <c r="L151" i="29"/>
  <c r="H51" i="41"/>
  <c r="H70" i="41" s="1"/>
  <c r="H221" i="41"/>
  <c r="L202" i="41"/>
  <c r="I51" i="41"/>
  <c r="I70" i="41" s="1"/>
  <c r="J51" i="41"/>
  <c r="J70" i="41" s="1"/>
  <c r="K51" i="41"/>
  <c r="K70" i="41" s="1"/>
  <c r="K89" i="41" s="1"/>
  <c r="K14" i="41"/>
  <c r="G58" i="41"/>
  <c r="G96" i="41"/>
  <c r="G21" i="41" s="1"/>
  <c r="G57" i="39"/>
  <c r="G95" i="39"/>
  <c r="G20" i="39" s="1"/>
  <c r="H124" i="39"/>
  <c r="H219" i="39"/>
  <c r="K124" i="39"/>
  <c r="K219" i="39"/>
  <c r="I124" i="39"/>
  <c r="I219" i="39"/>
  <c r="I88" i="37"/>
  <c r="H88" i="37"/>
  <c r="J88" i="37"/>
  <c r="J13" i="37"/>
  <c r="J51" i="37" s="1"/>
  <c r="J70" i="37" s="1"/>
  <c r="J126" i="37"/>
  <c r="J240" i="37" s="1"/>
  <c r="K13" i="37"/>
  <c r="K51" i="37" s="1"/>
  <c r="K70" i="37" s="1"/>
  <c r="K126" i="37"/>
  <c r="K240" i="37" s="1"/>
  <c r="L239" i="37"/>
  <c r="L220" i="37"/>
  <c r="H212" i="29"/>
  <c r="L212" i="29" s="1"/>
  <c r="L211" i="29"/>
  <c r="H40" i="29"/>
  <c r="H41" i="37"/>
  <c r="H211" i="37"/>
  <c r="L210" i="37"/>
  <c r="L172" i="37"/>
  <c r="L153" i="37"/>
  <c r="J115" i="37"/>
  <c r="H115" i="37"/>
  <c r="K116" i="37"/>
  <c r="I115" i="37"/>
  <c r="G7" i="13"/>
  <c r="G8" i="13" s="1"/>
  <c r="G71" i="13" s="1"/>
  <c r="G84" i="13" s="1"/>
  <c r="H7" i="13"/>
  <c r="H8" i="13" s="1"/>
  <c r="H71" i="13" s="1"/>
  <c r="H72" i="13" s="1"/>
  <c r="H52" i="18"/>
  <c r="D73" i="13"/>
  <c r="D85" i="13"/>
  <c r="E73" i="13"/>
  <c r="E85" i="13"/>
  <c r="F72" i="13"/>
  <c r="F84" i="13"/>
  <c r="E52" i="18"/>
  <c r="G52" i="18"/>
  <c r="W37" i="18" s="1"/>
  <c r="M52" i="18"/>
  <c r="J52" i="18"/>
  <c r="W40" i="18" s="1"/>
  <c r="K52" i="18"/>
  <c r="W41" i="18" s="1"/>
  <c r="D52" i="18"/>
  <c r="W34" i="18" s="1"/>
  <c r="I52" i="18"/>
  <c r="W39" i="18" s="1"/>
  <c r="L52" i="18"/>
  <c r="W42" i="18" s="1"/>
  <c r="W33" i="18"/>
  <c r="F52" i="18"/>
  <c r="W36" i="18" s="1"/>
  <c r="H28" i="13"/>
  <c r="H27" i="13"/>
  <c r="H29" i="13"/>
  <c r="F28" i="13"/>
  <c r="F27" i="13"/>
  <c r="F29" i="13"/>
  <c r="E27" i="13"/>
  <c r="E28" i="13"/>
  <c r="E29" i="13"/>
  <c r="E30" i="13"/>
  <c r="C16" i="13"/>
  <c r="C28" i="13"/>
  <c r="D16" i="13"/>
  <c r="D28" i="13"/>
  <c r="F19" i="13"/>
  <c r="F31" i="13"/>
  <c r="H19" i="13"/>
  <c r="H31" i="13"/>
  <c r="G19" i="13"/>
  <c r="G31" i="13"/>
  <c r="E19" i="13"/>
  <c r="E31" i="13"/>
  <c r="I9" i="13"/>
  <c r="W35" i="18"/>
  <c r="W43" i="18"/>
  <c r="W38" i="18"/>
  <c r="B13" i="9"/>
  <c r="B38" i="9"/>
  <c r="B35" i="9"/>
  <c r="B24" i="9"/>
  <c r="B46" i="9"/>
  <c r="B48" i="9"/>
  <c r="B18" i="9"/>
  <c r="B28" i="9"/>
  <c r="B10" i="9"/>
  <c r="B39" i="9"/>
  <c r="B26" i="9"/>
  <c r="B15" i="9"/>
  <c r="B53" i="9"/>
  <c r="B50" i="9"/>
  <c r="B20" i="9"/>
  <c r="B29" i="9"/>
  <c r="B51" i="9"/>
  <c r="B43" i="9"/>
  <c r="B33" i="9"/>
  <c r="B30" i="9"/>
  <c r="B54" i="9"/>
  <c r="B14" i="9"/>
  <c r="B31" i="9"/>
  <c r="B23" i="9"/>
  <c r="B56" i="9"/>
  <c r="D11" i="8"/>
  <c r="D21" i="8"/>
  <c r="D26" i="8"/>
  <c r="D41" i="8"/>
  <c r="D46" i="8"/>
  <c r="D20" i="8"/>
  <c r="D14" i="8"/>
  <c r="D49" i="8"/>
  <c r="D18" i="8"/>
  <c r="D8" i="8"/>
  <c r="D13" i="8"/>
  <c r="D28" i="8"/>
  <c r="D33" i="8"/>
  <c r="D48" i="8"/>
  <c r="D53" i="8"/>
  <c r="C16" i="8"/>
  <c r="C21" i="8"/>
  <c r="C31" i="8"/>
  <c r="C41" i="8"/>
  <c r="C51" i="8"/>
  <c r="C56" i="8"/>
  <c r="C14" i="8"/>
  <c r="C19" i="8"/>
  <c r="C29" i="8"/>
  <c r="C39" i="8"/>
  <c r="C49" i="8"/>
  <c r="C9" i="8"/>
  <c r="D50" i="8"/>
  <c r="D35" i="8"/>
  <c r="D15" i="8"/>
  <c r="D29" i="8"/>
  <c r="D10" i="8"/>
  <c r="D30" i="8"/>
  <c r="D24" i="8"/>
  <c r="D55" i="8"/>
  <c r="D25" i="8"/>
  <c r="D9" i="8"/>
  <c r="D39" i="8"/>
  <c r="D19" i="8"/>
  <c r="D43" i="8"/>
  <c r="D23" i="8"/>
  <c r="D56" i="8"/>
  <c r="D36" i="8"/>
  <c r="D16" i="8"/>
  <c r="D45" i="8"/>
  <c r="D44" i="8"/>
  <c r="D40" i="8"/>
  <c r="D54" i="8"/>
  <c r="D34" i="8"/>
  <c r="D38" i="8"/>
  <c r="D51" i="8"/>
  <c r="D31" i="8"/>
  <c r="C10" i="8"/>
  <c r="C40" i="8"/>
  <c r="C20" i="8"/>
  <c r="C8" i="8"/>
  <c r="C38" i="8"/>
  <c r="C18" i="8"/>
  <c r="C55" i="8"/>
  <c r="C35" i="8"/>
  <c r="C15" i="8"/>
  <c r="C44" i="8"/>
  <c r="C24" i="8"/>
  <c r="C53" i="8"/>
  <c r="C33" i="8"/>
  <c r="C13" i="8"/>
  <c r="C46" i="8"/>
  <c r="C26" i="8"/>
  <c r="C50" i="8"/>
  <c r="C30" i="8"/>
  <c r="C48" i="8"/>
  <c r="C28" i="8"/>
  <c r="C45" i="8"/>
  <c r="C54" i="8"/>
  <c r="C34" i="8"/>
  <c r="C43" i="8"/>
  <c r="C11" i="8"/>
  <c r="C36" i="8"/>
  <c r="B18" i="8"/>
  <c r="B55" i="8"/>
  <c r="B35" i="8"/>
  <c r="B15" i="8"/>
  <c r="B39" i="8"/>
  <c r="B19" i="8"/>
  <c r="B46" i="8"/>
  <c r="B26" i="8"/>
  <c r="B48" i="8"/>
  <c r="B28" i="8"/>
  <c r="B50" i="8"/>
  <c r="B30" i="8"/>
  <c r="B54" i="8"/>
  <c r="B34" i="8"/>
  <c r="B14" i="8"/>
  <c r="B41" i="8"/>
  <c r="B21" i="8"/>
  <c r="B43" i="8"/>
  <c r="B23" i="8"/>
  <c r="B38" i="8"/>
  <c r="B8" i="8"/>
  <c r="B40" i="8"/>
  <c r="B20" i="8"/>
  <c r="B44" i="8"/>
  <c r="B24" i="8"/>
  <c r="B51" i="8"/>
  <c r="B31" i="8"/>
  <c r="B53" i="8"/>
  <c r="B33" i="8"/>
  <c r="B16" i="7"/>
  <c r="B21" i="7"/>
  <c r="B26" i="7"/>
  <c r="B31" i="7"/>
  <c r="B36" i="7"/>
  <c r="B41" i="7"/>
  <c r="B46" i="7"/>
  <c r="B51" i="7"/>
  <c r="B56" i="7"/>
  <c r="B11" i="7"/>
  <c r="B15" i="7"/>
  <c r="B20" i="7"/>
  <c r="B25" i="7"/>
  <c r="B30" i="7"/>
  <c r="B35" i="7"/>
  <c r="B40" i="7"/>
  <c r="B45" i="7"/>
  <c r="B50" i="7"/>
  <c r="B55" i="7"/>
  <c r="B10" i="7"/>
  <c r="B14" i="7"/>
  <c r="B19" i="7"/>
  <c r="B24" i="7"/>
  <c r="B29" i="7"/>
  <c r="B34" i="7"/>
  <c r="B39" i="7"/>
  <c r="B44" i="7"/>
  <c r="B49" i="7"/>
  <c r="B54" i="7"/>
  <c r="B9" i="7"/>
  <c r="B13" i="7"/>
  <c r="B18" i="7"/>
  <c r="B23" i="7"/>
  <c r="B28" i="7"/>
  <c r="B33" i="7"/>
  <c r="B38" i="7"/>
  <c r="B43" i="7"/>
  <c r="B48" i="7"/>
  <c r="B53" i="7"/>
  <c r="B8" i="7"/>
  <c r="C16" i="7"/>
  <c r="C21" i="7"/>
  <c r="C26" i="7"/>
  <c r="C31" i="7"/>
  <c r="C36" i="7"/>
  <c r="C41" i="7"/>
  <c r="C46" i="7"/>
  <c r="C51" i="7"/>
  <c r="C56" i="7"/>
  <c r="C11" i="7"/>
  <c r="C15" i="7"/>
  <c r="C20" i="7"/>
  <c r="C25" i="7"/>
  <c r="C30" i="7"/>
  <c r="C35" i="7"/>
  <c r="C40" i="7"/>
  <c r="C45" i="7"/>
  <c r="C50" i="7"/>
  <c r="C55" i="7"/>
  <c r="C10" i="7"/>
  <c r="C14" i="7"/>
  <c r="C19" i="7"/>
  <c r="C24" i="7"/>
  <c r="C29" i="7"/>
  <c r="C34" i="7"/>
  <c r="C39" i="7"/>
  <c r="C44" i="7"/>
  <c r="C49" i="7"/>
  <c r="C54" i="7"/>
  <c r="C9" i="7"/>
  <c r="C13" i="7"/>
  <c r="C18" i="7"/>
  <c r="C23" i="7"/>
  <c r="C28" i="7"/>
  <c r="C33" i="7"/>
  <c r="C38" i="7"/>
  <c r="C43" i="7"/>
  <c r="C48" i="7"/>
  <c r="C53" i="7"/>
  <c r="C8" i="7"/>
  <c r="D16" i="7"/>
  <c r="D21" i="7"/>
  <c r="D26" i="7"/>
  <c r="D31" i="7"/>
  <c r="D36" i="7"/>
  <c r="D41" i="7"/>
  <c r="D46" i="7"/>
  <c r="D51" i="7"/>
  <c r="D56" i="7"/>
  <c r="D11" i="7"/>
  <c r="D15" i="7"/>
  <c r="D20" i="7"/>
  <c r="D25" i="7"/>
  <c r="D30" i="7"/>
  <c r="D35" i="7"/>
  <c r="D40" i="7"/>
  <c r="D45" i="7"/>
  <c r="D50" i="7"/>
  <c r="D55" i="7"/>
  <c r="D10" i="7"/>
  <c r="D14" i="7"/>
  <c r="D19" i="7"/>
  <c r="D24" i="7"/>
  <c r="D29" i="7"/>
  <c r="D34" i="7"/>
  <c r="D39" i="7"/>
  <c r="D44" i="7"/>
  <c r="D49" i="7"/>
  <c r="D54" i="7"/>
  <c r="D9" i="7"/>
  <c r="D13" i="7"/>
  <c r="D18" i="7"/>
  <c r="D23" i="7"/>
  <c r="D28" i="7"/>
  <c r="D33" i="7"/>
  <c r="D38" i="7"/>
  <c r="D43" i="7"/>
  <c r="D48" i="7"/>
  <c r="D53" i="7"/>
  <c r="D8" i="7"/>
  <c r="I31" i="46" l="1"/>
  <c r="U31" i="46" s="1"/>
  <c r="F29" i="46"/>
  <c r="I8" i="48"/>
  <c r="O93" i="55"/>
  <c r="O112" i="55" s="1"/>
  <c r="AN255" i="55"/>
  <c r="F8" i="46" s="1"/>
  <c r="X89" i="55"/>
  <c r="T31" i="27"/>
  <c r="T88" i="27" s="1"/>
  <c r="T164" i="27" s="1"/>
  <c r="X51" i="55"/>
  <c r="I8" i="56"/>
  <c r="U32" i="27"/>
  <c r="U89" i="27" s="1"/>
  <c r="U165" i="27" s="1"/>
  <c r="Y90" i="55"/>
  <c r="Y109" i="55" s="1"/>
  <c r="Y52" i="55"/>
  <c r="AJ136" i="55"/>
  <c r="AM136" i="55"/>
  <c r="AL136" i="55"/>
  <c r="AK136" i="55"/>
  <c r="J30" i="56"/>
  <c r="N30" i="56" s="1"/>
  <c r="E58" i="56" s="1"/>
  <c r="N9" i="56"/>
  <c r="F57" i="56" s="1"/>
  <c r="O18" i="55"/>
  <c r="L36" i="27" s="1"/>
  <c r="L35" i="27"/>
  <c r="O94" i="55"/>
  <c r="O113" i="55" s="1"/>
  <c r="G110" i="55"/>
  <c r="AL85" i="55"/>
  <c r="AL104" i="55" s="1"/>
  <c r="M32" i="27"/>
  <c r="P90" i="55"/>
  <c r="P15" i="55" s="1"/>
  <c r="P52" i="55"/>
  <c r="AH15" i="55"/>
  <c r="AH109" i="55"/>
  <c r="AM85" i="55"/>
  <c r="AK85" i="55"/>
  <c r="AN180" i="55"/>
  <c r="AJ85" i="55"/>
  <c r="AC32" i="27"/>
  <c r="AC89" i="27" s="1"/>
  <c r="AC165" i="27" s="1"/>
  <c r="AI90" i="55"/>
  <c r="AI52" i="55"/>
  <c r="J30" i="48"/>
  <c r="N30" i="48" s="1"/>
  <c r="AJ212" i="55"/>
  <c r="AN212" i="55" s="1"/>
  <c r="AN211" i="55"/>
  <c r="Z86" i="55"/>
  <c r="H136" i="55"/>
  <c r="AC86" i="55"/>
  <c r="AC105" i="55" s="1"/>
  <c r="Z256" i="55"/>
  <c r="AD237" i="55"/>
  <c r="Q210" i="55"/>
  <c r="U210" i="55" s="1"/>
  <c r="Q231" i="55"/>
  <c r="U231" i="55" s="1"/>
  <c r="Q191" i="55"/>
  <c r="U191" i="55" s="1"/>
  <c r="AC41" i="55"/>
  <c r="T41" i="55"/>
  <c r="Z173" i="55"/>
  <c r="AD173" i="55" s="1"/>
  <c r="AB86" i="55"/>
  <c r="AB105" i="55" s="1"/>
  <c r="R41" i="55"/>
  <c r="H211" i="55"/>
  <c r="L211" i="55" s="1"/>
  <c r="AA86" i="55"/>
  <c r="AA105" i="55" s="1"/>
  <c r="S41" i="55"/>
  <c r="H173" i="55"/>
  <c r="L173" i="55" s="1"/>
  <c r="AM41" i="55"/>
  <c r="AL41" i="55"/>
  <c r="Q41" i="55"/>
  <c r="H231" i="55"/>
  <c r="L231" i="55" s="1"/>
  <c r="H192" i="55"/>
  <c r="L192" i="55" s="1"/>
  <c r="Q172" i="55"/>
  <c r="U172" i="55" s="1"/>
  <c r="AJ172" i="55"/>
  <c r="AN172" i="55" s="1"/>
  <c r="AI58" i="53"/>
  <c r="AI172" i="53" s="1"/>
  <c r="Q124" i="53"/>
  <c r="K124" i="53"/>
  <c r="L352" i="53"/>
  <c r="L238" i="53"/>
  <c r="L276" i="53"/>
  <c r="L314" i="53"/>
  <c r="AH131" i="53"/>
  <c r="AH18" i="53" s="1"/>
  <c r="AH36" i="53"/>
  <c r="AH150" i="53" s="1"/>
  <c r="AH93" i="53"/>
  <c r="AH55" i="53"/>
  <c r="AH169" i="53" s="1"/>
  <c r="AD352" i="53"/>
  <c r="AD314" i="53"/>
  <c r="AD276" i="53"/>
  <c r="AD238" i="53"/>
  <c r="I124" i="53"/>
  <c r="H229" i="53"/>
  <c r="U352" i="53"/>
  <c r="U276" i="53"/>
  <c r="U238" i="53"/>
  <c r="U314" i="53"/>
  <c r="P131" i="53"/>
  <c r="P93" i="53"/>
  <c r="P36" i="53"/>
  <c r="P55" i="53" s="1"/>
  <c r="Y134" i="53"/>
  <c r="Y96" i="53"/>
  <c r="Y21" i="53"/>
  <c r="Y39" i="53"/>
  <c r="Y58" i="53" s="1"/>
  <c r="X130" i="53"/>
  <c r="X92" i="53"/>
  <c r="X35" i="53"/>
  <c r="X54" i="53" s="1"/>
  <c r="X17" i="53"/>
  <c r="Q200" i="53"/>
  <c r="Q143" i="53"/>
  <c r="H267" i="53"/>
  <c r="J124" i="53"/>
  <c r="Q79" i="53"/>
  <c r="P149" i="53"/>
  <c r="P168" i="53"/>
  <c r="Y152" i="53"/>
  <c r="Y171" i="53" s="1"/>
  <c r="F132" i="53"/>
  <c r="F94" i="53"/>
  <c r="F37" i="53"/>
  <c r="F56" i="53" s="1"/>
  <c r="F19" i="53"/>
  <c r="H248" i="53"/>
  <c r="AC124" i="53"/>
  <c r="X148" i="53"/>
  <c r="X167" i="53" s="1"/>
  <c r="Q305" i="53"/>
  <c r="H324" i="53"/>
  <c r="Z124" i="53"/>
  <c r="AA124" i="53"/>
  <c r="G150" i="53"/>
  <c r="G169" i="53"/>
  <c r="AH54" i="53"/>
  <c r="AH168" i="53" s="1"/>
  <c r="H286" i="53"/>
  <c r="AL79" i="53"/>
  <c r="AM162" i="53"/>
  <c r="AM143" i="53"/>
  <c r="AM124" i="53"/>
  <c r="H305" i="53"/>
  <c r="H389" i="53"/>
  <c r="L370" i="53"/>
  <c r="AN352" i="53"/>
  <c r="AN314" i="53"/>
  <c r="AN276" i="53"/>
  <c r="AN238" i="53"/>
  <c r="Q248" i="53"/>
  <c r="G132" i="53"/>
  <c r="G94" i="53"/>
  <c r="G19" i="53"/>
  <c r="G37" i="53"/>
  <c r="G56" i="53" s="1"/>
  <c r="U370" i="53"/>
  <c r="Q389" i="53"/>
  <c r="U389" i="53" s="1"/>
  <c r="AI135" i="53"/>
  <c r="AI22" i="53" s="1"/>
  <c r="AI97" i="53"/>
  <c r="AI40" i="53"/>
  <c r="AI154" i="53" s="1"/>
  <c r="Z389" i="53"/>
  <c r="AD389" i="53" s="1"/>
  <c r="AD370" i="53"/>
  <c r="K200" i="53"/>
  <c r="K143" i="53"/>
  <c r="K162" i="53" s="1"/>
  <c r="Q324" i="53"/>
  <c r="H364" i="53"/>
  <c r="F150" i="53"/>
  <c r="F169" i="53" s="1"/>
  <c r="AN333" i="53"/>
  <c r="AN295" i="53"/>
  <c r="AN257" i="53"/>
  <c r="AN219" i="53"/>
  <c r="S124" i="53"/>
  <c r="Q267" i="53"/>
  <c r="AD295" i="53"/>
  <c r="AD333" i="53"/>
  <c r="AD257" i="53"/>
  <c r="AD219" i="53"/>
  <c r="AK162" i="53"/>
  <c r="AK143" i="53"/>
  <c r="AK124" i="53"/>
  <c r="Q345" i="53"/>
  <c r="L333" i="53"/>
  <c r="L295" i="53"/>
  <c r="L257" i="53"/>
  <c r="L219" i="53"/>
  <c r="AJ162" i="53"/>
  <c r="AJ143" i="53"/>
  <c r="AJ124" i="53"/>
  <c r="AB124" i="53"/>
  <c r="Q286" i="53"/>
  <c r="Q229" i="53"/>
  <c r="AJ79" i="53"/>
  <c r="T124" i="53"/>
  <c r="AL162" i="53"/>
  <c r="AL143" i="53"/>
  <c r="AL124" i="53"/>
  <c r="Q11" i="53"/>
  <c r="H124" i="53"/>
  <c r="O94" i="53"/>
  <c r="O37" i="53"/>
  <c r="O56" i="53" s="1"/>
  <c r="O132" i="53"/>
  <c r="O19" i="53" s="1"/>
  <c r="R124" i="53"/>
  <c r="U333" i="53"/>
  <c r="U257" i="53"/>
  <c r="U219" i="53"/>
  <c r="U295" i="53"/>
  <c r="H345" i="53"/>
  <c r="K11" i="53"/>
  <c r="K79" i="53"/>
  <c r="Q364" i="53"/>
  <c r="AL124" i="52"/>
  <c r="Y16" i="47"/>
  <c r="AK124" i="52"/>
  <c r="O17" i="47"/>
  <c r="AJ124" i="52"/>
  <c r="AM48" i="52"/>
  <c r="AM162" i="52" s="1"/>
  <c r="AM143" i="52"/>
  <c r="U257" i="52"/>
  <c r="G130" i="52"/>
  <c r="U276" i="52"/>
  <c r="U219" i="52"/>
  <c r="U333" i="52"/>
  <c r="S124" i="52"/>
  <c r="S143" i="52" s="1"/>
  <c r="S162" i="52" s="1"/>
  <c r="U352" i="52"/>
  <c r="U314" i="52"/>
  <c r="U238" i="52"/>
  <c r="R124" i="52"/>
  <c r="R143" i="52" s="1"/>
  <c r="Q124" i="52"/>
  <c r="Q11" i="52" s="1"/>
  <c r="U389" i="52"/>
  <c r="U370" i="52"/>
  <c r="AH54" i="52"/>
  <c r="AI54" i="52"/>
  <c r="X148" i="52"/>
  <c r="X167" i="52" s="1"/>
  <c r="X16" i="52"/>
  <c r="AN352" i="52"/>
  <c r="AH36" i="52"/>
  <c r="AH131" i="52"/>
  <c r="AH93" i="52"/>
  <c r="AI36" i="52"/>
  <c r="AI93" i="52"/>
  <c r="AI131" i="52"/>
  <c r="AI18" i="52" s="1"/>
  <c r="AD370" i="52"/>
  <c r="Z389" i="52"/>
  <c r="AD389" i="52" s="1"/>
  <c r="P149" i="52"/>
  <c r="P168" i="52" s="1"/>
  <c r="F34" i="52"/>
  <c r="F53" i="52" s="1"/>
  <c r="F91" i="52"/>
  <c r="F129" i="52"/>
  <c r="AK162" i="52"/>
  <c r="AK143" i="52"/>
  <c r="Z124" i="52"/>
  <c r="AC124" i="52"/>
  <c r="AD257" i="52"/>
  <c r="AD219" i="52"/>
  <c r="AD295" i="52"/>
  <c r="AD333" i="52"/>
  <c r="P36" i="52"/>
  <c r="P55" i="52" s="1"/>
  <c r="P93" i="52"/>
  <c r="P131" i="52"/>
  <c r="AL162" i="52"/>
  <c r="AL143" i="52"/>
  <c r="Z48" i="52"/>
  <c r="Q79" i="52"/>
  <c r="AA124" i="52"/>
  <c r="T143" i="52"/>
  <c r="T162" i="52" s="1"/>
  <c r="T200" i="52"/>
  <c r="T11" i="52"/>
  <c r="Y35" i="52"/>
  <c r="Y54" i="52" s="1"/>
  <c r="Y92" i="52"/>
  <c r="Y130" i="52"/>
  <c r="Y17" i="52" s="1"/>
  <c r="AJ143" i="52"/>
  <c r="AJ162" i="52"/>
  <c r="O150" i="52"/>
  <c r="O169" i="52" s="1"/>
  <c r="AC79" i="52"/>
  <c r="Q230" i="52"/>
  <c r="AN257" i="52"/>
  <c r="AN295" i="52"/>
  <c r="AN219" i="52"/>
  <c r="AN333" i="52"/>
  <c r="AN389" i="52"/>
  <c r="O18" i="52"/>
  <c r="AB124" i="52"/>
  <c r="G35" i="52"/>
  <c r="G54" i="52" s="1"/>
  <c r="G92" i="52"/>
  <c r="AH132" i="47"/>
  <c r="AH19" i="47" s="1"/>
  <c r="AI134" i="47"/>
  <c r="AI21" i="47" s="1"/>
  <c r="AM86" i="47"/>
  <c r="AM105" i="47" s="1"/>
  <c r="T86" i="47"/>
  <c r="T105" i="47" s="1"/>
  <c r="K238" i="39"/>
  <c r="I238" i="39"/>
  <c r="L221" i="41"/>
  <c r="L124" i="29"/>
  <c r="H193" i="41"/>
  <c r="L193" i="41" s="1"/>
  <c r="L192" i="41"/>
  <c r="H173" i="41"/>
  <c r="L172" i="41"/>
  <c r="L173" i="39"/>
  <c r="H174" i="39"/>
  <c r="L174" i="39" s="1"/>
  <c r="R237" i="25"/>
  <c r="K29" i="47"/>
  <c r="K48" i="47" s="1"/>
  <c r="I29" i="47"/>
  <c r="I48" i="47" s="1"/>
  <c r="J29" i="47"/>
  <c r="J48" i="47" s="1"/>
  <c r="H29" i="47"/>
  <c r="H370" i="47"/>
  <c r="H389" i="47" s="1"/>
  <c r="H86" i="47"/>
  <c r="H105" i="47" s="1"/>
  <c r="F15" i="47"/>
  <c r="F129" i="47" s="1"/>
  <c r="Y92" i="47"/>
  <c r="Y35" i="47"/>
  <c r="Y54" i="47" s="1"/>
  <c r="K86" i="47"/>
  <c r="K105" i="47" s="1"/>
  <c r="J86" i="47"/>
  <c r="J105" i="47" s="1"/>
  <c r="AK370" i="47"/>
  <c r="AK389" i="47" s="1"/>
  <c r="I86" i="47"/>
  <c r="I105" i="47" s="1"/>
  <c r="T29" i="47"/>
  <c r="T48" i="47" s="1"/>
  <c r="AB370" i="47"/>
  <c r="AB389" i="47" s="1"/>
  <c r="L199" i="47"/>
  <c r="G15" i="47"/>
  <c r="G129" i="47" s="1"/>
  <c r="AA370" i="47"/>
  <c r="AA389" i="47" s="1"/>
  <c r="R370" i="47"/>
  <c r="R389" i="47" s="1"/>
  <c r="X15" i="47"/>
  <c r="X147" i="47"/>
  <c r="X166" i="47" s="1"/>
  <c r="AM370" i="47"/>
  <c r="AM389" i="47" s="1"/>
  <c r="S370" i="47"/>
  <c r="S389" i="47" s="1"/>
  <c r="AC161" i="47"/>
  <c r="AC370" i="47" s="1"/>
  <c r="AC389" i="47" s="1"/>
  <c r="Q161" i="47"/>
  <c r="Q370" i="47" s="1"/>
  <c r="AL370" i="47"/>
  <c r="AL389" i="47" s="1"/>
  <c r="AJ370" i="47"/>
  <c r="AJ389" i="47" s="1"/>
  <c r="I370" i="47"/>
  <c r="Z161" i="47"/>
  <c r="Z370" i="47" s="1"/>
  <c r="K161" i="47"/>
  <c r="K370" i="47" s="1"/>
  <c r="K389" i="47" s="1"/>
  <c r="P32" i="47"/>
  <c r="P51" i="47" s="1"/>
  <c r="P127" i="47"/>
  <c r="P89" i="47"/>
  <c r="J370" i="47"/>
  <c r="J389" i="47" s="1"/>
  <c r="AI57" i="47"/>
  <c r="AI171" i="47" s="1"/>
  <c r="AM29" i="47"/>
  <c r="AM48" i="47" s="1"/>
  <c r="AK29" i="47"/>
  <c r="AK48" i="47" s="1"/>
  <c r="AJ29" i="47"/>
  <c r="AL86" i="47"/>
  <c r="AL105" i="47" s="1"/>
  <c r="AL29" i="47"/>
  <c r="AL48" i="47" s="1"/>
  <c r="AI39" i="47"/>
  <c r="AI153" i="47" s="1"/>
  <c r="AH37" i="47"/>
  <c r="AH151" i="47" s="1"/>
  <c r="AH55" i="47"/>
  <c r="AH169" i="47" s="1"/>
  <c r="Q29" i="47"/>
  <c r="Q344" i="47"/>
  <c r="S29" i="47"/>
  <c r="S48" i="47" s="1"/>
  <c r="R29" i="47"/>
  <c r="R48" i="47" s="1"/>
  <c r="AA29" i="47"/>
  <c r="AA48" i="47" s="1"/>
  <c r="Z86" i="47"/>
  <c r="Z105" i="47" s="1"/>
  <c r="Z29" i="47"/>
  <c r="R228" i="47"/>
  <c r="Q248" i="47"/>
  <c r="T246" i="47"/>
  <c r="AC29" i="47"/>
  <c r="AC48" i="47" s="1"/>
  <c r="Q305" i="47"/>
  <c r="Q363" i="47"/>
  <c r="Q230" i="47"/>
  <c r="AB29" i="47"/>
  <c r="AB48" i="47" s="1"/>
  <c r="Q286" i="47"/>
  <c r="Q267" i="47"/>
  <c r="T322" i="47"/>
  <c r="T284" i="47"/>
  <c r="Q324" i="47"/>
  <c r="H324" i="47"/>
  <c r="H285" i="47"/>
  <c r="H247" i="47"/>
  <c r="T389" i="47"/>
  <c r="AD199" i="47"/>
  <c r="AI96" i="47"/>
  <c r="I79" i="47"/>
  <c r="AN199" i="47"/>
  <c r="AH94" i="47"/>
  <c r="S86" i="47"/>
  <c r="S105" i="47" s="1"/>
  <c r="H344" i="47"/>
  <c r="R86" i="47"/>
  <c r="R105" i="47" s="1"/>
  <c r="H229" i="47"/>
  <c r="AK86" i="47"/>
  <c r="AK105" i="47" s="1"/>
  <c r="Q86" i="47"/>
  <c r="Q105" i="47" s="1"/>
  <c r="S78" i="47"/>
  <c r="R78" i="47"/>
  <c r="Z78" i="47"/>
  <c r="AC86" i="47"/>
  <c r="AC105" i="47" s="1"/>
  <c r="T78" i="47"/>
  <c r="AA86" i="47"/>
  <c r="AA105" i="47" s="1"/>
  <c r="AB79" i="47"/>
  <c r="AJ79" i="47"/>
  <c r="J79" i="47"/>
  <c r="U199" i="47"/>
  <c r="AL78" i="47"/>
  <c r="AC78" i="47"/>
  <c r="H267" i="47"/>
  <c r="H79" i="47"/>
  <c r="AA79" i="47"/>
  <c r="H305" i="47"/>
  <c r="AB86" i="47"/>
  <c r="AB105" i="47" s="1"/>
  <c r="AK78" i="47"/>
  <c r="K78" i="47"/>
  <c r="AJ86" i="47"/>
  <c r="AJ105" i="47" s="1"/>
  <c r="AL220" i="25"/>
  <c r="AL239" i="25" s="1"/>
  <c r="AK12" i="25"/>
  <c r="AK50" i="25" s="1"/>
  <c r="AK69" i="25" s="1"/>
  <c r="X47" i="45"/>
  <c r="R17" i="45"/>
  <c r="AN238" i="25"/>
  <c r="AH59" i="25"/>
  <c r="AK220" i="25"/>
  <c r="AK239" i="25" s="1"/>
  <c r="AJ220" i="25"/>
  <c r="AJ125" i="25"/>
  <c r="AN125" i="25" s="1"/>
  <c r="U123" i="25"/>
  <c r="Q237" i="25"/>
  <c r="U218" i="25"/>
  <c r="AL12" i="25"/>
  <c r="AL50" i="25" s="1"/>
  <c r="AL69" i="25" s="1"/>
  <c r="AJ12" i="25"/>
  <c r="AJ50" i="25" s="1"/>
  <c r="AJ69" i="25" s="1"/>
  <c r="AM12" i="25"/>
  <c r="AM50" i="25" s="1"/>
  <c r="AM69" i="25" s="1"/>
  <c r="AM220" i="25"/>
  <c r="AH97" i="25"/>
  <c r="AH22" i="25" s="1"/>
  <c r="AH60" i="25" s="1"/>
  <c r="AI96" i="25"/>
  <c r="AI21" i="25" s="1"/>
  <c r="AI59" i="25" s="1"/>
  <c r="AB12" i="25"/>
  <c r="AB50" i="25" s="1"/>
  <c r="AB69" i="25" s="1"/>
  <c r="AB220" i="25"/>
  <c r="AB239" i="25" s="1"/>
  <c r="Y93" i="25"/>
  <c r="Y18" i="25" s="1"/>
  <c r="Y56" i="25" s="1"/>
  <c r="AD125" i="25"/>
  <c r="Z12" i="25"/>
  <c r="Z220" i="25"/>
  <c r="AA220" i="25"/>
  <c r="AA12" i="25"/>
  <c r="AC220" i="25"/>
  <c r="AC239" i="25" s="1"/>
  <c r="AC12" i="25"/>
  <c r="X55" i="25"/>
  <c r="X93" i="25"/>
  <c r="X18" i="25" s="1"/>
  <c r="T237" i="25"/>
  <c r="J11" i="25"/>
  <c r="J219" i="25"/>
  <c r="J124" i="25"/>
  <c r="G57" i="25"/>
  <c r="G95" i="25"/>
  <c r="G20" i="25" s="1"/>
  <c r="S19" i="45" s="1"/>
  <c r="S48" i="25"/>
  <c r="S67" i="25" s="1"/>
  <c r="K11" i="25"/>
  <c r="K124" i="25"/>
  <c r="K219" i="25"/>
  <c r="S237" i="25"/>
  <c r="H11" i="25"/>
  <c r="H219" i="25"/>
  <c r="I11" i="25"/>
  <c r="I124" i="25"/>
  <c r="I219" i="25"/>
  <c r="L211" i="25"/>
  <c r="I212" i="25"/>
  <c r="L212" i="25" s="1"/>
  <c r="T48" i="25"/>
  <c r="T67" i="25" s="1"/>
  <c r="Q48" i="25"/>
  <c r="Q67" i="25" s="1"/>
  <c r="O95" i="25"/>
  <c r="O20" i="25" s="1"/>
  <c r="O58" i="25" s="1"/>
  <c r="P96" i="25"/>
  <c r="P21" i="25" s="1"/>
  <c r="P59" i="25" s="1"/>
  <c r="G97" i="29"/>
  <c r="G22" i="29" s="1"/>
  <c r="G59" i="29"/>
  <c r="F14" i="29"/>
  <c r="H49" i="29"/>
  <c r="H68" i="29" s="1"/>
  <c r="I49" i="29"/>
  <c r="I68" i="29" s="1"/>
  <c r="J49" i="29"/>
  <c r="J68" i="29" s="1"/>
  <c r="J87" i="29" s="1"/>
  <c r="J12" i="29" s="1"/>
  <c r="J125" i="29"/>
  <c r="J220" i="29"/>
  <c r="H227" i="37"/>
  <c r="I227" i="37"/>
  <c r="J227" i="37"/>
  <c r="K227" i="37"/>
  <c r="L190" i="37"/>
  <c r="H191" i="37"/>
  <c r="H172" i="29"/>
  <c r="L171" i="29"/>
  <c r="L190" i="29"/>
  <c r="H191" i="29"/>
  <c r="J89" i="41"/>
  <c r="J14" i="41" s="1"/>
  <c r="I89" i="41"/>
  <c r="I14" i="41" s="1"/>
  <c r="H89" i="41"/>
  <c r="H14" i="41" s="1"/>
  <c r="K192" i="25"/>
  <c r="L191" i="25"/>
  <c r="H153" i="29"/>
  <c r="L152" i="29"/>
  <c r="L152" i="41"/>
  <c r="H153" i="41"/>
  <c r="G59" i="41"/>
  <c r="G97" i="41"/>
  <c r="G22" i="41" s="1"/>
  <c r="F52" i="41"/>
  <c r="F90" i="41"/>
  <c r="F15" i="41" s="1"/>
  <c r="K127" i="41"/>
  <c r="K203" i="41"/>
  <c r="J127" i="41"/>
  <c r="J203" i="41"/>
  <c r="I127" i="41"/>
  <c r="I203" i="41"/>
  <c r="H127" i="41"/>
  <c r="H203" i="41"/>
  <c r="I49" i="39"/>
  <c r="I68" i="39" s="1"/>
  <c r="K49" i="39"/>
  <c r="K68" i="39" s="1"/>
  <c r="H49" i="39"/>
  <c r="H68" i="39" s="1"/>
  <c r="H238" i="39"/>
  <c r="L219" i="39"/>
  <c r="L124" i="39"/>
  <c r="G58" i="39"/>
  <c r="G96" i="39"/>
  <c r="G21" i="39" s="1"/>
  <c r="F54" i="39"/>
  <c r="F92" i="39"/>
  <c r="F17" i="39" s="1"/>
  <c r="H13" i="37"/>
  <c r="H51" i="37" s="1"/>
  <c r="H70" i="37" s="1"/>
  <c r="H126" i="37"/>
  <c r="H240" i="37" s="1"/>
  <c r="I13" i="37"/>
  <c r="I51" i="37" s="1"/>
  <c r="I70" i="37" s="1"/>
  <c r="I126" i="37"/>
  <c r="I240" i="37" s="1"/>
  <c r="G52" i="37"/>
  <c r="G90" i="37"/>
  <c r="G15" i="37" s="1"/>
  <c r="F52" i="37"/>
  <c r="F90" i="37"/>
  <c r="F15" i="37" s="1"/>
  <c r="H41" i="29"/>
  <c r="H212" i="37"/>
  <c r="L212" i="37" s="1"/>
  <c r="L211" i="37"/>
  <c r="L174" i="37"/>
  <c r="L173" i="37"/>
  <c r="L155" i="37"/>
  <c r="L154" i="37"/>
  <c r="I116" i="37"/>
  <c r="H116" i="37"/>
  <c r="K117" i="37"/>
  <c r="J116" i="37"/>
  <c r="G72" i="13"/>
  <c r="G73" i="13" s="1"/>
  <c r="I7" i="13"/>
  <c r="H84" i="13"/>
  <c r="I84" i="13"/>
  <c r="E74" i="13"/>
  <c r="E86" i="13"/>
  <c r="D74" i="13"/>
  <c r="D86" i="13"/>
  <c r="H73" i="13"/>
  <c r="H85" i="13"/>
  <c r="F73" i="13"/>
  <c r="F85" i="13"/>
  <c r="I28" i="13"/>
  <c r="I27" i="13"/>
  <c r="C29" i="13"/>
  <c r="C17" i="13"/>
  <c r="D17" i="13"/>
  <c r="D29" i="13"/>
  <c r="E20" i="13"/>
  <c r="E32" i="13"/>
  <c r="F20" i="13"/>
  <c r="F32" i="13"/>
  <c r="G20" i="13"/>
  <c r="G32" i="13"/>
  <c r="H20" i="13"/>
  <c r="H32" i="13"/>
  <c r="Y15" i="55" l="1"/>
  <c r="L92" i="27"/>
  <c r="L168" i="27" s="1"/>
  <c r="I29" i="56"/>
  <c r="E82" i="56" s="1"/>
  <c r="K82" i="56" s="1"/>
  <c r="E30" i="46"/>
  <c r="L8" i="56"/>
  <c r="M8" i="56" s="1"/>
  <c r="F81" i="56"/>
  <c r="L81" i="56" s="1"/>
  <c r="R29" i="46"/>
  <c r="Z29" i="46"/>
  <c r="O56" i="55"/>
  <c r="L29" i="56"/>
  <c r="M29" i="56" s="1"/>
  <c r="Y53" i="55"/>
  <c r="U33" i="27"/>
  <c r="U90" i="27" s="1"/>
  <c r="U166" i="27" s="1"/>
  <c r="Y91" i="55"/>
  <c r="Y110" i="55" s="1"/>
  <c r="Y16" i="55"/>
  <c r="AL237" i="55"/>
  <c r="AL142" i="55"/>
  <c r="X14" i="55"/>
  <c r="X108" i="55"/>
  <c r="AL10" i="55"/>
  <c r="AF28" i="27" s="1"/>
  <c r="AF85" i="27" s="1"/>
  <c r="AF161" i="27" s="1"/>
  <c r="O19" i="55"/>
  <c r="O95" i="55" s="1"/>
  <c r="O114" i="55" s="1"/>
  <c r="G92" i="55"/>
  <c r="G17" i="55" s="1"/>
  <c r="G54" i="55"/>
  <c r="E34" i="27"/>
  <c r="E91" i="27" s="1"/>
  <c r="AC143" i="55"/>
  <c r="AC238" i="55"/>
  <c r="AJ104" i="55"/>
  <c r="AJ10" i="55"/>
  <c r="P109" i="55"/>
  <c r="AK104" i="55"/>
  <c r="AK10" i="55"/>
  <c r="AA143" i="55"/>
  <c r="AA238" i="55"/>
  <c r="Z11" i="55"/>
  <c r="Z105" i="55"/>
  <c r="AM104" i="55"/>
  <c r="AM10" i="55"/>
  <c r="AB143" i="55"/>
  <c r="AB238" i="55"/>
  <c r="AI15" i="55"/>
  <c r="AI109" i="55"/>
  <c r="AB33" i="27"/>
  <c r="AB90" i="27" s="1"/>
  <c r="AB166" i="27" s="1"/>
  <c r="AH91" i="55"/>
  <c r="AH110" i="55" s="1"/>
  <c r="AH53" i="55"/>
  <c r="AD256" i="55"/>
  <c r="E9" i="46" s="1"/>
  <c r="I29" i="48"/>
  <c r="L29" i="48" s="1"/>
  <c r="M29" i="48" s="1"/>
  <c r="AC11" i="55"/>
  <c r="Y29" i="27" s="1"/>
  <c r="H174" i="55"/>
  <c r="L174" i="55" s="1"/>
  <c r="AJ173" i="55"/>
  <c r="AN173" i="55" s="1"/>
  <c r="AA11" i="55"/>
  <c r="W29" i="27" s="1"/>
  <c r="Q173" i="55"/>
  <c r="U173" i="55" s="1"/>
  <c r="Q211" i="55"/>
  <c r="U211" i="55" s="1"/>
  <c r="H193" i="55"/>
  <c r="L193" i="55" s="1"/>
  <c r="H212" i="55"/>
  <c r="L212" i="55" s="1"/>
  <c r="Z174" i="55"/>
  <c r="AD174" i="55" s="1"/>
  <c r="Q192" i="55"/>
  <c r="U192" i="55" s="1"/>
  <c r="AB11" i="55"/>
  <c r="X29" i="27" s="1"/>
  <c r="Y130" i="47"/>
  <c r="AI59" i="53"/>
  <c r="AI173" i="53" s="1"/>
  <c r="L389" i="53"/>
  <c r="AI136" i="53"/>
  <c r="AI98" i="53"/>
  <c r="AI41" i="53"/>
  <c r="AI155" i="53" s="1"/>
  <c r="O95" i="53"/>
  <c r="O133" i="53"/>
  <c r="O38" i="53"/>
  <c r="O57" i="53" s="1"/>
  <c r="O20" i="53"/>
  <c r="Q268" i="53"/>
  <c r="Z200" i="53"/>
  <c r="Z143" i="53"/>
  <c r="Z162" i="53" s="1"/>
  <c r="Z11" i="53"/>
  <c r="AC200" i="53"/>
  <c r="AC143" i="53"/>
  <c r="AC162" i="53" s="1"/>
  <c r="AC11" i="53"/>
  <c r="X131" i="53"/>
  <c r="X93" i="53"/>
  <c r="X36" i="53"/>
  <c r="X55" i="53" s="1"/>
  <c r="Q230" i="53"/>
  <c r="F133" i="53"/>
  <c r="F20" i="53" s="1"/>
  <c r="F95" i="53"/>
  <c r="F38" i="53"/>
  <c r="F57" i="53" s="1"/>
  <c r="S200" i="53"/>
  <c r="S143" i="53"/>
  <c r="S11" i="53"/>
  <c r="H249" i="53"/>
  <c r="H200" i="53"/>
  <c r="H143" i="53"/>
  <c r="H162" i="53" s="1"/>
  <c r="H11" i="53"/>
  <c r="AK200" i="53"/>
  <c r="AK11" i="53"/>
  <c r="Q325" i="53"/>
  <c r="X149" i="53"/>
  <c r="X168" i="53"/>
  <c r="Q287" i="53"/>
  <c r="AK371" i="53"/>
  <c r="K371" i="53"/>
  <c r="K390" i="53" s="1"/>
  <c r="Q306" i="53"/>
  <c r="AH132" i="53"/>
  <c r="AH19" i="53" s="1"/>
  <c r="AH94" i="53"/>
  <c r="AH37" i="53"/>
  <c r="AH151" i="53" s="1"/>
  <c r="Q87" i="53"/>
  <c r="Q106" i="53" s="1"/>
  <c r="Q30" i="53"/>
  <c r="Q49" i="53" s="1"/>
  <c r="AB200" i="53"/>
  <c r="AB143" i="53"/>
  <c r="AB162" i="53" s="1"/>
  <c r="AB11" i="53"/>
  <c r="G133" i="53"/>
  <c r="G20" i="53" s="1"/>
  <c r="G95" i="53"/>
  <c r="G38" i="53"/>
  <c r="G57" i="53" s="1"/>
  <c r="H287" i="53"/>
  <c r="J200" i="53"/>
  <c r="J143" i="53"/>
  <c r="J162" i="53" s="1"/>
  <c r="J11" i="53"/>
  <c r="Y135" i="53"/>
  <c r="Y97" i="53"/>
  <c r="Y22" i="53"/>
  <c r="Y40" i="53"/>
  <c r="Y59" i="53" s="1"/>
  <c r="P150" i="53"/>
  <c r="P169" i="53" s="1"/>
  <c r="AL200" i="53"/>
  <c r="AL11" i="53"/>
  <c r="AJ200" i="53"/>
  <c r="AJ11" i="53"/>
  <c r="H306" i="53"/>
  <c r="F151" i="53"/>
  <c r="F170" i="53" s="1"/>
  <c r="H268" i="53"/>
  <c r="H230" i="53"/>
  <c r="AL371" i="53"/>
  <c r="AJ371" i="53"/>
  <c r="K87" i="53"/>
  <c r="K106" i="53" s="1"/>
  <c r="K30" i="53"/>
  <c r="K49" i="53" s="1"/>
  <c r="H325" i="53"/>
  <c r="R200" i="53"/>
  <c r="R143" i="53"/>
  <c r="R162" i="53" s="1"/>
  <c r="R11" i="53"/>
  <c r="G151" i="53"/>
  <c r="G170" i="53" s="1"/>
  <c r="AM200" i="53"/>
  <c r="AM11" i="53"/>
  <c r="Q371" i="53"/>
  <c r="Y153" i="53"/>
  <c r="Y172" i="53"/>
  <c r="I200" i="53"/>
  <c r="I143" i="53"/>
  <c r="I162" i="53" s="1"/>
  <c r="I11" i="53"/>
  <c r="T143" i="53"/>
  <c r="T162" i="53" s="1"/>
  <c r="T200" i="53"/>
  <c r="T11" i="53"/>
  <c r="AM371" i="53"/>
  <c r="Q162" i="53"/>
  <c r="O151" i="53"/>
  <c r="O170" i="53" s="1"/>
  <c r="Q249" i="53"/>
  <c r="AA200" i="53"/>
  <c r="AA143" i="53"/>
  <c r="AA11" i="53"/>
  <c r="P18" i="53"/>
  <c r="O93" i="47"/>
  <c r="O131" i="47"/>
  <c r="O150" i="47" s="1"/>
  <c r="O169" i="47" s="1"/>
  <c r="O36" i="47"/>
  <c r="O55" i="47" s="1"/>
  <c r="O18" i="47"/>
  <c r="O94" i="47" s="1"/>
  <c r="AN276" i="52"/>
  <c r="AN238" i="52"/>
  <c r="AN314" i="52"/>
  <c r="S200" i="52"/>
  <c r="S11" i="52"/>
  <c r="S87" i="52" s="1"/>
  <c r="S106" i="52" s="1"/>
  <c r="S371" i="52"/>
  <c r="Q143" i="52"/>
  <c r="Q162" i="52" s="1"/>
  <c r="Q200" i="52"/>
  <c r="R200" i="52"/>
  <c r="R11" i="52"/>
  <c r="R30" i="52" s="1"/>
  <c r="R49" i="52" s="1"/>
  <c r="AI55" i="52"/>
  <c r="X92" i="52"/>
  <c r="X130" i="52"/>
  <c r="X35" i="52"/>
  <c r="X54" i="52" s="1"/>
  <c r="Q30" i="52"/>
  <c r="Q87" i="52"/>
  <c r="Q106" i="52" s="1"/>
  <c r="T87" i="52"/>
  <c r="T106" i="52" s="1"/>
  <c r="T30" i="52"/>
  <c r="T49" i="52" s="1"/>
  <c r="AL200" i="52"/>
  <c r="AL11" i="52"/>
  <c r="AC200" i="52"/>
  <c r="AC143" i="52"/>
  <c r="AC162" i="52" s="1"/>
  <c r="AC11" i="52"/>
  <c r="Z143" i="52"/>
  <c r="Z200" i="52"/>
  <c r="Z11" i="52"/>
  <c r="T371" i="52"/>
  <c r="T390" i="52" s="1"/>
  <c r="AK200" i="52"/>
  <c r="AK11" i="52"/>
  <c r="AH55" i="52"/>
  <c r="AH18" i="52"/>
  <c r="K143" i="52"/>
  <c r="K11" i="52"/>
  <c r="P150" i="52"/>
  <c r="P169" i="52" s="1"/>
  <c r="AI37" i="52"/>
  <c r="AI94" i="52"/>
  <c r="AI132" i="52"/>
  <c r="AI19" i="52" s="1"/>
  <c r="AJ200" i="52"/>
  <c r="AJ11" i="52"/>
  <c r="AJ371" i="52"/>
  <c r="R162" i="52"/>
  <c r="R371" i="52" s="1"/>
  <c r="F148" i="52"/>
  <c r="F167" i="52" s="1"/>
  <c r="Y149" i="52"/>
  <c r="Y168" i="52" s="1"/>
  <c r="AD238" i="52"/>
  <c r="AD276" i="52"/>
  <c r="AD314" i="52"/>
  <c r="AD352" i="52"/>
  <c r="G149" i="52"/>
  <c r="G168" i="52" s="1"/>
  <c r="G17" i="52"/>
  <c r="AA143" i="52"/>
  <c r="AA162" i="52" s="1"/>
  <c r="AA200" i="52"/>
  <c r="AA11" i="52"/>
  <c r="AM11" i="52"/>
  <c r="AM125" i="52" s="1"/>
  <c r="AB143" i="52"/>
  <c r="AB200" i="52"/>
  <c r="AB11" i="52"/>
  <c r="Q231" i="52"/>
  <c r="P18" i="52"/>
  <c r="Y36" i="52"/>
  <c r="Y55" i="52" s="1"/>
  <c r="Y93" i="52"/>
  <c r="Y131" i="52"/>
  <c r="O37" i="52"/>
  <c r="O56" i="52" s="1"/>
  <c r="O132" i="52"/>
  <c r="O94" i="52"/>
  <c r="F16" i="52"/>
  <c r="AH133" i="47"/>
  <c r="AH20" i="47" s="1"/>
  <c r="AI135" i="47"/>
  <c r="AI22" i="47" s="1"/>
  <c r="L238" i="39"/>
  <c r="K222" i="41"/>
  <c r="J222" i="41"/>
  <c r="I222" i="41"/>
  <c r="L173" i="41"/>
  <c r="H174" i="41"/>
  <c r="L174" i="41" s="1"/>
  <c r="L257" i="47"/>
  <c r="H48" i="47"/>
  <c r="L314" i="47" s="1"/>
  <c r="L333" i="47"/>
  <c r="L295" i="47"/>
  <c r="L219" i="47"/>
  <c r="F34" i="47"/>
  <c r="F53" i="47" s="1"/>
  <c r="F91" i="47"/>
  <c r="J124" i="47"/>
  <c r="J200" i="47" s="1"/>
  <c r="Y149" i="47"/>
  <c r="Y168" i="47" s="1"/>
  <c r="Y17" i="47"/>
  <c r="I124" i="47"/>
  <c r="I143" i="47" s="1"/>
  <c r="I162" i="47" s="1"/>
  <c r="H124" i="47"/>
  <c r="H11" i="47" s="1"/>
  <c r="K124" i="47"/>
  <c r="K200" i="47" s="1"/>
  <c r="AN370" i="47"/>
  <c r="G91" i="47"/>
  <c r="G34" i="47"/>
  <c r="G53" i="47" s="1"/>
  <c r="X129" i="47"/>
  <c r="X91" i="47"/>
  <c r="X34" i="47"/>
  <c r="X53" i="47" s="1"/>
  <c r="AD370" i="47"/>
  <c r="Z389" i="47"/>
  <c r="AD389" i="47" s="1"/>
  <c r="U370" i="47"/>
  <c r="Q389" i="47"/>
  <c r="AJ48" i="47"/>
  <c r="AN295" i="47"/>
  <c r="AN333" i="47"/>
  <c r="AN257" i="47"/>
  <c r="AN219" i="47"/>
  <c r="Z48" i="47"/>
  <c r="AD333" i="47"/>
  <c r="AD257" i="47"/>
  <c r="AD219" i="47"/>
  <c r="AD295" i="47"/>
  <c r="I389" i="47"/>
  <c r="L370" i="47"/>
  <c r="Q48" i="47"/>
  <c r="U333" i="47"/>
  <c r="U257" i="47"/>
  <c r="U219" i="47"/>
  <c r="U295" i="47"/>
  <c r="P14" i="47"/>
  <c r="M89" i="27" s="1"/>
  <c r="M165" i="27" s="1"/>
  <c r="P146" i="47"/>
  <c r="P165" i="47" s="1"/>
  <c r="AJ162" i="47"/>
  <c r="AJ143" i="47"/>
  <c r="AK162" i="47"/>
  <c r="AK143" i="47"/>
  <c r="AL162" i="47"/>
  <c r="AL143" i="47"/>
  <c r="AM143" i="47"/>
  <c r="AM162" i="47"/>
  <c r="AI40" i="47"/>
  <c r="AI154" i="47" s="1"/>
  <c r="AI58" i="47"/>
  <c r="AI172" i="47" s="1"/>
  <c r="AH56" i="47"/>
  <c r="AH170" i="47" s="1"/>
  <c r="AH38" i="47"/>
  <c r="AH152" i="47" s="1"/>
  <c r="R229" i="47"/>
  <c r="Q268" i="47"/>
  <c r="Q306" i="47"/>
  <c r="Q345" i="47"/>
  <c r="Q249" i="47"/>
  <c r="T285" i="47"/>
  <c r="Q231" i="47"/>
  <c r="Q325" i="47"/>
  <c r="T323" i="47"/>
  <c r="Q287" i="47"/>
  <c r="Q364" i="47"/>
  <c r="T247" i="47"/>
  <c r="H325" i="47"/>
  <c r="H286" i="47"/>
  <c r="H248" i="47"/>
  <c r="AA124" i="47"/>
  <c r="AK124" i="47"/>
  <c r="R124" i="47"/>
  <c r="AL124" i="47"/>
  <c r="AN389" i="47"/>
  <c r="S124" i="47"/>
  <c r="AI97" i="47"/>
  <c r="Q124" i="47"/>
  <c r="T124" i="47"/>
  <c r="Z124" i="47"/>
  <c r="S79" i="47"/>
  <c r="H306" i="47"/>
  <c r="AB124" i="47"/>
  <c r="T79" i="47"/>
  <c r="AC124" i="47"/>
  <c r="H230" i="47"/>
  <c r="H345" i="47"/>
  <c r="K79" i="47"/>
  <c r="AL79" i="47"/>
  <c r="AH95" i="47"/>
  <c r="AJ124" i="47"/>
  <c r="AK79" i="47"/>
  <c r="AM124" i="47"/>
  <c r="H268" i="47"/>
  <c r="AC79" i="47"/>
  <c r="Z79" i="47"/>
  <c r="R79" i="47"/>
  <c r="AK88" i="25"/>
  <c r="AK126" i="25" s="1"/>
  <c r="L124" i="25"/>
  <c r="U237" i="25"/>
  <c r="AJ88" i="25"/>
  <c r="AJ239" i="25"/>
  <c r="AM239" i="25"/>
  <c r="AN220" i="25"/>
  <c r="AM88" i="25"/>
  <c r="AM126" i="25" s="1"/>
  <c r="AL88" i="25"/>
  <c r="AL126" i="25" s="1"/>
  <c r="AH98" i="25"/>
  <c r="AI97" i="25"/>
  <c r="AI22" i="25" s="1"/>
  <c r="AI60" i="25" s="1"/>
  <c r="Y94" i="25"/>
  <c r="Y19" i="25" s="1"/>
  <c r="Z239" i="25"/>
  <c r="AA50" i="25"/>
  <c r="AA69" i="25" s="1"/>
  <c r="AD220" i="25"/>
  <c r="AA239" i="25"/>
  <c r="AC50" i="25"/>
  <c r="AC69" i="25" s="1"/>
  <c r="Z50" i="25"/>
  <c r="Z69" i="25" s="1"/>
  <c r="X56" i="25"/>
  <c r="X94" i="25"/>
  <c r="X19" i="25" s="1"/>
  <c r="T86" i="25"/>
  <c r="T11" i="25" s="1"/>
  <c r="T49" i="25" s="1"/>
  <c r="T68" i="25" s="1"/>
  <c r="K238" i="25"/>
  <c r="I238" i="25"/>
  <c r="J49" i="25"/>
  <c r="J68" i="25" s="1"/>
  <c r="L219" i="25"/>
  <c r="H238" i="25"/>
  <c r="H49" i="25"/>
  <c r="H68" i="25" s="1"/>
  <c r="S86" i="25"/>
  <c r="G96" i="25"/>
  <c r="G21" i="25" s="1"/>
  <c r="S20" i="45" s="1"/>
  <c r="G58" i="25"/>
  <c r="O96" i="25"/>
  <c r="O21" i="25" s="1"/>
  <c r="O59" i="25" s="1"/>
  <c r="Q86" i="25"/>
  <c r="R86" i="25"/>
  <c r="I49" i="25"/>
  <c r="I68" i="25" s="1"/>
  <c r="K49" i="25"/>
  <c r="K68" i="25" s="1"/>
  <c r="J238" i="25"/>
  <c r="P97" i="25"/>
  <c r="P22" i="25" s="1"/>
  <c r="P60" i="25" s="1"/>
  <c r="F94" i="25"/>
  <c r="F19" i="25" s="1"/>
  <c r="F56" i="25"/>
  <c r="I87" i="29"/>
  <c r="H87" i="29"/>
  <c r="K87" i="29"/>
  <c r="F90" i="29"/>
  <c r="F52" i="29"/>
  <c r="G98" i="29"/>
  <c r="G60" i="29"/>
  <c r="J50" i="29"/>
  <c r="J69" i="29" s="1"/>
  <c r="H228" i="37"/>
  <c r="I228" i="37"/>
  <c r="J228" i="37"/>
  <c r="K228" i="37"/>
  <c r="L191" i="29"/>
  <c r="H192" i="29"/>
  <c r="H173" i="29"/>
  <c r="L172" i="29"/>
  <c r="L191" i="37"/>
  <c r="H192" i="37"/>
  <c r="K193" i="25"/>
  <c r="L193" i="25" s="1"/>
  <c r="L192" i="25"/>
  <c r="L153" i="41"/>
  <c r="H154" i="41"/>
  <c r="H154" i="29"/>
  <c r="L153" i="29"/>
  <c r="H52" i="41"/>
  <c r="H71" i="41" s="1"/>
  <c r="H222" i="41"/>
  <c r="L203" i="41"/>
  <c r="I52" i="41"/>
  <c r="I71" i="41" s="1"/>
  <c r="J52" i="41"/>
  <c r="J71" i="41" s="1"/>
  <c r="K52" i="41"/>
  <c r="K71" i="41" s="1"/>
  <c r="K90" i="41" s="1"/>
  <c r="K15" i="41"/>
  <c r="G60" i="41"/>
  <c r="G98" i="41"/>
  <c r="G59" i="39"/>
  <c r="G97" i="39"/>
  <c r="G22" i="39" s="1"/>
  <c r="H87" i="39"/>
  <c r="H12" i="39" s="1"/>
  <c r="J87" i="39"/>
  <c r="J12" i="39" s="1"/>
  <c r="K87" i="39"/>
  <c r="K12" i="39" s="1"/>
  <c r="I87" i="39"/>
  <c r="I12" i="39" s="1"/>
  <c r="I89" i="37"/>
  <c r="H89" i="37"/>
  <c r="K89" i="37"/>
  <c r="J89" i="37"/>
  <c r="J14" i="37"/>
  <c r="J52" i="37" s="1"/>
  <c r="J71" i="37" s="1"/>
  <c r="J127" i="37"/>
  <c r="J241" i="37" s="1"/>
  <c r="K14" i="37"/>
  <c r="K52" i="37" s="1"/>
  <c r="K71" i="37" s="1"/>
  <c r="K127" i="37"/>
  <c r="K241" i="37" s="1"/>
  <c r="L240" i="37"/>
  <c r="L221" i="37"/>
  <c r="H117" i="37"/>
  <c r="J117" i="37"/>
  <c r="I117" i="37"/>
  <c r="G85" i="13"/>
  <c r="I85" i="13" s="1"/>
  <c r="K28" i="13" s="1"/>
  <c r="K27" i="13"/>
  <c r="F74" i="13"/>
  <c r="F86" i="13"/>
  <c r="H74" i="13"/>
  <c r="H86" i="13"/>
  <c r="D75" i="13"/>
  <c r="D87" i="13"/>
  <c r="E75" i="13"/>
  <c r="E87" i="13"/>
  <c r="G74" i="13"/>
  <c r="G86" i="13"/>
  <c r="I29" i="13"/>
  <c r="D18" i="13"/>
  <c r="D30" i="13"/>
  <c r="C18" i="13"/>
  <c r="C30" i="13"/>
  <c r="E21" i="13"/>
  <c r="E33" i="13"/>
  <c r="G21" i="13"/>
  <c r="G33" i="13"/>
  <c r="H21" i="13"/>
  <c r="H33" i="13"/>
  <c r="F21" i="13"/>
  <c r="F33" i="13"/>
  <c r="Y30" i="46" l="1"/>
  <c r="Q30" i="46"/>
  <c r="O57" i="55"/>
  <c r="AL256" i="55"/>
  <c r="AL48" i="55"/>
  <c r="AL181" i="55" s="1"/>
  <c r="AM237" i="55"/>
  <c r="AM142" i="55"/>
  <c r="AJ237" i="55"/>
  <c r="AJ142" i="55"/>
  <c r="U34" i="27"/>
  <c r="U91" i="27" s="1"/>
  <c r="U167" i="27" s="1"/>
  <c r="Y92" i="55"/>
  <c r="Y111" i="55" s="1"/>
  <c r="Y54" i="55"/>
  <c r="AK237" i="55"/>
  <c r="AK142" i="55"/>
  <c r="AC49" i="55"/>
  <c r="AC68" i="55" s="1"/>
  <c r="T32" i="27"/>
  <c r="T89" i="27" s="1"/>
  <c r="T165" i="27" s="1"/>
  <c r="X90" i="55"/>
  <c r="X109" i="55" s="1"/>
  <c r="X52" i="55"/>
  <c r="AC257" i="55"/>
  <c r="AH16" i="55"/>
  <c r="AB34" i="27" s="1"/>
  <c r="AB91" i="27" s="1"/>
  <c r="AB167" i="27" s="1"/>
  <c r="O20" i="55"/>
  <c r="L38" i="27" s="1"/>
  <c r="L37" i="27"/>
  <c r="G111" i="55"/>
  <c r="AE28" i="27"/>
  <c r="AE85" i="27" s="1"/>
  <c r="AE161" i="27" s="1"/>
  <c r="AK48" i="55"/>
  <c r="M33" i="27"/>
  <c r="P53" i="55"/>
  <c r="P91" i="55"/>
  <c r="P16" i="55" s="1"/>
  <c r="AD28" i="27"/>
  <c r="AD85" i="27" s="1"/>
  <c r="AD161" i="27" s="1"/>
  <c r="AJ48" i="55"/>
  <c r="AG28" i="27"/>
  <c r="AG85" i="27" s="1"/>
  <c r="AG161" i="27" s="1"/>
  <c r="AM48" i="55"/>
  <c r="Z143" i="55"/>
  <c r="AD143" i="55" s="1"/>
  <c r="Z238" i="55"/>
  <c r="V29" i="27"/>
  <c r="Z49" i="55"/>
  <c r="Z68" i="55" s="1"/>
  <c r="AC33" i="27"/>
  <c r="AC90" i="27" s="1"/>
  <c r="AC166" i="27" s="1"/>
  <c r="AI91" i="55"/>
  <c r="AI53" i="55"/>
  <c r="AA257" i="55"/>
  <c r="AJ174" i="55"/>
  <c r="AN174" i="55" s="1"/>
  <c r="Q212" i="55"/>
  <c r="U212" i="55" s="1"/>
  <c r="AB49" i="55"/>
  <c r="AB68" i="55" s="1"/>
  <c r="AA49" i="55"/>
  <c r="AA68" i="55" s="1"/>
  <c r="AB257" i="55"/>
  <c r="Q193" i="55"/>
  <c r="U193" i="55" s="1"/>
  <c r="Q174" i="55"/>
  <c r="U174" i="55" s="1"/>
  <c r="AM390" i="53"/>
  <c r="U200" i="53"/>
  <c r="AL390" i="53"/>
  <c r="F134" i="53"/>
  <c r="F96" i="53"/>
  <c r="F39" i="53"/>
  <c r="F58" i="53" s="1"/>
  <c r="F21" i="53"/>
  <c r="Q250" i="53"/>
  <c r="AN371" i="53"/>
  <c r="AJ390" i="53"/>
  <c r="AK390" i="53"/>
  <c r="AK87" i="53"/>
  <c r="AK106" i="53" s="1"/>
  <c r="AK30" i="53"/>
  <c r="AK49" i="53" s="1"/>
  <c r="Q269" i="53"/>
  <c r="O134" i="53"/>
  <c r="O96" i="53"/>
  <c r="O39" i="53"/>
  <c r="O21" i="53"/>
  <c r="O58" i="53"/>
  <c r="H371" i="53"/>
  <c r="AC371" i="53"/>
  <c r="AC390" i="53" s="1"/>
  <c r="I371" i="53"/>
  <c r="I390" i="53" s="1"/>
  <c r="G134" i="53"/>
  <c r="G21" i="53" s="1"/>
  <c r="G96" i="53"/>
  <c r="G39" i="53"/>
  <c r="G58" i="53" s="1"/>
  <c r="AH56" i="53"/>
  <c r="AH170" i="53" s="1"/>
  <c r="F152" i="53"/>
  <c r="F171" i="53" s="1"/>
  <c r="O152" i="53"/>
  <c r="O171" i="53" s="1"/>
  <c r="I87" i="53"/>
  <c r="I106" i="53" s="1"/>
  <c r="I30" i="53"/>
  <c r="I49" i="53" s="1"/>
  <c r="H87" i="53"/>
  <c r="H106" i="53" s="1"/>
  <c r="H30" i="53"/>
  <c r="H49" i="53" s="1"/>
  <c r="P132" i="53"/>
  <c r="P19" i="53" s="1"/>
  <c r="P94" i="53"/>
  <c r="P37" i="53"/>
  <c r="P56" i="53" s="1"/>
  <c r="H326" i="53"/>
  <c r="H307" i="53"/>
  <c r="Y136" i="53"/>
  <c r="Y98" i="53"/>
  <c r="Y41" i="53"/>
  <c r="Y60" i="53" s="1"/>
  <c r="AH95" i="53"/>
  <c r="AH133" i="53"/>
  <c r="AH20" i="53" s="1"/>
  <c r="AH38" i="53"/>
  <c r="AH152" i="53" s="1"/>
  <c r="L200" i="53"/>
  <c r="H231" i="53"/>
  <c r="AJ87" i="53"/>
  <c r="AJ106" i="53" s="1"/>
  <c r="AJ30" i="53"/>
  <c r="AJ49" i="53"/>
  <c r="H250" i="53"/>
  <c r="Z87" i="53"/>
  <c r="Z106" i="53" s="1"/>
  <c r="Z30" i="53"/>
  <c r="R87" i="53"/>
  <c r="R106" i="53" s="1"/>
  <c r="R30" i="53"/>
  <c r="R49" i="53" s="1"/>
  <c r="X150" i="53"/>
  <c r="X169" i="53" s="1"/>
  <c r="Q288" i="53"/>
  <c r="AA87" i="53"/>
  <c r="AA106" i="53" s="1"/>
  <c r="AA30" i="53"/>
  <c r="AA49" i="53" s="1"/>
  <c r="AN200" i="53"/>
  <c r="G152" i="53"/>
  <c r="G171" i="53" s="1"/>
  <c r="Q231" i="53"/>
  <c r="Z371" i="53"/>
  <c r="H288" i="53"/>
  <c r="Q390" i="53"/>
  <c r="H269" i="53"/>
  <c r="AL49" i="53"/>
  <c r="AL30" i="53"/>
  <c r="AL87" i="53"/>
  <c r="AL106" i="53" s="1"/>
  <c r="Y154" i="53"/>
  <c r="Y173" i="53" s="1"/>
  <c r="AB87" i="53"/>
  <c r="AB106" i="53" s="1"/>
  <c r="AB30" i="53"/>
  <c r="AB49" i="53" s="1"/>
  <c r="S87" i="53"/>
  <c r="S106" i="53" s="1"/>
  <c r="S30" i="53"/>
  <c r="AA162" i="53"/>
  <c r="AA371" i="53" s="1"/>
  <c r="AA390" i="53" s="1"/>
  <c r="T87" i="53"/>
  <c r="T106" i="53" s="1"/>
  <c r="T30" i="53"/>
  <c r="T49" i="53" s="1"/>
  <c r="AM87" i="53"/>
  <c r="AM106" i="53" s="1"/>
  <c r="AM30" i="53"/>
  <c r="AM49" i="53" s="1"/>
  <c r="J87" i="53"/>
  <c r="J106" i="53" s="1"/>
  <c r="J30" i="53"/>
  <c r="J49" i="53" s="1"/>
  <c r="X18" i="53"/>
  <c r="AD200" i="53"/>
  <c r="AI60" i="53"/>
  <c r="AI174" i="53" s="1"/>
  <c r="R371" i="53"/>
  <c r="R390" i="53" s="1"/>
  <c r="U220" i="53"/>
  <c r="AB371" i="53"/>
  <c r="AB390" i="53" s="1"/>
  <c r="Q307" i="53"/>
  <c r="S162" i="53"/>
  <c r="S371" i="53" s="1"/>
  <c r="S390" i="53" s="1"/>
  <c r="AC87" i="53"/>
  <c r="AC106" i="53" s="1"/>
  <c r="AC30" i="53"/>
  <c r="AC49" i="53" s="1"/>
  <c r="T371" i="53"/>
  <c r="T390" i="53" s="1"/>
  <c r="J371" i="53"/>
  <c r="J390" i="53" s="1"/>
  <c r="Q326" i="53"/>
  <c r="U389" i="47"/>
  <c r="AL371" i="52"/>
  <c r="L93" i="27"/>
  <c r="L169" i="27" s="1"/>
  <c r="O37" i="47"/>
  <c r="O56" i="47" s="1"/>
  <c r="O132" i="47"/>
  <c r="AK371" i="52"/>
  <c r="AK390" i="52" s="1"/>
  <c r="F130" i="52"/>
  <c r="G131" i="52"/>
  <c r="G18" i="52" s="1"/>
  <c r="S390" i="52"/>
  <c r="S30" i="52"/>
  <c r="S49" i="52" s="1"/>
  <c r="U200" i="52"/>
  <c r="R87" i="52"/>
  <c r="R106" i="52" s="1"/>
  <c r="S125" i="52" s="1"/>
  <c r="S201" i="52" s="1"/>
  <c r="R390" i="52"/>
  <c r="Q371" i="52"/>
  <c r="U371" i="52" s="1"/>
  <c r="AM390" i="52"/>
  <c r="AL390" i="52"/>
  <c r="K125" i="52"/>
  <c r="X149" i="52"/>
  <c r="X168" i="52" s="1"/>
  <c r="X17" i="52"/>
  <c r="AI56" i="52"/>
  <c r="AI38" i="52"/>
  <c r="AI95" i="52"/>
  <c r="AI133" i="52"/>
  <c r="AI20" i="52" s="1"/>
  <c r="Y150" i="52"/>
  <c r="Y169" i="52" s="1"/>
  <c r="F35" i="52"/>
  <c r="F54" i="52" s="1"/>
  <c r="F92" i="52"/>
  <c r="AM30" i="52"/>
  <c r="AM87" i="52"/>
  <c r="AH37" i="52"/>
  <c r="AH94" i="52"/>
  <c r="AH132" i="52"/>
  <c r="AL30" i="52"/>
  <c r="AL49" i="52" s="1"/>
  <c r="AL87" i="52"/>
  <c r="AL106" i="52" s="1"/>
  <c r="AN371" i="52"/>
  <c r="AJ390" i="52"/>
  <c r="Y18" i="52"/>
  <c r="AJ30" i="52"/>
  <c r="AJ49" i="52" s="1"/>
  <c r="AJ87" i="52"/>
  <c r="AJ106" i="52" s="1"/>
  <c r="AK30" i="52"/>
  <c r="AK49" i="52" s="1"/>
  <c r="AK87" i="52"/>
  <c r="AK106" i="52" s="1"/>
  <c r="Z30" i="52"/>
  <c r="Z49" i="52" s="1"/>
  <c r="Z87" i="52"/>
  <c r="Z106" i="52" s="1"/>
  <c r="P37" i="52"/>
  <c r="P56" i="52" s="1"/>
  <c r="P94" i="52"/>
  <c r="P132" i="52"/>
  <c r="AN200" i="52"/>
  <c r="AD200" i="52"/>
  <c r="O151" i="52"/>
  <c r="O170" i="52" s="1"/>
  <c r="G36" i="52"/>
  <c r="G55" i="52" s="1"/>
  <c r="G93" i="52"/>
  <c r="Z162" i="52"/>
  <c r="Z371" i="52" s="1"/>
  <c r="AB30" i="52"/>
  <c r="AB49" i="52" s="1"/>
  <c r="AB87" i="52"/>
  <c r="AB106" i="52" s="1"/>
  <c r="K30" i="52"/>
  <c r="K49" i="52" s="1"/>
  <c r="K87" i="52"/>
  <c r="AA30" i="52"/>
  <c r="AA49" i="52" s="1"/>
  <c r="AA87" i="52"/>
  <c r="AA106" i="52" s="1"/>
  <c r="AA371" i="52"/>
  <c r="AA390" i="52" s="1"/>
  <c r="AC30" i="52"/>
  <c r="AC49" i="52" s="1"/>
  <c r="AC87" i="52"/>
  <c r="AC106" i="52" s="1"/>
  <c r="O19" i="52"/>
  <c r="AB162" i="52"/>
  <c r="AB371" i="52" s="1"/>
  <c r="AB390" i="52" s="1"/>
  <c r="K162" i="52"/>
  <c r="AC371" i="52"/>
  <c r="AC390" i="52" s="1"/>
  <c r="Q49" i="52"/>
  <c r="AH134" i="47"/>
  <c r="AH21" i="47" s="1"/>
  <c r="AI136" i="47"/>
  <c r="E166" i="27"/>
  <c r="L389" i="47"/>
  <c r="L222" i="41"/>
  <c r="L352" i="47"/>
  <c r="L238" i="47"/>
  <c r="L276" i="47"/>
  <c r="H87" i="47"/>
  <c r="H106" i="47" s="1"/>
  <c r="J143" i="47"/>
  <c r="J162" i="47" s="1"/>
  <c r="J11" i="47"/>
  <c r="I200" i="47"/>
  <c r="F16" i="47"/>
  <c r="F130" i="47" s="1"/>
  <c r="F148" i="47"/>
  <c r="F167" i="47" s="1"/>
  <c r="H200" i="47"/>
  <c r="K11" i="47"/>
  <c r="Y36" i="47"/>
  <c r="Y55" i="47" s="1"/>
  <c r="Y131" i="47"/>
  <c r="Y150" i="47" s="1"/>
  <c r="Y169" i="47" s="1"/>
  <c r="Y93" i="47"/>
  <c r="K143" i="47"/>
  <c r="K162" i="47" s="1"/>
  <c r="I11" i="47"/>
  <c r="H143" i="47"/>
  <c r="H162" i="47" s="1"/>
  <c r="G148" i="47"/>
  <c r="G167" i="47" s="1"/>
  <c r="G16" i="47"/>
  <c r="G130" i="47" s="1"/>
  <c r="X16" i="47"/>
  <c r="X148" i="47"/>
  <c r="X167" i="47" s="1"/>
  <c r="Q143" i="47"/>
  <c r="Q162" i="47" s="1"/>
  <c r="AN352" i="47"/>
  <c r="AN276" i="47"/>
  <c r="AN238" i="47"/>
  <c r="AN314" i="47"/>
  <c r="AC143" i="47"/>
  <c r="T143" i="47"/>
  <c r="T162" i="47" s="1"/>
  <c r="AB143" i="47"/>
  <c r="AB162" i="47" s="1"/>
  <c r="R143" i="47"/>
  <c r="R162" i="47" s="1"/>
  <c r="AA11" i="47"/>
  <c r="AA143" i="47"/>
  <c r="AA162" i="47" s="1"/>
  <c r="AD238" i="47"/>
  <c r="AD314" i="47"/>
  <c r="AD276" i="47"/>
  <c r="AD352" i="47"/>
  <c r="Z143" i="47"/>
  <c r="Z162" i="47" s="1"/>
  <c r="S143" i="47"/>
  <c r="S162" i="47" s="1"/>
  <c r="P128" i="47"/>
  <c r="P90" i="47"/>
  <c r="P33" i="47"/>
  <c r="P52" i="47" s="1"/>
  <c r="U238" i="47"/>
  <c r="U314" i="47"/>
  <c r="U276" i="47"/>
  <c r="U352" i="47"/>
  <c r="H30" i="47"/>
  <c r="AI41" i="47"/>
  <c r="AI155" i="47" s="1"/>
  <c r="AI59" i="47"/>
  <c r="AI173" i="47" s="1"/>
  <c r="AH39" i="47"/>
  <c r="AH153" i="47" s="1"/>
  <c r="AH57" i="47"/>
  <c r="AH171" i="47" s="1"/>
  <c r="T248" i="47"/>
  <c r="Q288" i="47"/>
  <c r="Q326" i="47"/>
  <c r="Q307" i="47"/>
  <c r="AA200" i="47"/>
  <c r="T286" i="47"/>
  <c r="Q250" i="47"/>
  <c r="Q269" i="47"/>
  <c r="T324" i="47"/>
  <c r="R230" i="47"/>
  <c r="H326" i="47"/>
  <c r="H287" i="47"/>
  <c r="H249" i="47"/>
  <c r="AK11" i="47"/>
  <c r="AK200" i="47"/>
  <c r="AL11" i="47"/>
  <c r="S11" i="47"/>
  <c r="S200" i="47"/>
  <c r="R11" i="47"/>
  <c r="R200" i="47"/>
  <c r="AL200" i="47"/>
  <c r="AH96" i="47"/>
  <c r="AI98" i="47"/>
  <c r="AJ200" i="47"/>
  <c r="AJ11" i="47"/>
  <c r="Z200" i="47"/>
  <c r="Z11" i="47"/>
  <c r="AM200" i="47"/>
  <c r="AM11" i="47"/>
  <c r="AC200" i="47"/>
  <c r="AC11" i="47"/>
  <c r="Y86" i="27" s="1"/>
  <c r="Y162" i="27" s="1"/>
  <c r="AB200" i="47"/>
  <c r="AB11" i="47"/>
  <c r="X86" i="27" s="1"/>
  <c r="X162" i="27" s="1"/>
  <c r="T200" i="47"/>
  <c r="T11" i="47"/>
  <c r="Q200" i="47"/>
  <c r="Q11" i="47"/>
  <c r="H269" i="47"/>
  <c r="H231" i="47"/>
  <c r="H307" i="47"/>
  <c r="AK221" i="25"/>
  <c r="AK240" i="25" s="1"/>
  <c r="AK13" i="25"/>
  <c r="AK51" i="25" s="1"/>
  <c r="AK70" i="25" s="1"/>
  <c r="R18" i="45"/>
  <c r="T219" i="25"/>
  <c r="AJ126" i="25"/>
  <c r="AN126" i="25" s="1"/>
  <c r="T124" i="25"/>
  <c r="U10" i="45"/>
  <c r="U48" i="45" s="1"/>
  <c r="K87" i="25"/>
  <c r="K125" i="25" s="1"/>
  <c r="W10" i="45"/>
  <c r="W48" i="45" s="1"/>
  <c r="V10" i="45"/>
  <c r="V48" i="45" s="1"/>
  <c r="T10" i="45"/>
  <c r="T48" i="45" s="1"/>
  <c r="AN239" i="25"/>
  <c r="AJ221" i="25"/>
  <c r="AJ13" i="25"/>
  <c r="AJ51" i="25" s="1"/>
  <c r="AJ70" i="25" s="1"/>
  <c r="AL13" i="25"/>
  <c r="AL221" i="25"/>
  <c r="AM13" i="25"/>
  <c r="AM51" i="25" s="1"/>
  <c r="AM70" i="25" s="1"/>
  <c r="AM221" i="25"/>
  <c r="AI98" i="25"/>
  <c r="Z88" i="25"/>
  <c r="Z126" i="25" s="1"/>
  <c r="Y95" i="25"/>
  <c r="Y20" i="25" s="1"/>
  <c r="Y57" i="25"/>
  <c r="AD239" i="25"/>
  <c r="AC88" i="25"/>
  <c r="AC126" i="25" s="1"/>
  <c r="AB88" i="25"/>
  <c r="AB126" i="25" s="1"/>
  <c r="AA88" i="25"/>
  <c r="AA126" i="25" s="1"/>
  <c r="X57" i="25"/>
  <c r="X95" i="25"/>
  <c r="X20" i="25" s="1"/>
  <c r="O97" i="25"/>
  <c r="O22" i="25" s="1"/>
  <c r="O60" i="25" s="1"/>
  <c r="L238" i="25"/>
  <c r="I87" i="25"/>
  <c r="S124" i="25"/>
  <c r="S219" i="25"/>
  <c r="S11" i="25"/>
  <c r="J87" i="25"/>
  <c r="H87" i="25"/>
  <c r="H12" i="25" s="1"/>
  <c r="G97" i="25"/>
  <c r="G22" i="25" s="1"/>
  <c r="S21" i="45" s="1"/>
  <c r="G59" i="25"/>
  <c r="R11" i="25"/>
  <c r="R124" i="25"/>
  <c r="R219" i="25"/>
  <c r="Q124" i="25"/>
  <c r="Q219" i="25"/>
  <c r="Q11" i="25"/>
  <c r="P98" i="25"/>
  <c r="F95" i="25"/>
  <c r="F20" i="25" s="1"/>
  <c r="F57" i="25"/>
  <c r="F15" i="29"/>
  <c r="K12" i="29"/>
  <c r="K125" i="29"/>
  <c r="K220" i="29"/>
  <c r="H12" i="29"/>
  <c r="H125" i="29"/>
  <c r="H220" i="29"/>
  <c r="I125" i="29"/>
  <c r="I220" i="29"/>
  <c r="I12" i="29"/>
  <c r="H229" i="37"/>
  <c r="I229" i="37"/>
  <c r="J229" i="37"/>
  <c r="K229" i="37"/>
  <c r="L192" i="37"/>
  <c r="H193" i="37"/>
  <c r="L193" i="37" s="1"/>
  <c r="H174" i="29"/>
  <c r="L174" i="29" s="1"/>
  <c r="L173" i="29"/>
  <c r="L192" i="29"/>
  <c r="H193" i="29"/>
  <c r="L193" i="29" s="1"/>
  <c r="J90" i="41"/>
  <c r="J15" i="41" s="1"/>
  <c r="I90" i="41"/>
  <c r="I15" i="41" s="1"/>
  <c r="H90" i="41"/>
  <c r="H15" i="41" s="1"/>
  <c r="H155" i="29"/>
  <c r="L155" i="29" s="1"/>
  <c r="L154" i="29"/>
  <c r="L154" i="41"/>
  <c r="H155" i="41"/>
  <c r="L155" i="41" s="1"/>
  <c r="K212" i="41" s="1"/>
  <c r="F53" i="41"/>
  <c r="F91" i="41"/>
  <c r="F16" i="41" s="1"/>
  <c r="K128" i="41"/>
  <c r="K204" i="41"/>
  <c r="J128" i="41"/>
  <c r="J204" i="41"/>
  <c r="I128" i="41"/>
  <c r="I204" i="41"/>
  <c r="H128" i="41"/>
  <c r="H204" i="41"/>
  <c r="I125" i="39"/>
  <c r="I220" i="39"/>
  <c r="K125" i="39"/>
  <c r="K220" i="39"/>
  <c r="J125" i="39"/>
  <c r="J220" i="39"/>
  <c r="H125" i="39"/>
  <c r="H220" i="39"/>
  <c r="G60" i="39"/>
  <c r="G98" i="39"/>
  <c r="F55" i="39"/>
  <c r="F93" i="39"/>
  <c r="F18" i="39" s="1"/>
  <c r="I127" i="37"/>
  <c r="I241" i="37" s="1"/>
  <c r="I14" i="37"/>
  <c r="I52" i="37" s="1"/>
  <c r="I71" i="37" s="1"/>
  <c r="H14" i="37"/>
  <c r="H52" i="37" s="1"/>
  <c r="H71" i="37" s="1"/>
  <c r="L222" i="37"/>
  <c r="H127" i="37"/>
  <c r="H241" i="37" s="1"/>
  <c r="G53" i="37"/>
  <c r="G91" i="37"/>
  <c r="G16" i="37" s="1"/>
  <c r="F53" i="37"/>
  <c r="F91" i="37"/>
  <c r="F16" i="37" s="1"/>
  <c r="I86" i="13"/>
  <c r="K29" i="13" s="1"/>
  <c r="F75" i="13"/>
  <c r="F87" i="13"/>
  <c r="E76" i="13"/>
  <c r="E88" i="13"/>
  <c r="D76" i="13"/>
  <c r="D88" i="13"/>
  <c r="G75" i="13"/>
  <c r="G87" i="13"/>
  <c r="H75" i="13"/>
  <c r="H87" i="13"/>
  <c r="I30" i="13"/>
  <c r="C31" i="13"/>
  <c r="C19" i="13"/>
  <c r="D19" i="13"/>
  <c r="D31" i="13"/>
  <c r="H22" i="13"/>
  <c r="H34" i="13"/>
  <c r="E22" i="13"/>
  <c r="E34" i="13"/>
  <c r="F22" i="13"/>
  <c r="F34" i="13"/>
  <c r="G22" i="13"/>
  <c r="G34" i="13"/>
  <c r="J31" i="46" l="1"/>
  <c r="V31" i="46" s="1"/>
  <c r="Y17" i="55"/>
  <c r="Y55" i="55" s="1"/>
  <c r="AH92" i="55"/>
  <c r="AH17" i="55" s="1"/>
  <c r="AH54" i="55"/>
  <c r="AL67" i="55"/>
  <c r="AN142" i="55"/>
  <c r="V86" i="27"/>
  <c r="V162" i="27" s="1"/>
  <c r="AK256" i="55"/>
  <c r="AJ256" i="55"/>
  <c r="AM256" i="55"/>
  <c r="Y93" i="55"/>
  <c r="Y112" i="55" s="1"/>
  <c r="U35" i="27"/>
  <c r="U92" i="27" s="1"/>
  <c r="U168" i="27" s="1"/>
  <c r="AN237" i="55"/>
  <c r="X15" i="55"/>
  <c r="Z257" i="55"/>
  <c r="J10" i="56"/>
  <c r="AD238" i="55"/>
  <c r="P110" i="55"/>
  <c r="G93" i="55"/>
  <c r="G18" i="55" s="1"/>
  <c r="E35" i="27"/>
  <c r="E92" i="27" s="1"/>
  <c r="G55" i="55"/>
  <c r="AI16" i="55"/>
  <c r="AI110" i="55"/>
  <c r="AH111" i="55"/>
  <c r="AK67" i="55"/>
  <c r="AK181" i="55"/>
  <c r="AM67" i="55"/>
  <c r="AM181" i="55"/>
  <c r="AJ67" i="55"/>
  <c r="AJ181" i="55"/>
  <c r="AB87" i="55"/>
  <c r="AB106" i="55" s="1"/>
  <c r="O96" i="55"/>
  <c r="O21" i="55" s="1"/>
  <c r="O58" i="55"/>
  <c r="AC87" i="55"/>
  <c r="AC106" i="55" s="1"/>
  <c r="AA87" i="55"/>
  <c r="AA106" i="55" s="1"/>
  <c r="Z87" i="55"/>
  <c r="Z106" i="55" s="1"/>
  <c r="X130" i="47"/>
  <c r="AN390" i="53"/>
  <c r="U334" i="53"/>
  <c r="Z125" i="53"/>
  <c r="Z12" i="53" s="1"/>
  <c r="Z88" i="53" s="1"/>
  <c r="Z107" i="53" s="1"/>
  <c r="AH57" i="53"/>
  <c r="AH171" i="53" s="1"/>
  <c r="S49" i="53"/>
  <c r="I125" i="53"/>
  <c r="S125" i="53"/>
  <c r="S12" i="53" s="1"/>
  <c r="U296" i="53"/>
  <c r="U277" i="53"/>
  <c r="U239" i="53"/>
  <c r="U315" i="53"/>
  <c r="U353" i="53"/>
  <c r="AH96" i="53"/>
  <c r="AH134" i="53"/>
  <c r="AH21" i="53" s="1"/>
  <c r="AH39" i="53"/>
  <c r="AH153" i="53" s="1"/>
  <c r="Z31" i="53"/>
  <c r="Z50" i="53" s="1"/>
  <c r="I201" i="53"/>
  <c r="I144" i="53"/>
  <c r="I163" i="53" s="1"/>
  <c r="K125" i="53"/>
  <c r="J125" i="53"/>
  <c r="AD371" i="53"/>
  <c r="Z390" i="53"/>
  <c r="AD390" i="53" s="1"/>
  <c r="P133" i="53"/>
  <c r="P95" i="53"/>
  <c r="P38" i="53"/>
  <c r="P57" i="53" s="1"/>
  <c r="O135" i="53"/>
  <c r="O22" i="53" s="1"/>
  <c r="O40" i="53"/>
  <c r="O97" i="53"/>
  <c r="O59" i="53"/>
  <c r="S88" i="53"/>
  <c r="S107" i="53" s="1"/>
  <c r="S31" i="53"/>
  <c r="S50" i="53" s="1"/>
  <c r="U258" i="53"/>
  <c r="G135" i="53"/>
  <c r="G22" i="53" s="1"/>
  <c r="G97" i="53"/>
  <c r="G40" i="53"/>
  <c r="G59" i="53" s="1"/>
  <c r="O153" i="53"/>
  <c r="O172" i="53" s="1"/>
  <c r="F135" i="53"/>
  <c r="F97" i="53"/>
  <c r="F40" i="53"/>
  <c r="F59" i="53" s="1"/>
  <c r="F22" i="53"/>
  <c r="Z144" i="53"/>
  <c r="Z201" i="53"/>
  <c r="AN353" i="53"/>
  <c r="AN315" i="53"/>
  <c r="AN239" i="53"/>
  <c r="AN277" i="53"/>
  <c r="P151" i="53"/>
  <c r="P170" i="53" s="1"/>
  <c r="AM163" i="53"/>
  <c r="AM144" i="53"/>
  <c r="AM125" i="53"/>
  <c r="L353" i="53"/>
  <c r="L277" i="53"/>
  <c r="L315" i="53"/>
  <c r="L239" i="53"/>
  <c r="AL163" i="53"/>
  <c r="AL144" i="53"/>
  <c r="AL125" i="53"/>
  <c r="AN334" i="53"/>
  <c r="AN296" i="53"/>
  <c r="AN258" i="53"/>
  <c r="AN220" i="53"/>
  <c r="G153" i="53"/>
  <c r="G172" i="53" s="1"/>
  <c r="AC125" i="53"/>
  <c r="U371" i="53"/>
  <c r="AJ163" i="53"/>
  <c r="AJ144" i="53"/>
  <c r="AJ125" i="53"/>
  <c r="Y155" i="53"/>
  <c r="Y174" i="53" s="1"/>
  <c r="L334" i="53"/>
  <c r="L220" i="53"/>
  <c r="L258" i="53"/>
  <c r="L296" i="53"/>
  <c r="F153" i="53"/>
  <c r="F172" i="53" s="1"/>
  <c r="X132" i="53"/>
  <c r="X19" i="53" s="1"/>
  <c r="X94" i="53"/>
  <c r="X37" i="53"/>
  <c r="X56" i="53" s="1"/>
  <c r="U390" i="53"/>
  <c r="AA125" i="53"/>
  <c r="H125" i="53"/>
  <c r="AD334" i="53"/>
  <c r="AD296" i="53"/>
  <c r="AD258" i="53"/>
  <c r="AD220" i="53"/>
  <c r="T125" i="53"/>
  <c r="AB125" i="53"/>
  <c r="R125" i="53"/>
  <c r="I12" i="53"/>
  <c r="L371" i="53"/>
  <c r="H390" i="53"/>
  <c r="AK163" i="53"/>
  <c r="AK144" i="53"/>
  <c r="AK125" i="53"/>
  <c r="Z49" i="53"/>
  <c r="Q125" i="53"/>
  <c r="U334" i="52"/>
  <c r="O151" i="47"/>
  <c r="O170" i="47" s="1"/>
  <c r="O19" i="47"/>
  <c r="AL125" i="52"/>
  <c r="AM49" i="52"/>
  <c r="AM163" i="52" s="1"/>
  <c r="AM144" i="52"/>
  <c r="AK125" i="52"/>
  <c r="AJ125" i="52"/>
  <c r="Q125" i="52"/>
  <c r="Q201" i="52" s="1"/>
  <c r="U258" i="52"/>
  <c r="R125" i="52"/>
  <c r="R12" i="52" s="1"/>
  <c r="R31" i="52" s="1"/>
  <c r="R50" i="52" s="1"/>
  <c r="T125" i="52"/>
  <c r="T201" i="52" s="1"/>
  <c r="U220" i="52"/>
  <c r="U296" i="52"/>
  <c r="Q390" i="52"/>
  <c r="U390" i="52" s="1"/>
  <c r="S144" i="52"/>
  <c r="S163" i="52" s="1"/>
  <c r="AN390" i="52"/>
  <c r="S12" i="52"/>
  <c r="S31" i="52" s="1"/>
  <c r="S50" i="52" s="1"/>
  <c r="X93" i="52"/>
  <c r="X131" i="52"/>
  <c r="X150" i="52" s="1"/>
  <c r="X169" i="52" s="1"/>
  <c r="X36" i="52"/>
  <c r="X55" i="52" s="1"/>
  <c r="AA125" i="52"/>
  <c r="AA12" i="52" s="1"/>
  <c r="AA31" i="52" s="1"/>
  <c r="AA50" i="52" s="1"/>
  <c r="AI57" i="52"/>
  <c r="AI39" i="52"/>
  <c r="AI96" i="52"/>
  <c r="AI134" i="52"/>
  <c r="AI21" i="52" s="1"/>
  <c r="Z390" i="52"/>
  <c r="AD390" i="52" s="1"/>
  <c r="AD371" i="52"/>
  <c r="AD239" i="52"/>
  <c r="AD277" i="52"/>
  <c r="AD353" i="52"/>
  <c r="AD315" i="52"/>
  <c r="O38" i="52"/>
  <c r="O57" i="52" s="1"/>
  <c r="O95" i="52"/>
  <c r="O133" i="52"/>
  <c r="O20" i="52" s="1"/>
  <c r="Z125" i="52"/>
  <c r="Y37" i="52"/>
  <c r="Y56" i="52" s="1"/>
  <c r="Y94" i="52"/>
  <c r="Y132" i="52"/>
  <c r="AL163" i="52"/>
  <c r="AL144" i="52"/>
  <c r="AD258" i="52"/>
  <c r="AD220" i="52"/>
  <c r="AD334" i="52"/>
  <c r="AD296" i="52"/>
  <c r="F149" i="52"/>
  <c r="F168" i="52" s="1"/>
  <c r="G37" i="52"/>
  <c r="G56" i="52" s="1"/>
  <c r="G94" i="52"/>
  <c r="G132" i="52"/>
  <c r="G19" i="52" s="1"/>
  <c r="P151" i="52"/>
  <c r="P170" i="52" s="1"/>
  <c r="AK163" i="52"/>
  <c r="AK144" i="52"/>
  <c r="AN258" i="52"/>
  <c r="AN296" i="52"/>
  <c r="AN220" i="52"/>
  <c r="AN334" i="52"/>
  <c r="F17" i="52"/>
  <c r="U239" i="52"/>
  <c r="U277" i="52"/>
  <c r="U353" i="52"/>
  <c r="U315" i="52"/>
  <c r="AC125" i="52"/>
  <c r="G150" i="52"/>
  <c r="G169" i="52" s="1"/>
  <c r="P19" i="52"/>
  <c r="AJ144" i="52"/>
  <c r="AJ163" i="52"/>
  <c r="AH56" i="52"/>
  <c r="AB125" i="52"/>
  <c r="AH19" i="52"/>
  <c r="G17" i="47"/>
  <c r="AH135" i="47"/>
  <c r="AA87" i="47"/>
  <c r="AA106" i="47" s="1"/>
  <c r="W86" i="27"/>
  <c r="W162" i="27" s="1"/>
  <c r="J31" i="48" s="1"/>
  <c r="N31" i="48" s="1"/>
  <c r="I239" i="39"/>
  <c r="K223" i="41"/>
  <c r="I371" i="47"/>
  <c r="I390" i="47" s="1"/>
  <c r="L241" i="37"/>
  <c r="J371" i="47"/>
  <c r="J390" i="47" s="1"/>
  <c r="J239" i="39"/>
  <c r="I223" i="41"/>
  <c r="AJ240" i="25"/>
  <c r="K239" i="39"/>
  <c r="J223" i="41"/>
  <c r="L125" i="39"/>
  <c r="H371" i="47"/>
  <c r="H390" i="47" s="1"/>
  <c r="I87" i="47"/>
  <c r="I106" i="47" s="1"/>
  <c r="F149" i="47"/>
  <c r="F168" i="47" s="1"/>
  <c r="J87" i="47"/>
  <c r="J106" i="47" s="1"/>
  <c r="G149" i="47"/>
  <c r="G168" i="47" s="1"/>
  <c r="E167" i="27"/>
  <c r="K30" i="47"/>
  <c r="K49" i="47" s="1"/>
  <c r="L200" i="47"/>
  <c r="J30" i="47"/>
  <c r="J49" i="47" s="1"/>
  <c r="K87" i="47"/>
  <c r="K106" i="47" s="1"/>
  <c r="Y18" i="47"/>
  <c r="F35" i="47"/>
  <c r="F54" i="47" s="1"/>
  <c r="F92" i="47"/>
  <c r="I30" i="47"/>
  <c r="I49" i="47" s="1"/>
  <c r="K371" i="47"/>
  <c r="K390" i="47" s="1"/>
  <c r="AJ371" i="47"/>
  <c r="AJ390" i="47" s="1"/>
  <c r="AA30" i="47"/>
  <c r="AA49" i="47" s="1"/>
  <c r="AB371" i="47"/>
  <c r="AB390" i="47" s="1"/>
  <c r="G92" i="47"/>
  <c r="G35" i="47"/>
  <c r="G54" i="47" s="1"/>
  <c r="S371" i="47"/>
  <c r="S390" i="47" s="1"/>
  <c r="X17" i="47"/>
  <c r="X92" i="47"/>
  <c r="X35" i="47"/>
  <c r="X54" i="47" s="1"/>
  <c r="AM371" i="47"/>
  <c r="AM390" i="47" s="1"/>
  <c r="AA371" i="47"/>
  <c r="AA390" i="47" s="1"/>
  <c r="Z371" i="47"/>
  <c r="Z390" i="47" s="1"/>
  <c r="AK371" i="47"/>
  <c r="AC162" i="47"/>
  <c r="AC371" i="47" s="1"/>
  <c r="Q371" i="47"/>
  <c r="Q390" i="47" s="1"/>
  <c r="T371" i="47"/>
  <c r="T390" i="47" s="1"/>
  <c r="P15" i="47"/>
  <c r="M90" i="27" s="1"/>
  <c r="M166" i="27" s="1"/>
  <c r="P147" i="47"/>
  <c r="P166" i="47" s="1"/>
  <c r="R371" i="47"/>
  <c r="AL371" i="47"/>
  <c r="AL390" i="47" s="1"/>
  <c r="H49" i="47"/>
  <c r="AH58" i="47"/>
  <c r="AH172" i="47" s="1"/>
  <c r="AL87" i="47"/>
  <c r="AL106" i="47" s="1"/>
  <c r="AL30" i="47"/>
  <c r="AL49" i="47" s="1"/>
  <c r="AM30" i="47"/>
  <c r="AM49" i="47" s="1"/>
  <c r="AJ30" i="47"/>
  <c r="AK87" i="47"/>
  <c r="AK106" i="47" s="1"/>
  <c r="AK30" i="47"/>
  <c r="AK49" i="47" s="1"/>
  <c r="AI60" i="47"/>
  <c r="AI174" i="47" s="1"/>
  <c r="AH40" i="47"/>
  <c r="AH154" i="47" s="1"/>
  <c r="Q30" i="47"/>
  <c r="R87" i="47"/>
  <c r="R106" i="47" s="1"/>
  <c r="R30" i="47"/>
  <c r="R49" i="47" s="1"/>
  <c r="R231" i="47"/>
  <c r="T287" i="47"/>
  <c r="T30" i="47"/>
  <c r="T49" i="47" s="1"/>
  <c r="S87" i="47"/>
  <c r="S106" i="47" s="1"/>
  <c r="S30" i="47"/>
  <c r="S49" i="47" s="1"/>
  <c r="AC30" i="47"/>
  <c r="AC49" i="47" s="1"/>
  <c r="T325" i="47"/>
  <c r="AB30" i="47"/>
  <c r="AB49" i="47" s="1"/>
  <c r="T249" i="47"/>
  <c r="Z30" i="47"/>
  <c r="H288" i="47"/>
  <c r="H250" i="47"/>
  <c r="AC87" i="47"/>
  <c r="AC106" i="47" s="1"/>
  <c r="Z87" i="47"/>
  <c r="Z106" i="47" s="1"/>
  <c r="Q87" i="47"/>
  <c r="Q106" i="47" s="1"/>
  <c r="U200" i="47"/>
  <c r="AB87" i="47"/>
  <c r="AB106" i="47" s="1"/>
  <c r="AD200" i="47"/>
  <c r="AJ87" i="47"/>
  <c r="AJ106" i="47" s="1"/>
  <c r="AH97" i="47"/>
  <c r="T87" i="47"/>
  <c r="T106" i="47" s="1"/>
  <c r="AM87" i="47"/>
  <c r="AM106" i="47" s="1"/>
  <c r="AN200" i="47"/>
  <c r="O98" i="25"/>
  <c r="K220" i="25"/>
  <c r="K239" i="25" s="1"/>
  <c r="K12" i="25"/>
  <c r="T238" i="25"/>
  <c r="R19" i="45"/>
  <c r="S238" i="25"/>
  <c r="U124" i="25"/>
  <c r="AD126" i="25"/>
  <c r="Z13" i="25"/>
  <c r="Z51" i="25" s="1"/>
  <c r="Z70" i="25" s="1"/>
  <c r="X48" i="45"/>
  <c r="U219" i="25"/>
  <c r="AM240" i="25"/>
  <c r="AL240" i="25"/>
  <c r="AN221" i="25"/>
  <c r="AL51" i="25"/>
  <c r="AL70" i="25" s="1"/>
  <c r="Z221" i="25"/>
  <c r="Z240" i="25" s="1"/>
  <c r="Y96" i="25"/>
  <c r="Y21" i="25" s="1"/>
  <c r="Y97" i="25" s="1"/>
  <c r="Y22" i="25" s="1"/>
  <c r="Y58" i="25"/>
  <c r="AA221" i="25"/>
  <c r="AA13" i="25"/>
  <c r="AB221" i="25"/>
  <c r="AB13" i="25"/>
  <c r="AC221" i="25"/>
  <c r="AC240" i="25" s="1"/>
  <c r="AC13" i="25"/>
  <c r="AC51" i="25" s="1"/>
  <c r="AC70" i="25" s="1"/>
  <c r="X58" i="25"/>
  <c r="X96" i="25"/>
  <c r="X21" i="25" s="1"/>
  <c r="Q238" i="25"/>
  <c r="R238" i="25"/>
  <c r="R49" i="25"/>
  <c r="R68" i="25" s="1"/>
  <c r="J12" i="25"/>
  <c r="J220" i="25"/>
  <c r="J125" i="25"/>
  <c r="S49" i="25"/>
  <c r="S68" i="25" s="1"/>
  <c r="Q49" i="25"/>
  <c r="Q68" i="25" s="1"/>
  <c r="I12" i="25"/>
  <c r="I220" i="25"/>
  <c r="I125" i="25"/>
  <c r="G60" i="25"/>
  <c r="G98" i="25"/>
  <c r="H220" i="25"/>
  <c r="H125" i="25"/>
  <c r="F96" i="25"/>
  <c r="F21" i="25" s="1"/>
  <c r="F58" i="25"/>
  <c r="I50" i="29"/>
  <c r="I69" i="29" s="1"/>
  <c r="L125" i="29"/>
  <c r="H50" i="29"/>
  <c r="H69" i="29" s="1"/>
  <c r="K50" i="29"/>
  <c r="K69" i="29" s="1"/>
  <c r="K88" i="29" s="1"/>
  <c r="K13" i="29" s="1"/>
  <c r="F91" i="29"/>
  <c r="F53" i="29"/>
  <c r="K126" i="29"/>
  <c r="K221" i="29"/>
  <c r="H231" i="37"/>
  <c r="I231" i="37"/>
  <c r="J231" i="37"/>
  <c r="K231" i="37"/>
  <c r="H230" i="37"/>
  <c r="I230" i="37"/>
  <c r="J230" i="37"/>
  <c r="K230" i="37"/>
  <c r="H53" i="41"/>
  <c r="H72" i="41" s="1"/>
  <c r="H223" i="41"/>
  <c r="L204" i="41"/>
  <c r="I53" i="41"/>
  <c r="I72" i="41" s="1"/>
  <c r="J53" i="41"/>
  <c r="J72" i="41" s="1"/>
  <c r="K53" i="41"/>
  <c r="K72" i="41" s="1"/>
  <c r="K91" i="41" s="1"/>
  <c r="K16" i="41"/>
  <c r="H50" i="39"/>
  <c r="H69" i="39" s="1"/>
  <c r="H239" i="39"/>
  <c r="L220" i="39"/>
  <c r="J50" i="39"/>
  <c r="J69" i="39" s="1"/>
  <c r="K50" i="39"/>
  <c r="K69" i="39" s="1"/>
  <c r="I50" i="39"/>
  <c r="I69" i="39" s="1"/>
  <c r="I88" i="39" s="1"/>
  <c r="I13" i="39" s="1"/>
  <c r="H90" i="37"/>
  <c r="K90" i="37"/>
  <c r="J90" i="37"/>
  <c r="I90" i="37"/>
  <c r="J15" i="37"/>
  <c r="J128" i="37"/>
  <c r="J242" i="37" s="1"/>
  <c r="I87" i="13"/>
  <c r="K30" i="13" s="1"/>
  <c r="H76" i="13"/>
  <c r="H88" i="13"/>
  <c r="G76" i="13"/>
  <c r="G88" i="13"/>
  <c r="D77" i="13"/>
  <c r="D89" i="13"/>
  <c r="F76" i="13"/>
  <c r="F88" i="13"/>
  <c r="E77" i="13"/>
  <c r="E89" i="13"/>
  <c r="I31" i="13"/>
  <c r="D20" i="13"/>
  <c r="D32" i="13"/>
  <c r="C20" i="13"/>
  <c r="C32" i="13"/>
  <c r="F35" i="13"/>
  <c r="F23" i="13"/>
  <c r="H35" i="13"/>
  <c r="H23" i="13"/>
  <c r="E35" i="13"/>
  <c r="E23" i="13"/>
  <c r="G35" i="13"/>
  <c r="G23" i="13"/>
  <c r="I9" i="48" l="1"/>
  <c r="I32" i="46"/>
  <c r="U32" i="46" s="1"/>
  <c r="I30" i="56"/>
  <c r="E83" i="56" s="1"/>
  <c r="K83" i="56" s="1"/>
  <c r="E31" i="46"/>
  <c r="F30" i="46"/>
  <c r="AN256" i="55"/>
  <c r="F9" i="46" s="1"/>
  <c r="Y18" i="55"/>
  <c r="Y56" i="55" s="1"/>
  <c r="L30" i="56"/>
  <c r="M30" i="56" s="1"/>
  <c r="I9" i="56"/>
  <c r="AD257" i="55"/>
  <c r="E10" i="46" s="1"/>
  <c r="I30" i="48"/>
  <c r="L30" i="48" s="1"/>
  <c r="M30" i="48" s="1"/>
  <c r="AN181" i="55"/>
  <c r="X91" i="55"/>
  <c r="X110" i="55" s="1"/>
  <c r="X53" i="55"/>
  <c r="T33" i="27"/>
  <c r="T90" i="27" s="1"/>
  <c r="T166" i="27" s="1"/>
  <c r="X16" i="55"/>
  <c r="N10" i="56"/>
  <c r="F58" i="56" s="1"/>
  <c r="J31" i="56"/>
  <c r="G112" i="55"/>
  <c r="AJ86" i="55"/>
  <c r="AJ11" i="55" s="1"/>
  <c r="AL86" i="55"/>
  <c r="AL105" i="55" s="1"/>
  <c r="AM86" i="55"/>
  <c r="AM105" i="55" s="1"/>
  <c r="AK86" i="55"/>
  <c r="AA144" i="55"/>
  <c r="AA239" i="55"/>
  <c r="AB144" i="55"/>
  <c r="AB239" i="55"/>
  <c r="AB12" i="55"/>
  <c r="X30" i="27" s="1"/>
  <c r="AC34" i="27"/>
  <c r="AC91" i="27" s="1"/>
  <c r="AC167" i="27" s="1"/>
  <c r="AI92" i="55"/>
  <c r="AI54" i="55"/>
  <c r="M34" i="27"/>
  <c r="P92" i="55"/>
  <c r="P54" i="55"/>
  <c r="Z144" i="55"/>
  <c r="Z239" i="55"/>
  <c r="AC144" i="55"/>
  <c r="AC239" i="55"/>
  <c r="AB35" i="27"/>
  <c r="AB92" i="27" s="1"/>
  <c r="AB168" i="27" s="1"/>
  <c r="AH93" i="55"/>
  <c r="AH55" i="55"/>
  <c r="L39" i="27"/>
  <c r="O115" i="55"/>
  <c r="O97" i="55"/>
  <c r="O116" i="55" s="1"/>
  <c r="O59" i="55"/>
  <c r="AC12" i="55"/>
  <c r="Y30" i="27" s="1"/>
  <c r="AA12" i="55"/>
  <c r="W30" i="27" s="1"/>
  <c r="Z12" i="55"/>
  <c r="V30" i="27" s="1"/>
  <c r="S144" i="53"/>
  <c r="S163" i="53" s="1"/>
  <c r="S201" i="53"/>
  <c r="AJ372" i="53"/>
  <c r="AH58" i="53"/>
  <c r="AH172" i="53" s="1"/>
  <c r="L390" i="53"/>
  <c r="O136" i="53"/>
  <c r="O98" i="53"/>
  <c r="O41" i="53"/>
  <c r="O60" i="53" s="1"/>
  <c r="AK372" i="53"/>
  <c r="AJ201" i="53"/>
  <c r="AJ391" i="53" s="1"/>
  <c r="AJ12" i="53"/>
  <c r="AL372" i="53"/>
  <c r="I88" i="53"/>
  <c r="I107" i="53" s="1"/>
  <c r="I31" i="53"/>
  <c r="I50" i="53" s="1"/>
  <c r="AA201" i="53"/>
  <c r="AA144" i="53"/>
  <c r="AA12" i="53"/>
  <c r="AC201" i="53"/>
  <c r="AC144" i="53"/>
  <c r="AC12" i="53"/>
  <c r="AH135" i="53"/>
  <c r="AH97" i="53"/>
  <c r="AH40" i="53"/>
  <c r="AH154" i="53" s="1"/>
  <c r="P152" i="53"/>
  <c r="P171" i="53"/>
  <c r="Q201" i="53"/>
  <c r="Q144" i="53"/>
  <c r="Q163" i="53" s="1"/>
  <c r="Q12" i="53"/>
  <c r="R201" i="53"/>
  <c r="R144" i="53"/>
  <c r="R12" i="53"/>
  <c r="X133" i="53"/>
  <c r="X95" i="53"/>
  <c r="X38" i="53"/>
  <c r="X57" i="53" s="1"/>
  <c r="Z163" i="53"/>
  <c r="J201" i="53"/>
  <c r="J144" i="53"/>
  <c r="J163" i="53" s="1"/>
  <c r="J12" i="53"/>
  <c r="AD353" i="53"/>
  <c r="AD315" i="53"/>
  <c r="AD277" i="53"/>
  <c r="AD239" i="53"/>
  <c r="AB201" i="53"/>
  <c r="AB144" i="53"/>
  <c r="AB163" i="53" s="1"/>
  <c r="AB12" i="53"/>
  <c r="F136" i="53"/>
  <c r="F98" i="53"/>
  <c r="F41" i="53"/>
  <c r="F60" i="53" s="1"/>
  <c r="G136" i="53"/>
  <c r="G98" i="53"/>
  <c r="G41" i="53"/>
  <c r="G60" i="53" s="1"/>
  <c r="K201" i="53"/>
  <c r="K144" i="53"/>
  <c r="K163" i="53" s="1"/>
  <c r="K12" i="53"/>
  <c r="T201" i="53"/>
  <c r="T144" i="53"/>
  <c r="T163" i="53" s="1"/>
  <c r="T12" i="53"/>
  <c r="AM201" i="53"/>
  <c r="AM12" i="53"/>
  <c r="I372" i="53"/>
  <c r="I391" i="53" s="1"/>
  <c r="AM372" i="53"/>
  <c r="X151" i="53"/>
  <c r="X170" i="53" s="1"/>
  <c r="G154" i="53"/>
  <c r="G173" i="53" s="1"/>
  <c r="O154" i="53"/>
  <c r="O173" i="53" s="1"/>
  <c r="H201" i="53"/>
  <c r="H163" i="53"/>
  <c r="H144" i="53"/>
  <c r="H12" i="53"/>
  <c r="AK201" i="53"/>
  <c r="AK12" i="53"/>
  <c r="AL201" i="53"/>
  <c r="AL12" i="53"/>
  <c r="F154" i="53"/>
  <c r="F173" i="53" s="1"/>
  <c r="P20" i="53"/>
  <c r="AN239" i="52"/>
  <c r="O38" i="47"/>
  <c r="O57" i="47" s="1"/>
  <c r="O133" i="47"/>
  <c r="L94" i="27"/>
  <c r="L170" i="27" s="1"/>
  <c r="O95" i="47"/>
  <c r="AN315" i="52"/>
  <c r="AN353" i="52"/>
  <c r="AN277" i="52"/>
  <c r="Q144" i="52"/>
  <c r="Q163" i="52" s="1"/>
  <c r="F131" i="52"/>
  <c r="Q12" i="52"/>
  <c r="Q88" i="52" s="1"/>
  <c r="Q107" i="52" s="1"/>
  <c r="T144" i="52"/>
  <c r="T163" i="52" s="1"/>
  <c r="R88" i="52"/>
  <c r="R107" i="52" s="1"/>
  <c r="R201" i="52"/>
  <c r="U201" i="52" s="1"/>
  <c r="R144" i="52"/>
  <c r="R163" i="52" s="1"/>
  <c r="T12" i="52"/>
  <c r="T88" i="52" s="1"/>
  <c r="T107" i="52" s="1"/>
  <c r="S88" i="52"/>
  <c r="S107" i="52" s="1"/>
  <c r="X18" i="52"/>
  <c r="X132" i="52" s="1"/>
  <c r="AA201" i="52"/>
  <c r="AA88" i="52"/>
  <c r="AA107" i="52" s="1"/>
  <c r="AA144" i="52"/>
  <c r="AA163" i="52" s="1"/>
  <c r="S372" i="52"/>
  <c r="S391" i="52" s="1"/>
  <c r="G38" i="52"/>
  <c r="G57" i="52" s="1"/>
  <c r="G95" i="52"/>
  <c r="G133" i="52"/>
  <c r="O152" i="52"/>
  <c r="O171" i="52" s="1"/>
  <c r="AI40" i="52"/>
  <c r="AI97" i="52"/>
  <c r="AI135" i="52"/>
  <c r="AI22" i="52" s="1"/>
  <c r="F36" i="52"/>
  <c r="F55" i="52" s="1"/>
  <c r="F93" i="52"/>
  <c r="Y151" i="52"/>
  <c r="Y170" i="52" s="1"/>
  <c r="O39" i="52"/>
  <c r="O58" i="52" s="1"/>
  <c r="O134" i="52"/>
  <c r="O21" i="52" s="1"/>
  <c r="O96" i="52"/>
  <c r="K144" i="52"/>
  <c r="K12" i="52"/>
  <c r="AL201" i="52"/>
  <c r="AL12" i="52"/>
  <c r="AM12" i="52"/>
  <c r="AM126" i="52" s="1"/>
  <c r="AH38" i="52"/>
  <c r="AH95" i="52"/>
  <c r="AH133" i="52"/>
  <c r="AJ201" i="52"/>
  <c r="AJ12" i="52"/>
  <c r="G151" i="52"/>
  <c r="G170" i="52" s="1"/>
  <c r="Y19" i="52"/>
  <c r="Z144" i="52"/>
  <c r="Z163" i="52" s="1"/>
  <c r="Z201" i="52"/>
  <c r="Z12" i="52"/>
  <c r="AB144" i="52"/>
  <c r="AB163" i="52" s="1"/>
  <c r="AB201" i="52"/>
  <c r="AB12" i="52"/>
  <c r="AC144" i="52"/>
  <c r="AC163" i="52" s="1"/>
  <c r="AC201" i="52"/>
  <c r="AC12" i="52"/>
  <c r="P38" i="52"/>
  <c r="P57" i="52" s="1"/>
  <c r="P95" i="52"/>
  <c r="P133" i="52"/>
  <c r="AK201" i="52"/>
  <c r="AK12" i="52"/>
  <c r="AI58" i="52"/>
  <c r="Y94" i="47"/>
  <c r="L239" i="39"/>
  <c r="L223" i="41"/>
  <c r="J125" i="47"/>
  <c r="J144" i="47" s="1"/>
  <c r="J163" i="47" s="1"/>
  <c r="L220" i="47"/>
  <c r="L258" i="47"/>
  <c r="L334" i="47"/>
  <c r="I125" i="47"/>
  <c r="I201" i="47" s="1"/>
  <c r="H125" i="47"/>
  <c r="H201" i="47" s="1"/>
  <c r="Y132" i="47"/>
  <c r="Y19" i="47" s="1"/>
  <c r="K125" i="47"/>
  <c r="K201" i="47" s="1"/>
  <c r="F17" i="47"/>
  <c r="F131" i="47" s="1"/>
  <c r="Y37" i="47"/>
  <c r="Y56" i="47" s="1"/>
  <c r="L296" i="47"/>
  <c r="L371" i="47"/>
  <c r="L390" i="47"/>
  <c r="U371" i="47"/>
  <c r="AN371" i="47"/>
  <c r="R390" i="47"/>
  <c r="U390" i="47" s="1"/>
  <c r="X131" i="47"/>
  <c r="X150" i="47" s="1"/>
  <c r="X169" i="47" s="1"/>
  <c r="X36" i="47"/>
  <c r="X55" i="47" s="1"/>
  <c r="X93" i="47"/>
  <c r="X149" i="47"/>
  <c r="X168" i="47" s="1"/>
  <c r="AD371" i="47"/>
  <c r="AC390" i="47"/>
  <c r="AD390" i="47" s="1"/>
  <c r="AJ49" i="47"/>
  <c r="AN296" i="47"/>
  <c r="AN334" i="47"/>
  <c r="AN258" i="47"/>
  <c r="AN220" i="47"/>
  <c r="AK390" i="47"/>
  <c r="P34" i="47"/>
  <c r="P53" i="47" s="1"/>
  <c r="P129" i="47"/>
  <c r="P91" i="47"/>
  <c r="Q49" i="47"/>
  <c r="U334" i="47"/>
  <c r="U258" i="47"/>
  <c r="U296" i="47"/>
  <c r="U220" i="47"/>
  <c r="L353" i="47"/>
  <c r="L277" i="47"/>
  <c r="L315" i="47"/>
  <c r="L239" i="47"/>
  <c r="Z49" i="47"/>
  <c r="AD334" i="47"/>
  <c r="AD258" i="47"/>
  <c r="AD296" i="47"/>
  <c r="AD220" i="47"/>
  <c r="AJ163" i="47"/>
  <c r="AJ144" i="47"/>
  <c r="AK125" i="47"/>
  <c r="AK12" i="47" s="1"/>
  <c r="AM144" i="47"/>
  <c r="AM163" i="47"/>
  <c r="AK163" i="47"/>
  <c r="AK144" i="47"/>
  <c r="AL144" i="47"/>
  <c r="AL163" i="47"/>
  <c r="AH59" i="47"/>
  <c r="AH173" i="47" s="1"/>
  <c r="T250" i="47"/>
  <c r="T326" i="47"/>
  <c r="R125" i="47"/>
  <c r="T288" i="47"/>
  <c r="AJ125" i="47"/>
  <c r="AJ12" i="47" s="1"/>
  <c r="AB125" i="47"/>
  <c r="Q125" i="47"/>
  <c r="AM125" i="47"/>
  <c r="AM12" i="47" s="1"/>
  <c r="AC125" i="47"/>
  <c r="AA125" i="47"/>
  <c r="AL125" i="47"/>
  <c r="Z125" i="47"/>
  <c r="T125" i="47"/>
  <c r="AH22" i="47"/>
  <c r="S125" i="47"/>
  <c r="K50" i="25"/>
  <c r="K69" i="25" s="1"/>
  <c r="R20" i="45"/>
  <c r="L125" i="25"/>
  <c r="AN240" i="25"/>
  <c r="U238" i="25"/>
  <c r="AK89" i="25"/>
  <c r="AK127" i="25" s="1"/>
  <c r="AL89" i="25"/>
  <c r="AL127" i="25" s="1"/>
  <c r="AJ89" i="25"/>
  <c r="AJ127" i="25" s="1"/>
  <c r="AM89" i="25"/>
  <c r="AM127" i="25" s="1"/>
  <c r="Y59" i="25"/>
  <c r="AA240" i="25"/>
  <c r="AB51" i="25"/>
  <c r="AB70" i="25" s="1"/>
  <c r="AB240" i="25"/>
  <c r="AD221" i="25"/>
  <c r="AA51" i="25"/>
  <c r="AA70" i="25" s="1"/>
  <c r="X59" i="25"/>
  <c r="X97" i="25"/>
  <c r="X22" i="25" s="1"/>
  <c r="Y60" i="25"/>
  <c r="Y98" i="25"/>
  <c r="J50" i="25"/>
  <c r="J69" i="25" s="1"/>
  <c r="S87" i="25"/>
  <c r="L220" i="25"/>
  <c r="H239" i="25"/>
  <c r="I239" i="25"/>
  <c r="Q87" i="25"/>
  <c r="T87" i="25"/>
  <c r="R87" i="25"/>
  <c r="H50" i="25"/>
  <c r="H69" i="25" s="1"/>
  <c r="I50" i="25"/>
  <c r="I69" i="25" s="1"/>
  <c r="J239" i="25"/>
  <c r="F97" i="25"/>
  <c r="F22" i="25" s="1"/>
  <c r="F59" i="25"/>
  <c r="F16" i="29"/>
  <c r="H88" i="29"/>
  <c r="J88" i="29"/>
  <c r="I88" i="29"/>
  <c r="K51" i="29"/>
  <c r="K70" i="29" s="1"/>
  <c r="J91" i="41"/>
  <c r="J16" i="41" s="1"/>
  <c r="I91" i="41"/>
  <c r="I16" i="41" s="1"/>
  <c r="H91" i="41"/>
  <c r="H16" i="41" s="1"/>
  <c r="F54" i="41"/>
  <c r="F92" i="41"/>
  <c r="F17" i="41" s="1"/>
  <c r="K129" i="41"/>
  <c r="K205" i="41"/>
  <c r="J129" i="41"/>
  <c r="J205" i="41"/>
  <c r="I129" i="41"/>
  <c r="I205" i="41"/>
  <c r="H129" i="41"/>
  <c r="H205" i="41"/>
  <c r="I51" i="39"/>
  <c r="I70" i="39" s="1"/>
  <c r="I126" i="39"/>
  <c r="I221" i="39"/>
  <c r="K88" i="39"/>
  <c r="K13" i="39" s="1"/>
  <c r="J88" i="39"/>
  <c r="J13" i="39" s="1"/>
  <c r="H88" i="39"/>
  <c r="H13" i="39" s="1"/>
  <c r="F56" i="39"/>
  <c r="F94" i="39"/>
  <c r="F19" i="39" s="1"/>
  <c r="K15" i="37"/>
  <c r="K128" i="37"/>
  <c r="K242" i="37" s="1"/>
  <c r="I15" i="37"/>
  <c r="I128" i="37"/>
  <c r="I242" i="37" s="1"/>
  <c r="H15" i="37"/>
  <c r="L223" i="37"/>
  <c r="H128" i="37"/>
  <c r="H242" i="37" s="1"/>
  <c r="J53" i="37"/>
  <c r="J72" i="37" s="1"/>
  <c r="G54" i="37"/>
  <c r="G92" i="37"/>
  <c r="G17" i="37" s="1"/>
  <c r="F54" i="37"/>
  <c r="F92" i="37"/>
  <c r="F17" i="37" s="1"/>
  <c r="I88" i="13"/>
  <c r="K31" i="13" s="1"/>
  <c r="F77" i="13"/>
  <c r="F89" i="13"/>
  <c r="G77" i="13"/>
  <c r="G89" i="13"/>
  <c r="H77" i="13"/>
  <c r="H89" i="13"/>
  <c r="E78" i="13"/>
  <c r="E90" i="13"/>
  <c r="D78" i="13"/>
  <c r="D90" i="13"/>
  <c r="I32" i="13"/>
  <c r="C33" i="13"/>
  <c r="C21" i="13"/>
  <c r="D21" i="13"/>
  <c r="D33" i="13"/>
  <c r="G36" i="13"/>
  <c r="G24" i="13"/>
  <c r="G37" i="13" s="1"/>
  <c r="H36" i="13"/>
  <c r="H24" i="13"/>
  <c r="H37" i="13" s="1"/>
  <c r="F36" i="13"/>
  <c r="F24" i="13"/>
  <c r="F37" i="13" s="1"/>
  <c r="E36" i="13"/>
  <c r="E24" i="13"/>
  <c r="E37" i="13" s="1"/>
  <c r="Y94" i="55" l="1"/>
  <c r="U36" i="27"/>
  <c r="U93" i="27" s="1"/>
  <c r="U169" i="27" s="1"/>
  <c r="Y31" i="46"/>
  <c r="Q31" i="46"/>
  <c r="AJ105" i="55"/>
  <c r="L9" i="56"/>
  <c r="M9" i="56" s="1"/>
  <c r="F82" i="56"/>
  <c r="L82" i="56" s="1"/>
  <c r="Z30" i="46"/>
  <c r="R30" i="46"/>
  <c r="AL238" i="55"/>
  <c r="AL143" i="55"/>
  <c r="Y19" i="55"/>
  <c r="Y113" i="55"/>
  <c r="T34" i="27"/>
  <c r="T91" i="27" s="1"/>
  <c r="T167" i="27" s="1"/>
  <c r="X92" i="55"/>
  <c r="X111" i="55" s="1"/>
  <c r="X54" i="55"/>
  <c r="AJ238" i="55"/>
  <c r="AJ143" i="55"/>
  <c r="AM238" i="55"/>
  <c r="AM143" i="55"/>
  <c r="AB258" i="55"/>
  <c r="N31" i="56"/>
  <c r="E59" i="56" s="1"/>
  <c r="AM11" i="55"/>
  <c r="AG29" i="27" s="1"/>
  <c r="AG86" i="27" s="1"/>
  <c r="AG162" i="27" s="1"/>
  <c r="AB50" i="55"/>
  <c r="AB69" i="55" s="1"/>
  <c r="AL11" i="55"/>
  <c r="AF29" i="27" s="1"/>
  <c r="AF86" i="27" s="1"/>
  <c r="AF162" i="27" s="1"/>
  <c r="P111" i="55"/>
  <c r="P17" i="55"/>
  <c r="P93" i="55" s="1"/>
  <c r="P112" i="55" s="1"/>
  <c r="O22" i="55"/>
  <c r="O98" i="55" s="1"/>
  <c r="O117" i="55" s="1"/>
  <c r="G56" i="55"/>
  <c r="E36" i="27"/>
  <c r="E93" i="27" s="1"/>
  <c r="G94" i="55"/>
  <c r="AI17" i="55"/>
  <c r="AI111" i="55"/>
  <c r="AK105" i="55"/>
  <c r="AK11" i="55"/>
  <c r="AH18" i="55"/>
  <c r="AH112" i="55"/>
  <c r="AD29" i="27"/>
  <c r="AD86" i="27" s="1"/>
  <c r="AD162" i="27" s="1"/>
  <c r="AJ49" i="55"/>
  <c r="AA258" i="55"/>
  <c r="AC50" i="55"/>
  <c r="AC69" i="55" s="1"/>
  <c r="AC258" i="55"/>
  <c r="Z50" i="55"/>
  <c r="Z69" i="55" s="1"/>
  <c r="AA50" i="55"/>
  <c r="AA69" i="55" s="1"/>
  <c r="AD144" i="55"/>
  <c r="AK391" i="53"/>
  <c r="S372" i="53"/>
  <c r="S391" i="53" s="1"/>
  <c r="AL391" i="53"/>
  <c r="AD201" i="53"/>
  <c r="Z372" i="53"/>
  <c r="U201" i="53"/>
  <c r="L201" i="53"/>
  <c r="Z391" i="53"/>
  <c r="H372" i="53"/>
  <c r="G155" i="53"/>
  <c r="G174" i="53" s="1"/>
  <c r="Q372" i="53"/>
  <c r="T88" i="53"/>
  <c r="T107" i="53" s="1"/>
  <c r="T31" i="53"/>
  <c r="T50" i="53" s="1"/>
  <c r="X152" i="53"/>
  <c r="X171" i="53" s="1"/>
  <c r="R88" i="53"/>
  <c r="R107" i="53" s="1"/>
  <c r="R31" i="53"/>
  <c r="R50" i="53" s="1"/>
  <c r="F155" i="53"/>
  <c r="F174" i="53" s="1"/>
  <c r="AC88" i="53"/>
  <c r="AC107" i="53" s="1"/>
  <c r="AC31" i="53"/>
  <c r="AC50" i="53" s="1"/>
  <c r="AM391" i="53"/>
  <c r="K88" i="53"/>
  <c r="K107" i="53" s="1"/>
  <c r="K31" i="53"/>
  <c r="K50" i="53" s="1"/>
  <c r="AB88" i="53"/>
  <c r="AB107" i="53" s="1"/>
  <c r="AB31" i="53"/>
  <c r="AB50" i="53" s="1"/>
  <c r="J88" i="53"/>
  <c r="J107" i="53" s="1"/>
  <c r="J31" i="53"/>
  <c r="J50" i="53" s="1"/>
  <c r="R163" i="53"/>
  <c r="R372" i="53" s="1"/>
  <c r="R391" i="53" s="1"/>
  <c r="AJ88" i="53"/>
  <c r="AJ107" i="53" s="1"/>
  <c r="AJ31" i="53"/>
  <c r="AJ50" i="53" s="1"/>
  <c r="K372" i="53"/>
  <c r="K391" i="53" s="1"/>
  <c r="AB372" i="53"/>
  <c r="AB391" i="53" s="1"/>
  <c r="J372" i="53"/>
  <c r="J391" i="53" s="1"/>
  <c r="AC163" i="53"/>
  <c r="AC372" i="53" s="1"/>
  <c r="AC391" i="53" s="1"/>
  <c r="AN201" i="53"/>
  <c r="AL88" i="53"/>
  <c r="AL107" i="53" s="1"/>
  <c r="AL31" i="53"/>
  <c r="AL50" i="53" s="1"/>
  <c r="AN372" i="53"/>
  <c r="AA88" i="53"/>
  <c r="AA107" i="53" s="1"/>
  <c r="AA31" i="53"/>
  <c r="T372" i="53"/>
  <c r="T391" i="53" s="1"/>
  <c r="AK88" i="53"/>
  <c r="AK107" i="53" s="1"/>
  <c r="AK31" i="53"/>
  <c r="AK50" i="53"/>
  <c r="X20" i="53"/>
  <c r="AH59" i="53"/>
  <c r="AH173" i="53" s="1"/>
  <c r="AA163" i="53"/>
  <c r="AA372" i="53" s="1"/>
  <c r="P134" i="53"/>
  <c r="P21" i="53" s="1"/>
  <c r="P96" i="53"/>
  <c r="P39" i="53"/>
  <c r="P58" i="53" s="1"/>
  <c r="H88" i="53"/>
  <c r="H107" i="53" s="1"/>
  <c r="H31" i="53"/>
  <c r="AM88" i="53"/>
  <c r="AM107" i="53" s="1"/>
  <c r="AM31" i="53"/>
  <c r="AM50" i="53" s="1"/>
  <c r="Q88" i="53"/>
  <c r="Q107" i="53" s="1"/>
  <c r="Q31" i="53"/>
  <c r="Q50" i="53" s="1"/>
  <c r="AH22" i="53"/>
  <c r="O155" i="53"/>
  <c r="O174" i="53" s="1"/>
  <c r="AK372" i="52"/>
  <c r="O152" i="47"/>
  <c r="O171" i="47" s="1"/>
  <c r="O20" i="47"/>
  <c r="AJ372" i="52"/>
  <c r="AJ391" i="52" s="1"/>
  <c r="AL372" i="52"/>
  <c r="AN372" i="52" s="1"/>
  <c r="Q372" i="52"/>
  <c r="Q391" i="52" s="1"/>
  <c r="Q31" i="52"/>
  <c r="Q50" i="52" s="1"/>
  <c r="T372" i="52"/>
  <c r="T391" i="52" s="1"/>
  <c r="R372" i="52"/>
  <c r="R391" i="52" s="1"/>
  <c r="T31" i="52"/>
  <c r="T50" i="52" s="1"/>
  <c r="X94" i="52"/>
  <c r="Q126" i="52"/>
  <c r="Q202" i="52" s="1"/>
  <c r="AH57" i="52"/>
  <c r="X37" i="52"/>
  <c r="X56" i="52" s="1"/>
  <c r="AA372" i="52"/>
  <c r="AA391" i="52" s="1"/>
  <c r="K126" i="52"/>
  <c r="X151" i="52"/>
  <c r="X170" i="52" s="1"/>
  <c r="X19" i="52"/>
  <c r="AI59" i="52"/>
  <c r="AN201" i="52"/>
  <c r="Z372" i="52"/>
  <c r="AJ31" i="52"/>
  <c r="AJ50" i="52" s="1"/>
  <c r="AJ88" i="52"/>
  <c r="AJ107" i="52" s="1"/>
  <c r="AM31" i="52"/>
  <c r="AM88" i="52"/>
  <c r="AL31" i="52"/>
  <c r="AL50" i="52" s="1"/>
  <c r="AL88" i="52"/>
  <c r="AL107" i="52" s="1"/>
  <c r="O40" i="52"/>
  <c r="O59" i="52" s="1"/>
  <c r="O97" i="52"/>
  <c r="O135" i="52"/>
  <c r="AI41" i="52"/>
  <c r="AI98" i="52"/>
  <c r="AI136" i="52"/>
  <c r="AC372" i="52"/>
  <c r="AC391" i="52" s="1"/>
  <c r="K31" i="52"/>
  <c r="K50" i="52" s="1"/>
  <c r="K88" i="52"/>
  <c r="AK31" i="52"/>
  <c r="AK50" i="52" s="1"/>
  <c r="AK88" i="52"/>
  <c r="AK107" i="52" s="1"/>
  <c r="F150" i="52"/>
  <c r="F169" i="52" s="1"/>
  <c r="P152" i="52"/>
  <c r="P171" i="52" s="1"/>
  <c r="K163" i="52"/>
  <c r="G152" i="52"/>
  <c r="G171" i="52" s="1"/>
  <c r="AB31" i="52"/>
  <c r="AB50" i="52" s="1"/>
  <c r="AB88" i="52"/>
  <c r="AB107" i="52" s="1"/>
  <c r="AH20" i="52"/>
  <c r="T126" i="52"/>
  <c r="Y38" i="52"/>
  <c r="Y57" i="52" s="1"/>
  <c r="Y95" i="52"/>
  <c r="Y133" i="52"/>
  <c r="Y20" i="52" s="1"/>
  <c r="F18" i="52"/>
  <c r="S126" i="52"/>
  <c r="P20" i="52"/>
  <c r="AB372" i="52"/>
  <c r="AB391" i="52" s="1"/>
  <c r="O153" i="52"/>
  <c r="O172" i="52" s="1"/>
  <c r="G20" i="52"/>
  <c r="R126" i="52"/>
  <c r="Z31" i="52"/>
  <c r="Z50" i="52" s="1"/>
  <c r="Z88" i="52"/>
  <c r="Z107" i="52" s="1"/>
  <c r="AK391" i="52"/>
  <c r="AC31" i="52"/>
  <c r="AC50" i="52" s="1"/>
  <c r="AC88" i="52"/>
  <c r="AC107" i="52" s="1"/>
  <c r="AD201" i="52"/>
  <c r="AM391" i="52"/>
  <c r="J12" i="47"/>
  <c r="J31" i="47" s="1"/>
  <c r="J50" i="47" s="1"/>
  <c r="J201" i="47"/>
  <c r="L201" i="47" s="1"/>
  <c r="AH136" i="47"/>
  <c r="AN390" i="47"/>
  <c r="J224" i="41"/>
  <c r="I240" i="39"/>
  <c r="K224" i="41"/>
  <c r="I224" i="41"/>
  <c r="L242" i="37"/>
  <c r="E168" i="27"/>
  <c r="G131" i="47"/>
  <c r="G150" i="47" s="1"/>
  <c r="G169" i="47" s="1"/>
  <c r="G36" i="47"/>
  <c r="G55" i="47" s="1"/>
  <c r="G93" i="47"/>
  <c r="F93" i="47"/>
  <c r="F150" i="47"/>
  <c r="F169" i="47" s="1"/>
  <c r="K144" i="47"/>
  <c r="K163" i="47" s="1"/>
  <c r="K12" i="47"/>
  <c r="I12" i="47"/>
  <c r="H144" i="47"/>
  <c r="H163" i="47" s="1"/>
  <c r="I144" i="47"/>
  <c r="I163" i="47" s="1"/>
  <c r="F36" i="47"/>
  <c r="F55" i="47" s="1"/>
  <c r="Y151" i="47"/>
  <c r="Y170" i="47" s="1"/>
  <c r="H12" i="47"/>
  <c r="Y133" i="47"/>
  <c r="Y152" i="47" s="1"/>
  <c r="Y171" i="47" s="1"/>
  <c r="Y38" i="47"/>
  <c r="Y57" i="47" s="1"/>
  <c r="Y95" i="47"/>
  <c r="X18" i="47"/>
  <c r="J372" i="47"/>
  <c r="Z144" i="47"/>
  <c r="Z163" i="47" s="1"/>
  <c r="U353" i="47"/>
  <c r="U277" i="47"/>
  <c r="U315" i="47"/>
  <c r="U239" i="47"/>
  <c r="P16" i="47"/>
  <c r="P148" i="47"/>
  <c r="P167" i="47" s="1"/>
  <c r="AA144" i="47"/>
  <c r="AA163" i="47" s="1"/>
  <c r="S144" i="47"/>
  <c r="T144" i="47"/>
  <c r="AK201" i="47"/>
  <c r="Q12" i="47"/>
  <c r="Q144" i="47"/>
  <c r="Q163" i="47" s="1"/>
  <c r="AD353" i="47"/>
  <c r="AD277" i="47"/>
  <c r="AD239" i="47"/>
  <c r="AD315" i="47"/>
  <c r="R12" i="47"/>
  <c r="R144" i="47"/>
  <c r="AC144" i="47"/>
  <c r="AC163" i="47" s="1"/>
  <c r="AB144" i="47"/>
  <c r="AB163" i="47" s="1"/>
  <c r="AN277" i="47"/>
  <c r="AN353" i="47"/>
  <c r="AN239" i="47"/>
  <c r="AN315" i="47"/>
  <c r="R201" i="47"/>
  <c r="AK31" i="47"/>
  <c r="AK50" i="47" s="1"/>
  <c r="AJ201" i="47"/>
  <c r="AJ31" i="47"/>
  <c r="AM88" i="47"/>
  <c r="AM107" i="47" s="1"/>
  <c r="AM31" i="47"/>
  <c r="AM50" i="47" s="1"/>
  <c r="AH41" i="47"/>
  <c r="AH155" i="47" s="1"/>
  <c r="AB201" i="47"/>
  <c r="AB12" i="47"/>
  <c r="AM201" i="47"/>
  <c r="Q201" i="47"/>
  <c r="AH98" i="47"/>
  <c r="T201" i="47"/>
  <c r="T12" i="47"/>
  <c r="AL201" i="47"/>
  <c r="AL12" i="47"/>
  <c r="J88" i="47"/>
  <c r="J107" i="47" s="1"/>
  <c r="Z201" i="47"/>
  <c r="Z12" i="47"/>
  <c r="V87" i="27" s="1"/>
  <c r="V163" i="27" s="1"/>
  <c r="AA201" i="47"/>
  <c r="AA12" i="47"/>
  <c r="W87" i="27" s="1"/>
  <c r="W163" i="27" s="1"/>
  <c r="AC201" i="47"/>
  <c r="AC12" i="47"/>
  <c r="Y87" i="27" s="1"/>
  <c r="Y163" i="27" s="1"/>
  <c r="S201" i="47"/>
  <c r="S12" i="47"/>
  <c r="AJ88" i="47"/>
  <c r="AJ107" i="47" s="1"/>
  <c r="AK88" i="47"/>
  <c r="AK107" i="47" s="1"/>
  <c r="R21" i="45"/>
  <c r="T11" i="45"/>
  <c r="T49" i="45" s="1"/>
  <c r="V11" i="45"/>
  <c r="V49" i="45" s="1"/>
  <c r="U11" i="45"/>
  <c r="U49" i="45" s="1"/>
  <c r="W11" i="45"/>
  <c r="W49" i="45" s="1"/>
  <c r="AK14" i="25"/>
  <c r="AK222" i="25"/>
  <c r="AM222" i="25"/>
  <c r="AM14" i="25"/>
  <c r="AJ14" i="25"/>
  <c r="AN127" i="25"/>
  <c r="AJ222" i="25"/>
  <c r="AL222" i="25"/>
  <c r="AL14" i="25"/>
  <c r="AD240" i="25"/>
  <c r="AA89" i="25"/>
  <c r="AA127" i="25" s="1"/>
  <c r="AC89" i="25"/>
  <c r="AC127" i="25" s="1"/>
  <c r="Z89" i="25"/>
  <c r="Z127" i="25" s="1"/>
  <c r="AB89" i="25"/>
  <c r="AB127" i="25" s="1"/>
  <c r="X60" i="25"/>
  <c r="X98" i="25"/>
  <c r="J88" i="25"/>
  <c r="J13" i="25" s="1"/>
  <c r="Q125" i="25"/>
  <c r="Q220" i="25"/>
  <c r="Q12" i="25"/>
  <c r="I88" i="25"/>
  <c r="L239" i="25"/>
  <c r="R220" i="25"/>
  <c r="R125" i="25"/>
  <c r="R12" i="25"/>
  <c r="H88" i="25"/>
  <c r="K88" i="25"/>
  <c r="S125" i="25"/>
  <c r="S220" i="25"/>
  <c r="S12" i="25"/>
  <c r="T125" i="25"/>
  <c r="T220" i="25"/>
  <c r="T12" i="25"/>
  <c r="I13" i="29"/>
  <c r="I126" i="29"/>
  <c r="I221" i="29"/>
  <c r="J13" i="29"/>
  <c r="J126" i="29"/>
  <c r="J221" i="29"/>
  <c r="H13" i="29"/>
  <c r="H126" i="29"/>
  <c r="H221" i="29"/>
  <c r="F92" i="29"/>
  <c r="F54" i="29"/>
  <c r="H54" i="41"/>
  <c r="H73" i="41" s="1"/>
  <c r="H224" i="41"/>
  <c r="L205" i="41"/>
  <c r="I54" i="41"/>
  <c r="I73" i="41" s="1"/>
  <c r="J54" i="41"/>
  <c r="J73" i="41" s="1"/>
  <c r="K54" i="41"/>
  <c r="K73" i="41" s="1"/>
  <c r="K92" i="41" s="1"/>
  <c r="K17" i="41"/>
  <c r="H126" i="39"/>
  <c r="H221" i="39"/>
  <c r="J126" i="39"/>
  <c r="J221" i="39"/>
  <c r="K126" i="39"/>
  <c r="K221" i="39"/>
  <c r="H53" i="37"/>
  <c r="H72" i="37" s="1"/>
  <c r="I53" i="37"/>
  <c r="I72" i="37" s="1"/>
  <c r="K53" i="37"/>
  <c r="K72" i="37" s="1"/>
  <c r="K91" i="37" s="1"/>
  <c r="I89" i="13"/>
  <c r="K32" i="13" s="1"/>
  <c r="G78" i="13"/>
  <c r="G90" i="13"/>
  <c r="D79" i="13"/>
  <c r="D91" i="13"/>
  <c r="E79" i="13"/>
  <c r="E91" i="13"/>
  <c r="F78" i="13"/>
  <c r="F90" i="13"/>
  <c r="H78" i="13"/>
  <c r="H90" i="13"/>
  <c r="D22" i="13"/>
  <c r="D34" i="13"/>
  <c r="C22" i="13"/>
  <c r="C34" i="13"/>
  <c r="I33" i="13"/>
  <c r="AM49" i="55" l="1"/>
  <c r="AJ257" i="55"/>
  <c r="AM257" i="55"/>
  <c r="AK238" i="55"/>
  <c r="AN238" i="55" s="1"/>
  <c r="AK143" i="55"/>
  <c r="AN143" i="55" s="1"/>
  <c r="U37" i="27"/>
  <c r="U94" i="27" s="1"/>
  <c r="U170" i="27" s="1"/>
  <c r="Y95" i="55"/>
  <c r="Y114" i="55" s="1"/>
  <c r="Y57" i="55"/>
  <c r="X17" i="55"/>
  <c r="M35" i="27"/>
  <c r="L40" i="27"/>
  <c r="AL257" i="55"/>
  <c r="AL49" i="55"/>
  <c r="AL68" i="55" s="1"/>
  <c r="P55" i="55"/>
  <c r="O60" i="55"/>
  <c r="P18" i="55"/>
  <c r="M36" i="27" s="1"/>
  <c r="G113" i="55"/>
  <c r="G19" i="55"/>
  <c r="AM68" i="55"/>
  <c r="AM182" i="55"/>
  <c r="AB36" i="27"/>
  <c r="AB93" i="27" s="1"/>
  <c r="AB169" i="27" s="1"/>
  <c r="AH94" i="55"/>
  <c r="AH113" i="55" s="1"/>
  <c r="AH56" i="55"/>
  <c r="AB88" i="55"/>
  <c r="AB107" i="55" s="1"/>
  <c r="AE29" i="27"/>
  <c r="AE86" i="27" s="1"/>
  <c r="AE162" i="27" s="1"/>
  <c r="J11" i="56" s="1"/>
  <c r="AK49" i="55"/>
  <c r="AJ68" i="55"/>
  <c r="AJ182" i="55"/>
  <c r="AC35" i="27"/>
  <c r="AC92" i="27" s="1"/>
  <c r="AC168" i="27" s="1"/>
  <c r="AI93" i="55"/>
  <c r="AI55" i="55"/>
  <c r="Z88" i="55"/>
  <c r="Z107" i="55" s="1"/>
  <c r="AA88" i="55"/>
  <c r="AA107" i="55" s="1"/>
  <c r="Z258" i="55"/>
  <c r="AD239" i="55"/>
  <c r="AC88" i="55"/>
  <c r="AC107" i="55" s="1"/>
  <c r="M91" i="27"/>
  <c r="M167" i="27" s="1"/>
  <c r="P130" i="47"/>
  <c r="AN391" i="53"/>
  <c r="J126" i="53"/>
  <c r="R126" i="53"/>
  <c r="R13" i="53" s="1"/>
  <c r="R89" i="53" s="1"/>
  <c r="R108" i="53" s="1"/>
  <c r="P135" i="53"/>
  <c r="P97" i="53"/>
  <c r="P40" i="53"/>
  <c r="P59" i="53" s="1"/>
  <c r="P22" i="53"/>
  <c r="U354" i="53"/>
  <c r="U278" i="53"/>
  <c r="U240" i="53"/>
  <c r="U316" i="53"/>
  <c r="AA391" i="53"/>
  <c r="AD391" i="53" s="1"/>
  <c r="AD372" i="53"/>
  <c r="R32" i="53"/>
  <c r="AK164" i="53"/>
  <c r="AK145" i="53"/>
  <c r="AK126" i="53"/>
  <c r="Q126" i="53"/>
  <c r="S126" i="53"/>
  <c r="AD335" i="53"/>
  <c r="AD221" i="53"/>
  <c r="AD259" i="53"/>
  <c r="AD297" i="53"/>
  <c r="AC126" i="53"/>
  <c r="AA50" i="53"/>
  <c r="AN354" i="53"/>
  <c r="AN316" i="53"/>
  <c r="AN278" i="53"/>
  <c r="AN240" i="53"/>
  <c r="AB126" i="53"/>
  <c r="T126" i="53"/>
  <c r="Q391" i="53"/>
  <c r="U391" i="53" s="1"/>
  <c r="U372" i="53"/>
  <c r="R202" i="53"/>
  <c r="AM164" i="53"/>
  <c r="AM145" i="53"/>
  <c r="AM126" i="53"/>
  <c r="X134" i="53"/>
  <c r="X96" i="53"/>
  <c r="X39" i="53"/>
  <c r="X58" i="53" s="1"/>
  <c r="X21" i="53"/>
  <c r="AN335" i="53"/>
  <c r="AN221" i="53"/>
  <c r="AN259" i="53"/>
  <c r="AN297" i="53"/>
  <c r="I126" i="53"/>
  <c r="J202" i="53"/>
  <c r="J145" i="53"/>
  <c r="J164" i="53" s="1"/>
  <c r="U335" i="53"/>
  <c r="U259" i="53"/>
  <c r="U221" i="53"/>
  <c r="U297" i="53"/>
  <c r="AJ164" i="53"/>
  <c r="AJ145" i="53"/>
  <c r="AJ126" i="53"/>
  <c r="P153" i="53"/>
  <c r="P172" i="53" s="1"/>
  <c r="AA126" i="53"/>
  <c r="Z126" i="53"/>
  <c r="L335" i="53"/>
  <c r="L221" i="53"/>
  <c r="L297" i="53"/>
  <c r="L259" i="53"/>
  <c r="H50" i="53"/>
  <c r="K126" i="53"/>
  <c r="H391" i="53"/>
  <c r="L372" i="53"/>
  <c r="AH98" i="53"/>
  <c r="AH41" i="53"/>
  <c r="AH155" i="53" s="1"/>
  <c r="AH136" i="53"/>
  <c r="H126" i="53"/>
  <c r="AL164" i="53"/>
  <c r="AL145" i="53"/>
  <c r="AL126" i="53"/>
  <c r="J13" i="53"/>
  <c r="AK126" i="52"/>
  <c r="J391" i="47"/>
  <c r="O39" i="47"/>
  <c r="O58" i="47" s="1"/>
  <c r="O134" i="47"/>
  <c r="O153" i="47" s="1"/>
  <c r="O172" i="47" s="1"/>
  <c r="O96" i="47"/>
  <c r="L95" i="27"/>
  <c r="L171" i="27" s="1"/>
  <c r="AL391" i="52"/>
  <c r="AM50" i="52"/>
  <c r="AM164" i="52" s="1"/>
  <c r="AM145" i="52"/>
  <c r="AJ126" i="52"/>
  <c r="AL126" i="52"/>
  <c r="U240" i="52"/>
  <c r="U259" i="52"/>
  <c r="U372" i="52"/>
  <c r="U391" i="52"/>
  <c r="U297" i="52"/>
  <c r="U335" i="52"/>
  <c r="U316" i="52"/>
  <c r="U278" i="52"/>
  <c r="U354" i="52"/>
  <c r="U221" i="52"/>
  <c r="Q145" i="52"/>
  <c r="Q164" i="52" s="1"/>
  <c r="Q13" i="52"/>
  <c r="Q89" i="52" s="1"/>
  <c r="Q108" i="52" s="1"/>
  <c r="X38" i="52"/>
  <c r="X57" i="52" s="1"/>
  <c r="X95" i="52"/>
  <c r="X133" i="52"/>
  <c r="AI60" i="52"/>
  <c r="F37" i="52"/>
  <c r="F56" i="52" s="1"/>
  <c r="F94" i="52"/>
  <c r="F132" i="52"/>
  <c r="Y39" i="52"/>
  <c r="Y58" i="52" s="1"/>
  <c r="Y96" i="52"/>
  <c r="Y134" i="52"/>
  <c r="Y21" i="52" s="1"/>
  <c r="AK145" i="52"/>
  <c r="AK164" i="52"/>
  <c r="AH39" i="52"/>
  <c r="AH96" i="52"/>
  <c r="AH134" i="52"/>
  <c r="AH21" i="52" s="1"/>
  <c r="AD259" i="52"/>
  <c r="AD221" i="52"/>
  <c r="AD335" i="52"/>
  <c r="AD297" i="52"/>
  <c r="AB126" i="52"/>
  <c r="Z126" i="52"/>
  <c r="AA126" i="52"/>
  <c r="P39" i="52"/>
  <c r="P58" i="52" s="1"/>
  <c r="P96" i="52"/>
  <c r="P134" i="52"/>
  <c r="O154" i="52"/>
  <c r="O173" i="52" s="1"/>
  <c r="AD240" i="52"/>
  <c r="AD278" i="52"/>
  <c r="AD316" i="52"/>
  <c r="AD354" i="52"/>
  <c r="R145" i="52"/>
  <c r="R164" i="52" s="1"/>
  <c r="R202" i="52"/>
  <c r="R13" i="52"/>
  <c r="AJ145" i="52"/>
  <c r="AJ164" i="52"/>
  <c r="T145" i="52"/>
  <c r="T164" i="52" s="1"/>
  <c r="T202" i="52"/>
  <c r="T13" i="52"/>
  <c r="G39" i="52"/>
  <c r="G58" i="52" s="1"/>
  <c r="G96" i="52"/>
  <c r="G134" i="52"/>
  <c r="AC126" i="52"/>
  <c r="Y152" i="52"/>
  <c r="Y171" i="52" s="1"/>
  <c r="AN240" i="52"/>
  <c r="AN278" i="52"/>
  <c r="AN354" i="52"/>
  <c r="AN316" i="52"/>
  <c r="O22" i="52"/>
  <c r="AN259" i="52"/>
  <c r="AN297" i="52"/>
  <c r="AN221" i="52"/>
  <c r="AN335" i="52"/>
  <c r="AL164" i="52"/>
  <c r="AL145" i="52"/>
  <c r="AD372" i="52"/>
  <c r="Z391" i="52"/>
  <c r="AD391" i="52" s="1"/>
  <c r="S145" i="52"/>
  <c r="S202" i="52"/>
  <c r="S13" i="52"/>
  <c r="X132" i="47"/>
  <c r="X151" i="47" s="1"/>
  <c r="X170" i="47" s="1"/>
  <c r="AB88" i="47"/>
  <c r="AB107" i="47" s="1"/>
  <c r="X87" i="27"/>
  <c r="X163" i="27" s="1"/>
  <c r="J32" i="48" s="1"/>
  <c r="N32" i="48" s="1"/>
  <c r="R31" i="47"/>
  <c r="R50" i="47" s="1"/>
  <c r="Q31" i="47"/>
  <c r="Q50" i="47" s="1"/>
  <c r="L224" i="41"/>
  <c r="J240" i="39"/>
  <c r="K240" i="39"/>
  <c r="L126" i="29"/>
  <c r="H31" i="47"/>
  <c r="H50" i="47" s="1"/>
  <c r="I88" i="47"/>
  <c r="I107" i="47" s="1"/>
  <c r="K88" i="47"/>
  <c r="K107" i="47" s="1"/>
  <c r="H88" i="47"/>
  <c r="H107" i="47" s="1"/>
  <c r="G18" i="47"/>
  <c r="K31" i="47"/>
  <c r="K50" i="47" s="1"/>
  <c r="I372" i="47"/>
  <c r="I391" i="47" s="1"/>
  <c r="K372" i="47"/>
  <c r="K391" i="47" s="1"/>
  <c r="I31" i="47"/>
  <c r="I50" i="47" s="1"/>
  <c r="H372" i="47"/>
  <c r="F18" i="47"/>
  <c r="Y20" i="47"/>
  <c r="AJ372" i="47"/>
  <c r="AJ391" i="47" s="1"/>
  <c r="R88" i="47"/>
  <c r="R107" i="47" s="1"/>
  <c r="AA372" i="47"/>
  <c r="AA391" i="47" s="1"/>
  <c r="X94" i="47"/>
  <c r="Q372" i="47"/>
  <c r="Q391" i="47" s="1"/>
  <c r="X37" i="47"/>
  <c r="X56" i="47" s="1"/>
  <c r="Z372" i="47"/>
  <c r="Z391" i="47" s="1"/>
  <c r="AM372" i="47"/>
  <c r="AM391" i="47" s="1"/>
  <c r="S163" i="47"/>
  <c r="S372" i="47" s="1"/>
  <c r="S391" i="47" s="1"/>
  <c r="T163" i="47"/>
  <c r="T372" i="47" s="1"/>
  <c r="T391" i="47" s="1"/>
  <c r="Q88" i="47"/>
  <c r="Q107" i="47" s="1"/>
  <c r="R163" i="47"/>
  <c r="R372" i="47" s="1"/>
  <c r="AB372" i="47"/>
  <c r="AB391" i="47" s="1"/>
  <c r="AL372" i="47"/>
  <c r="AL391" i="47" s="1"/>
  <c r="AJ50" i="47"/>
  <c r="AK372" i="47"/>
  <c r="AK391" i="47" s="1"/>
  <c r="AC372" i="47"/>
  <c r="AC391" i="47" s="1"/>
  <c r="P92" i="47"/>
  <c r="P35" i="47"/>
  <c r="P54" i="47" s="1"/>
  <c r="AN201" i="47"/>
  <c r="AL31" i="47"/>
  <c r="AL50" i="47" s="1"/>
  <c r="AH60" i="47"/>
  <c r="AH174" i="47" s="1"/>
  <c r="AA31" i="47"/>
  <c r="AA50" i="47" s="1"/>
  <c r="Z31" i="47"/>
  <c r="AB31" i="47"/>
  <c r="AB50" i="47" s="1"/>
  <c r="S31" i="47"/>
  <c r="S50" i="47" s="1"/>
  <c r="AC31" i="47"/>
  <c r="AC50" i="47" s="1"/>
  <c r="T31" i="47"/>
  <c r="T50" i="47" s="1"/>
  <c r="U201" i="47"/>
  <c r="Z88" i="47"/>
  <c r="Z107" i="47" s="1"/>
  <c r="AD201" i="47"/>
  <c r="AA88" i="47"/>
  <c r="AA107" i="47" s="1"/>
  <c r="AL88" i="47"/>
  <c r="AL107" i="47" s="1"/>
  <c r="AK145" i="47" s="1"/>
  <c r="T88" i="47"/>
  <c r="T107" i="47" s="1"/>
  <c r="S88" i="47"/>
  <c r="S107" i="47" s="1"/>
  <c r="AC88" i="47"/>
  <c r="AC107" i="47" s="1"/>
  <c r="T239" i="25"/>
  <c r="X49" i="45"/>
  <c r="U125" i="25"/>
  <c r="U220" i="25"/>
  <c r="AM241" i="25"/>
  <c r="AJ52" i="25"/>
  <c r="AJ71" i="25" s="1"/>
  <c r="AK52" i="25"/>
  <c r="AK71" i="25" s="1"/>
  <c r="AJ241" i="25"/>
  <c r="AN222" i="25"/>
  <c r="AL52" i="25"/>
  <c r="AL71" i="25" s="1"/>
  <c r="AM52" i="25"/>
  <c r="AM71" i="25" s="1"/>
  <c r="AL241" i="25"/>
  <c r="AK241" i="25"/>
  <c r="AA222" i="25"/>
  <c r="AA241" i="25" s="1"/>
  <c r="AA14" i="25"/>
  <c r="AA52" i="25" s="1"/>
  <c r="AA71" i="25" s="1"/>
  <c r="AB222" i="25"/>
  <c r="AB14" i="25"/>
  <c r="AB52" i="25" s="1"/>
  <c r="AB71" i="25" s="1"/>
  <c r="AD127" i="25"/>
  <c r="Z222" i="25"/>
  <c r="Z14" i="25"/>
  <c r="AC222" i="25"/>
  <c r="AC14" i="25"/>
  <c r="J221" i="25"/>
  <c r="J126" i="25"/>
  <c r="R239" i="25"/>
  <c r="J51" i="25"/>
  <c r="J70" i="25" s="1"/>
  <c r="S50" i="25"/>
  <c r="S69" i="25" s="1"/>
  <c r="S239" i="25"/>
  <c r="I13" i="25"/>
  <c r="I221" i="25"/>
  <c r="I126" i="25"/>
  <c r="K13" i="25"/>
  <c r="K221" i="25"/>
  <c r="K126" i="25"/>
  <c r="Q50" i="25"/>
  <c r="Q69" i="25" s="1"/>
  <c r="T50" i="25"/>
  <c r="T69" i="25" s="1"/>
  <c r="H13" i="25"/>
  <c r="H221" i="25"/>
  <c r="H126" i="25"/>
  <c r="R50" i="25"/>
  <c r="R69" i="25" s="1"/>
  <c r="Q239" i="25"/>
  <c r="F98" i="25"/>
  <c r="F60" i="25"/>
  <c r="F17" i="29"/>
  <c r="H51" i="29"/>
  <c r="H70" i="29" s="1"/>
  <c r="J51" i="29"/>
  <c r="J70" i="29" s="1"/>
  <c r="I51" i="29"/>
  <c r="I70" i="29" s="1"/>
  <c r="I89" i="29" s="1"/>
  <c r="J92" i="41"/>
  <c r="J17" i="41" s="1"/>
  <c r="I92" i="41"/>
  <c r="I17" i="41" s="1"/>
  <c r="H92" i="41"/>
  <c r="H17" i="41" s="1"/>
  <c r="F55" i="41"/>
  <c r="F93" i="41"/>
  <c r="F18" i="41" s="1"/>
  <c r="K130" i="41"/>
  <c r="K206" i="41"/>
  <c r="J130" i="41"/>
  <c r="J206" i="41"/>
  <c r="I130" i="41"/>
  <c r="I206" i="41"/>
  <c r="H130" i="41"/>
  <c r="H206" i="41"/>
  <c r="K51" i="39"/>
  <c r="K70" i="39" s="1"/>
  <c r="J51" i="39"/>
  <c r="J70" i="39" s="1"/>
  <c r="H51" i="39"/>
  <c r="H70" i="39" s="1"/>
  <c r="H240" i="39"/>
  <c r="L221" i="39"/>
  <c r="L126" i="39"/>
  <c r="F57" i="39"/>
  <c r="F95" i="39"/>
  <c r="F20" i="39" s="1"/>
  <c r="I91" i="37"/>
  <c r="H91" i="37"/>
  <c r="J91" i="37"/>
  <c r="K129" i="37"/>
  <c r="K243" i="37" s="1"/>
  <c r="K16" i="37"/>
  <c r="G55" i="37"/>
  <c r="G93" i="37"/>
  <c r="G18" i="37" s="1"/>
  <c r="F55" i="37"/>
  <c r="F93" i="37"/>
  <c r="F18" i="37" s="1"/>
  <c r="I90" i="13"/>
  <c r="K33" i="13" s="1"/>
  <c r="H79" i="13"/>
  <c r="H91" i="13"/>
  <c r="E80" i="13"/>
  <c r="E92" i="13"/>
  <c r="D80" i="13"/>
  <c r="D92" i="13"/>
  <c r="G79" i="13"/>
  <c r="G91" i="13"/>
  <c r="F79" i="13"/>
  <c r="F91" i="13"/>
  <c r="I34" i="13"/>
  <c r="C23" i="13"/>
  <c r="C35" i="13"/>
  <c r="D35" i="13"/>
  <c r="D23" i="13"/>
  <c r="P94" i="55" l="1"/>
  <c r="P19" i="55" s="1"/>
  <c r="I31" i="56"/>
  <c r="E84" i="56" s="1"/>
  <c r="K84" i="56" s="1"/>
  <c r="E32" i="46"/>
  <c r="P56" i="55"/>
  <c r="I33" i="46"/>
  <c r="U33" i="46" s="1"/>
  <c r="J32" i="46"/>
  <c r="V32" i="46" s="1"/>
  <c r="AK257" i="55"/>
  <c r="F31" i="46" s="1"/>
  <c r="AL182" i="55"/>
  <c r="Y20" i="55"/>
  <c r="Y96" i="55" s="1"/>
  <c r="AB13" i="55"/>
  <c r="X31" i="27" s="1"/>
  <c r="X55" i="55"/>
  <c r="X93" i="55"/>
  <c r="T35" i="27"/>
  <c r="T92" i="27" s="1"/>
  <c r="T168" i="27" s="1"/>
  <c r="N11" i="56"/>
  <c r="F59" i="56" s="1"/>
  <c r="J32" i="56"/>
  <c r="AH19" i="55"/>
  <c r="AH57" i="55" s="1"/>
  <c r="G95" i="55"/>
  <c r="G114" i="55" s="1"/>
  <c r="G57" i="55"/>
  <c r="E37" i="27"/>
  <c r="E94" i="27" s="1"/>
  <c r="AA145" i="55"/>
  <c r="AA240" i="55"/>
  <c r="AK68" i="55"/>
  <c r="AK87" i="55" s="1"/>
  <c r="AK182" i="55"/>
  <c r="AI18" i="55"/>
  <c r="AI112" i="55"/>
  <c r="AB145" i="55"/>
  <c r="AB240" i="55"/>
  <c r="Z13" i="55"/>
  <c r="V31" i="27" s="1"/>
  <c r="AC145" i="55"/>
  <c r="AC240" i="55"/>
  <c r="Z145" i="55"/>
  <c r="Z240" i="55"/>
  <c r="AD258" i="55"/>
  <c r="E11" i="46" s="1"/>
  <c r="I31" i="48"/>
  <c r="L31" i="48" s="1"/>
  <c r="M31" i="48" s="1"/>
  <c r="AA13" i="55"/>
  <c r="W31" i="27" s="1"/>
  <c r="AC13" i="55"/>
  <c r="Y31" i="27" s="1"/>
  <c r="R51" i="53"/>
  <c r="R145" i="53"/>
  <c r="R164" i="53"/>
  <c r="L391" i="53"/>
  <c r="AL202" i="53"/>
  <c r="AL13" i="53"/>
  <c r="AJ202" i="53"/>
  <c r="AJ13" i="53"/>
  <c r="H202" i="53"/>
  <c r="H145" i="53"/>
  <c r="H13" i="53"/>
  <c r="X135" i="53"/>
  <c r="X97" i="53"/>
  <c r="X40" i="53"/>
  <c r="X59" i="53" s="1"/>
  <c r="Z202" i="53"/>
  <c r="Z145" i="53"/>
  <c r="Z164" i="53" s="1"/>
  <c r="Z13" i="53"/>
  <c r="T202" i="53"/>
  <c r="T145" i="53"/>
  <c r="T164" i="53" s="1"/>
  <c r="T13" i="53"/>
  <c r="S202" i="53"/>
  <c r="S145" i="53"/>
  <c r="S13" i="53"/>
  <c r="AH60" i="53"/>
  <c r="AH174" i="53" s="1"/>
  <c r="AA202" i="53"/>
  <c r="AA145" i="53"/>
  <c r="AA164" i="53"/>
  <c r="AA13" i="53"/>
  <c r="AB202" i="53"/>
  <c r="AB145" i="53"/>
  <c r="AB164" i="53"/>
  <c r="AB13" i="53"/>
  <c r="Q202" i="53"/>
  <c r="Q145" i="53"/>
  <c r="Q13" i="53"/>
  <c r="AK202" i="53"/>
  <c r="AK13" i="53"/>
  <c r="AL373" i="53"/>
  <c r="X153" i="53"/>
  <c r="X172" i="53" s="1"/>
  <c r="AK373" i="53"/>
  <c r="P136" i="53"/>
  <c r="P98" i="53"/>
  <c r="P41" i="53"/>
  <c r="P60" i="53" s="1"/>
  <c r="AM202" i="53"/>
  <c r="AM13" i="53"/>
  <c r="AJ373" i="53"/>
  <c r="AM373" i="53"/>
  <c r="K202" i="53"/>
  <c r="K145" i="53"/>
  <c r="K13" i="53"/>
  <c r="I202" i="53"/>
  <c r="I145" i="53"/>
  <c r="I164" i="53" s="1"/>
  <c r="I13" i="53"/>
  <c r="AD354" i="53"/>
  <c r="AD316" i="53"/>
  <c r="AD278" i="53"/>
  <c r="AD240" i="53"/>
  <c r="J89" i="53"/>
  <c r="J108" i="53" s="1"/>
  <c r="J32" i="53"/>
  <c r="J51" i="53" s="1"/>
  <c r="L354" i="53"/>
  <c r="L240" i="53"/>
  <c r="L316" i="53"/>
  <c r="L278" i="53"/>
  <c r="R373" i="53"/>
  <c r="R392" i="53" s="1"/>
  <c r="AC202" i="53"/>
  <c r="AC145" i="53"/>
  <c r="AC13" i="53"/>
  <c r="P154" i="53"/>
  <c r="P173" i="53" s="1"/>
  <c r="AN391" i="52"/>
  <c r="Q32" i="52"/>
  <c r="O21" i="47"/>
  <c r="O135" i="47" s="1"/>
  <c r="O154" i="47" s="1"/>
  <c r="O173" i="47" s="1"/>
  <c r="X19" i="47"/>
  <c r="Q373" i="52"/>
  <c r="Q392" i="52" s="1"/>
  <c r="X20" i="52"/>
  <c r="X152" i="52"/>
  <c r="X171" i="52" s="1"/>
  <c r="AH58" i="52"/>
  <c r="U202" i="52"/>
  <c r="AL373" i="52"/>
  <c r="AJ373" i="52"/>
  <c r="G153" i="52"/>
  <c r="G172" i="52" s="1"/>
  <c r="R32" i="52"/>
  <c r="R51" i="52" s="1"/>
  <c r="R89" i="52"/>
  <c r="R108" i="52" s="1"/>
  <c r="Y40" i="52"/>
  <c r="Y59" i="52" s="1"/>
  <c r="Y97" i="52"/>
  <c r="Y135" i="52"/>
  <c r="Q51" i="52"/>
  <c r="AH40" i="52"/>
  <c r="AH97" i="52"/>
  <c r="AH135" i="52"/>
  <c r="F151" i="52"/>
  <c r="F170" i="52" s="1"/>
  <c r="P153" i="52"/>
  <c r="P172" i="52" s="1"/>
  <c r="R373" i="52"/>
  <c r="R392" i="52" s="1"/>
  <c r="G21" i="52"/>
  <c r="K145" i="52"/>
  <c r="K13" i="52"/>
  <c r="T89" i="52"/>
  <c r="T108" i="52" s="1"/>
  <c r="T32" i="52"/>
  <c r="T51" i="52" s="1"/>
  <c r="AB145" i="52"/>
  <c r="AB164" i="52" s="1"/>
  <c r="AB202" i="52"/>
  <c r="AB13" i="52"/>
  <c r="AK202" i="52"/>
  <c r="AK13" i="52"/>
  <c r="F19" i="52"/>
  <c r="AM13" i="52"/>
  <c r="AM127" i="52" s="1"/>
  <c r="S32" i="52"/>
  <c r="S51" i="52" s="1"/>
  <c r="S89" i="52"/>
  <c r="S108" i="52" s="1"/>
  <c r="O41" i="52"/>
  <c r="O60" i="52" s="1"/>
  <c r="O98" i="52"/>
  <c r="O136" i="52"/>
  <c r="P21" i="52"/>
  <c r="AK373" i="52"/>
  <c r="AC202" i="52"/>
  <c r="AC145" i="52"/>
  <c r="AC13" i="52"/>
  <c r="T373" i="52"/>
  <c r="T392" i="52" s="1"/>
  <c r="AA202" i="52"/>
  <c r="AA145" i="52"/>
  <c r="AA164" i="52" s="1"/>
  <c r="AA13" i="52"/>
  <c r="Y153" i="52"/>
  <c r="Y172" i="52" s="1"/>
  <c r="AL202" i="52"/>
  <c r="AL13" i="52"/>
  <c r="S164" i="52"/>
  <c r="S373" i="52" s="1"/>
  <c r="S392" i="52" s="1"/>
  <c r="AJ202" i="52"/>
  <c r="AJ13" i="52"/>
  <c r="Z145" i="52"/>
  <c r="Z164" i="52" s="1"/>
  <c r="Z202" i="52"/>
  <c r="Z13" i="52"/>
  <c r="X95" i="47"/>
  <c r="L240" i="39"/>
  <c r="J225" i="41"/>
  <c r="I225" i="41"/>
  <c r="K225" i="41"/>
  <c r="J126" i="47"/>
  <c r="J202" i="47" s="1"/>
  <c r="K126" i="47"/>
  <c r="K13" i="47" s="1"/>
  <c r="E169" i="27"/>
  <c r="G132" i="47"/>
  <c r="G151" i="47" s="1"/>
  <c r="G170" i="47" s="1"/>
  <c r="F132" i="47"/>
  <c r="F151" i="47" s="1"/>
  <c r="F170" i="47" s="1"/>
  <c r="H126" i="47"/>
  <c r="H202" i="47" s="1"/>
  <c r="I126" i="47"/>
  <c r="I202" i="47" s="1"/>
  <c r="L372" i="47"/>
  <c r="G37" i="47"/>
  <c r="G56" i="47" s="1"/>
  <c r="G94" i="47"/>
  <c r="L335" i="47"/>
  <c r="H391" i="47"/>
  <c r="L221" i="47"/>
  <c r="L297" i="47"/>
  <c r="L259" i="47"/>
  <c r="F37" i="47"/>
  <c r="F56" i="47" s="1"/>
  <c r="F94" i="47"/>
  <c r="Y134" i="47"/>
  <c r="Y153" i="47" s="1"/>
  <c r="Y172" i="47" s="1"/>
  <c r="Y96" i="47"/>
  <c r="Y39" i="47"/>
  <c r="Y58" i="47" s="1"/>
  <c r="AN372" i="47"/>
  <c r="AD372" i="47"/>
  <c r="R391" i="47"/>
  <c r="U391" i="47" s="1"/>
  <c r="U372" i="47"/>
  <c r="U297" i="47"/>
  <c r="U335" i="47"/>
  <c r="AN259" i="47"/>
  <c r="AN335" i="47"/>
  <c r="U354" i="47"/>
  <c r="U278" i="47"/>
  <c r="U240" i="47"/>
  <c r="U316" i="47"/>
  <c r="L354" i="47"/>
  <c r="L316" i="47"/>
  <c r="L278" i="47"/>
  <c r="L240" i="47"/>
  <c r="AN221" i="47"/>
  <c r="Z50" i="47"/>
  <c r="AD335" i="47"/>
  <c r="AD297" i="47"/>
  <c r="AD259" i="47"/>
  <c r="AD221" i="47"/>
  <c r="AN297" i="47"/>
  <c r="P149" i="47"/>
  <c r="P168" i="47" s="1"/>
  <c r="U259" i="47"/>
  <c r="U221" i="47"/>
  <c r="P17" i="47"/>
  <c r="M92" i="27" s="1"/>
  <c r="M168" i="27" s="1"/>
  <c r="AN316" i="47"/>
  <c r="AN354" i="47"/>
  <c r="AN278" i="47"/>
  <c r="AN240" i="47"/>
  <c r="AN391" i="47"/>
  <c r="AL126" i="47"/>
  <c r="AL202" i="47" s="1"/>
  <c r="AL164" i="47"/>
  <c r="AL145" i="47"/>
  <c r="AJ145" i="47"/>
  <c r="AM145" i="47"/>
  <c r="AM164" i="47"/>
  <c r="AK164" i="47"/>
  <c r="AJ164" i="47"/>
  <c r="AC126" i="47"/>
  <c r="AD391" i="47"/>
  <c r="T126" i="47"/>
  <c r="S126" i="47"/>
  <c r="AB126" i="47"/>
  <c r="R126" i="47"/>
  <c r="AJ126" i="47"/>
  <c r="AK126" i="47"/>
  <c r="AA126" i="47"/>
  <c r="AM126" i="47"/>
  <c r="Z126" i="47"/>
  <c r="Q126" i="47"/>
  <c r="L126" i="25"/>
  <c r="Q88" i="25"/>
  <c r="Q221" i="25" s="1"/>
  <c r="J240" i="25"/>
  <c r="U239" i="25"/>
  <c r="AN241" i="25"/>
  <c r="AJ90" i="25"/>
  <c r="AJ223" i="25" s="1"/>
  <c r="AL90" i="25"/>
  <c r="AL128" i="25" s="1"/>
  <c r="AM90" i="25"/>
  <c r="AM128" i="25" s="1"/>
  <c r="AK90" i="25"/>
  <c r="AK128" i="25" s="1"/>
  <c r="AC241" i="25"/>
  <c r="AC52" i="25"/>
  <c r="AC71" i="25" s="1"/>
  <c r="Z241" i="25"/>
  <c r="AD222" i="25"/>
  <c r="Z52" i="25"/>
  <c r="Z71" i="25" s="1"/>
  <c r="AB241" i="25"/>
  <c r="H51" i="25"/>
  <c r="H70" i="25" s="1"/>
  <c r="K51" i="25"/>
  <c r="K70" i="25" s="1"/>
  <c r="T88" i="25"/>
  <c r="I240" i="25"/>
  <c r="L221" i="25"/>
  <c r="H240" i="25"/>
  <c r="I51" i="25"/>
  <c r="I70" i="25" s="1"/>
  <c r="S88" i="25"/>
  <c r="K240" i="25"/>
  <c r="R88" i="25"/>
  <c r="I127" i="29"/>
  <c r="I222" i="29"/>
  <c r="I14" i="29"/>
  <c r="J89" i="29"/>
  <c r="H89" i="29"/>
  <c r="K89" i="29"/>
  <c r="F93" i="29"/>
  <c r="F55" i="29"/>
  <c r="H55" i="41"/>
  <c r="H74" i="41" s="1"/>
  <c r="H225" i="41"/>
  <c r="L206" i="41"/>
  <c r="I55" i="41"/>
  <c r="I74" i="41" s="1"/>
  <c r="J55" i="41"/>
  <c r="J74" i="41" s="1"/>
  <c r="K55" i="41"/>
  <c r="K74" i="41" s="1"/>
  <c r="K93" i="41" s="1"/>
  <c r="K18" i="41"/>
  <c r="H89" i="39"/>
  <c r="H14" i="39" s="1"/>
  <c r="I89" i="39"/>
  <c r="I14" i="39" s="1"/>
  <c r="J89" i="39"/>
  <c r="J14" i="39" s="1"/>
  <c r="K89" i="39"/>
  <c r="K14" i="39" s="1"/>
  <c r="J16" i="37"/>
  <c r="J129" i="37"/>
  <c r="J243" i="37" s="1"/>
  <c r="H129" i="37"/>
  <c r="H243" i="37" s="1"/>
  <c r="H16" i="37"/>
  <c r="I129" i="37"/>
  <c r="I243" i="37" s="1"/>
  <c r="I16" i="37"/>
  <c r="K54" i="37"/>
  <c r="K73" i="37" s="1"/>
  <c r="I91" i="13"/>
  <c r="K34" i="13" s="1"/>
  <c r="D81" i="13"/>
  <c r="D94" i="13" s="1"/>
  <c r="D93" i="13"/>
  <c r="E81" i="13"/>
  <c r="E94" i="13" s="1"/>
  <c r="E93" i="13"/>
  <c r="G80" i="13"/>
  <c r="G92" i="13"/>
  <c r="F80" i="13"/>
  <c r="F92" i="13"/>
  <c r="H80" i="13"/>
  <c r="H92" i="13"/>
  <c r="I35" i="13"/>
  <c r="C36" i="13"/>
  <c r="C24" i="13"/>
  <c r="C37" i="13" s="1"/>
  <c r="D24" i="13"/>
  <c r="D37" i="13" s="1"/>
  <c r="D36" i="13"/>
  <c r="Z51" i="55" l="1"/>
  <c r="Z70" i="55" s="1"/>
  <c r="AN257" i="55"/>
  <c r="F10" i="46" s="1"/>
  <c r="AN182" i="55"/>
  <c r="Q32" i="46"/>
  <c r="Y32" i="46"/>
  <c r="I10" i="48"/>
  <c r="P113" i="55"/>
  <c r="I10" i="56"/>
  <c r="L10" i="56" s="1"/>
  <c r="M10" i="56" s="1"/>
  <c r="L31" i="56"/>
  <c r="M31" i="56" s="1"/>
  <c r="R31" i="46"/>
  <c r="Z31" i="46"/>
  <c r="AB51" i="55"/>
  <c r="AB70" i="55" s="1"/>
  <c r="Y58" i="55"/>
  <c r="U38" i="27"/>
  <c r="U95" i="27" s="1"/>
  <c r="U171" i="27" s="1"/>
  <c r="AM87" i="55"/>
  <c r="AB37" i="27"/>
  <c r="AB94" i="27" s="1"/>
  <c r="AB170" i="27" s="1"/>
  <c r="AH95" i="55"/>
  <c r="AH114" i="55" s="1"/>
  <c r="Y115" i="55"/>
  <c r="Y21" i="55"/>
  <c r="X18" i="55"/>
  <c r="X112" i="55"/>
  <c r="AB259" i="55"/>
  <c r="N32" i="56"/>
  <c r="E60" i="56" s="1"/>
  <c r="AL87" i="55"/>
  <c r="AL106" i="55" s="1"/>
  <c r="AJ87" i="55"/>
  <c r="AJ106" i="55" s="1"/>
  <c r="G20" i="55"/>
  <c r="G58" i="55" s="1"/>
  <c r="AM106" i="55"/>
  <c r="AM12" i="55"/>
  <c r="AC36" i="27"/>
  <c r="AC93" i="27" s="1"/>
  <c r="AC169" i="27" s="1"/>
  <c r="AI94" i="55"/>
  <c r="AI56" i="55"/>
  <c r="AK106" i="55"/>
  <c r="AK12" i="55"/>
  <c r="M37" i="27"/>
  <c r="P95" i="55"/>
  <c r="P20" i="55" s="1"/>
  <c r="P57" i="55"/>
  <c r="AD145" i="55"/>
  <c r="AA51" i="55"/>
  <c r="AA70" i="55" s="1"/>
  <c r="Z259" i="55"/>
  <c r="AA259" i="55"/>
  <c r="AC259" i="55"/>
  <c r="AC51" i="55"/>
  <c r="AC70" i="55" s="1"/>
  <c r="AL392" i="53"/>
  <c r="J373" i="53"/>
  <c r="J392" i="53" s="1"/>
  <c r="AM89" i="53"/>
  <c r="AM108" i="53" s="1"/>
  <c r="AM32" i="53"/>
  <c r="AM51" i="53" s="1"/>
  <c r="Z89" i="53"/>
  <c r="Z108" i="53" s="1"/>
  <c r="Z32" i="53"/>
  <c r="Z51" i="53"/>
  <c r="AK89" i="53"/>
  <c r="AK108" i="53" s="1"/>
  <c r="AK32" i="53"/>
  <c r="AK51" i="53" s="1"/>
  <c r="Q89" i="53"/>
  <c r="Q108" i="53" s="1"/>
  <c r="Q32" i="53"/>
  <c r="AD202" i="53"/>
  <c r="H164" i="53"/>
  <c r="H373" i="53" s="1"/>
  <c r="K89" i="53"/>
  <c r="K108" i="53" s="1"/>
  <c r="K32" i="53"/>
  <c r="K51" i="53" s="1"/>
  <c r="P155" i="53"/>
  <c r="P174" i="53" s="1"/>
  <c r="S89" i="53"/>
  <c r="S108" i="53" s="1"/>
  <c r="S32" i="53"/>
  <c r="S51" i="53" s="1"/>
  <c r="L202" i="53"/>
  <c r="K373" i="53"/>
  <c r="K392" i="53" s="1"/>
  <c r="AK392" i="53"/>
  <c r="Q164" i="53"/>
  <c r="Q373" i="53" s="1"/>
  <c r="Z373" i="53"/>
  <c r="K164" i="53"/>
  <c r="U202" i="53"/>
  <c r="S164" i="53"/>
  <c r="S373" i="53" s="1"/>
  <c r="S392" i="53" s="1"/>
  <c r="AJ89" i="53"/>
  <c r="AJ108" i="53" s="1"/>
  <c r="AJ32" i="53"/>
  <c r="AJ51" i="53"/>
  <c r="X154" i="53"/>
  <c r="X173" i="53"/>
  <c r="AC89" i="53"/>
  <c r="AC108" i="53" s="1"/>
  <c r="AC32" i="53"/>
  <c r="AC51" i="53" s="1"/>
  <c r="AB89" i="53"/>
  <c r="AB108" i="53" s="1"/>
  <c r="AB32" i="53"/>
  <c r="AB51" i="53" s="1"/>
  <c r="AN202" i="53"/>
  <c r="AA89" i="53"/>
  <c r="AA108" i="53" s="1"/>
  <c r="AA32" i="53"/>
  <c r="AA51" i="53" s="1"/>
  <c r="I89" i="53"/>
  <c r="I108" i="53" s="1"/>
  <c r="I32" i="53"/>
  <c r="I51" i="53" s="1"/>
  <c r="I373" i="53"/>
  <c r="I392" i="53" s="1"/>
  <c r="AA373" i="53"/>
  <c r="AA392" i="53" s="1"/>
  <c r="AM392" i="53"/>
  <c r="T89" i="53"/>
  <c r="T108" i="53" s="1"/>
  <c r="T32" i="53"/>
  <c r="T51" i="53" s="1"/>
  <c r="X22" i="53"/>
  <c r="AL32" i="53"/>
  <c r="AL51" i="53" s="1"/>
  <c r="AL89" i="53"/>
  <c r="AL108" i="53" s="1"/>
  <c r="H89" i="53"/>
  <c r="H108" i="53" s="1"/>
  <c r="H32" i="53"/>
  <c r="AC164" i="53"/>
  <c r="AC373" i="53" s="1"/>
  <c r="AC392" i="53" s="1"/>
  <c r="AJ392" i="53"/>
  <c r="AN373" i="53"/>
  <c r="AB373" i="53"/>
  <c r="AB392" i="53" s="1"/>
  <c r="T373" i="53"/>
  <c r="T392" i="53" s="1"/>
  <c r="X38" i="47"/>
  <c r="X57" i="47" s="1"/>
  <c r="X133" i="47"/>
  <c r="X152" i="47" s="1"/>
  <c r="X171" i="47" s="1"/>
  <c r="O22" i="47"/>
  <c r="O41" i="47" s="1"/>
  <c r="O60" i="47" s="1"/>
  <c r="O97" i="47"/>
  <c r="O40" i="47"/>
  <c r="O59" i="47" s="1"/>
  <c r="L96" i="27"/>
  <c r="L172" i="27" s="1"/>
  <c r="O98" i="47"/>
  <c r="AH59" i="52"/>
  <c r="AK392" i="52"/>
  <c r="S127" i="52"/>
  <c r="S14" i="52" s="1"/>
  <c r="S90" i="52" s="1"/>
  <c r="S109" i="52" s="1"/>
  <c r="K127" i="52"/>
  <c r="X39" i="52"/>
  <c r="X58" i="52" s="1"/>
  <c r="X96" i="52"/>
  <c r="X134" i="52"/>
  <c r="X153" i="52" s="1"/>
  <c r="X172" i="52" s="1"/>
  <c r="AA373" i="52"/>
  <c r="AA392" i="52" s="1"/>
  <c r="O155" i="52"/>
  <c r="O174" i="52" s="1"/>
  <c r="T127" i="52"/>
  <c r="Y154" i="52"/>
  <c r="Y173" i="52" s="1"/>
  <c r="U222" i="52"/>
  <c r="Z32" i="52"/>
  <c r="Z51" i="52" s="1"/>
  <c r="Z89" i="52"/>
  <c r="Z108" i="52" s="1"/>
  <c r="AC32" i="52"/>
  <c r="AC51" i="52" s="1"/>
  <c r="AC89" i="52"/>
  <c r="AC108" i="52" s="1"/>
  <c r="U298" i="52"/>
  <c r="AB373" i="52"/>
  <c r="AB392" i="52" s="1"/>
  <c r="AL32" i="52"/>
  <c r="AL51" i="52" s="1"/>
  <c r="AL89" i="52"/>
  <c r="AL108" i="52" s="1"/>
  <c r="K32" i="52"/>
  <c r="K51" i="52" s="1"/>
  <c r="K89" i="52"/>
  <c r="U260" i="52"/>
  <c r="AM32" i="52"/>
  <c r="AM89" i="52"/>
  <c r="AD202" i="52"/>
  <c r="F38" i="52"/>
  <c r="F57" i="52" s="1"/>
  <c r="F95" i="52"/>
  <c r="F133" i="52"/>
  <c r="U336" i="52"/>
  <c r="Z373" i="52"/>
  <c r="AC164" i="52"/>
  <c r="AC373" i="52" s="1"/>
  <c r="AC392" i="52" s="1"/>
  <c r="Q127" i="52"/>
  <c r="AK32" i="52"/>
  <c r="AK51" i="52" s="1"/>
  <c r="AK89" i="52"/>
  <c r="AK108" i="52" s="1"/>
  <c r="Y22" i="52"/>
  <c r="AN373" i="52"/>
  <c r="AJ392" i="52"/>
  <c r="AJ32" i="52"/>
  <c r="AJ51" i="52" s="1"/>
  <c r="AJ89" i="52"/>
  <c r="AJ108" i="52" s="1"/>
  <c r="K164" i="52"/>
  <c r="AH22" i="52"/>
  <c r="U373" i="52"/>
  <c r="AN202" i="52"/>
  <c r="AM392" i="52"/>
  <c r="AB32" i="52"/>
  <c r="AB51" i="52" s="1"/>
  <c r="AB89" i="52"/>
  <c r="AB108" i="52" s="1"/>
  <c r="G40" i="52"/>
  <c r="G59" i="52" s="1"/>
  <c r="G97" i="52"/>
  <c r="G135" i="52"/>
  <c r="G22" i="52" s="1"/>
  <c r="U241" i="52"/>
  <c r="U355" i="52"/>
  <c r="U279" i="52"/>
  <c r="U317" i="52"/>
  <c r="R127" i="52"/>
  <c r="U392" i="52"/>
  <c r="AA32" i="52"/>
  <c r="AA51" i="52" s="1"/>
  <c r="AA89" i="52"/>
  <c r="AA108" i="52" s="1"/>
  <c r="P40" i="52"/>
  <c r="P59" i="52" s="1"/>
  <c r="P97" i="52"/>
  <c r="P135" i="52"/>
  <c r="P22" i="52" s="1"/>
  <c r="AL392" i="52"/>
  <c r="K145" i="47"/>
  <c r="K164" i="47" s="1"/>
  <c r="J13" i="47"/>
  <c r="J89" i="47" s="1"/>
  <c r="J108" i="47" s="1"/>
  <c r="J145" i="47"/>
  <c r="J164" i="47" s="1"/>
  <c r="L391" i="47"/>
  <c r="L225" i="41"/>
  <c r="K202" i="47"/>
  <c r="L202" i="47" s="1"/>
  <c r="H145" i="47"/>
  <c r="H164" i="47" s="1"/>
  <c r="H373" i="47" s="1"/>
  <c r="H392" i="47" s="1"/>
  <c r="I13" i="47"/>
  <c r="H13" i="47"/>
  <c r="I145" i="47"/>
  <c r="I164" i="47" s="1"/>
  <c r="K89" i="47"/>
  <c r="K108" i="47" s="1"/>
  <c r="G19" i="47"/>
  <c r="G133" i="47" s="1"/>
  <c r="G152" i="47" s="1"/>
  <c r="G171" i="47" s="1"/>
  <c r="F19" i="47"/>
  <c r="F133" i="47" s="1"/>
  <c r="Q126" i="25"/>
  <c r="Q240" i="25" s="1"/>
  <c r="Y21" i="47"/>
  <c r="AK373" i="47"/>
  <c r="AB145" i="47"/>
  <c r="AB164" i="47" s="1"/>
  <c r="AL13" i="47"/>
  <c r="AC202" i="47"/>
  <c r="AC145" i="47"/>
  <c r="AC164" i="47" s="1"/>
  <c r="S145" i="47"/>
  <c r="S164" i="47" s="1"/>
  <c r="AD354" i="47"/>
  <c r="AD278" i="47"/>
  <c r="AD240" i="47"/>
  <c r="AD316" i="47"/>
  <c r="R145" i="47"/>
  <c r="R164" i="47" s="1"/>
  <c r="R373" i="47" s="1"/>
  <c r="AA145" i="47"/>
  <c r="AA164" i="47" s="1"/>
  <c r="Q145" i="47"/>
  <c r="Q164" i="47" s="1"/>
  <c r="Q373" i="47" s="1"/>
  <c r="P36" i="47"/>
  <c r="P55" i="47" s="1"/>
  <c r="P131" i="47"/>
  <c r="P18" i="47" s="1"/>
  <c r="M93" i="27" s="1"/>
  <c r="M169" i="27" s="1"/>
  <c r="P93" i="47"/>
  <c r="Z145" i="47"/>
  <c r="Z164" i="47" s="1"/>
  <c r="T13" i="47"/>
  <c r="T145" i="47"/>
  <c r="T164" i="47" s="1"/>
  <c r="T373" i="47" s="1"/>
  <c r="AM373" i="47"/>
  <c r="AJ373" i="47"/>
  <c r="AL373" i="47"/>
  <c r="AL392" i="47" s="1"/>
  <c r="K32" i="47"/>
  <c r="K51" i="47" s="1"/>
  <c r="AC13" i="47"/>
  <c r="Y88" i="27" s="1"/>
  <c r="Y164" i="27" s="1"/>
  <c r="T202" i="47"/>
  <c r="AA202" i="47"/>
  <c r="AA13" i="47"/>
  <c r="W88" i="27" s="1"/>
  <c r="W164" i="27" s="1"/>
  <c r="AB202" i="47"/>
  <c r="AB13" i="47"/>
  <c r="X88" i="27" s="1"/>
  <c r="X164" i="27" s="1"/>
  <c r="Z202" i="47"/>
  <c r="Z13" i="47"/>
  <c r="V88" i="27" s="1"/>
  <c r="V164" i="27" s="1"/>
  <c r="S202" i="47"/>
  <c r="S13" i="47"/>
  <c r="AK202" i="47"/>
  <c r="AK13" i="47"/>
  <c r="AJ202" i="47"/>
  <c r="AJ13" i="47"/>
  <c r="Q202" i="47"/>
  <c r="Q13" i="47"/>
  <c r="AM202" i="47"/>
  <c r="AM13" i="47"/>
  <c r="R202" i="47"/>
  <c r="R13" i="47"/>
  <c r="Q13" i="25"/>
  <c r="Q51" i="25" s="1"/>
  <c r="Q70" i="25" s="1"/>
  <c r="AJ15" i="25"/>
  <c r="AJ53" i="25" s="1"/>
  <c r="AJ72" i="25" s="1"/>
  <c r="AJ128" i="25"/>
  <c r="AN128" i="25" s="1"/>
  <c r="W12" i="45"/>
  <c r="W50" i="45" s="1"/>
  <c r="U12" i="45"/>
  <c r="U50" i="45" s="1"/>
  <c r="V12" i="45"/>
  <c r="V50" i="45" s="1"/>
  <c r="T12" i="45"/>
  <c r="T50" i="45" s="1"/>
  <c r="L240" i="25"/>
  <c r="AK223" i="25"/>
  <c r="AK15" i="25"/>
  <c r="AL223" i="25"/>
  <c r="AL15" i="25"/>
  <c r="AL53" i="25" s="1"/>
  <c r="AL72" i="25" s="1"/>
  <c r="AM223" i="25"/>
  <c r="AM15" i="25"/>
  <c r="AM53" i="25" s="1"/>
  <c r="AM72" i="25" s="1"/>
  <c r="Z90" i="25"/>
  <c r="Z128" i="25" s="1"/>
  <c r="AD241" i="25"/>
  <c r="AB90" i="25"/>
  <c r="AB128" i="25" s="1"/>
  <c r="AC90" i="25"/>
  <c r="AC128" i="25" s="1"/>
  <c r="AA90" i="25"/>
  <c r="AA128" i="25" s="1"/>
  <c r="J89" i="25"/>
  <c r="J127" i="25" s="1"/>
  <c r="K89" i="25"/>
  <c r="K127" i="25" s="1"/>
  <c r="T126" i="25"/>
  <c r="T221" i="25"/>
  <c r="T13" i="25"/>
  <c r="I89" i="25"/>
  <c r="R13" i="25"/>
  <c r="R126" i="25"/>
  <c r="R221" i="25"/>
  <c r="H89" i="25"/>
  <c r="S13" i="25"/>
  <c r="S126" i="25"/>
  <c r="S221" i="25"/>
  <c r="F18" i="29"/>
  <c r="K14" i="29"/>
  <c r="K127" i="29"/>
  <c r="K222" i="29"/>
  <c r="H14" i="29"/>
  <c r="H127" i="29"/>
  <c r="H222" i="29"/>
  <c r="J14" i="29"/>
  <c r="J127" i="29"/>
  <c r="J222" i="29"/>
  <c r="I52" i="29"/>
  <c r="I71" i="29" s="1"/>
  <c r="J93" i="41"/>
  <c r="J18" i="41" s="1"/>
  <c r="I93" i="41"/>
  <c r="I18" i="41" s="1"/>
  <c r="H93" i="41"/>
  <c r="H18" i="41" s="1"/>
  <c r="F56" i="41"/>
  <c r="F94" i="41"/>
  <c r="F19" i="41" s="1"/>
  <c r="K131" i="41"/>
  <c r="K207" i="41"/>
  <c r="J131" i="41"/>
  <c r="J207" i="41"/>
  <c r="I131" i="41"/>
  <c r="I207" i="41"/>
  <c r="H131" i="41"/>
  <c r="H207" i="41"/>
  <c r="K127" i="39"/>
  <c r="K222" i="39"/>
  <c r="J127" i="39"/>
  <c r="J222" i="39"/>
  <c r="I127" i="39"/>
  <c r="I222" i="39"/>
  <c r="H127" i="39"/>
  <c r="H222" i="39"/>
  <c r="F58" i="39"/>
  <c r="F96" i="39"/>
  <c r="F21" i="39" s="1"/>
  <c r="I54" i="37"/>
  <c r="I73" i="37" s="1"/>
  <c r="H54" i="37"/>
  <c r="H73" i="37" s="1"/>
  <c r="L243" i="37"/>
  <c r="L224" i="37"/>
  <c r="J54" i="37"/>
  <c r="J73" i="37" s="1"/>
  <c r="J92" i="37" s="1"/>
  <c r="G56" i="37"/>
  <c r="G94" i="37"/>
  <c r="G19" i="37" s="1"/>
  <c r="F56" i="37"/>
  <c r="F94" i="37"/>
  <c r="F19" i="37" s="1"/>
  <c r="I92" i="13"/>
  <c r="K35" i="13" s="1"/>
  <c r="H81" i="13"/>
  <c r="H94" i="13" s="1"/>
  <c r="H93" i="13"/>
  <c r="G81" i="13"/>
  <c r="G94" i="13" s="1"/>
  <c r="G93" i="13"/>
  <c r="F81" i="13"/>
  <c r="F94" i="13" s="1"/>
  <c r="F93" i="13"/>
  <c r="I37" i="13"/>
  <c r="I36" i="13"/>
  <c r="I34" i="46" l="1"/>
  <c r="E33" i="46"/>
  <c r="F83" i="56"/>
  <c r="L83" i="56" s="1"/>
  <c r="AH20" i="55"/>
  <c r="AB38" i="27" s="1"/>
  <c r="AB95" i="27" s="1"/>
  <c r="AB171" i="27" s="1"/>
  <c r="AL12" i="55"/>
  <c r="AF30" i="27" s="1"/>
  <c r="AF87" i="27" s="1"/>
  <c r="AF163" i="27" s="1"/>
  <c r="AJ239" i="55"/>
  <c r="AJ144" i="55"/>
  <c r="E38" i="27"/>
  <c r="E95" i="27" s="1"/>
  <c r="AK239" i="55"/>
  <c r="AK144" i="55"/>
  <c r="G96" i="55"/>
  <c r="G115" i="55" s="1"/>
  <c r="AL239" i="55"/>
  <c r="AL144" i="55"/>
  <c r="T36" i="27"/>
  <c r="T93" i="27" s="1"/>
  <c r="T169" i="27" s="1"/>
  <c r="X56" i="55"/>
  <c r="X94" i="55"/>
  <c r="X113" i="55" s="1"/>
  <c r="U39" i="27"/>
  <c r="U96" i="27" s="1"/>
  <c r="U172" i="27" s="1"/>
  <c r="Y97" i="55"/>
  <c r="Y59" i="55"/>
  <c r="AJ12" i="55"/>
  <c r="AJ50" i="55" s="1"/>
  <c r="AM239" i="55"/>
  <c r="AM144" i="55"/>
  <c r="I32" i="56"/>
  <c r="E85" i="56" s="1"/>
  <c r="K85" i="56" s="1"/>
  <c r="J33" i="56"/>
  <c r="AI19" i="55"/>
  <c r="AI113" i="55"/>
  <c r="AH96" i="55"/>
  <c r="AH58" i="55"/>
  <c r="P114" i="55"/>
  <c r="AE30" i="27"/>
  <c r="AE87" i="27" s="1"/>
  <c r="AE163" i="27" s="1"/>
  <c r="AK50" i="55"/>
  <c r="AG30" i="27"/>
  <c r="AG87" i="27" s="1"/>
  <c r="AG163" i="27" s="1"/>
  <c r="AM50" i="55"/>
  <c r="J33" i="48"/>
  <c r="N33" i="48" s="1"/>
  <c r="I32" i="48"/>
  <c r="L32" i="48" s="1"/>
  <c r="M32" i="48" s="1"/>
  <c r="AC89" i="55"/>
  <c r="AD240" i="55"/>
  <c r="AA89" i="55"/>
  <c r="AA108" i="55" s="1"/>
  <c r="AB89" i="55"/>
  <c r="AB108" i="55" s="1"/>
  <c r="AD259" i="55"/>
  <c r="E12" i="46" s="1"/>
  <c r="Z89" i="55"/>
  <c r="Z108" i="55" s="1"/>
  <c r="AN392" i="53"/>
  <c r="I127" i="53"/>
  <c r="I14" i="53" s="1"/>
  <c r="S127" i="53"/>
  <c r="S14" i="53" s="1"/>
  <c r="AB127" i="53"/>
  <c r="K127" i="53"/>
  <c r="K14" i="53" s="1"/>
  <c r="K90" i="53" s="1"/>
  <c r="K109" i="53" s="1"/>
  <c r="H392" i="53"/>
  <c r="L373" i="53"/>
  <c r="S90" i="53"/>
  <c r="S109" i="53" s="1"/>
  <c r="S33" i="53"/>
  <c r="S52" i="53" s="1"/>
  <c r="AN336" i="53"/>
  <c r="AN298" i="53"/>
  <c r="AN260" i="53"/>
  <c r="AN222" i="53"/>
  <c r="AB203" i="53"/>
  <c r="I203" i="53"/>
  <c r="I146" i="53"/>
  <c r="I165" i="53" s="1"/>
  <c r="AJ146" i="53"/>
  <c r="AJ165" i="53"/>
  <c r="AJ127" i="53"/>
  <c r="AK165" i="53"/>
  <c r="AK146" i="53"/>
  <c r="AK127" i="53"/>
  <c r="AN355" i="53"/>
  <c r="AN317" i="53"/>
  <c r="AN279" i="53"/>
  <c r="AN241" i="53"/>
  <c r="X136" i="53"/>
  <c r="X98" i="53"/>
  <c r="X41" i="53"/>
  <c r="X60" i="53" s="1"/>
  <c r="S203" i="53"/>
  <c r="S146" i="53"/>
  <c r="K203" i="53"/>
  <c r="K146" i="53"/>
  <c r="K165" i="53" s="1"/>
  <c r="AD355" i="53"/>
  <c r="AD317" i="53"/>
  <c r="AD279" i="53"/>
  <c r="AD241" i="53"/>
  <c r="AL165" i="53"/>
  <c r="AL146" i="53"/>
  <c r="AL127" i="53"/>
  <c r="AC127" i="53"/>
  <c r="AD336" i="53"/>
  <c r="AD298" i="53"/>
  <c r="AD222" i="53"/>
  <c r="AD260" i="53"/>
  <c r="I90" i="53"/>
  <c r="I109" i="53" s="1"/>
  <c r="I33" i="53"/>
  <c r="I52" i="53" s="1"/>
  <c r="Q392" i="53"/>
  <c r="U392" i="53" s="1"/>
  <c r="U373" i="53"/>
  <c r="T127" i="53"/>
  <c r="AA127" i="53"/>
  <c r="J127" i="53"/>
  <c r="Z127" i="53"/>
  <c r="AD373" i="53"/>
  <c r="Z392" i="53"/>
  <c r="AD392" i="53" s="1"/>
  <c r="U336" i="53"/>
  <c r="U298" i="53"/>
  <c r="U222" i="53"/>
  <c r="U260" i="53"/>
  <c r="L336" i="53"/>
  <c r="L298" i="53"/>
  <c r="L222" i="53"/>
  <c r="L260" i="53"/>
  <c r="Q51" i="53"/>
  <c r="H51" i="53"/>
  <c r="AB14" i="53"/>
  <c r="Q127" i="53"/>
  <c r="R127" i="53"/>
  <c r="AM165" i="53"/>
  <c r="AM146" i="53"/>
  <c r="AM127" i="53"/>
  <c r="H127" i="53"/>
  <c r="L97" i="27"/>
  <c r="L173" i="27" s="1"/>
  <c r="J373" i="47"/>
  <c r="J392" i="47" s="1"/>
  <c r="O136" i="47"/>
  <c r="O155" i="47" s="1"/>
  <c r="O174" i="47" s="1"/>
  <c r="K373" i="47"/>
  <c r="K392" i="47" s="1"/>
  <c r="X20" i="47"/>
  <c r="X96" i="47" s="1"/>
  <c r="J32" i="47"/>
  <c r="J51" i="47" s="1"/>
  <c r="AL127" i="52"/>
  <c r="AJ127" i="52"/>
  <c r="AM51" i="52"/>
  <c r="AM165" i="52" s="1"/>
  <c r="AM146" i="52"/>
  <c r="AK127" i="52"/>
  <c r="S203" i="52"/>
  <c r="X21" i="52"/>
  <c r="X135" i="52" s="1"/>
  <c r="S33" i="52"/>
  <c r="S52" i="52" s="1"/>
  <c r="S146" i="52"/>
  <c r="S165" i="52" s="1"/>
  <c r="S374" i="52" s="1"/>
  <c r="AA127" i="52"/>
  <c r="AA14" i="52" s="1"/>
  <c r="AA33" i="52" s="1"/>
  <c r="K14" i="52"/>
  <c r="G41" i="52"/>
  <c r="G60" i="52" s="1"/>
  <c r="G98" i="52"/>
  <c r="G136" i="52"/>
  <c r="AD241" i="52"/>
  <c r="AD279" i="52"/>
  <c r="AD317" i="52"/>
  <c r="AD355" i="52"/>
  <c r="AK165" i="52"/>
  <c r="AK146" i="52"/>
  <c r="Z127" i="52"/>
  <c r="Q146" i="52"/>
  <c r="Q165" i="52" s="1"/>
  <c r="Q203" i="52"/>
  <c r="Q14" i="52"/>
  <c r="F152" i="52"/>
  <c r="F171" i="52" s="1"/>
  <c r="AJ146" i="52"/>
  <c r="AJ165" i="52"/>
  <c r="G154" i="52"/>
  <c r="G173" i="52" s="1"/>
  <c r="Z392" i="52"/>
  <c r="AD392" i="52" s="1"/>
  <c r="AD373" i="52"/>
  <c r="T146" i="52"/>
  <c r="T165" i="52" s="1"/>
  <c r="T203" i="52"/>
  <c r="T14" i="52"/>
  <c r="AD260" i="52"/>
  <c r="AD222" i="52"/>
  <c r="AD298" i="52"/>
  <c r="AD336" i="52"/>
  <c r="AN260" i="52"/>
  <c r="AN298" i="52"/>
  <c r="AN222" i="52"/>
  <c r="AN336" i="52"/>
  <c r="AC127" i="52"/>
  <c r="AH41" i="52"/>
  <c r="AH98" i="52"/>
  <c r="AH136" i="52"/>
  <c r="F20" i="52"/>
  <c r="AB127" i="52"/>
  <c r="AN392" i="52"/>
  <c r="AL165" i="52"/>
  <c r="AL146" i="52"/>
  <c r="R146" i="52"/>
  <c r="R165" i="52" s="1"/>
  <c r="R203" i="52"/>
  <c r="R14" i="52"/>
  <c r="P154" i="52"/>
  <c r="P173" i="52" s="1"/>
  <c r="P41" i="52"/>
  <c r="P60" i="52" s="1"/>
  <c r="P98" i="52"/>
  <c r="P136" i="52"/>
  <c r="Y41" i="52"/>
  <c r="Y60" i="52" s="1"/>
  <c r="Y98" i="52"/>
  <c r="Y136" i="52"/>
  <c r="R32" i="47"/>
  <c r="R51" i="47" s="1"/>
  <c r="Q32" i="47"/>
  <c r="Q51" i="47" s="1"/>
  <c r="T89" i="47"/>
  <c r="T108" i="47" s="1"/>
  <c r="AL32" i="47"/>
  <c r="AL51" i="47" s="1"/>
  <c r="Y135" i="47"/>
  <c r="Y154" i="47" s="1"/>
  <c r="Y173" i="47" s="1"/>
  <c r="I241" i="39"/>
  <c r="I226" i="41"/>
  <c r="K241" i="39"/>
  <c r="K226" i="41"/>
  <c r="L127" i="39"/>
  <c r="J241" i="39"/>
  <c r="J226" i="41"/>
  <c r="I89" i="47"/>
  <c r="I108" i="47" s="1"/>
  <c r="H89" i="47"/>
  <c r="H108" i="47" s="1"/>
  <c r="H32" i="47"/>
  <c r="H51" i="47" s="1"/>
  <c r="I373" i="47"/>
  <c r="I392" i="47" s="1"/>
  <c r="I32" i="47"/>
  <c r="I51" i="47" s="1"/>
  <c r="G38" i="47"/>
  <c r="G57" i="47" s="1"/>
  <c r="F152" i="47"/>
  <c r="F171" i="47" s="1"/>
  <c r="E170" i="27"/>
  <c r="G95" i="47"/>
  <c r="G20" i="47"/>
  <c r="F38" i="47"/>
  <c r="F57" i="47" s="1"/>
  <c r="F95" i="47"/>
  <c r="Y97" i="47"/>
  <c r="Y40" i="47"/>
  <c r="Y59" i="47" s="1"/>
  <c r="F20" i="47"/>
  <c r="F134" i="47" s="1"/>
  <c r="AA373" i="47"/>
  <c r="AA392" i="47" s="1"/>
  <c r="T32" i="47"/>
  <c r="T51" i="47" s="1"/>
  <c r="AL89" i="47"/>
  <c r="AL108" i="47" s="1"/>
  <c r="S373" i="47"/>
  <c r="U373" i="47" s="1"/>
  <c r="AC373" i="47"/>
  <c r="AC392" i="47" s="1"/>
  <c r="Z373" i="47"/>
  <c r="Z392" i="47" s="1"/>
  <c r="P150" i="47"/>
  <c r="P169" i="47" s="1"/>
  <c r="P132" i="47"/>
  <c r="P37" i="47"/>
  <c r="P56" i="47" s="1"/>
  <c r="P94" i="47"/>
  <c r="AB373" i="47"/>
  <c r="AB392" i="47" s="1"/>
  <c r="AM32" i="47"/>
  <c r="AM51" i="47" s="1"/>
  <c r="AJ32" i="47"/>
  <c r="AK32" i="47"/>
  <c r="AK51" i="47" s="1"/>
  <c r="S32" i="47"/>
  <c r="S51" i="47" s="1"/>
  <c r="AA32" i="47"/>
  <c r="AA51" i="47" s="1"/>
  <c r="AB32" i="47"/>
  <c r="AB51" i="47" s="1"/>
  <c r="AC89" i="47"/>
  <c r="AC108" i="47" s="1"/>
  <c r="AC32" i="47"/>
  <c r="AC51" i="47" s="1"/>
  <c r="Z32" i="47"/>
  <c r="T392" i="47"/>
  <c r="AD202" i="47"/>
  <c r="U202" i="47"/>
  <c r="AK392" i="47"/>
  <c r="Q89" i="47"/>
  <c r="Q108" i="47" s="1"/>
  <c r="AJ392" i="47"/>
  <c r="AN373" i="47"/>
  <c r="AA89" i="47"/>
  <c r="AA108" i="47" s="1"/>
  <c r="Q392" i="47"/>
  <c r="AK89" i="47"/>
  <c r="AK108" i="47" s="1"/>
  <c r="AB89" i="47"/>
  <c r="AB108" i="47" s="1"/>
  <c r="AN202" i="47"/>
  <c r="R89" i="47"/>
  <c r="R108" i="47" s="1"/>
  <c r="AM392" i="47"/>
  <c r="R392" i="47"/>
  <c r="AM89" i="47"/>
  <c r="AM108" i="47" s="1"/>
  <c r="AJ89" i="47"/>
  <c r="AJ108" i="47" s="1"/>
  <c r="S89" i="47"/>
  <c r="S108" i="47" s="1"/>
  <c r="Z89" i="47"/>
  <c r="Z108" i="47" s="1"/>
  <c r="S240" i="25"/>
  <c r="J14" i="25"/>
  <c r="X50" i="45"/>
  <c r="J222" i="25"/>
  <c r="J241" i="25" s="1"/>
  <c r="U221" i="25"/>
  <c r="U126" i="25"/>
  <c r="AJ242" i="25"/>
  <c r="AM242" i="25"/>
  <c r="AN223" i="25"/>
  <c r="AL242" i="25"/>
  <c r="AK242" i="25"/>
  <c r="AK53" i="25"/>
  <c r="AK72" i="25" s="1"/>
  <c r="AM91" i="25" s="1"/>
  <c r="AM129" i="25" s="1"/>
  <c r="Z15" i="25"/>
  <c r="Z53" i="25" s="1"/>
  <c r="Z72" i="25" s="1"/>
  <c r="Z223" i="25"/>
  <c r="Z242" i="25" s="1"/>
  <c r="AD128" i="25"/>
  <c r="AA223" i="25"/>
  <c r="AA15" i="25"/>
  <c r="AA53" i="25" s="1"/>
  <c r="AA72" i="25" s="1"/>
  <c r="AC223" i="25"/>
  <c r="AC15" i="25"/>
  <c r="AB223" i="25"/>
  <c r="AB15" i="25"/>
  <c r="T240" i="25"/>
  <c r="K14" i="25"/>
  <c r="K52" i="25" s="1"/>
  <c r="K71" i="25" s="1"/>
  <c r="K222" i="25"/>
  <c r="K241" i="25" s="1"/>
  <c r="R51" i="25"/>
  <c r="R70" i="25" s="1"/>
  <c r="I14" i="25"/>
  <c r="I127" i="25"/>
  <c r="I222" i="25"/>
  <c r="S51" i="25"/>
  <c r="S70" i="25" s="1"/>
  <c r="T51" i="25"/>
  <c r="T70" i="25" s="1"/>
  <c r="H14" i="25"/>
  <c r="H222" i="25"/>
  <c r="H127" i="25"/>
  <c r="R240" i="25"/>
  <c r="J52" i="29"/>
  <c r="J71" i="29" s="1"/>
  <c r="L127" i="29"/>
  <c r="H52" i="29"/>
  <c r="H71" i="29" s="1"/>
  <c r="K52" i="29"/>
  <c r="K71" i="29" s="1"/>
  <c r="K90" i="29" s="1"/>
  <c r="F94" i="29"/>
  <c r="F56" i="29"/>
  <c r="H56" i="41"/>
  <c r="H75" i="41" s="1"/>
  <c r="H226" i="41"/>
  <c r="L207" i="41"/>
  <c r="I56" i="41"/>
  <c r="I75" i="41" s="1"/>
  <c r="J56" i="41"/>
  <c r="J75" i="41" s="1"/>
  <c r="K56" i="41"/>
  <c r="K75" i="41" s="1"/>
  <c r="K94" i="41" s="1"/>
  <c r="K19" i="41"/>
  <c r="H52" i="39"/>
  <c r="H71" i="39" s="1"/>
  <c r="H241" i="39"/>
  <c r="L222" i="39"/>
  <c r="I52" i="39"/>
  <c r="I71" i="39" s="1"/>
  <c r="J52" i="39"/>
  <c r="J71" i="39" s="1"/>
  <c r="K52" i="39"/>
  <c r="K71" i="39" s="1"/>
  <c r="K90" i="39" s="1"/>
  <c r="K15" i="39" s="1"/>
  <c r="H92" i="37"/>
  <c r="K92" i="37"/>
  <c r="I92" i="37"/>
  <c r="J130" i="37"/>
  <c r="J244" i="37" s="1"/>
  <c r="J17" i="37"/>
  <c r="J55" i="37" s="1"/>
  <c r="J74" i="37" s="1"/>
  <c r="I93" i="13"/>
  <c r="K36" i="13" s="1"/>
  <c r="I94" i="13"/>
  <c r="K37" i="13" s="1"/>
  <c r="AJ258" i="55" l="1"/>
  <c r="Y33" i="46"/>
  <c r="Q33" i="46"/>
  <c r="AN144" i="55"/>
  <c r="U34" i="46"/>
  <c r="AN239" i="55"/>
  <c r="AD30" i="27"/>
  <c r="AD87" i="27" s="1"/>
  <c r="AD163" i="27" s="1"/>
  <c r="J33" i="46" s="1"/>
  <c r="V33" i="46" s="1"/>
  <c r="L32" i="56"/>
  <c r="M32" i="56" s="1"/>
  <c r="AL50" i="55"/>
  <c r="AL69" i="55" s="1"/>
  <c r="G21" i="55"/>
  <c r="E39" i="27" s="1"/>
  <c r="E96" i="27" s="1"/>
  <c r="AL258" i="55"/>
  <c r="AK258" i="55"/>
  <c r="X19" i="55"/>
  <c r="T37" i="27" s="1"/>
  <c r="T94" i="27" s="1"/>
  <c r="T170" i="27" s="1"/>
  <c r="X95" i="55"/>
  <c r="X20" i="55" s="1"/>
  <c r="AM258" i="55"/>
  <c r="Y22" i="55"/>
  <c r="Y116" i="55"/>
  <c r="N33" i="56"/>
  <c r="E61" i="56" s="1"/>
  <c r="AJ69" i="55"/>
  <c r="AJ183" i="55"/>
  <c r="AC14" i="55"/>
  <c r="AC108" i="55"/>
  <c r="M38" i="27"/>
  <c r="P58" i="55"/>
  <c r="P96" i="55"/>
  <c r="P21" i="55" s="1"/>
  <c r="AC37" i="27"/>
  <c r="AC94" i="27" s="1"/>
  <c r="AC170" i="27" s="1"/>
  <c r="AI95" i="55"/>
  <c r="AI57" i="55"/>
  <c r="Z146" i="55"/>
  <c r="Z241" i="55"/>
  <c r="AM69" i="55"/>
  <c r="AM183" i="55"/>
  <c r="AB146" i="55"/>
  <c r="AB241" i="55"/>
  <c r="AK69" i="55"/>
  <c r="AK183" i="55"/>
  <c r="AA146" i="55"/>
  <c r="AA241" i="55"/>
  <c r="AH21" i="55"/>
  <c r="AH115" i="55"/>
  <c r="Z14" i="55"/>
  <c r="V32" i="27" s="1"/>
  <c r="AA14" i="55"/>
  <c r="W32" i="27" s="1"/>
  <c r="AB14" i="55"/>
  <c r="X32" i="27" s="1"/>
  <c r="AB146" i="53"/>
  <c r="AB165" i="53" s="1"/>
  <c r="AB374" i="53" s="1"/>
  <c r="AB393" i="53" s="1"/>
  <c r="K33" i="53"/>
  <c r="K52" i="53" s="1"/>
  <c r="L392" i="53"/>
  <c r="AK374" i="53"/>
  <c r="S165" i="53"/>
  <c r="H203" i="53"/>
  <c r="H146" i="53"/>
  <c r="H14" i="53"/>
  <c r="T203" i="53"/>
  <c r="T146" i="53"/>
  <c r="T165" i="53" s="1"/>
  <c r="T14" i="53"/>
  <c r="AL203" i="53"/>
  <c r="AL14" i="53"/>
  <c r="AJ203" i="53"/>
  <c r="AJ14" i="53"/>
  <c r="J203" i="53"/>
  <c r="J146" i="53"/>
  <c r="J165" i="53" s="1"/>
  <c r="J14" i="53"/>
  <c r="AL374" i="53"/>
  <c r="AL393" i="53" s="1"/>
  <c r="AA203" i="53"/>
  <c r="AA146" i="53"/>
  <c r="AA165" i="53" s="1"/>
  <c r="AA14" i="53"/>
  <c r="R203" i="53"/>
  <c r="R146" i="53"/>
  <c r="R165" i="53" s="1"/>
  <c r="R14" i="53"/>
  <c r="AJ374" i="53"/>
  <c r="AM203" i="53"/>
  <c r="AM14" i="53"/>
  <c r="Q203" i="53"/>
  <c r="Q146" i="53"/>
  <c r="Q165" i="53" s="1"/>
  <c r="Q14" i="53"/>
  <c r="Z203" i="53"/>
  <c r="Z146" i="53"/>
  <c r="Z165" i="53" s="1"/>
  <c r="Z14" i="53"/>
  <c r="AB90" i="53"/>
  <c r="AB109" i="53" s="1"/>
  <c r="AB33" i="53"/>
  <c r="AB52" i="53" s="1"/>
  <c r="X155" i="53"/>
  <c r="X174" i="53"/>
  <c r="AK203" i="53"/>
  <c r="AK14" i="53"/>
  <c r="AC203" i="53"/>
  <c r="AC146" i="53"/>
  <c r="AC165" i="53" s="1"/>
  <c r="AC14" i="53"/>
  <c r="L355" i="53"/>
  <c r="L317" i="53"/>
  <c r="L241" i="53"/>
  <c r="L279" i="53"/>
  <c r="AM374" i="53"/>
  <c r="U355" i="53"/>
  <c r="U241" i="53"/>
  <c r="U279" i="53"/>
  <c r="U317" i="53"/>
  <c r="X39" i="47"/>
  <c r="X58" i="47" s="1"/>
  <c r="X134" i="47"/>
  <c r="X153" i="47" s="1"/>
  <c r="X172" i="47" s="1"/>
  <c r="K127" i="47"/>
  <c r="K14" i="47" s="1"/>
  <c r="AN279" i="52"/>
  <c r="AN241" i="52"/>
  <c r="AN317" i="52"/>
  <c r="AN355" i="52"/>
  <c r="AK374" i="52" s="1"/>
  <c r="K128" i="52"/>
  <c r="F134" i="52"/>
  <c r="S393" i="52"/>
  <c r="X97" i="52"/>
  <c r="X40" i="52"/>
  <c r="X59" i="52" s="1"/>
  <c r="AA203" i="52"/>
  <c r="AH60" i="52"/>
  <c r="X154" i="52"/>
  <c r="X173" i="52" s="1"/>
  <c r="X22" i="52"/>
  <c r="AA90" i="52"/>
  <c r="AA109" i="52" s="1"/>
  <c r="AA146" i="52"/>
  <c r="AA165" i="52" s="1"/>
  <c r="AA52" i="52"/>
  <c r="K33" i="52"/>
  <c r="K52" i="52" s="1"/>
  <c r="K146" i="52"/>
  <c r="K165" i="52" s="1"/>
  <c r="K90" i="52"/>
  <c r="AC146" i="52"/>
  <c r="AC165" i="52" s="1"/>
  <c r="AC203" i="52"/>
  <c r="AC14" i="52"/>
  <c r="T90" i="52"/>
  <c r="T109" i="52" s="1"/>
  <c r="T33" i="52"/>
  <c r="T52" i="52" s="1"/>
  <c r="G155" i="52"/>
  <c r="G174" i="52" s="1"/>
  <c r="AK203" i="52"/>
  <c r="AK14" i="52"/>
  <c r="R33" i="52"/>
  <c r="R52" i="52" s="1"/>
  <c r="R90" i="52"/>
  <c r="R109" i="52" s="1"/>
  <c r="Q33" i="52"/>
  <c r="Q90" i="52"/>
  <c r="Q109" i="52" s="1"/>
  <c r="P155" i="52"/>
  <c r="P174" i="52" s="1"/>
  <c r="R374" i="52"/>
  <c r="R393" i="52" s="1"/>
  <c r="U203" i="52"/>
  <c r="AB146" i="52"/>
  <c r="AB203" i="52"/>
  <c r="AB14" i="52"/>
  <c r="AJ203" i="52"/>
  <c r="AJ14" i="52"/>
  <c r="Q374" i="52"/>
  <c r="AL203" i="52"/>
  <c r="AL14" i="52"/>
  <c r="Z146" i="52"/>
  <c r="Z165" i="52" s="1"/>
  <c r="Z203" i="52"/>
  <c r="Z14" i="52"/>
  <c r="AM14" i="52"/>
  <c r="AM128" i="52" s="1"/>
  <c r="Y155" i="52"/>
  <c r="Y174" i="52" s="1"/>
  <c r="T374" i="52"/>
  <c r="T393" i="52" s="1"/>
  <c r="F39" i="52"/>
  <c r="F58" i="52" s="1"/>
  <c r="F96" i="52"/>
  <c r="J127" i="47"/>
  <c r="J203" i="47" s="1"/>
  <c r="H127" i="47"/>
  <c r="H14" i="47" s="1"/>
  <c r="L222" i="47"/>
  <c r="Y22" i="47"/>
  <c r="Y136" i="47" s="1"/>
  <c r="Y155" i="47" s="1"/>
  <c r="Y174" i="47" s="1"/>
  <c r="L392" i="47"/>
  <c r="L226" i="41"/>
  <c r="L241" i="39"/>
  <c r="L298" i="47"/>
  <c r="I127" i="47"/>
  <c r="I203" i="47" s="1"/>
  <c r="L336" i="47"/>
  <c r="L260" i="47"/>
  <c r="L373" i="47"/>
  <c r="G96" i="47"/>
  <c r="G134" i="47"/>
  <c r="G153" i="47" s="1"/>
  <c r="G172" i="47" s="1"/>
  <c r="E171" i="27"/>
  <c r="G39" i="47"/>
  <c r="G58" i="47" s="1"/>
  <c r="F153" i="47"/>
  <c r="F172" i="47" s="1"/>
  <c r="J52" i="25"/>
  <c r="J71" i="25" s="1"/>
  <c r="U240" i="25"/>
  <c r="X21" i="47"/>
  <c r="F96" i="47"/>
  <c r="F39" i="47"/>
  <c r="F58" i="47" s="1"/>
  <c r="S392" i="47"/>
  <c r="U392" i="47" s="1"/>
  <c r="U222" i="47"/>
  <c r="U336" i="47"/>
  <c r="U260" i="47"/>
  <c r="AJ51" i="47"/>
  <c r="AN222" i="47"/>
  <c r="AN298" i="47"/>
  <c r="AN260" i="47"/>
  <c r="AN336" i="47"/>
  <c r="P151" i="47"/>
  <c r="P170" i="47" s="1"/>
  <c r="AD373" i="47"/>
  <c r="U298" i="47"/>
  <c r="U355" i="47"/>
  <c r="U279" i="47"/>
  <c r="U317" i="47"/>
  <c r="U241" i="47"/>
  <c r="Z51" i="47"/>
  <c r="AD298" i="47"/>
  <c r="AD222" i="47"/>
  <c r="AD336" i="47"/>
  <c r="AD260" i="47"/>
  <c r="L241" i="47"/>
  <c r="L355" i="47"/>
  <c r="L279" i="47"/>
  <c r="L317" i="47"/>
  <c r="P19" i="47"/>
  <c r="M94" i="27" s="1"/>
  <c r="M170" i="27" s="1"/>
  <c r="AL146" i="47"/>
  <c r="AJ165" i="47"/>
  <c r="AJ146" i="47"/>
  <c r="AL165" i="47"/>
  <c r="AK165" i="47"/>
  <c r="AK146" i="47"/>
  <c r="AM146" i="47"/>
  <c r="AM165" i="47"/>
  <c r="Z127" i="47"/>
  <c r="J14" i="47"/>
  <c r="R127" i="47"/>
  <c r="AD392" i="47"/>
  <c r="S127" i="47"/>
  <c r="AJ127" i="47"/>
  <c r="AJ14" i="47" s="1"/>
  <c r="AM127" i="47"/>
  <c r="AC127" i="47"/>
  <c r="AL127" i="47"/>
  <c r="AA127" i="47"/>
  <c r="AB127" i="47"/>
  <c r="AK127" i="47"/>
  <c r="AN392" i="47"/>
  <c r="Q127" i="47"/>
  <c r="T127" i="47"/>
  <c r="L127" i="25"/>
  <c r="Q89" i="25"/>
  <c r="Q14" i="25" s="1"/>
  <c r="AN242" i="25"/>
  <c r="AL91" i="25"/>
  <c r="AL129" i="25" s="1"/>
  <c r="AM16" i="25"/>
  <c r="AM224" i="25"/>
  <c r="AK91" i="25"/>
  <c r="AK129" i="25" s="1"/>
  <c r="AJ91" i="25"/>
  <c r="AJ129" i="25" s="1"/>
  <c r="AB242" i="25"/>
  <c r="AC242" i="25"/>
  <c r="AC53" i="25"/>
  <c r="AC72" i="25" s="1"/>
  <c r="AB53" i="25"/>
  <c r="AB72" i="25" s="1"/>
  <c r="AD223" i="25"/>
  <c r="AA242" i="25"/>
  <c r="R89" i="25"/>
  <c r="R14" i="25" s="1"/>
  <c r="S89" i="25"/>
  <c r="S14" i="25" s="1"/>
  <c r="S52" i="25" s="1"/>
  <c r="S71" i="25" s="1"/>
  <c r="I241" i="25"/>
  <c r="L222" i="25"/>
  <c r="H241" i="25"/>
  <c r="H52" i="25"/>
  <c r="H71" i="25" s="1"/>
  <c r="T89" i="25"/>
  <c r="I52" i="25"/>
  <c r="I71" i="25" s="1"/>
  <c r="F19" i="29"/>
  <c r="K128" i="29"/>
  <c r="K223" i="29"/>
  <c r="K15" i="29"/>
  <c r="H90" i="29"/>
  <c r="I90" i="29"/>
  <c r="J90" i="29"/>
  <c r="J94" i="41"/>
  <c r="J19" i="41" s="1"/>
  <c r="I94" i="41"/>
  <c r="I19" i="41" s="1"/>
  <c r="H94" i="41"/>
  <c r="H19" i="41" s="1"/>
  <c r="F57" i="41"/>
  <c r="F95" i="41"/>
  <c r="F20" i="41" s="1"/>
  <c r="K132" i="41"/>
  <c r="K208" i="41"/>
  <c r="J132" i="41"/>
  <c r="J208" i="41"/>
  <c r="J227" i="41" s="1"/>
  <c r="I132" i="41"/>
  <c r="I208" i="41"/>
  <c r="H132" i="41"/>
  <c r="H208" i="41"/>
  <c r="K53" i="39"/>
  <c r="K72" i="39" s="1"/>
  <c r="K128" i="39"/>
  <c r="K223" i="39"/>
  <c r="J90" i="39"/>
  <c r="J15" i="39" s="1"/>
  <c r="I90" i="39"/>
  <c r="I15" i="39" s="1"/>
  <c r="H90" i="39"/>
  <c r="H15" i="39" s="1"/>
  <c r="F59" i="39"/>
  <c r="F97" i="39"/>
  <c r="F22" i="39" s="1"/>
  <c r="I130" i="37"/>
  <c r="I244" i="37" s="1"/>
  <c r="I17" i="37"/>
  <c r="I55" i="37" s="1"/>
  <c r="I74" i="37" s="1"/>
  <c r="K130" i="37"/>
  <c r="K244" i="37"/>
  <c r="K17" i="37"/>
  <c r="K55" i="37" s="1"/>
  <c r="K74" i="37" s="1"/>
  <c r="L225" i="37"/>
  <c r="H130" i="37"/>
  <c r="H244" i="37" s="1"/>
  <c r="H17" i="37"/>
  <c r="H55" i="37" s="1"/>
  <c r="H74" i="37" s="1"/>
  <c r="G57" i="37"/>
  <c r="G95" i="37"/>
  <c r="G20" i="37" s="1"/>
  <c r="F57" i="37"/>
  <c r="F95" i="37"/>
  <c r="F20" i="37" s="1"/>
  <c r="I234" i="29"/>
  <c r="I238" i="29"/>
  <c r="J236" i="29"/>
  <c r="J240" i="29"/>
  <c r="J233" i="29"/>
  <c r="J234" i="29"/>
  <c r="K234" i="29"/>
  <c r="I235" i="29"/>
  <c r="K235" i="29"/>
  <c r="H236" i="29"/>
  <c r="I236" i="29"/>
  <c r="K236" i="29"/>
  <c r="J237" i="29"/>
  <c r="J238" i="29"/>
  <c r="K238" i="29"/>
  <c r="I239" i="29"/>
  <c r="K239" i="29"/>
  <c r="H240" i="29"/>
  <c r="I240" i="29"/>
  <c r="K240" i="29"/>
  <c r="J241" i="29"/>
  <c r="G97" i="55" l="1"/>
  <c r="G116" i="55" s="1"/>
  <c r="G59" i="55"/>
  <c r="J12" i="56"/>
  <c r="AN258" i="55"/>
  <c r="F11" i="46" s="1"/>
  <c r="F32" i="46"/>
  <c r="R32" i="46" s="1"/>
  <c r="AL183" i="55"/>
  <c r="AN183" i="55" s="1"/>
  <c r="X57" i="55"/>
  <c r="X114" i="55"/>
  <c r="I11" i="56"/>
  <c r="G22" i="55"/>
  <c r="G98" i="55" s="1"/>
  <c r="G117" i="55" s="1"/>
  <c r="I11" i="48"/>
  <c r="U40" i="27"/>
  <c r="U97" i="27" s="1"/>
  <c r="U173" i="27" s="1"/>
  <c r="Y98" i="55"/>
  <c r="Y117" i="55" s="1"/>
  <c r="Y60" i="55"/>
  <c r="N12" i="56"/>
  <c r="F60" i="56" s="1"/>
  <c r="P115" i="55"/>
  <c r="K146" i="47"/>
  <c r="K165" i="47" s="1"/>
  <c r="K203" i="47"/>
  <c r="AK88" i="55"/>
  <c r="AK107" i="55" s="1"/>
  <c r="AI20" i="55"/>
  <c r="AI114" i="55"/>
  <c r="T38" i="27"/>
  <c r="T95" i="27" s="1"/>
  <c r="T171" i="27" s="1"/>
  <c r="X96" i="55"/>
  <c r="X115" i="55" s="1"/>
  <c r="X58" i="55"/>
  <c r="M39" i="27"/>
  <c r="P97" i="55"/>
  <c r="P22" i="55" s="1"/>
  <c r="P59" i="55"/>
  <c r="AL88" i="55"/>
  <c r="AM88" i="55"/>
  <c r="AC146" i="55"/>
  <c r="AD146" i="55" s="1"/>
  <c r="AC241" i="55"/>
  <c r="Y32" i="27"/>
  <c r="AC52" i="55"/>
  <c r="AC71" i="55" s="1"/>
  <c r="AB39" i="27"/>
  <c r="AB96" i="27" s="1"/>
  <c r="AB172" i="27" s="1"/>
  <c r="AH97" i="55"/>
  <c r="AH116" i="55" s="1"/>
  <c r="AH59" i="55"/>
  <c r="AJ88" i="55"/>
  <c r="Z52" i="55"/>
  <c r="Z71" i="55" s="1"/>
  <c r="AB52" i="55"/>
  <c r="AB71" i="55" s="1"/>
  <c r="AA52" i="55"/>
  <c r="AA71" i="55" s="1"/>
  <c r="AA260" i="55"/>
  <c r="AB260" i="55"/>
  <c r="U203" i="53"/>
  <c r="S374" i="53"/>
  <c r="S393" i="53" s="1"/>
  <c r="AM393" i="53"/>
  <c r="K374" i="53"/>
  <c r="K393" i="53" s="1"/>
  <c r="AM90" i="53"/>
  <c r="AM109" i="53" s="1"/>
  <c r="AM33" i="53"/>
  <c r="AM52" i="53" s="1"/>
  <c r="J90" i="53"/>
  <c r="J109" i="53" s="1"/>
  <c r="J33" i="53"/>
  <c r="J52" i="53" s="1"/>
  <c r="H90" i="53"/>
  <c r="H109" i="53" s="1"/>
  <c r="H33" i="53"/>
  <c r="H52" i="53"/>
  <c r="AC90" i="53"/>
  <c r="AC109" i="53" s="1"/>
  <c r="AC33" i="53"/>
  <c r="AC52" i="53" s="1"/>
  <c r="AK90" i="53"/>
  <c r="AK109" i="53" s="1"/>
  <c r="AK33" i="53"/>
  <c r="AK52" i="53"/>
  <c r="AN374" i="53"/>
  <c r="AJ393" i="53"/>
  <c r="J374" i="53"/>
  <c r="J393" i="53" s="1"/>
  <c r="H165" i="53"/>
  <c r="H374" i="53" s="1"/>
  <c r="T90" i="53"/>
  <c r="T109" i="53" s="1"/>
  <c r="T33" i="53"/>
  <c r="T52" i="53" s="1"/>
  <c r="Z90" i="53"/>
  <c r="Z109" i="53" s="1"/>
  <c r="Z33" i="53"/>
  <c r="Z52" i="53" s="1"/>
  <c r="R90" i="53"/>
  <c r="R109" i="53" s="1"/>
  <c r="R33" i="53"/>
  <c r="R52" i="53" s="1"/>
  <c r="L203" i="53"/>
  <c r="AC374" i="53"/>
  <c r="AC393" i="53" s="1"/>
  <c r="I374" i="53"/>
  <c r="I393" i="53" s="1"/>
  <c r="R374" i="53"/>
  <c r="R393" i="53" s="1"/>
  <c r="AJ90" i="53"/>
  <c r="AJ109" i="53" s="1"/>
  <c r="AJ33" i="53"/>
  <c r="AJ52" i="53" s="1"/>
  <c r="T374" i="53"/>
  <c r="T393" i="53" s="1"/>
  <c r="Z374" i="53"/>
  <c r="AN203" i="53"/>
  <c r="AK393" i="53"/>
  <c r="Q374" i="53"/>
  <c r="AD203" i="53"/>
  <c r="AL90" i="53"/>
  <c r="AL109" i="53" s="1"/>
  <c r="AL33" i="53"/>
  <c r="AL52" i="53" s="1"/>
  <c r="AA374" i="53"/>
  <c r="AA393" i="53" s="1"/>
  <c r="Q90" i="53"/>
  <c r="Q109" i="53" s="1"/>
  <c r="Q33" i="53"/>
  <c r="AA90" i="53"/>
  <c r="AA109" i="53" s="1"/>
  <c r="AA33" i="53"/>
  <c r="AA52" i="53" s="1"/>
  <c r="AL374" i="52"/>
  <c r="J146" i="47"/>
  <c r="H203" i="47"/>
  <c r="H146" i="47"/>
  <c r="H165" i="47" s="1"/>
  <c r="Y41" i="47"/>
  <c r="Y60" i="47" s="1"/>
  <c r="AJ374" i="52"/>
  <c r="AJ393" i="52" s="1"/>
  <c r="AM393" i="52"/>
  <c r="AA374" i="52"/>
  <c r="AA393" i="52" s="1"/>
  <c r="X98" i="52"/>
  <c r="X41" i="52"/>
  <c r="X60" i="52" s="1"/>
  <c r="X136" i="52"/>
  <c r="AL393" i="52"/>
  <c r="AN203" i="52"/>
  <c r="AK393" i="52"/>
  <c r="AD203" i="52"/>
  <c r="Q128" i="52"/>
  <c r="S128" i="52"/>
  <c r="T128" i="52"/>
  <c r="R128" i="52"/>
  <c r="U374" i="52"/>
  <c r="Q393" i="52"/>
  <c r="U393" i="52" s="1"/>
  <c r="U299" i="52"/>
  <c r="U337" i="52"/>
  <c r="U261" i="52"/>
  <c r="U223" i="52"/>
  <c r="F153" i="52"/>
  <c r="F172" i="52" s="1"/>
  <c r="AB33" i="52"/>
  <c r="AB52" i="52" s="1"/>
  <c r="AB90" i="52"/>
  <c r="AB109" i="52" s="1"/>
  <c r="Z374" i="52"/>
  <c r="AM33" i="52"/>
  <c r="AM90" i="52"/>
  <c r="AL33" i="52"/>
  <c r="AL52" i="52" s="1"/>
  <c r="AL90" i="52"/>
  <c r="AL109" i="52" s="1"/>
  <c r="AC33" i="52"/>
  <c r="AC52" i="52" s="1"/>
  <c r="AC90" i="52"/>
  <c r="AC109" i="52" s="1"/>
  <c r="Z33" i="52"/>
  <c r="Z52" i="52" s="1"/>
  <c r="Z90" i="52"/>
  <c r="Z109" i="52" s="1"/>
  <c r="Q52" i="52"/>
  <c r="AB165" i="52"/>
  <c r="AB374" i="52" s="1"/>
  <c r="AB393" i="52" s="1"/>
  <c r="AK33" i="52"/>
  <c r="AK52" i="52" s="1"/>
  <c r="AK90" i="52"/>
  <c r="AK109" i="52" s="1"/>
  <c r="F21" i="52"/>
  <c r="AC374" i="52"/>
  <c r="AC393" i="52" s="1"/>
  <c r="AJ33" i="52"/>
  <c r="AJ90" i="52"/>
  <c r="AJ109" i="52" s="1"/>
  <c r="AJ128" i="52" s="1"/>
  <c r="I14" i="47"/>
  <c r="I90" i="47" s="1"/>
  <c r="I109" i="47" s="1"/>
  <c r="I146" i="47"/>
  <c r="I165" i="47" s="1"/>
  <c r="Y98" i="47"/>
  <c r="X40" i="47"/>
  <c r="X59" i="47" s="1"/>
  <c r="K242" i="39"/>
  <c r="K242" i="29"/>
  <c r="I227" i="41"/>
  <c r="K227" i="41"/>
  <c r="G21" i="47"/>
  <c r="G135" i="47" s="1"/>
  <c r="J33" i="47"/>
  <c r="J52" i="47" s="1"/>
  <c r="AA91" i="25"/>
  <c r="AA224" i="25" s="1"/>
  <c r="X135" i="47"/>
  <c r="X154" i="47" s="1"/>
  <c r="X173" i="47" s="1"/>
  <c r="X97" i="47"/>
  <c r="F21" i="47"/>
  <c r="F135" i="47" s="1"/>
  <c r="R14" i="47"/>
  <c r="R146" i="47"/>
  <c r="R165" i="47" s="1"/>
  <c r="R374" i="47" s="1"/>
  <c r="J165" i="47"/>
  <c r="J374" i="47" s="1"/>
  <c r="AC146" i="47"/>
  <c r="AC165" i="47" s="1"/>
  <c r="T146" i="47"/>
  <c r="T165" i="47" s="1"/>
  <c r="P133" i="47"/>
  <c r="P20" i="47" s="1"/>
  <c r="M95" i="27" s="1"/>
  <c r="M171" i="27" s="1"/>
  <c r="P38" i="47"/>
  <c r="P57" i="47" s="1"/>
  <c r="P95" i="47"/>
  <c r="AB146" i="47"/>
  <c r="AB165" i="47" s="1"/>
  <c r="Q146" i="47"/>
  <c r="AA146" i="47"/>
  <c r="AA165" i="47" s="1"/>
  <c r="S14" i="47"/>
  <c r="S146" i="47"/>
  <c r="S165" i="47" s="1"/>
  <c r="S374" i="47" s="1"/>
  <c r="Z14" i="47"/>
  <c r="Z146" i="47"/>
  <c r="Z165" i="47" s="1"/>
  <c r="K374" i="47"/>
  <c r="K393" i="47" s="1"/>
  <c r="AD279" i="47"/>
  <c r="AD355" i="47"/>
  <c r="AD241" i="47"/>
  <c r="AD317" i="47"/>
  <c r="AN317" i="47"/>
  <c r="AN279" i="47"/>
  <c r="AN241" i="47"/>
  <c r="AN355" i="47"/>
  <c r="J90" i="47"/>
  <c r="J109" i="47" s="1"/>
  <c r="AJ33" i="47"/>
  <c r="S203" i="47"/>
  <c r="R203" i="47"/>
  <c r="H33" i="47"/>
  <c r="K33" i="47"/>
  <c r="K52" i="47" s="1"/>
  <c r="AJ203" i="47"/>
  <c r="L203" i="47"/>
  <c r="Z203" i="47"/>
  <c r="Q203" i="47"/>
  <c r="Q14" i="47"/>
  <c r="AL203" i="47"/>
  <c r="AL14" i="47"/>
  <c r="T203" i="47"/>
  <c r="T14" i="47"/>
  <c r="AC203" i="47"/>
  <c r="AC14" i="47"/>
  <c r="Y89" i="27" s="1"/>
  <c r="Y165" i="27" s="1"/>
  <c r="AM203" i="47"/>
  <c r="AM14" i="47"/>
  <c r="AK203" i="47"/>
  <c r="AK14" i="47"/>
  <c r="AA203" i="47"/>
  <c r="AA14" i="47"/>
  <c r="W89" i="27" s="1"/>
  <c r="W165" i="27" s="1"/>
  <c r="H90" i="47"/>
  <c r="H109" i="47" s="1"/>
  <c r="AJ90" i="47"/>
  <c r="AJ109" i="47" s="1"/>
  <c r="K90" i="47"/>
  <c r="K109" i="47" s="1"/>
  <c r="AB203" i="47"/>
  <c r="AB14" i="47"/>
  <c r="X89" i="27" s="1"/>
  <c r="X165" i="27" s="1"/>
  <c r="Q222" i="25"/>
  <c r="Q127" i="25"/>
  <c r="T13" i="45"/>
  <c r="T51" i="45" s="1"/>
  <c r="U13" i="45"/>
  <c r="U51" i="45" s="1"/>
  <c r="W13" i="45"/>
  <c r="W51" i="45" s="1"/>
  <c r="V13" i="45"/>
  <c r="V51" i="45" s="1"/>
  <c r="L241" i="25"/>
  <c r="AL224" i="25"/>
  <c r="AL243" i="25" s="1"/>
  <c r="AL16" i="25"/>
  <c r="AL54" i="25" s="1"/>
  <c r="AL73" i="25" s="1"/>
  <c r="AN129" i="25"/>
  <c r="AJ224" i="25"/>
  <c r="AJ16" i="25"/>
  <c r="AK224" i="25"/>
  <c r="AK16" i="25"/>
  <c r="AK54" i="25" s="1"/>
  <c r="AK73" i="25" s="1"/>
  <c r="AM54" i="25"/>
  <c r="AM73" i="25" s="1"/>
  <c r="AM243" i="25"/>
  <c r="AD242" i="25"/>
  <c r="AB91" i="25"/>
  <c r="AB129" i="25" s="1"/>
  <c r="AC91" i="25"/>
  <c r="AC129" i="25" s="1"/>
  <c r="Z91" i="25"/>
  <c r="Z129" i="25" s="1"/>
  <c r="R222" i="25"/>
  <c r="R52" i="25"/>
  <c r="R71" i="25" s="1"/>
  <c r="S222" i="25"/>
  <c r="S127" i="25"/>
  <c r="R127" i="25"/>
  <c r="K90" i="25"/>
  <c r="J90" i="25"/>
  <c r="H90" i="25"/>
  <c r="H223" i="25" s="1"/>
  <c r="L244" i="37"/>
  <c r="I90" i="25"/>
  <c r="Q52" i="25"/>
  <c r="Q71" i="25" s="1"/>
  <c r="T127" i="25"/>
  <c r="T222" i="25"/>
  <c r="T14" i="25"/>
  <c r="J15" i="29"/>
  <c r="J128" i="29"/>
  <c r="J223" i="29"/>
  <c r="I15" i="29"/>
  <c r="I128" i="29"/>
  <c r="I223" i="29"/>
  <c r="H15" i="29"/>
  <c r="H128" i="29"/>
  <c r="H223" i="29"/>
  <c r="K53" i="29"/>
  <c r="K72" i="29" s="1"/>
  <c r="F95" i="29"/>
  <c r="F57" i="29"/>
  <c r="H57" i="41"/>
  <c r="H76" i="41" s="1"/>
  <c r="H227" i="41"/>
  <c r="L208" i="41"/>
  <c r="I57" i="41"/>
  <c r="I76" i="41" s="1"/>
  <c r="J57" i="41"/>
  <c r="J76" i="41" s="1"/>
  <c r="K57" i="41"/>
  <c r="K76" i="41" s="1"/>
  <c r="K95" i="41" s="1"/>
  <c r="K20" i="41"/>
  <c r="H128" i="39"/>
  <c r="H223" i="39"/>
  <c r="I128" i="39"/>
  <c r="I223" i="39"/>
  <c r="J128" i="39"/>
  <c r="J223" i="39"/>
  <c r="H93" i="37"/>
  <c r="J93" i="37"/>
  <c r="K93" i="37"/>
  <c r="I93" i="37"/>
  <c r="J18" i="37"/>
  <c r="J56" i="37" s="1"/>
  <c r="J75" i="37" s="1"/>
  <c r="J131" i="37"/>
  <c r="J245" i="37" s="1"/>
  <c r="H18" i="37"/>
  <c r="H56" i="37" s="1"/>
  <c r="H75" i="37" s="1"/>
  <c r="H131" i="37"/>
  <c r="H245" i="37" s="1"/>
  <c r="L240" i="29"/>
  <c r="L236" i="29"/>
  <c r="L221" i="29"/>
  <c r="L217" i="29"/>
  <c r="H241" i="29"/>
  <c r="H237" i="29"/>
  <c r="J239" i="29"/>
  <c r="J235" i="29"/>
  <c r="I241" i="29"/>
  <c r="I237" i="29"/>
  <c r="K241" i="29"/>
  <c r="H239" i="29"/>
  <c r="K237" i="29"/>
  <c r="H235" i="29"/>
  <c r="K233" i="29"/>
  <c r="Z32" i="46" l="1"/>
  <c r="L11" i="56"/>
  <c r="M11" i="56" s="1"/>
  <c r="F84" i="56"/>
  <c r="L84" i="56" s="1"/>
  <c r="G60" i="55"/>
  <c r="E40" i="27"/>
  <c r="E97" i="27" s="1"/>
  <c r="AK240" i="55"/>
  <c r="AK145" i="55"/>
  <c r="AK13" i="55"/>
  <c r="AE31" i="27" s="1"/>
  <c r="AE88" i="27" s="1"/>
  <c r="AE164" i="27" s="1"/>
  <c r="AC260" i="55"/>
  <c r="AH22" i="55"/>
  <c r="AB40" i="27" s="1"/>
  <c r="AB97" i="27" s="1"/>
  <c r="AB173" i="27" s="1"/>
  <c r="X21" i="55"/>
  <c r="T39" i="27" s="1"/>
  <c r="T96" i="27" s="1"/>
  <c r="T172" i="27" s="1"/>
  <c r="P116" i="55"/>
  <c r="AM107" i="55"/>
  <c r="AM13" i="55"/>
  <c r="AL107" i="55"/>
  <c r="AL13" i="55"/>
  <c r="AJ107" i="55"/>
  <c r="AJ13" i="55"/>
  <c r="AC38" i="27"/>
  <c r="AC95" i="27" s="1"/>
  <c r="AC171" i="27" s="1"/>
  <c r="AI96" i="55"/>
  <c r="AI58" i="55"/>
  <c r="Z90" i="55"/>
  <c r="Z109" i="55" s="1"/>
  <c r="AC90" i="55"/>
  <c r="AC109" i="55" s="1"/>
  <c r="AD241" i="55"/>
  <c r="Z260" i="55"/>
  <c r="AA90" i="55"/>
  <c r="AA109" i="55" s="1"/>
  <c r="AB90" i="55"/>
  <c r="AB109" i="55" s="1"/>
  <c r="AB128" i="53"/>
  <c r="AN393" i="53"/>
  <c r="J128" i="53"/>
  <c r="J15" i="53" s="1"/>
  <c r="R128" i="53"/>
  <c r="Z128" i="53"/>
  <c r="Z15" i="53" s="1"/>
  <c r="AN356" i="53"/>
  <c r="AN318" i="53"/>
  <c r="AN242" i="53"/>
  <c r="AN280" i="53"/>
  <c r="AD374" i="53"/>
  <c r="Z393" i="53"/>
  <c r="AD393" i="53" s="1"/>
  <c r="L374" i="53"/>
  <c r="H393" i="53"/>
  <c r="L356" i="53"/>
  <c r="L280" i="53"/>
  <c r="L318" i="53"/>
  <c r="L242" i="53"/>
  <c r="Q128" i="53"/>
  <c r="S128" i="53"/>
  <c r="Z91" i="53"/>
  <c r="Z110" i="53" s="1"/>
  <c r="Z34" i="53"/>
  <c r="Z53" i="53"/>
  <c r="L337" i="53"/>
  <c r="L261" i="53"/>
  <c r="L299" i="53"/>
  <c r="L223" i="53"/>
  <c r="R204" i="53"/>
  <c r="R147" i="53"/>
  <c r="R166" i="53" s="1"/>
  <c r="AD299" i="53"/>
  <c r="AD261" i="53"/>
  <c r="AD337" i="53"/>
  <c r="AD223" i="53"/>
  <c r="AB204" i="53"/>
  <c r="AB147" i="53"/>
  <c r="AB166" i="53" s="1"/>
  <c r="AB15" i="53"/>
  <c r="H128" i="53"/>
  <c r="I128" i="53"/>
  <c r="K128" i="53"/>
  <c r="J91" i="53"/>
  <c r="J110" i="53" s="1"/>
  <c r="J34" i="53"/>
  <c r="J53" i="53" s="1"/>
  <c r="AJ147" i="53"/>
  <c r="AJ166" i="53"/>
  <c r="AJ128" i="53"/>
  <c r="Z204" i="53"/>
  <c r="Z147" i="53"/>
  <c r="Z166" i="53" s="1"/>
  <c r="J204" i="53"/>
  <c r="J147" i="53"/>
  <c r="J166" i="53" s="1"/>
  <c r="AN299" i="53"/>
  <c r="AN337" i="53"/>
  <c r="AN223" i="53"/>
  <c r="AN261" i="53"/>
  <c r="AL166" i="53"/>
  <c r="AL147" i="53"/>
  <c r="AL128" i="53"/>
  <c r="AK166" i="53"/>
  <c r="AK147" i="53"/>
  <c r="AK128" i="53"/>
  <c r="AD356" i="53"/>
  <c r="AD318" i="53"/>
  <c r="AD280" i="53"/>
  <c r="AD242" i="53"/>
  <c r="T128" i="53"/>
  <c r="AA128" i="53"/>
  <c r="Q393" i="53"/>
  <c r="U393" i="53" s="1"/>
  <c r="U374" i="53"/>
  <c r="U337" i="53"/>
  <c r="U261" i="53"/>
  <c r="U223" i="53"/>
  <c r="U299" i="53"/>
  <c r="Q52" i="53"/>
  <c r="R15" i="53"/>
  <c r="AC128" i="53"/>
  <c r="AM166" i="53"/>
  <c r="AM147" i="53"/>
  <c r="AM128" i="53"/>
  <c r="I33" i="47"/>
  <c r="I52" i="47" s="1"/>
  <c r="H374" i="47"/>
  <c r="H393" i="47" s="1"/>
  <c r="AK128" i="52"/>
  <c r="AN374" i="52"/>
  <c r="AA129" i="25"/>
  <c r="AA243" i="25" s="1"/>
  <c r="I374" i="47"/>
  <c r="I393" i="47" s="1"/>
  <c r="AL128" i="52"/>
  <c r="AM52" i="52"/>
  <c r="AM166" i="52" s="1"/>
  <c r="AM147" i="52"/>
  <c r="X155" i="52"/>
  <c r="X174" i="52" s="1"/>
  <c r="AC128" i="52"/>
  <c r="AC204" i="52" s="1"/>
  <c r="AN393" i="52"/>
  <c r="AD242" i="52"/>
  <c r="AD280" i="52"/>
  <c r="AD318" i="52"/>
  <c r="AD356" i="52"/>
  <c r="AB128" i="52"/>
  <c r="Z393" i="52"/>
  <c r="AD393" i="52" s="1"/>
  <c r="AD374" i="52"/>
  <c r="U242" i="52"/>
  <c r="U280" i="52"/>
  <c r="U356" i="52"/>
  <c r="U318" i="52"/>
  <c r="F40" i="52"/>
  <c r="F59" i="52" s="1"/>
  <c r="F97" i="52"/>
  <c r="F135" i="52"/>
  <c r="F22" i="52" s="1"/>
  <c r="AK166" i="52"/>
  <c r="AK147" i="52"/>
  <c r="R147" i="52"/>
  <c r="R166" i="52" s="1"/>
  <c r="R204" i="52"/>
  <c r="R15" i="52"/>
  <c r="AJ166" i="52"/>
  <c r="AJ147" i="52"/>
  <c r="Z128" i="52"/>
  <c r="AA128" i="52"/>
  <c r="T147" i="52"/>
  <c r="T166" i="52" s="1"/>
  <c r="T204" i="52"/>
  <c r="T15" i="52"/>
  <c r="AL147" i="52"/>
  <c r="AL166" i="52"/>
  <c r="AN223" i="52"/>
  <c r="AN261" i="52"/>
  <c r="AN299" i="52"/>
  <c r="AN337" i="52"/>
  <c r="AD223" i="52"/>
  <c r="AD261" i="52"/>
  <c r="AD299" i="52"/>
  <c r="AD337" i="52"/>
  <c r="S147" i="52"/>
  <c r="S204" i="52"/>
  <c r="S15" i="52"/>
  <c r="AJ52" i="52"/>
  <c r="Q147" i="52"/>
  <c r="Q166" i="52" s="1"/>
  <c r="Q204" i="52"/>
  <c r="Q15" i="52"/>
  <c r="G97" i="47"/>
  <c r="G40" i="47"/>
  <c r="G59" i="47" s="1"/>
  <c r="Z33" i="47"/>
  <c r="Z52" i="47" s="1"/>
  <c r="V89" i="27"/>
  <c r="V165" i="27" s="1"/>
  <c r="I35" i="46" s="1"/>
  <c r="U35" i="46" s="1"/>
  <c r="S33" i="47"/>
  <c r="S52" i="47" s="1"/>
  <c r="R90" i="47"/>
  <c r="R109" i="47" s="1"/>
  <c r="I242" i="29"/>
  <c r="L227" i="41"/>
  <c r="I242" i="39"/>
  <c r="J242" i="39"/>
  <c r="L128" i="29"/>
  <c r="J242" i="29"/>
  <c r="G22" i="47"/>
  <c r="G136" i="47" s="1"/>
  <c r="G155" i="47" s="1"/>
  <c r="G174" i="47" s="1"/>
  <c r="E172" i="27"/>
  <c r="AA16" i="25"/>
  <c r="AA54" i="25" s="1"/>
  <c r="AA73" i="25" s="1"/>
  <c r="E173" i="27"/>
  <c r="G154" i="47"/>
  <c r="G173" i="47" s="1"/>
  <c r="Q241" i="25"/>
  <c r="X22" i="47"/>
  <c r="F154" i="47"/>
  <c r="F173" i="47" s="1"/>
  <c r="Z90" i="47"/>
  <c r="Z109" i="47" s="1"/>
  <c r="S90" i="47"/>
  <c r="S109" i="47" s="1"/>
  <c r="F40" i="47"/>
  <c r="F59" i="47" s="1"/>
  <c r="F97" i="47"/>
  <c r="AM374" i="47"/>
  <c r="AM393" i="47" s="1"/>
  <c r="R33" i="47"/>
  <c r="R52" i="47" s="1"/>
  <c r="AJ374" i="47"/>
  <c r="AJ393" i="47" s="1"/>
  <c r="S393" i="47"/>
  <c r="R393" i="47"/>
  <c r="AB374" i="47"/>
  <c r="AB393" i="47" s="1"/>
  <c r="AA374" i="47"/>
  <c r="AA393" i="47" s="1"/>
  <c r="T374" i="47"/>
  <c r="T393" i="47" s="1"/>
  <c r="Z374" i="47"/>
  <c r="Z393" i="47" s="1"/>
  <c r="AL374" i="47"/>
  <c r="AK374" i="47"/>
  <c r="AK393" i="47" s="1"/>
  <c r="J393" i="47"/>
  <c r="AC374" i="47"/>
  <c r="AC393" i="47" s="1"/>
  <c r="Q165" i="47"/>
  <c r="Q374" i="47" s="1"/>
  <c r="AJ52" i="47"/>
  <c r="P152" i="47"/>
  <c r="P171" i="47" s="1"/>
  <c r="P134" i="47"/>
  <c r="P21" i="47" s="1"/>
  <c r="M96" i="27" s="1"/>
  <c r="M172" i="27" s="1"/>
  <c r="P96" i="47"/>
  <c r="P39" i="47"/>
  <c r="P58" i="47" s="1"/>
  <c r="H52" i="47"/>
  <c r="AM33" i="47"/>
  <c r="AM52" i="47" s="1"/>
  <c r="AL33" i="47"/>
  <c r="AL52" i="47" s="1"/>
  <c r="AK33" i="47"/>
  <c r="AK52" i="47" s="1"/>
  <c r="AA33" i="47"/>
  <c r="AA52" i="47" s="1"/>
  <c r="AC33" i="47"/>
  <c r="AC52" i="47" s="1"/>
  <c r="T33" i="47"/>
  <c r="T52" i="47" s="1"/>
  <c r="Q33" i="47"/>
  <c r="AB33" i="47"/>
  <c r="AB52" i="47" s="1"/>
  <c r="AD203" i="47"/>
  <c r="I128" i="47"/>
  <c r="J128" i="47"/>
  <c r="AN203" i="47"/>
  <c r="AA90" i="47"/>
  <c r="AA109" i="47" s="1"/>
  <c r="T90" i="47"/>
  <c r="T109" i="47" s="1"/>
  <c r="AL90" i="47"/>
  <c r="AL109" i="47" s="1"/>
  <c r="Q90" i="47"/>
  <c r="Q109" i="47" s="1"/>
  <c r="AB90" i="47"/>
  <c r="AB109" i="47" s="1"/>
  <c r="AC90" i="47"/>
  <c r="AC109" i="47" s="1"/>
  <c r="U203" i="47"/>
  <c r="K128" i="47"/>
  <c r="H128" i="47"/>
  <c r="AK90" i="47"/>
  <c r="AK109" i="47" s="1"/>
  <c r="AM90" i="47"/>
  <c r="AM109" i="47" s="1"/>
  <c r="T241" i="25"/>
  <c r="X51" i="45"/>
  <c r="U127" i="25"/>
  <c r="R241" i="25"/>
  <c r="U222" i="25"/>
  <c r="AK243" i="25"/>
  <c r="AJ54" i="25"/>
  <c r="AJ73" i="25" s="1"/>
  <c r="AJ92" i="25" s="1"/>
  <c r="AJ243" i="25"/>
  <c r="AN224" i="25"/>
  <c r="AC224" i="25"/>
  <c r="AC16" i="25"/>
  <c r="Z224" i="25"/>
  <c r="Z16" i="25"/>
  <c r="AB224" i="25"/>
  <c r="AB16" i="25"/>
  <c r="AB54" i="25" s="1"/>
  <c r="AB73" i="25" s="1"/>
  <c r="S241" i="25"/>
  <c r="T52" i="25"/>
  <c r="T71" i="25" s="1"/>
  <c r="Q90" i="25" s="1"/>
  <c r="I15" i="25"/>
  <c r="I223" i="25"/>
  <c r="I128" i="25"/>
  <c r="H15" i="25"/>
  <c r="H128" i="25"/>
  <c r="J15" i="25"/>
  <c r="J223" i="25"/>
  <c r="J128" i="25"/>
  <c r="L235" i="29"/>
  <c r="K15" i="25"/>
  <c r="K223" i="25"/>
  <c r="K128" i="25"/>
  <c r="L239" i="29"/>
  <c r="F20" i="29"/>
  <c r="H53" i="29"/>
  <c r="H72" i="29" s="1"/>
  <c r="I53" i="29"/>
  <c r="I72" i="29" s="1"/>
  <c r="J53" i="29"/>
  <c r="J72" i="29" s="1"/>
  <c r="J91" i="29" s="1"/>
  <c r="J95" i="41"/>
  <c r="J20" i="41" s="1"/>
  <c r="I95" i="41"/>
  <c r="I20" i="41" s="1"/>
  <c r="H95" i="41"/>
  <c r="H20" i="41" s="1"/>
  <c r="F58" i="41"/>
  <c r="F96" i="41"/>
  <c r="F21" i="41" s="1"/>
  <c r="K133" i="41"/>
  <c r="K209" i="41"/>
  <c r="J133" i="41"/>
  <c r="J209" i="41"/>
  <c r="I133" i="41"/>
  <c r="I209" i="41"/>
  <c r="H133" i="41"/>
  <c r="H209" i="41"/>
  <c r="J53" i="39"/>
  <c r="J72" i="39" s="1"/>
  <c r="I53" i="39"/>
  <c r="I72" i="39" s="1"/>
  <c r="H53" i="39"/>
  <c r="H72" i="39" s="1"/>
  <c r="H242" i="39"/>
  <c r="L223" i="39"/>
  <c r="L128" i="39"/>
  <c r="F60" i="39"/>
  <c r="F98" i="39"/>
  <c r="I18" i="37"/>
  <c r="I56" i="37" s="1"/>
  <c r="I75" i="37" s="1"/>
  <c r="I131" i="37"/>
  <c r="I245" i="37" s="1"/>
  <c r="K18" i="37"/>
  <c r="K56" i="37" s="1"/>
  <c r="K75" i="37" s="1"/>
  <c r="K94" i="37" s="1"/>
  <c r="K131" i="37"/>
  <c r="K245" i="37" s="1"/>
  <c r="L226" i="37"/>
  <c r="G58" i="37"/>
  <c r="G96" i="37"/>
  <c r="G21" i="37" s="1"/>
  <c r="F58" i="37"/>
  <c r="F96" i="37"/>
  <c r="F21" i="37" s="1"/>
  <c r="I233" i="29"/>
  <c r="L233" i="29" s="1"/>
  <c r="L214" i="29"/>
  <c r="L215" i="29"/>
  <c r="H234" i="29"/>
  <c r="L234" i="29" s="1"/>
  <c r="L219" i="29"/>
  <c r="H238" i="29"/>
  <c r="L238" i="29" s="1"/>
  <c r="L223" i="29"/>
  <c r="H242" i="29"/>
  <c r="L237" i="29"/>
  <c r="L241" i="29"/>
  <c r="L216" i="29"/>
  <c r="L218" i="29"/>
  <c r="L220" i="29"/>
  <c r="L222" i="29"/>
  <c r="E34" i="46" l="1"/>
  <c r="X97" i="55"/>
  <c r="X59" i="55"/>
  <c r="I33" i="56"/>
  <c r="E86" i="56" s="1"/>
  <c r="K86" i="56" s="1"/>
  <c r="AK51" i="55"/>
  <c r="AK70" i="55" s="1"/>
  <c r="AJ240" i="55"/>
  <c r="AJ145" i="55"/>
  <c r="AL240" i="55"/>
  <c r="AL145" i="55"/>
  <c r="AM240" i="55"/>
  <c r="AM145" i="55"/>
  <c r="AH60" i="55"/>
  <c r="AH98" i="55"/>
  <c r="AH117" i="55" s="1"/>
  <c r="AK259" i="55"/>
  <c r="J34" i="48"/>
  <c r="N34" i="48" s="1"/>
  <c r="J34" i="56"/>
  <c r="L261" i="47"/>
  <c r="L223" i="47"/>
  <c r="L337" i="47"/>
  <c r="L299" i="47"/>
  <c r="AF31" i="27"/>
  <c r="AF88" i="27" s="1"/>
  <c r="AF164" i="27" s="1"/>
  <c r="AL51" i="55"/>
  <c r="AG31" i="27"/>
  <c r="AG88" i="27" s="1"/>
  <c r="AG164" i="27" s="1"/>
  <c r="AM51" i="55"/>
  <c r="M40" i="27"/>
  <c r="P60" i="55"/>
  <c r="P98" i="55"/>
  <c r="P117" i="55" s="1"/>
  <c r="AD31" i="27"/>
  <c r="AD88" i="27" s="1"/>
  <c r="AD164" i="27" s="1"/>
  <c r="AJ51" i="55"/>
  <c r="AA147" i="55"/>
  <c r="AA242" i="55"/>
  <c r="AC147" i="55"/>
  <c r="AC242" i="55"/>
  <c r="AI21" i="55"/>
  <c r="AI115" i="55"/>
  <c r="X22" i="55"/>
  <c r="X116" i="55"/>
  <c r="AB147" i="55"/>
  <c r="AB242" i="55"/>
  <c r="Z147" i="55"/>
  <c r="Z242" i="55"/>
  <c r="AD260" i="55"/>
  <c r="E13" i="46" s="1"/>
  <c r="I33" i="48"/>
  <c r="L33" i="48" s="1"/>
  <c r="M33" i="48" s="1"/>
  <c r="AC15" i="55"/>
  <c r="Y33" i="27" s="1"/>
  <c r="AB15" i="55"/>
  <c r="X33" i="27" s="1"/>
  <c r="Z15" i="55"/>
  <c r="V33" i="27" s="1"/>
  <c r="AA15" i="55"/>
  <c r="W33" i="27" s="1"/>
  <c r="L374" i="47"/>
  <c r="AK375" i="53"/>
  <c r="AL375" i="53"/>
  <c r="L393" i="53"/>
  <c r="U356" i="53"/>
  <c r="U318" i="53"/>
  <c r="U280" i="53"/>
  <c r="U242" i="53"/>
  <c r="K204" i="53"/>
  <c r="K147" i="53"/>
  <c r="K166" i="53" s="1"/>
  <c r="K15" i="53"/>
  <c r="I204" i="53"/>
  <c r="I147" i="53"/>
  <c r="I166" i="53" s="1"/>
  <c r="I15" i="53"/>
  <c r="AB91" i="53"/>
  <c r="AB110" i="53" s="1"/>
  <c r="AB34" i="53"/>
  <c r="AB53" i="53" s="1"/>
  <c r="AL204" i="53"/>
  <c r="AL15" i="53"/>
  <c r="AJ204" i="53"/>
  <c r="AJ15" i="53"/>
  <c r="AB375" i="53"/>
  <c r="AB394" i="53" s="1"/>
  <c r="AL394" i="53"/>
  <c r="AK204" i="53"/>
  <c r="AK15" i="53"/>
  <c r="H204" i="53"/>
  <c r="H147" i="53"/>
  <c r="H166" i="53"/>
  <c r="H15" i="53"/>
  <c r="AM204" i="53"/>
  <c r="AM15" i="53"/>
  <c r="AA204" i="53"/>
  <c r="AA147" i="53"/>
  <c r="AA166" i="53"/>
  <c r="AA15" i="53"/>
  <c r="AJ375" i="53"/>
  <c r="AM375" i="53"/>
  <c r="T204" i="53"/>
  <c r="T147" i="53"/>
  <c r="T166" i="53" s="1"/>
  <c r="T15" i="53"/>
  <c r="Z375" i="53"/>
  <c r="AC204" i="53"/>
  <c r="AC147" i="53"/>
  <c r="AC166" i="53" s="1"/>
  <c r="AC15" i="53"/>
  <c r="S204" i="53"/>
  <c r="S147" i="53"/>
  <c r="S166" i="53" s="1"/>
  <c r="S15" i="53"/>
  <c r="R91" i="53"/>
  <c r="R110" i="53" s="1"/>
  <c r="R34" i="53"/>
  <c r="R53" i="53"/>
  <c r="J375" i="53"/>
  <c r="J394" i="53" s="1"/>
  <c r="Q204" i="53"/>
  <c r="Q147" i="53"/>
  <c r="Q166" i="53" s="1"/>
  <c r="Q15" i="53"/>
  <c r="AD129" i="25"/>
  <c r="AC147" i="52"/>
  <c r="AC166" i="52" s="1"/>
  <c r="AC15" i="52"/>
  <c r="AC91" i="52" s="1"/>
  <c r="AC110" i="52" s="1"/>
  <c r="F41" i="52"/>
  <c r="F60" i="52" s="1"/>
  <c r="F98" i="52"/>
  <c r="F136" i="52"/>
  <c r="AN242" i="52"/>
  <c r="AN280" i="52"/>
  <c r="AN356" i="52"/>
  <c r="AN318" i="52"/>
  <c r="T375" i="52"/>
  <c r="T394" i="52" s="1"/>
  <c r="R375" i="52"/>
  <c r="R394" i="52" s="1"/>
  <c r="S34" i="52"/>
  <c r="S53" i="52" s="1"/>
  <c r="S91" i="52"/>
  <c r="S110" i="52" s="1"/>
  <c r="Z147" i="52"/>
  <c r="Z166" i="52" s="1"/>
  <c r="Z204" i="52"/>
  <c r="Z15" i="52"/>
  <c r="AJ204" i="52"/>
  <c r="AJ15" i="52"/>
  <c r="S166" i="52"/>
  <c r="S375" i="52" s="1"/>
  <c r="S394" i="52" s="1"/>
  <c r="K147" i="52"/>
  <c r="K166" i="52" s="1"/>
  <c r="K15" i="52"/>
  <c r="K129" i="52" s="1"/>
  <c r="AK204" i="52"/>
  <c r="AK15" i="52"/>
  <c r="AM15" i="52"/>
  <c r="AM129" i="52" s="1"/>
  <c r="F154" i="52"/>
  <c r="F173" i="52" s="1"/>
  <c r="AA147" i="52"/>
  <c r="AA166" i="52" s="1"/>
  <c r="AA204" i="52"/>
  <c r="AA15" i="52"/>
  <c r="AL204" i="52"/>
  <c r="AL15" i="52"/>
  <c r="Q91" i="52"/>
  <c r="Q110" i="52" s="1"/>
  <c r="Q34" i="52"/>
  <c r="U204" i="52"/>
  <c r="T91" i="52"/>
  <c r="T110" i="52" s="1"/>
  <c r="T34" i="52"/>
  <c r="T53" i="52" s="1"/>
  <c r="R34" i="52"/>
  <c r="R53" i="52" s="1"/>
  <c r="R91" i="52"/>
  <c r="R110" i="52" s="1"/>
  <c r="AB147" i="52"/>
  <c r="AB166" i="52" s="1"/>
  <c r="AB204" i="52"/>
  <c r="AB15" i="52"/>
  <c r="Q375" i="52"/>
  <c r="X41" i="47"/>
  <c r="X60" i="47" s="1"/>
  <c r="L393" i="47"/>
  <c r="I228" i="41"/>
  <c r="L242" i="39"/>
  <c r="L242" i="29"/>
  <c r="K228" i="41"/>
  <c r="J228" i="41"/>
  <c r="G98" i="47"/>
  <c r="G41" i="47"/>
  <c r="G60" i="47" s="1"/>
  <c r="X98" i="47"/>
  <c r="X136" i="47"/>
  <c r="X155" i="47" s="1"/>
  <c r="X174" i="47" s="1"/>
  <c r="F22" i="47"/>
  <c r="AN374" i="47"/>
  <c r="U374" i="47"/>
  <c r="Q393" i="47"/>
  <c r="AD337" i="47"/>
  <c r="AL393" i="47"/>
  <c r="AD374" i="47"/>
  <c r="AN261" i="47"/>
  <c r="AD261" i="47"/>
  <c r="AD223" i="47"/>
  <c r="Q52" i="47"/>
  <c r="U299" i="47"/>
  <c r="U223" i="47"/>
  <c r="U261" i="47"/>
  <c r="U337" i="47"/>
  <c r="P97" i="47"/>
  <c r="P40" i="47"/>
  <c r="P59" i="47" s="1"/>
  <c r="P135" i="47"/>
  <c r="AN299" i="47"/>
  <c r="AD299" i="47"/>
  <c r="AN337" i="47"/>
  <c r="AD356" i="47"/>
  <c r="AD318" i="47"/>
  <c r="AD280" i="47"/>
  <c r="AD242" i="47"/>
  <c r="H204" i="47"/>
  <c r="H147" i="47"/>
  <c r="H166" i="47" s="1"/>
  <c r="AN356" i="47"/>
  <c r="AN318" i="47"/>
  <c r="AN280" i="47"/>
  <c r="AN242" i="47"/>
  <c r="K204" i="47"/>
  <c r="K147" i="47"/>
  <c r="K166" i="47" s="1"/>
  <c r="J147" i="47"/>
  <c r="J166" i="47" s="1"/>
  <c r="P153" i="47"/>
  <c r="P172" i="47" s="1"/>
  <c r="AN223" i="47"/>
  <c r="I147" i="47"/>
  <c r="I166" i="47" s="1"/>
  <c r="L242" i="47"/>
  <c r="L356" i="47"/>
  <c r="L318" i="47"/>
  <c r="L280" i="47"/>
  <c r="AJ166" i="47"/>
  <c r="AM128" i="47"/>
  <c r="AM204" i="47" s="1"/>
  <c r="AM147" i="47"/>
  <c r="AM166" i="47"/>
  <c r="AK147" i="47"/>
  <c r="AK166" i="47"/>
  <c r="AL147" i="47"/>
  <c r="AL166" i="47"/>
  <c r="AJ147" i="47"/>
  <c r="J15" i="47"/>
  <c r="J204" i="47"/>
  <c r="I15" i="47"/>
  <c r="I204" i="47"/>
  <c r="AC128" i="47"/>
  <c r="AD393" i="47"/>
  <c r="H15" i="47"/>
  <c r="AL128" i="47"/>
  <c r="K15" i="47"/>
  <c r="Q128" i="47"/>
  <c r="S128" i="47"/>
  <c r="R128" i="47"/>
  <c r="AA128" i="47"/>
  <c r="Z128" i="47"/>
  <c r="AK128" i="47"/>
  <c r="AB128" i="47"/>
  <c r="T128" i="47"/>
  <c r="AJ128" i="47"/>
  <c r="S90" i="25"/>
  <c r="S223" i="25" s="1"/>
  <c r="U241" i="25"/>
  <c r="AJ17" i="25"/>
  <c r="AJ55" i="25" s="1"/>
  <c r="AJ74" i="25" s="1"/>
  <c r="AJ130" i="25"/>
  <c r="AN243" i="25"/>
  <c r="L128" i="25"/>
  <c r="AM92" i="25"/>
  <c r="AM130" i="25" s="1"/>
  <c r="AL92" i="25"/>
  <c r="AK92" i="25"/>
  <c r="AJ225" i="25"/>
  <c r="AB243" i="25"/>
  <c r="Z54" i="25"/>
  <c r="Z73" i="25" s="1"/>
  <c r="Z243" i="25"/>
  <c r="AD224" i="25"/>
  <c r="AC54" i="25"/>
  <c r="AC73" i="25" s="1"/>
  <c r="AC243" i="25"/>
  <c r="L245" i="37"/>
  <c r="K242" i="25"/>
  <c r="H53" i="25"/>
  <c r="H72" i="25" s="1"/>
  <c r="H242" i="25"/>
  <c r="L223" i="25"/>
  <c r="K53" i="25"/>
  <c r="K72" i="25" s="1"/>
  <c r="I242" i="25"/>
  <c r="I53" i="25"/>
  <c r="I72" i="25" s="1"/>
  <c r="J242" i="25"/>
  <c r="Q128" i="25"/>
  <c r="Q223" i="25"/>
  <c r="Q15" i="25"/>
  <c r="J53" i="25"/>
  <c r="J72" i="25" s="1"/>
  <c r="T90" i="25"/>
  <c r="R90" i="25"/>
  <c r="J129" i="29"/>
  <c r="J224" i="29"/>
  <c r="J16" i="29"/>
  <c r="I91" i="29"/>
  <c r="H91" i="29"/>
  <c r="K91" i="29"/>
  <c r="F96" i="29"/>
  <c r="F58" i="29"/>
  <c r="H58" i="41"/>
  <c r="H77" i="41" s="1"/>
  <c r="H228" i="41"/>
  <c r="L209" i="41"/>
  <c r="I58" i="41"/>
  <c r="I77" i="41" s="1"/>
  <c r="J58" i="41"/>
  <c r="J77" i="41" s="1"/>
  <c r="K58" i="41"/>
  <c r="K77" i="41" s="1"/>
  <c r="K96" i="41" s="1"/>
  <c r="K21" i="41"/>
  <c r="H91" i="39"/>
  <c r="H16" i="39" s="1"/>
  <c r="K91" i="39"/>
  <c r="K16" i="39" s="1"/>
  <c r="I91" i="39"/>
  <c r="I16" i="39" s="1"/>
  <c r="J91" i="39"/>
  <c r="J16" i="39" s="1"/>
  <c r="I94" i="37"/>
  <c r="H94" i="37"/>
  <c r="J94" i="37"/>
  <c r="J19" i="37"/>
  <c r="J57" i="37" s="1"/>
  <c r="J76" i="37" s="1"/>
  <c r="J132" i="37"/>
  <c r="J246" i="37" s="1"/>
  <c r="H19" i="37"/>
  <c r="H57" i="37" s="1"/>
  <c r="H76" i="37" s="1"/>
  <c r="H132" i="37"/>
  <c r="H246" i="37" s="1"/>
  <c r="K19" i="37"/>
  <c r="K57" i="37" s="1"/>
  <c r="K76" i="37" s="1"/>
  <c r="K132" i="37"/>
  <c r="K246" i="37" s="1"/>
  <c r="J34" i="46" l="1"/>
  <c r="V34" i="46" s="1"/>
  <c r="AK184" i="55"/>
  <c r="AN145" i="55"/>
  <c r="Y34" i="46"/>
  <c r="Q34" i="46"/>
  <c r="L33" i="56"/>
  <c r="M33" i="56" s="1"/>
  <c r="AM259" i="55"/>
  <c r="AL259" i="55"/>
  <c r="AN240" i="55"/>
  <c r="AJ259" i="55"/>
  <c r="J13" i="56"/>
  <c r="N34" i="56"/>
  <c r="E62" i="56" s="1"/>
  <c r="T40" i="27"/>
  <c r="T97" i="27" s="1"/>
  <c r="T173" i="27" s="1"/>
  <c r="X98" i="55"/>
  <c r="X117" i="55" s="1"/>
  <c r="X60" i="55"/>
  <c r="AC39" i="27"/>
  <c r="AC96" i="27" s="1"/>
  <c r="AC172" i="27" s="1"/>
  <c r="AI97" i="55"/>
  <c r="AI59" i="55"/>
  <c r="AM70" i="55"/>
  <c r="AM184" i="55"/>
  <c r="AJ70" i="55"/>
  <c r="AJ184" i="55"/>
  <c r="AN259" i="55"/>
  <c r="F12" i="46" s="1"/>
  <c r="I12" i="48"/>
  <c r="AL70" i="55"/>
  <c r="AL184" i="55"/>
  <c r="AA261" i="55"/>
  <c r="Z53" i="55"/>
  <c r="Z72" i="55" s="1"/>
  <c r="AC53" i="55"/>
  <c r="AC72" i="55" s="1"/>
  <c r="AC261" i="55"/>
  <c r="AD147" i="55"/>
  <c r="AB53" i="55"/>
  <c r="AB72" i="55" s="1"/>
  <c r="AB261" i="55"/>
  <c r="AA53" i="55"/>
  <c r="AA72" i="55" s="1"/>
  <c r="AK394" i="53"/>
  <c r="R375" i="53"/>
  <c r="R394" i="53" s="1"/>
  <c r="AD204" i="53"/>
  <c r="AM394" i="53"/>
  <c r="Q91" i="53"/>
  <c r="Q110" i="53" s="1"/>
  <c r="Q34" i="53"/>
  <c r="Q53" i="53" s="1"/>
  <c r="AN204" i="53"/>
  <c r="K91" i="53"/>
  <c r="K110" i="53" s="1"/>
  <c r="K34" i="53"/>
  <c r="K53" i="53" s="1"/>
  <c r="AM91" i="53"/>
  <c r="AM110" i="53" s="1"/>
  <c r="AM34" i="53"/>
  <c r="AM53" i="53" s="1"/>
  <c r="U204" i="53"/>
  <c r="AC91" i="53"/>
  <c r="AC110" i="53" s="1"/>
  <c r="AC34" i="53"/>
  <c r="AC53" i="53" s="1"/>
  <c r="H375" i="53"/>
  <c r="K375" i="53"/>
  <c r="K394" i="53" s="1"/>
  <c r="L204" i="53"/>
  <c r="AL91" i="53"/>
  <c r="AL110" i="53" s="1"/>
  <c r="AL34" i="53"/>
  <c r="AL53" i="53" s="1"/>
  <c r="AK91" i="53"/>
  <c r="AK110" i="53" s="1"/>
  <c r="AK34" i="53"/>
  <c r="AK53" i="53" s="1"/>
  <c r="AN375" i="53"/>
  <c r="AJ394" i="53"/>
  <c r="AA91" i="53"/>
  <c r="AA110" i="53" s="1"/>
  <c r="AA34" i="53"/>
  <c r="AJ91" i="53"/>
  <c r="AJ110" i="53" s="1"/>
  <c r="AJ34" i="53"/>
  <c r="AJ53" i="53" s="1"/>
  <c r="Z394" i="53"/>
  <c r="I375" i="53"/>
  <c r="I394" i="53" s="1"/>
  <c r="H91" i="53"/>
  <c r="H110" i="53" s="1"/>
  <c r="H34" i="53"/>
  <c r="H53" i="53" s="1"/>
  <c r="AC375" i="53"/>
  <c r="AC394" i="53" s="1"/>
  <c r="T91" i="53"/>
  <c r="T110" i="53" s="1"/>
  <c r="T34" i="53"/>
  <c r="T53" i="53" s="1"/>
  <c r="AA375" i="53"/>
  <c r="AA394" i="53" s="1"/>
  <c r="S375" i="53"/>
  <c r="S394" i="53" s="1"/>
  <c r="Q375" i="53"/>
  <c r="S91" i="53"/>
  <c r="S110" i="53" s="1"/>
  <c r="S34" i="53"/>
  <c r="S53" i="53" s="1"/>
  <c r="T375" i="53"/>
  <c r="T394" i="53" s="1"/>
  <c r="I91" i="53"/>
  <c r="I110" i="53" s="1"/>
  <c r="I34" i="53"/>
  <c r="I53" i="53" s="1"/>
  <c r="U393" i="47"/>
  <c r="AC34" i="52"/>
  <c r="AC53" i="52" s="1"/>
  <c r="AC375" i="52"/>
  <c r="AC394" i="52" s="1"/>
  <c r="AK375" i="52"/>
  <c r="AK394" i="52" s="1"/>
  <c r="AL375" i="52"/>
  <c r="AL394" i="52" s="1"/>
  <c r="AM394" i="52"/>
  <c r="T129" i="52"/>
  <c r="T16" i="52" s="1"/>
  <c r="T35" i="52" s="1"/>
  <c r="T54" i="52" s="1"/>
  <c r="AJ375" i="52"/>
  <c r="AJ394" i="52" s="1"/>
  <c r="K34" i="52"/>
  <c r="K53" i="52" s="1"/>
  <c r="K91" i="52"/>
  <c r="AN204" i="52"/>
  <c r="AL34" i="52"/>
  <c r="AL53" i="52" s="1"/>
  <c r="AL91" i="52"/>
  <c r="AL110" i="52" s="1"/>
  <c r="AB91" i="52"/>
  <c r="AB110" i="52" s="1"/>
  <c r="AB34" i="52"/>
  <c r="AB53" i="52" s="1"/>
  <c r="AA34" i="52"/>
  <c r="AA53" i="52" s="1"/>
  <c r="AA91" i="52"/>
  <c r="AA110" i="52" s="1"/>
  <c r="Z34" i="52"/>
  <c r="Z53" i="52" s="1"/>
  <c r="Z91" i="52"/>
  <c r="Z110" i="52" s="1"/>
  <c r="R129" i="52"/>
  <c r="AD204" i="52"/>
  <c r="AJ34" i="52"/>
  <c r="AJ91" i="52"/>
  <c r="AJ110" i="52" s="1"/>
  <c r="AJ129" i="52" s="1"/>
  <c r="AA375" i="52"/>
  <c r="AA394" i="52" s="1"/>
  <c r="U338" i="52"/>
  <c r="U262" i="52"/>
  <c r="U300" i="52"/>
  <c r="U224" i="52"/>
  <c r="AK34" i="52"/>
  <c r="AK53" i="52" s="1"/>
  <c r="AK91" i="52"/>
  <c r="AK110" i="52" s="1"/>
  <c r="Z375" i="52"/>
  <c r="F155" i="52"/>
  <c r="F174" i="52" s="1"/>
  <c r="U375" i="52"/>
  <c r="Q394" i="52"/>
  <c r="U394" i="52" s="1"/>
  <c r="AB375" i="52"/>
  <c r="AB394" i="52" s="1"/>
  <c r="AM34" i="52"/>
  <c r="AM91" i="52"/>
  <c r="S129" i="52"/>
  <c r="Q129" i="52"/>
  <c r="Q53" i="52"/>
  <c r="AN393" i="47"/>
  <c r="L228" i="41"/>
  <c r="J243" i="29"/>
  <c r="F136" i="47"/>
  <c r="F155" i="47" s="1"/>
  <c r="F174" i="47" s="1"/>
  <c r="I34" i="47"/>
  <c r="I53" i="47" s="1"/>
  <c r="J34" i="47"/>
  <c r="J53" i="47" s="1"/>
  <c r="S15" i="25"/>
  <c r="S53" i="25" s="1"/>
  <c r="S72" i="25" s="1"/>
  <c r="S128" i="25"/>
  <c r="S242" i="25" s="1"/>
  <c r="F41" i="47"/>
  <c r="F60" i="47" s="1"/>
  <c r="F98" i="47"/>
  <c r="J375" i="47"/>
  <c r="J394" i="47" s="1"/>
  <c r="H375" i="47"/>
  <c r="H394" i="47" s="1"/>
  <c r="T147" i="47"/>
  <c r="T166" i="47" s="1"/>
  <c r="Z147" i="47"/>
  <c r="Z166" i="47" s="1"/>
  <c r="Z375" i="47" s="1"/>
  <c r="AA147" i="47"/>
  <c r="AA166" i="47" s="1"/>
  <c r="AA375" i="47" s="1"/>
  <c r="AM375" i="47"/>
  <c r="AM394" i="47" s="1"/>
  <c r="U280" i="47"/>
  <c r="U242" i="47"/>
  <c r="U356" i="47"/>
  <c r="U318" i="47"/>
  <c r="R147" i="47"/>
  <c r="R166" i="47" s="1"/>
  <c r="AC147" i="47"/>
  <c r="AC166" i="47" s="1"/>
  <c r="K375" i="47"/>
  <c r="K394" i="47" s="1"/>
  <c r="P22" i="47"/>
  <c r="M97" i="27" s="1"/>
  <c r="M173" i="27" s="1"/>
  <c r="P154" i="47"/>
  <c r="P173" i="47" s="1"/>
  <c r="AB147" i="47"/>
  <c r="S147" i="47"/>
  <c r="S166" i="47" s="1"/>
  <c r="I375" i="47"/>
  <c r="Q147" i="47"/>
  <c r="Q166" i="47" s="1"/>
  <c r="AJ375" i="47"/>
  <c r="AK375" i="47"/>
  <c r="I91" i="47"/>
  <c r="I110" i="47" s="1"/>
  <c r="AM15" i="47"/>
  <c r="AL375" i="47"/>
  <c r="J91" i="47"/>
  <c r="J110" i="47" s="1"/>
  <c r="AC15" i="47"/>
  <c r="AC204" i="47"/>
  <c r="K34" i="47"/>
  <c r="K53" i="47" s="1"/>
  <c r="H34" i="47"/>
  <c r="AB204" i="47"/>
  <c r="AB15" i="47"/>
  <c r="X90" i="27" s="1"/>
  <c r="X166" i="27" s="1"/>
  <c r="Q204" i="47"/>
  <c r="Q15" i="47"/>
  <c r="AL204" i="47"/>
  <c r="AL15" i="47"/>
  <c r="AK204" i="47"/>
  <c r="AK15" i="47"/>
  <c r="Z204" i="47"/>
  <c r="Z15" i="47"/>
  <c r="V90" i="27" s="1"/>
  <c r="V166" i="27" s="1"/>
  <c r="K91" i="47"/>
  <c r="K110" i="47" s="1"/>
  <c r="H91" i="47"/>
  <c r="H110" i="47" s="1"/>
  <c r="AJ204" i="47"/>
  <c r="AJ15" i="47"/>
  <c r="T204" i="47"/>
  <c r="T15" i="47"/>
  <c r="AA204" i="47"/>
  <c r="AA15" i="47"/>
  <c r="W90" i="27" s="1"/>
  <c r="W166" i="27" s="1"/>
  <c r="R204" i="47"/>
  <c r="R15" i="47"/>
  <c r="L204" i="47"/>
  <c r="S204" i="47"/>
  <c r="S15" i="47"/>
  <c r="AM225" i="25"/>
  <c r="AM244" i="25" s="1"/>
  <c r="AM17" i="25"/>
  <c r="AM55" i="25" s="1"/>
  <c r="AM74" i="25" s="1"/>
  <c r="AK17" i="25"/>
  <c r="AK55" i="25" s="1"/>
  <c r="AK74" i="25" s="1"/>
  <c r="AK130" i="25"/>
  <c r="V14" i="45"/>
  <c r="V52" i="45" s="1"/>
  <c r="AL225" i="25"/>
  <c r="AL130" i="25"/>
  <c r="W14" i="45"/>
  <c r="W52" i="45" s="1"/>
  <c r="T14" i="45"/>
  <c r="T52" i="45" s="1"/>
  <c r="U14" i="45"/>
  <c r="U52" i="45" s="1"/>
  <c r="K91" i="25"/>
  <c r="K16" i="25" s="1"/>
  <c r="AK225" i="25"/>
  <c r="AL17" i="25"/>
  <c r="AL55" i="25" s="1"/>
  <c r="AL74" i="25" s="1"/>
  <c r="AJ244" i="25"/>
  <c r="AB92" i="25"/>
  <c r="AB130" i="25" s="1"/>
  <c r="AC92" i="25"/>
  <c r="AC225" i="25" s="1"/>
  <c r="AD243" i="25"/>
  <c r="Z92" i="25"/>
  <c r="Z130" i="25" s="1"/>
  <c r="AA92" i="25"/>
  <c r="AA130" i="25" s="1"/>
  <c r="J91" i="25"/>
  <c r="J129" i="25" s="1"/>
  <c r="I91" i="25"/>
  <c r="I16" i="25" s="1"/>
  <c r="Q242" i="25"/>
  <c r="R15" i="25"/>
  <c r="R128" i="25"/>
  <c r="R223" i="25"/>
  <c r="T128" i="25"/>
  <c r="T223" i="25"/>
  <c r="T15" i="25"/>
  <c r="L242" i="25"/>
  <c r="H91" i="25"/>
  <c r="Q53" i="25"/>
  <c r="Q72" i="25" s="1"/>
  <c r="F21" i="29"/>
  <c r="K129" i="29"/>
  <c r="K224" i="29"/>
  <c r="K16" i="29"/>
  <c r="H129" i="29"/>
  <c r="H224" i="29"/>
  <c r="H16" i="29"/>
  <c r="I129" i="29"/>
  <c r="I224" i="29"/>
  <c r="I16" i="29"/>
  <c r="J54" i="29"/>
  <c r="J73" i="29" s="1"/>
  <c r="J96" i="41"/>
  <c r="J21" i="41" s="1"/>
  <c r="I96" i="41"/>
  <c r="I21" i="41" s="1"/>
  <c r="H96" i="41"/>
  <c r="H21" i="41" s="1"/>
  <c r="F59" i="41"/>
  <c r="F97" i="41"/>
  <c r="F22" i="41" s="1"/>
  <c r="K134" i="41"/>
  <c r="K210" i="41"/>
  <c r="J134" i="41"/>
  <c r="J210" i="41"/>
  <c r="I134" i="41"/>
  <c r="I210" i="41"/>
  <c r="H134" i="41"/>
  <c r="H210" i="41"/>
  <c r="J129" i="39"/>
  <c r="J224" i="39"/>
  <c r="I129" i="39"/>
  <c r="I224" i="39"/>
  <c r="K129" i="39"/>
  <c r="K224" i="39"/>
  <c r="H129" i="39"/>
  <c r="H224" i="39"/>
  <c r="I19" i="37"/>
  <c r="I57" i="37" s="1"/>
  <c r="I76" i="37" s="1"/>
  <c r="I132" i="37"/>
  <c r="I246" i="37" s="1"/>
  <c r="L246" i="37" s="1"/>
  <c r="L227" i="37"/>
  <c r="G59" i="37"/>
  <c r="G97" i="37"/>
  <c r="G22" i="37" s="1"/>
  <c r="F59" i="37"/>
  <c r="F97" i="37"/>
  <c r="F22" i="37" s="1"/>
  <c r="I12" i="56" l="1"/>
  <c r="F33" i="46"/>
  <c r="N13" i="56"/>
  <c r="F61" i="56" s="1"/>
  <c r="AJ89" i="55"/>
  <c r="AJ108" i="55" s="1"/>
  <c r="AN184" i="55"/>
  <c r="AK89" i="55"/>
  <c r="AM89" i="55"/>
  <c r="AI22" i="55"/>
  <c r="AI116" i="55"/>
  <c r="AL89" i="55"/>
  <c r="AB91" i="55"/>
  <c r="Z261" i="55"/>
  <c r="AD242" i="55"/>
  <c r="Z91" i="55"/>
  <c r="Z110" i="55" s="1"/>
  <c r="AC91" i="55"/>
  <c r="AC110" i="55" s="1"/>
  <c r="AA91" i="55"/>
  <c r="AA110" i="55" s="1"/>
  <c r="AN394" i="53"/>
  <c r="S129" i="53"/>
  <c r="S16" i="53" s="1"/>
  <c r="L357" i="53"/>
  <c r="L319" i="53"/>
  <c r="L281" i="53"/>
  <c r="L243" i="53"/>
  <c r="S92" i="53"/>
  <c r="S111" i="53" s="1"/>
  <c r="S35" i="53"/>
  <c r="S54" i="53" s="1"/>
  <c r="AJ167" i="53"/>
  <c r="AJ148" i="53"/>
  <c r="AJ129" i="53"/>
  <c r="S205" i="53"/>
  <c r="S148" i="53"/>
  <c r="AA129" i="53"/>
  <c r="Z129" i="53"/>
  <c r="H394" i="53"/>
  <c r="L375" i="53"/>
  <c r="AD338" i="53"/>
  <c r="AD262" i="53"/>
  <c r="AD224" i="53"/>
  <c r="AD300" i="53"/>
  <c r="H129" i="53"/>
  <c r="J129" i="53"/>
  <c r="AB129" i="53"/>
  <c r="K129" i="53"/>
  <c r="AD375" i="53"/>
  <c r="AM167" i="53"/>
  <c r="AM148" i="53"/>
  <c r="AM129" i="53"/>
  <c r="AD394" i="53"/>
  <c r="U357" i="53"/>
  <c r="U319" i="53"/>
  <c r="U281" i="53"/>
  <c r="U243" i="53"/>
  <c r="AL167" i="53"/>
  <c r="AL148" i="53"/>
  <c r="AL129" i="53"/>
  <c r="AA53" i="53"/>
  <c r="T129" i="53"/>
  <c r="AN357" i="53"/>
  <c r="AN319" i="53"/>
  <c r="AN243" i="53"/>
  <c r="AN281" i="53"/>
  <c r="AC129" i="53"/>
  <c r="L338" i="53"/>
  <c r="L262" i="53"/>
  <c r="L300" i="53"/>
  <c r="L224" i="53"/>
  <c r="I129" i="53"/>
  <c r="AK167" i="53"/>
  <c r="AK148" i="53"/>
  <c r="AK129" i="53"/>
  <c r="U338" i="53"/>
  <c r="U300" i="53"/>
  <c r="U224" i="53"/>
  <c r="U262" i="53"/>
  <c r="Q394" i="53"/>
  <c r="U394" i="53" s="1"/>
  <c r="U375" i="53"/>
  <c r="R129" i="53"/>
  <c r="AN338" i="53"/>
  <c r="AN300" i="53"/>
  <c r="AN224" i="53"/>
  <c r="AN262" i="53"/>
  <c r="Q129" i="53"/>
  <c r="AK129" i="52"/>
  <c r="AL129" i="52"/>
  <c r="AM53" i="52"/>
  <c r="AM167" i="52" s="1"/>
  <c r="AM148" i="52"/>
  <c r="T92" i="52"/>
  <c r="T111" i="52" s="1"/>
  <c r="T205" i="52"/>
  <c r="AN394" i="52"/>
  <c r="AN375" i="52"/>
  <c r="T148" i="52"/>
  <c r="T167" i="52" s="1"/>
  <c r="Z129" i="52"/>
  <c r="Z148" i="52" s="1"/>
  <c r="Z167" i="52" s="1"/>
  <c r="K16" i="52"/>
  <c r="K130" i="52" s="1"/>
  <c r="R148" i="52"/>
  <c r="R167" i="52" s="1"/>
  <c r="R205" i="52"/>
  <c r="R16" i="52"/>
  <c r="AJ148" i="52"/>
  <c r="AJ167" i="52"/>
  <c r="AD375" i="52"/>
  <c r="Z394" i="52"/>
  <c r="AD394" i="52" s="1"/>
  <c r="AN224" i="52"/>
  <c r="AN262" i="52"/>
  <c r="AN300" i="52"/>
  <c r="AN338" i="52"/>
  <c r="AJ53" i="52"/>
  <c r="AB129" i="52"/>
  <c r="AD243" i="52"/>
  <c r="AD281" i="52"/>
  <c r="AD319" i="52"/>
  <c r="AD357" i="52"/>
  <c r="AK167" i="52"/>
  <c r="AK148" i="52"/>
  <c r="U357" i="52"/>
  <c r="U243" i="52"/>
  <c r="U281" i="52"/>
  <c r="U319" i="52"/>
  <c r="Q148" i="52"/>
  <c r="Q167" i="52" s="1"/>
  <c r="Q205" i="52"/>
  <c r="Q16" i="52"/>
  <c r="AC129" i="52"/>
  <c r="AD224" i="52"/>
  <c r="AD262" i="52"/>
  <c r="AD338" i="52"/>
  <c r="AD300" i="52"/>
  <c r="AL148" i="52"/>
  <c r="AL167" i="52"/>
  <c r="S148" i="52"/>
  <c r="S167" i="52" s="1"/>
  <c r="S205" i="52"/>
  <c r="S16" i="52"/>
  <c r="AA129" i="52"/>
  <c r="AC34" i="47"/>
  <c r="AC53" i="47" s="1"/>
  <c r="Y90" i="27"/>
  <c r="Y166" i="27" s="1"/>
  <c r="J35" i="48" s="1"/>
  <c r="N35" i="48" s="1"/>
  <c r="AM91" i="47"/>
  <c r="AM110" i="47" s="1"/>
  <c r="K243" i="39"/>
  <c r="I229" i="41"/>
  <c r="I243" i="39"/>
  <c r="J229" i="41"/>
  <c r="I243" i="29"/>
  <c r="J243" i="39"/>
  <c r="K229" i="41"/>
  <c r="L129" i="39"/>
  <c r="K243" i="29"/>
  <c r="L375" i="47"/>
  <c r="S375" i="47"/>
  <c r="S394" i="47" s="1"/>
  <c r="AB166" i="47"/>
  <c r="AB375" i="47" s="1"/>
  <c r="T375" i="47"/>
  <c r="T394" i="47" s="1"/>
  <c r="AC375" i="47"/>
  <c r="AC394" i="47" s="1"/>
  <c r="H53" i="47"/>
  <c r="L224" i="47"/>
  <c r="L300" i="47"/>
  <c r="L338" i="47"/>
  <c r="L262" i="47"/>
  <c r="R375" i="47"/>
  <c r="I394" i="47"/>
  <c r="Q375" i="47"/>
  <c r="Q394" i="47" s="1"/>
  <c r="P136" i="47"/>
  <c r="P98" i="47"/>
  <c r="P41" i="47"/>
  <c r="P60" i="47" s="1"/>
  <c r="AC91" i="47"/>
  <c r="AC110" i="47" s="1"/>
  <c r="AM34" i="47"/>
  <c r="AM53" i="47" s="1"/>
  <c r="AL34" i="47"/>
  <c r="AL53" i="47" s="1"/>
  <c r="AK34" i="47"/>
  <c r="AK53" i="47" s="1"/>
  <c r="AJ34" i="47"/>
  <c r="T34" i="47"/>
  <c r="T53" i="47" s="1"/>
  <c r="R34" i="47"/>
  <c r="R53" i="47" s="1"/>
  <c r="Q34" i="47"/>
  <c r="S34" i="47"/>
  <c r="S53" i="47" s="1"/>
  <c r="Z34" i="47"/>
  <c r="AA34" i="47"/>
  <c r="AA53" i="47" s="1"/>
  <c r="AB34" i="47"/>
  <c r="AB53" i="47" s="1"/>
  <c r="I129" i="47"/>
  <c r="H129" i="47"/>
  <c r="AL394" i="47"/>
  <c r="AK394" i="47"/>
  <c r="AD204" i="47"/>
  <c r="Q91" i="47"/>
  <c r="Q110" i="47" s="1"/>
  <c r="J129" i="47"/>
  <c r="AJ91" i="47"/>
  <c r="AJ110" i="47" s="1"/>
  <c r="S91" i="47"/>
  <c r="S110" i="47" s="1"/>
  <c r="AA91" i="47"/>
  <c r="AA110" i="47" s="1"/>
  <c r="T91" i="47"/>
  <c r="T110" i="47" s="1"/>
  <c r="AN204" i="47"/>
  <c r="Z394" i="47"/>
  <c r="AL91" i="47"/>
  <c r="AL110" i="47" s="1"/>
  <c r="U204" i="47"/>
  <c r="AB91" i="47"/>
  <c r="AB110" i="47" s="1"/>
  <c r="R91" i="47"/>
  <c r="R110" i="47" s="1"/>
  <c r="AJ394" i="47"/>
  <c r="AN375" i="47"/>
  <c r="K129" i="47"/>
  <c r="AK91" i="47"/>
  <c r="AK110" i="47" s="1"/>
  <c r="AA394" i="47"/>
  <c r="Z91" i="47"/>
  <c r="Z110" i="47" s="1"/>
  <c r="AN130" i="25"/>
  <c r="T242" i="25"/>
  <c r="AL244" i="25"/>
  <c r="AN225" i="25"/>
  <c r="I129" i="25"/>
  <c r="X52" i="45"/>
  <c r="K224" i="25"/>
  <c r="I224" i="25"/>
  <c r="K129" i="25"/>
  <c r="U128" i="25"/>
  <c r="U223" i="25"/>
  <c r="AK244" i="25"/>
  <c r="AM93" i="25"/>
  <c r="AM131" i="25" s="1"/>
  <c r="AL93" i="25"/>
  <c r="AL131" i="25" s="1"/>
  <c r="AJ93" i="25"/>
  <c r="AJ131" i="25" s="1"/>
  <c r="AK93" i="25"/>
  <c r="AK131" i="25" s="1"/>
  <c r="AB17" i="25"/>
  <c r="AB55" i="25" s="1"/>
  <c r="AB74" i="25" s="1"/>
  <c r="AB225" i="25"/>
  <c r="AB244" i="25" s="1"/>
  <c r="AC17" i="25"/>
  <c r="AC55" i="25" s="1"/>
  <c r="AC74" i="25" s="1"/>
  <c r="AC130" i="25"/>
  <c r="AC244" i="25" s="1"/>
  <c r="Z17" i="25"/>
  <c r="Z55" i="25" s="1"/>
  <c r="Z74" i="25" s="1"/>
  <c r="AA225" i="25"/>
  <c r="AA17" i="25"/>
  <c r="AA55" i="25" s="1"/>
  <c r="AA74" i="25" s="1"/>
  <c r="Z225" i="25"/>
  <c r="J224" i="25"/>
  <c r="J243" i="25" s="1"/>
  <c r="J16" i="25"/>
  <c r="R242" i="25"/>
  <c r="R53" i="25"/>
  <c r="R72" i="25" s="1"/>
  <c r="I54" i="25"/>
  <c r="I73" i="25" s="1"/>
  <c r="H16" i="25"/>
  <c r="H224" i="25"/>
  <c r="H129" i="25"/>
  <c r="T53" i="25"/>
  <c r="T72" i="25" s="1"/>
  <c r="K54" i="25"/>
  <c r="K73" i="25" s="1"/>
  <c r="I54" i="29"/>
  <c r="I73" i="29" s="1"/>
  <c r="H54" i="29"/>
  <c r="H73" i="29" s="1"/>
  <c r="L224" i="29"/>
  <c r="H243" i="29"/>
  <c r="L129" i="29"/>
  <c r="K54" i="29"/>
  <c r="K73" i="29" s="1"/>
  <c r="K92" i="29" s="1"/>
  <c r="F97" i="29"/>
  <c r="F59" i="29"/>
  <c r="H59" i="41"/>
  <c r="H78" i="41" s="1"/>
  <c r="H229" i="41"/>
  <c r="L210" i="41"/>
  <c r="I59" i="41"/>
  <c r="I78" i="41" s="1"/>
  <c r="J59" i="41"/>
  <c r="J78" i="41" s="1"/>
  <c r="K59" i="41"/>
  <c r="K78" i="41" s="1"/>
  <c r="K97" i="41" s="1"/>
  <c r="K22" i="41"/>
  <c r="H54" i="39"/>
  <c r="H73" i="39" s="1"/>
  <c r="H243" i="39"/>
  <c r="L224" i="39"/>
  <c r="K54" i="39"/>
  <c r="K73" i="39" s="1"/>
  <c r="I54" i="39"/>
  <c r="I73" i="39" s="1"/>
  <c r="J54" i="39"/>
  <c r="J73" i="39" s="1"/>
  <c r="J92" i="39" s="1"/>
  <c r="J17" i="39" s="1"/>
  <c r="I95" i="37"/>
  <c r="K95" i="37"/>
  <c r="H95" i="37"/>
  <c r="J95" i="37"/>
  <c r="J20" i="37"/>
  <c r="J58" i="37" s="1"/>
  <c r="J77" i="37" s="1"/>
  <c r="J133" i="37"/>
  <c r="J247" i="37" s="1"/>
  <c r="H20" i="37"/>
  <c r="H58" i="37" s="1"/>
  <c r="H77" i="37" s="1"/>
  <c r="H133" i="37"/>
  <c r="H247" i="37" s="1"/>
  <c r="K20" i="37"/>
  <c r="K58" i="37" s="1"/>
  <c r="K77" i="37" s="1"/>
  <c r="K133" i="37"/>
  <c r="K247" i="37" s="1"/>
  <c r="I20" i="37"/>
  <c r="I58" i="37" s="1"/>
  <c r="I77" i="37" s="1"/>
  <c r="I96" i="37" s="1"/>
  <c r="I133" i="37"/>
  <c r="I247" i="37" s="1"/>
  <c r="I34" i="56" l="1"/>
  <c r="E87" i="56" s="1"/>
  <c r="K87" i="56" s="1"/>
  <c r="E35" i="46"/>
  <c r="I36" i="46"/>
  <c r="U36" i="46" s="1"/>
  <c r="Z33" i="46"/>
  <c r="R33" i="46"/>
  <c r="L12" i="56"/>
  <c r="M12" i="56" s="1"/>
  <c r="F85" i="56"/>
  <c r="L85" i="56" s="1"/>
  <c r="AJ14" i="55"/>
  <c r="AJ52" i="55" s="1"/>
  <c r="L34" i="56"/>
  <c r="M34" i="56" s="1"/>
  <c r="AJ241" i="55"/>
  <c r="AJ146" i="55"/>
  <c r="J35" i="56"/>
  <c r="AL108" i="55"/>
  <c r="AL14" i="55"/>
  <c r="AC40" i="27"/>
  <c r="AC97" i="27" s="1"/>
  <c r="AC173" i="27" s="1"/>
  <c r="AI98" i="55"/>
  <c r="AI117" i="55" s="1"/>
  <c r="AI60" i="55"/>
  <c r="Z148" i="55"/>
  <c r="Z243" i="55"/>
  <c r="AM108" i="55"/>
  <c r="AM14" i="55"/>
  <c r="AK108" i="55"/>
  <c r="AK14" i="55"/>
  <c r="AD32" i="27"/>
  <c r="AD89" i="27" s="1"/>
  <c r="AD165" i="27" s="1"/>
  <c r="AA148" i="55"/>
  <c r="AA243" i="55"/>
  <c r="AC148" i="55"/>
  <c r="AC243" i="55"/>
  <c r="AB16" i="55"/>
  <c r="AB110" i="55"/>
  <c r="AD261" i="55"/>
  <c r="E14" i="46" s="1"/>
  <c r="I34" i="48"/>
  <c r="L34" i="48" s="1"/>
  <c r="M34" i="48" s="1"/>
  <c r="AC16" i="55"/>
  <c r="Y34" i="27" s="1"/>
  <c r="AA16" i="55"/>
  <c r="W34" i="27" s="1"/>
  <c r="Z16" i="55"/>
  <c r="V34" i="27" s="1"/>
  <c r="AJ376" i="53"/>
  <c r="L394" i="53"/>
  <c r="R205" i="53"/>
  <c r="R148" i="53"/>
  <c r="R16" i="53"/>
  <c r="J205" i="53"/>
  <c r="J148" i="53"/>
  <c r="J16" i="53"/>
  <c r="AC205" i="53"/>
  <c r="AC148" i="53"/>
  <c r="AC16" i="53"/>
  <c r="AJ205" i="53"/>
  <c r="AJ16" i="53"/>
  <c r="H148" i="53"/>
  <c r="H205" i="53"/>
  <c r="H167" i="53"/>
  <c r="H16" i="53"/>
  <c r="AM205" i="53"/>
  <c r="AM16" i="53"/>
  <c r="Q205" i="53"/>
  <c r="Q148" i="53"/>
  <c r="Q167" i="53" s="1"/>
  <c r="Q16" i="53"/>
  <c r="AK205" i="53"/>
  <c r="AK16" i="53"/>
  <c r="AM376" i="53"/>
  <c r="AK376" i="53"/>
  <c r="T205" i="53"/>
  <c r="T148" i="53"/>
  <c r="T167" i="53" s="1"/>
  <c r="T16" i="53"/>
  <c r="Z205" i="53"/>
  <c r="Z148" i="53"/>
  <c r="Z167" i="53" s="1"/>
  <c r="Z16" i="53"/>
  <c r="AD357" i="53"/>
  <c r="AD319" i="53"/>
  <c r="AD281" i="53"/>
  <c r="AD243" i="53"/>
  <c r="AA205" i="53"/>
  <c r="AA148" i="53"/>
  <c r="AA167" i="53" s="1"/>
  <c r="AA16" i="53"/>
  <c r="I205" i="53"/>
  <c r="I148" i="53"/>
  <c r="I16" i="53"/>
  <c r="AL205" i="53"/>
  <c r="AL16" i="53"/>
  <c r="K205" i="53"/>
  <c r="K148" i="53"/>
  <c r="K16" i="53"/>
  <c r="AL376" i="53"/>
  <c r="AB205" i="53"/>
  <c r="AB148" i="53"/>
  <c r="AB16" i="53"/>
  <c r="S167" i="53"/>
  <c r="S376" i="53" s="1"/>
  <c r="S395" i="53" s="1"/>
  <c r="Z16" i="52"/>
  <c r="Z35" i="52" s="1"/>
  <c r="Z54" i="52" s="1"/>
  <c r="Z205" i="52"/>
  <c r="T376" i="52"/>
  <c r="T395" i="52" s="1"/>
  <c r="K35" i="52"/>
  <c r="K54" i="52" s="1"/>
  <c r="K148" i="52"/>
  <c r="K167" i="52" s="1"/>
  <c r="K92" i="52"/>
  <c r="AC205" i="52"/>
  <c r="AC148" i="52"/>
  <c r="AC167" i="52" s="1"/>
  <c r="AC16" i="52"/>
  <c r="AB148" i="52"/>
  <c r="AB167" i="52" s="1"/>
  <c r="AB205" i="52"/>
  <c r="AB16" i="52"/>
  <c r="R376" i="52"/>
  <c r="R395" i="52" s="1"/>
  <c r="Q35" i="52"/>
  <c r="Q54" i="52" s="1"/>
  <c r="Q92" i="52"/>
  <c r="Q111" i="52" s="1"/>
  <c r="U205" i="52"/>
  <c r="Z376" i="52"/>
  <c r="S35" i="52"/>
  <c r="S54" i="52" s="1"/>
  <c r="S92" i="52"/>
  <c r="S111" i="52" s="1"/>
  <c r="S376" i="52"/>
  <c r="S395" i="52" s="1"/>
  <c r="AL205" i="52"/>
  <c r="AL16" i="52"/>
  <c r="AN243" i="52"/>
  <c r="AN281" i="52"/>
  <c r="AN357" i="52"/>
  <c r="AN319" i="52"/>
  <c r="Q376" i="52"/>
  <c r="AJ205" i="52"/>
  <c r="AJ16" i="52"/>
  <c r="AM16" i="52"/>
  <c r="AK205" i="52"/>
  <c r="AK16" i="52"/>
  <c r="R35" i="52"/>
  <c r="R54" i="52" s="1"/>
  <c r="R92" i="52"/>
  <c r="R111" i="52" s="1"/>
  <c r="AA148" i="52"/>
  <c r="AA167" i="52" s="1"/>
  <c r="AA205" i="52"/>
  <c r="AA16" i="52"/>
  <c r="Z166" i="27"/>
  <c r="I15" i="46" s="1"/>
  <c r="U15" i="46" s="1"/>
  <c r="Z157" i="27"/>
  <c r="I6" i="46" s="1"/>
  <c r="AH157" i="27"/>
  <c r="J6" i="46" s="1"/>
  <c r="L394" i="47"/>
  <c r="L229" i="41"/>
  <c r="L243" i="39"/>
  <c r="L243" i="29"/>
  <c r="U242" i="25"/>
  <c r="AN244" i="25"/>
  <c r="U375" i="47"/>
  <c r="AB394" i="47"/>
  <c r="AD394" i="47" s="1"/>
  <c r="AD375" i="47"/>
  <c r="R394" i="47"/>
  <c r="U394" i="47" s="1"/>
  <c r="H205" i="47"/>
  <c r="H148" i="47"/>
  <c r="H167" i="47" s="1"/>
  <c r="Z53" i="47"/>
  <c r="AD300" i="47"/>
  <c r="AD224" i="47"/>
  <c r="AD338" i="47"/>
  <c r="AD262" i="47"/>
  <c r="J205" i="47"/>
  <c r="J148" i="47"/>
  <c r="J167" i="47" s="1"/>
  <c r="I205" i="47"/>
  <c r="I148" i="47"/>
  <c r="I167" i="47" s="1"/>
  <c r="AJ53" i="47"/>
  <c r="AN338" i="47"/>
  <c r="AN224" i="47"/>
  <c r="AN262" i="47"/>
  <c r="AN300" i="47"/>
  <c r="Q53" i="47"/>
  <c r="U300" i="47"/>
  <c r="U224" i="47"/>
  <c r="U262" i="47"/>
  <c r="U338" i="47"/>
  <c r="P155" i="47"/>
  <c r="P174" i="47" s="1"/>
  <c r="L319" i="47"/>
  <c r="L243" i="47"/>
  <c r="L281" i="47"/>
  <c r="L357" i="47"/>
  <c r="K205" i="47"/>
  <c r="K148" i="47"/>
  <c r="K167" i="47" s="1"/>
  <c r="AM148" i="47"/>
  <c r="AJ148" i="47"/>
  <c r="AJ167" i="47"/>
  <c r="AL167" i="47"/>
  <c r="AL148" i="47"/>
  <c r="AK148" i="47"/>
  <c r="AK167" i="47"/>
  <c r="AM167" i="47"/>
  <c r="I16" i="47"/>
  <c r="H16" i="47"/>
  <c r="AC129" i="47"/>
  <c r="AN394" i="47"/>
  <c r="AJ129" i="47"/>
  <c r="AJ205" i="47" s="1"/>
  <c r="AA129" i="47"/>
  <c r="R129" i="47"/>
  <c r="AB129" i="47"/>
  <c r="K16" i="47"/>
  <c r="Z129" i="47"/>
  <c r="AK129" i="47"/>
  <c r="AM129" i="47"/>
  <c r="S129" i="47"/>
  <c r="Q129" i="47"/>
  <c r="AL129" i="47"/>
  <c r="T129" i="47"/>
  <c r="J16" i="47"/>
  <c r="K243" i="25"/>
  <c r="T91" i="25"/>
  <c r="T129" i="25" s="1"/>
  <c r="L129" i="25"/>
  <c r="AM226" i="25"/>
  <c r="AM245" i="25" s="1"/>
  <c r="J54" i="25"/>
  <c r="J73" i="25" s="1"/>
  <c r="AM18" i="25"/>
  <c r="AM56" i="25" s="1"/>
  <c r="AM75" i="25" s="1"/>
  <c r="I243" i="25"/>
  <c r="Q91" i="25"/>
  <c r="Q16" i="25" s="1"/>
  <c r="AK226" i="25"/>
  <c r="AK18" i="25"/>
  <c r="AN131" i="25"/>
  <c r="AJ226" i="25"/>
  <c r="AJ18" i="25"/>
  <c r="AL226" i="25"/>
  <c r="AL18" i="25"/>
  <c r="AD130" i="25"/>
  <c r="AA244" i="25"/>
  <c r="AD225" i="25"/>
  <c r="Z244" i="25"/>
  <c r="Z93" i="25"/>
  <c r="Z131" i="25" s="1"/>
  <c r="AB93" i="25"/>
  <c r="AB131" i="25" s="1"/>
  <c r="AA93" i="25"/>
  <c r="AA131" i="25" s="1"/>
  <c r="AC93" i="25"/>
  <c r="AC131" i="25" s="1"/>
  <c r="H243" i="25"/>
  <c r="L224" i="25"/>
  <c r="H54" i="25"/>
  <c r="H73" i="25" s="1"/>
  <c r="R91" i="25"/>
  <c r="S91" i="25"/>
  <c r="F22" i="29"/>
  <c r="K130" i="29"/>
  <c r="K225" i="29"/>
  <c r="K17" i="29"/>
  <c r="H92" i="29"/>
  <c r="J92" i="29"/>
  <c r="I92" i="29"/>
  <c r="J97" i="41"/>
  <c r="J22" i="41" s="1"/>
  <c r="I97" i="41"/>
  <c r="I22" i="41" s="1"/>
  <c r="H97" i="41"/>
  <c r="H22" i="41" s="1"/>
  <c r="F60" i="41"/>
  <c r="F98" i="41"/>
  <c r="K135" i="41"/>
  <c r="K211" i="41"/>
  <c r="K60" i="41"/>
  <c r="K79" i="41" s="1"/>
  <c r="J135" i="41"/>
  <c r="J211" i="41"/>
  <c r="J60" i="41"/>
  <c r="J79" i="41" s="1"/>
  <c r="I135" i="41"/>
  <c r="I211" i="41"/>
  <c r="I60" i="41"/>
  <c r="I79" i="41" s="1"/>
  <c r="H135" i="41"/>
  <c r="H211" i="41"/>
  <c r="H60" i="41"/>
  <c r="H79" i="41" s="1"/>
  <c r="H98" i="41" s="1"/>
  <c r="J55" i="39"/>
  <c r="J74" i="39" s="1"/>
  <c r="J130" i="39"/>
  <c r="J225" i="39"/>
  <c r="I92" i="39"/>
  <c r="I17" i="39" s="1"/>
  <c r="K92" i="39"/>
  <c r="K17" i="39" s="1"/>
  <c r="H92" i="39"/>
  <c r="H17" i="39" s="1"/>
  <c r="K96" i="37"/>
  <c r="H96" i="37"/>
  <c r="J96" i="37"/>
  <c r="I21" i="37"/>
  <c r="I59" i="37" s="1"/>
  <c r="I78" i="37" s="1"/>
  <c r="I134" i="37"/>
  <c r="I248" i="37" s="1"/>
  <c r="L247" i="37"/>
  <c r="L228" i="37"/>
  <c r="G60" i="37"/>
  <c r="G98" i="37"/>
  <c r="F60" i="37"/>
  <c r="F98" i="37"/>
  <c r="Q35" i="46" l="1"/>
  <c r="Y35" i="46"/>
  <c r="AM241" i="55"/>
  <c r="AM146" i="55"/>
  <c r="AL241" i="55"/>
  <c r="AL146" i="55"/>
  <c r="AK241" i="55"/>
  <c r="AK146" i="55"/>
  <c r="AN146" i="55" s="1"/>
  <c r="AJ260" i="55"/>
  <c r="N35" i="56"/>
  <c r="E63" i="56" s="1"/>
  <c r="AJ71" i="55"/>
  <c r="AJ185" i="55"/>
  <c r="AB148" i="55"/>
  <c r="AD148" i="55" s="1"/>
  <c r="AB243" i="55"/>
  <c r="AE32" i="27"/>
  <c r="AE89" i="27" s="1"/>
  <c r="AE165" i="27" s="1"/>
  <c r="AK52" i="55"/>
  <c r="X34" i="27"/>
  <c r="AB54" i="55"/>
  <c r="AB73" i="55" s="1"/>
  <c r="AF32" i="27"/>
  <c r="AF89" i="27" s="1"/>
  <c r="AF165" i="27" s="1"/>
  <c r="AL52" i="55"/>
  <c r="AG32" i="27"/>
  <c r="AG89" i="27" s="1"/>
  <c r="AG165" i="27" s="1"/>
  <c r="J35" i="46" s="1"/>
  <c r="V35" i="46" s="1"/>
  <c r="AM52" i="55"/>
  <c r="AA262" i="55"/>
  <c r="AC54" i="55"/>
  <c r="AC73" i="55" s="1"/>
  <c r="AA54" i="55"/>
  <c r="AA73" i="55" s="1"/>
  <c r="AC262" i="55"/>
  <c r="Z54" i="55"/>
  <c r="Z73" i="55" s="1"/>
  <c r="AJ395" i="53"/>
  <c r="AK395" i="53"/>
  <c r="AL395" i="53"/>
  <c r="AD205" i="53"/>
  <c r="Q92" i="53"/>
  <c r="Q111" i="53" s="1"/>
  <c r="Q35" i="53"/>
  <c r="AC92" i="53"/>
  <c r="AC111" i="53" s="1"/>
  <c r="AC35" i="53"/>
  <c r="AC54" i="53" s="1"/>
  <c r="K35" i="53"/>
  <c r="K54" i="53" s="1"/>
  <c r="K92" i="53"/>
  <c r="K111" i="53" s="1"/>
  <c r="U205" i="53"/>
  <c r="T92" i="53"/>
  <c r="T111" i="53" s="1"/>
  <c r="T35" i="53"/>
  <c r="T54" i="53" s="1"/>
  <c r="AM92" i="53"/>
  <c r="AM111" i="53" s="1"/>
  <c r="AM35" i="53"/>
  <c r="AM54" i="53" s="1"/>
  <c r="J92" i="53"/>
  <c r="J111" i="53" s="1"/>
  <c r="J35" i="53"/>
  <c r="J54" i="53" s="1"/>
  <c r="AA376" i="53"/>
  <c r="AA395" i="53" s="1"/>
  <c r="AN376" i="53"/>
  <c r="H92" i="53"/>
  <c r="H111" i="53" s="1"/>
  <c r="H35" i="53"/>
  <c r="J167" i="53"/>
  <c r="J376" i="53" s="1"/>
  <c r="J395" i="53" s="1"/>
  <c r="T376" i="53"/>
  <c r="T395" i="53" s="1"/>
  <c r="AL35" i="53"/>
  <c r="AL54" i="53" s="1"/>
  <c r="AL92" i="53"/>
  <c r="AL111" i="53" s="1"/>
  <c r="AA92" i="53"/>
  <c r="AA111" i="53" s="1"/>
  <c r="AA35" i="53"/>
  <c r="AA54" i="53" s="1"/>
  <c r="L205" i="53"/>
  <c r="R92" i="53"/>
  <c r="R111" i="53" s="1"/>
  <c r="R35" i="53"/>
  <c r="R54" i="53" s="1"/>
  <c r="AB92" i="53"/>
  <c r="AB111" i="53" s="1"/>
  <c r="AB35" i="53"/>
  <c r="AB54" i="53" s="1"/>
  <c r="I35" i="53"/>
  <c r="I54" i="53" s="1"/>
  <c r="I92" i="53"/>
  <c r="I111" i="53" s="1"/>
  <c r="Z92" i="53"/>
  <c r="Z111" i="53" s="1"/>
  <c r="Z130" i="53" s="1"/>
  <c r="Z35" i="53"/>
  <c r="Z54" i="53" s="1"/>
  <c r="AM395" i="53"/>
  <c r="H376" i="53"/>
  <c r="Q376" i="53"/>
  <c r="AB376" i="53"/>
  <c r="AB395" i="53" s="1"/>
  <c r="AK92" i="53"/>
  <c r="AK111" i="53" s="1"/>
  <c r="AK35" i="53"/>
  <c r="AK54" i="53" s="1"/>
  <c r="AJ92" i="53"/>
  <c r="AJ111" i="53" s="1"/>
  <c r="AJ35" i="53"/>
  <c r="AJ54" i="53"/>
  <c r="R167" i="53"/>
  <c r="R376" i="53" s="1"/>
  <c r="R395" i="53" s="1"/>
  <c r="AC167" i="53"/>
  <c r="AC376" i="53" s="1"/>
  <c r="AC395" i="53" s="1"/>
  <c r="K167" i="53"/>
  <c r="K376" i="53" s="1"/>
  <c r="K395" i="53" s="1"/>
  <c r="AB167" i="53"/>
  <c r="I167" i="53"/>
  <c r="I376" i="53" s="1"/>
  <c r="I395" i="53" s="1"/>
  <c r="Z376" i="53"/>
  <c r="AN205" i="53"/>
  <c r="Z92" i="52"/>
  <c r="Z111" i="52" s="1"/>
  <c r="AL376" i="52"/>
  <c r="AL395" i="52" s="1"/>
  <c r="AJ376" i="52"/>
  <c r="AJ395" i="52" s="1"/>
  <c r="R130" i="52"/>
  <c r="R17" i="52" s="1"/>
  <c r="R93" i="52" s="1"/>
  <c r="R112" i="52" s="1"/>
  <c r="AN205" i="52"/>
  <c r="AD205" i="52"/>
  <c r="AM395" i="52"/>
  <c r="AK376" i="52"/>
  <c r="AK395" i="52" s="1"/>
  <c r="U376" i="52"/>
  <c r="Q395" i="52"/>
  <c r="U395" i="52" s="1"/>
  <c r="Z395" i="52"/>
  <c r="AA35" i="52"/>
  <c r="AA54" i="52" s="1"/>
  <c r="AA92" i="52"/>
  <c r="AA111" i="52" s="1"/>
  <c r="AB35" i="52"/>
  <c r="AB54" i="52" s="1"/>
  <c r="AB92" i="52"/>
  <c r="AB111" i="52" s="1"/>
  <c r="Q130" i="52"/>
  <c r="T130" i="52"/>
  <c r="AB376" i="52"/>
  <c r="AB395" i="52" s="1"/>
  <c r="AL35" i="52"/>
  <c r="AL54" i="52" s="1"/>
  <c r="AL92" i="52"/>
  <c r="AL111" i="52" s="1"/>
  <c r="U358" i="52"/>
  <c r="U244" i="52"/>
  <c r="U282" i="52"/>
  <c r="U320" i="52"/>
  <c r="AC35" i="52"/>
  <c r="AC54" i="52" s="1"/>
  <c r="AC92" i="52"/>
  <c r="AC111" i="52" s="1"/>
  <c r="AK35" i="52"/>
  <c r="AK54" i="52" s="1"/>
  <c r="AK92" i="52"/>
  <c r="AK111" i="52" s="1"/>
  <c r="U339" i="52"/>
  <c r="U263" i="52"/>
  <c r="U301" i="52"/>
  <c r="U225" i="52"/>
  <c r="AC376" i="52"/>
  <c r="AC395" i="52" s="1"/>
  <c r="AA376" i="52"/>
  <c r="AA395" i="52" s="1"/>
  <c r="AM92" i="52"/>
  <c r="AM35" i="52"/>
  <c r="AM54" i="52" s="1"/>
  <c r="AJ35" i="52"/>
  <c r="AJ92" i="52"/>
  <c r="AJ111" i="52" s="1"/>
  <c r="S130" i="52"/>
  <c r="V6" i="46"/>
  <c r="R6" i="46"/>
  <c r="Z6" i="46"/>
  <c r="J7" i="48"/>
  <c r="AH158" i="27"/>
  <c r="J7" i="46" s="1"/>
  <c r="U6" i="46"/>
  <c r="Q6" i="46"/>
  <c r="Y6" i="46"/>
  <c r="Z158" i="27"/>
  <c r="I7" i="46" s="1"/>
  <c r="Y7" i="46" s="1"/>
  <c r="J244" i="39"/>
  <c r="K244" i="29"/>
  <c r="I230" i="41"/>
  <c r="K230" i="41"/>
  <c r="J230" i="41"/>
  <c r="I35" i="47"/>
  <c r="I54" i="47" s="1"/>
  <c r="H92" i="47"/>
  <c r="H111" i="47" s="1"/>
  <c r="T16" i="25"/>
  <c r="T54" i="25" s="1"/>
  <c r="T73" i="25" s="1"/>
  <c r="W15" i="45"/>
  <c r="W53" i="45" s="1"/>
  <c r="I92" i="47"/>
  <c r="I111" i="47" s="1"/>
  <c r="H376" i="47"/>
  <c r="H395" i="47" s="1"/>
  <c r="K376" i="47"/>
  <c r="K395" i="47" s="1"/>
  <c r="AB148" i="47"/>
  <c r="AB167" i="47" s="1"/>
  <c r="J376" i="47"/>
  <c r="AN319" i="47"/>
  <c r="AN243" i="47"/>
  <c r="AN357" i="47"/>
  <c r="AN281" i="47"/>
  <c r="I376" i="47"/>
  <c r="I395" i="47" s="1"/>
  <c r="S148" i="47"/>
  <c r="AA148" i="47"/>
  <c r="AA167" i="47" s="1"/>
  <c r="U319" i="47"/>
  <c r="U243" i="47"/>
  <c r="U357" i="47"/>
  <c r="U281" i="47"/>
  <c r="AD319" i="47"/>
  <c r="AD243" i="47"/>
  <c r="AD281" i="47"/>
  <c r="AD357" i="47"/>
  <c r="R16" i="47"/>
  <c r="R148" i="47"/>
  <c r="R167" i="47" s="1"/>
  <c r="Q148" i="47"/>
  <c r="Q167" i="47" s="1"/>
  <c r="T148" i="47"/>
  <c r="Z148" i="47"/>
  <c r="AC16" i="47"/>
  <c r="AC148" i="47"/>
  <c r="AC167" i="47" s="1"/>
  <c r="AJ16" i="47"/>
  <c r="R205" i="47"/>
  <c r="AA16" i="47"/>
  <c r="AC205" i="47"/>
  <c r="J35" i="47"/>
  <c r="J54" i="47" s="1"/>
  <c r="K35" i="47"/>
  <c r="K54" i="47" s="1"/>
  <c r="H35" i="47"/>
  <c r="AA205" i="47"/>
  <c r="AB205" i="47"/>
  <c r="L205" i="47"/>
  <c r="AB16" i="47"/>
  <c r="J92" i="47"/>
  <c r="J111" i="47" s="1"/>
  <c r="Q205" i="47"/>
  <c r="Q16" i="47"/>
  <c r="S205" i="47"/>
  <c r="S16" i="47"/>
  <c r="AM205" i="47"/>
  <c r="AM16" i="47"/>
  <c r="AK205" i="47"/>
  <c r="AK16" i="47"/>
  <c r="AL205" i="47"/>
  <c r="AL16" i="47"/>
  <c r="AC92" i="47"/>
  <c r="AC111" i="47" s="1"/>
  <c r="T205" i="47"/>
  <c r="T16" i="47"/>
  <c r="Z205" i="47"/>
  <c r="Z16" i="47"/>
  <c r="V91" i="27" s="1"/>
  <c r="V167" i="27" s="1"/>
  <c r="K92" i="47"/>
  <c r="K111" i="47" s="1"/>
  <c r="T224" i="25"/>
  <c r="T243" i="25" s="1"/>
  <c r="Q129" i="25"/>
  <c r="Q224" i="25"/>
  <c r="L243" i="25"/>
  <c r="H92" i="25"/>
  <c r="H17" i="25" s="1"/>
  <c r="H55" i="25" s="1"/>
  <c r="H74" i="25" s="1"/>
  <c r="T15" i="45"/>
  <c r="T53" i="45" s="1"/>
  <c r="U15" i="45"/>
  <c r="U53" i="45" s="1"/>
  <c r="V15" i="45"/>
  <c r="V53" i="45" s="1"/>
  <c r="AJ56" i="25"/>
  <c r="AJ75" i="25" s="1"/>
  <c r="AN226" i="25"/>
  <c r="AJ245" i="25"/>
  <c r="AL56" i="25"/>
  <c r="AL75" i="25" s="1"/>
  <c r="AK56" i="25"/>
  <c r="AK75" i="25" s="1"/>
  <c r="AL245" i="25"/>
  <c r="AK245" i="25"/>
  <c r="AD244" i="25"/>
  <c r="AC226" i="25"/>
  <c r="AC18" i="25"/>
  <c r="AA226" i="25"/>
  <c r="AB226" i="25"/>
  <c r="AB245" i="25" s="1"/>
  <c r="AB18" i="25"/>
  <c r="AA18" i="25"/>
  <c r="AD131" i="25"/>
  <c r="Z226" i="25"/>
  <c r="Z18" i="25"/>
  <c r="J92" i="25"/>
  <c r="J130" i="25" s="1"/>
  <c r="K92" i="25"/>
  <c r="K225" i="25" s="1"/>
  <c r="I92" i="25"/>
  <c r="I130" i="25" s="1"/>
  <c r="Q54" i="25"/>
  <c r="Q73" i="25" s="1"/>
  <c r="S129" i="25"/>
  <c r="S224" i="25"/>
  <c r="S16" i="25"/>
  <c r="R129" i="25"/>
  <c r="R224" i="25"/>
  <c r="R16" i="25"/>
  <c r="I130" i="29"/>
  <c r="I225" i="29"/>
  <c r="I17" i="29"/>
  <c r="J130" i="29"/>
  <c r="J225" i="29"/>
  <c r="J17" i="29"/>
  <c r="H130" i="29"/>
  <c r="H225" i="29"/>
  <c r="H17" i="29"/>
  <c r="K55" i="29"/>
  <c r="K74" i="29" s="1"/>
  <c r="F98" i="29"/>
  <c r="F60" i="29"/>
  <c r="I98" i="41"/>
  <c r="J98" i="41"/>
  <c r="K98" i="41"/>
  <c r="H230" i="41"/>
  <c r="L211" i="41"/>
  <c r="H130" i="39"/>
  <c r="H225" i="39"/>
  <c r="K130" i="39"/>
  <c r="K225" i="39"/>
  <c r="I130" i="39"/>
  <c r="I225" i="39"/>
  <c r="J21" i="37"/>
  <c r="J59" i="37" s="1"/>
  <c r="J78" i="37" s="1"/>
  <c r="J134" i="37"/>
  <c r="J248" i="37" s="1"/>
  <c r="H21" i="37"/>
  <c r="H59" i="37" s="1"/>
  <c r="H78" i="37" s="1"/>
  <c r="H134" i="37"/>
  <c r="H248" i="37" s="1"/>
  <c r="K21" i="37"/>
  <c r="K59" i="37" s="1"/>
  <c r="K78" i="37" s="1"/>
  <c r="K97" i="37" s="1"/>
  <c r="K134" i="37"/>
  <c r="K248" i="37" s="1"/>
  <c r="AN241" i="55" l="1"/>
  <c r="AK260" i="55"/>
  <c r="AB262" i="55"/>
  <c r="X91" i="27"/>
  <c r="X167" i="27" s="1"/>
  <c r="AL260" i="55"/>
  <c r="AM260" i="55"/>
  <c r="J14" i="56"/>
  <c r="AK71" i="55"/>
  <c r="AK185" i="55"/>
  <c r="AM71" i="55"/>
  <c r="AM185" i="55"/>
  <c r="AL71" i="55"/>
  <c r="AL90" i="55" s="1"/>
  <c r="AL185" i="55"/>
  <c r="AA92" i="55"/>
  <c r="AA111" i="55" s="1"/>
  <c r="AD243" i="55"/>
  <c r="Z262" i="55"/>
  <c r="Z92" i="55"/>
  <c r="Z111" i="55" s="1"/>
  <c r="AB92" i="55"/>
  <c r="AB111" i="55" s="1"/>
  <c r="AC92" i="55"/>
  <c r="AC111" i="55" s="1"/>
  <c r="AJ376" i="47"/>
  <c r="AN395" i="53"/>
  <c r="R130" i="53"/>
  <c r="J130" i="53"/>
  <c r="I130" i="53"/>
  <c r="L339" i="53"/>
  <c r="L225" i="53"/>
  <c r="L263" i="53"/>
  <c r="L301" i="53"/>
  <c r="Z206" i="53"/>
  <c r="Z149" i="53"/>
  <c r="Z168" i="53"/>
  <c r="H54" i="53"/>
  <c r="AM168" i="53"/>
  <c r="AM149" i="53"/>
  <c r="AM130" i="53"/>
  <c r="J206" i="53"/>
  <c r="J149" i="53"/>
  <c r="J168" i="53" s="1"/>
  <c r="H130" i="53"/>
  <c r="AD376" i="53"/>
  <c r="Z395" i="53"/>
  <c r="AD395" i="53" s="1"/>
  <c r="U376" i="53"/>
  <c r="Q395" i="53"/>
  <c r="U395" i="53" s="1"/>
  <c r="AC130" i="53"/>
  <c r="R168" i="53"/>
  <c r="R206" i="53"/>
  <c r="R149" i="53"/>
  <c r="AN358" i="53"/>
  <c r="AN320" i="53"/>
  <c r="AN282" i="53"/>
  <c r="AN244" i="53"/>
  <c r="AK168" i="53"/>
  <c r="AK149" i="53"/>
  <c r="AK130" i="53"/>
  <c r="H395" i="53"/>
  <c r="L376" i="53"/>
  <c r="AB130" i="53"/>
  <c r="AL168" i="53"/>
  <c r="AL149" i="53"/>
  <c r="AL130" i="53"/>
  <c r="U339" i="53"/>
  <c r="U225" i="53"/>
  <c r="U301" i="53"/>
  <c r="U263" i="53"/>
  <c r="AD358" i="53"/>
  <c r="AD320" i="53"/>
  <c r="AD282" i="53"/>
  <c r="AD244" i="53"/>
  <c r="AN301" i="53"/>
  <c r="AN339" i="53"/>
  <c r="AN263" i="53"/>
  <c r="AN225" i="53"/>
  <c r="T130" i="53"/>
  <c r="Q54" i="53"/>
  <c r="AA130" i="53"/>
  <c r="AJ149" i="53"/>
  <c r="AJ168" i="53"/>
  <c r="AJ130" i="53"/>
  <c r="Z17" i="53"/>
  <c r="J17" i="53"/>
  <c r="Q130" i="53"/>
  <c r="S130" i="53"/>
  <c r="AD301" i="53"/>
  <c r="AD263" i="53"/>
  <c r="AD339" i="53"/>
  <c r="AD225" i="53"/>
  <c r="R17" i="53"/>
  <c r="K130" i="53"/>
  <c r="R206" i="52"/>
  <c r="AC130" i="52"/>
  <c r="AC17" i="52" s="1"/>
  <c r="AC36" i="52" s="1"/>
  <c r="AC55" i="52" s="1"/>
  <c r="AN376" i="52"/>
  <c r="R149" i="52"/>
  <c r="R168" i="52" s="1"/>
  <c r="R377" i="52" s="1"/>
  <c r="R36" i="52"/>
  <c r="R55" i="52" s="1"/>
  <c r="AN395" i="52"/>
  <c r="AD225" i="52"/>
  <c r="AD244" i="52"/>
  <c r="AN225" i="52"/>
  <c r="AN263" i="52"/>
  <c r="AN301" i="52"/>
  <c r="AN339" i="52"/>
  <c r="AD376" i="52"/>
  <c r="AA130" i="52"/>
  <c r="AD358" i="52"/>
  <c r="AD320" i="52"/>
  <c r="AD282" i="52"/>
  <c r="T149" i="52"/>
  <c r="T168" i="52" s="1"/>
  <c r="T206" i="52"/>
  <c r="T17" i="52"/>
  <c r="Q206" i="52"/>
  <c r="Q149" i="52"/>
  <c r="Q168" i="52" s="1"/>
  <c r="Q17" i="52"/>
  <c r="AD339" i="52"/>
  <c r="Z130" i="52"/>
  <c r="AD301" i="52"/>
  <c r="AD263" i="52"/>
  <c r="AJ149" i="52"/>
  <c r="AJ168" i="52"/>
  <c r="AJ130" i="52"/>
  <c r="AK168" i="52"/>
  <c r="AK149" i="52"/>
  <c r="AK130" i="52"/>
  <c r="AM130" i="52"/>
  <c r="S206" i="52"/>
  <c r="S149" i="52"/>
  <c r="S17" i="52"/>
  <c r="AL168" i="52"/>
  <c r="AL149" i="52"/>
  <c r="AL130" i="52"/>
  <c r="AJ54" i="52"/>
  <c r="AB130" i="52"/>
  <c r="AD395" i="52"/>
  <c r="AA92" i="47"/>
  <c r="AA111" i="47" s="1"/>
  <c r="W91" i="27"/>
  <c r="W167" i="27" s="1"/>
  <c r="I37" i="46" s="1"/>
  <c r="AJ92" i="47"/>
  <c r="AJ111" i="47" s="1"/>
  <c r="AC35" i="47"/>
  <c r="AC54" i="47" s="1"/>
  <c r="Y91" i="27"/>
  <c r="Y167" i="27" s="1"/>
  <c r="R92" i="47"/>
  <c r="R111" i="47" s="1"/>
  <c r="U7" i="46"/>
  <c r="Q7" i="46"/>
  <c r="Z159" i="27"/>
  <c r="I8" i="46" s="1"/>
  <c r="V7" i="46"/>
  <c r="R7" i="46"/>
  <c r="Z7" i="46"/>
  <c r="J8" i="48"/>
  <c r="AH159" i="27"/>
  <c r="J8" i="46" s="1"/>
  <c r="L230" i="41"/>
  <c r="K244" i="39"/>
  <c r="J244" i="29"/>
  <c r="I244" i="39"/>
  <c r="L130" i="29"/>
  <c r="I244" i="29"/>
  <c r="AA376" i="47"/>
  <c r="AA395" i="47" s="1"/>
  <c r="L376" i="47"/>
  <c r="R35" i="47"/>
  <c r="R54" i="47" s="1"/>
  <c r="AJ395" i="47"/>
  <c r="AC376" i="47"/>
  <c r="AC395" i="47" s="1"/>
  <c r="K130" i="47"/>
  <c r="K149" i="47" s="1"/>
  <c r="K168" i="47" s="1"/>
  <c r="AK376" i="47"/>
  <c r="AK395" i="47" s="1"/>
  <c r="AB376" i="47"/>
  <c r="AB395" i="47" s="1"/>
  <c r="T167" i="47"/>
  <c r="T376" i="47" s="1"/>
  <c r="T395" i="47" s="1"/>
  <c r="J395" i="47"/>
  <c r="H130" i="47"/>
  <c r="R376" i="47"/>
  <c r="R395" i="47" s="1"/>
  <c r="AL376" i="47"/>
  <c r="AL395" i="47" s="1"/>
  <c r="Z167" i="47"/>
  <c r="Z376" i="47" s="1"/>
  <c r="J130" i="47"/>
  <c r="J206" i="47" s="1"/>
  <c r="AM376" i="47"/>
  <c r="AM395" i="47" s="1"/>
  <c r="S167" i="47"/>
  <c r="S376" i="47" s="1"/>
  <c r="Q376" i="47"/>
  <c r="Q395" i="47" s="1"/>
  <c r="I130" i="47"/>
  <c r="I149" i="47" s="1"/>
  <c r="I168" i="47" s="1"/>
  <c r="H54" i="47"/>
  <c r="L225" i="47"/>
  <c r="L263" i="47"/>
  <c r="L301" i="47"/>
  <c r="L339" i="47"/>
  <c r="AL35" i="47"/>
  <c r="AL54" i="47" s="1"/>
  <c r="AM35" i="47"/>
  <c r="AM54" i="47" s="1"/>
  <c r="AK35" i="47"/>
  <c r="AK54" i="47" s="1"/>
  <c r="AJ35" i="47"/>
  <c r="S35" i="47"/>
  <c r="S54" i="47" s="1"/>
  <c r="Q35" i="47"/>
  <c r="T35" i="47"/>
  <c r="T54" i="47" s="1"/>
  <c r="AB92" i="47"/>
  <c r="AB111" i="47" s="1"/>
  <c r="AB35" i="47"/>
  <c r="AB54" i="47" s="1"/>
  <c r="AA35" i="47"/>
  <c r="AA54" i="47" s="1"/>
  <c r="Z35" i="47"/>
  <c r="AD205" i="47"/>
  <c r="AN205" i="47"/>
  <c r="AL92" i="47"/>
  <c r="AL111" i="47" s="1"/>
  <c r="AK92" i="47"/>
  <c r="AK111" i="47" s="1"/>
  <c r="AM92" i="47"/>
  <c r="AM111" i="47" s="1"/>
  <c r="S92" i="47"/>
  <c r="S111" i="47" s="1"/>
  <c r="U205" i="47"/>
  <c r="T92" i="47"/>
  <c r="T111" i="47" s="1"/>
  <c r="Z92" i="47"/>
  <c r="Z111" i="47" s="1"/>
  <c r="Q92" i="47"/>
  <c r="Q111" i="47" s="1"/>
  <c r="H225" i="25"/>
  <c r="Q243" i="25"/>
  <c r="R243" i="25"/>
  <c r="H130" i="25"/>
  <c r="K17" i="25"/>
  <c r="K55" i="25" s="1"/>
  <c r="K74" i="25" s="1"/>
  <c r="U129" i="25"/>
  <c r="K130" i="25"/>
  <c r="K244" i="25" s="1"/>
  <c r="J225" i="25"/>
  <c r="J244" i="25" s="1"/>
  <c r="J17" i="25"/>
  <c r="J55" i="25" s="1"/>
  <c r="J74" i="25" s="1"/>
  <c r="X53" i="45"/>
  <c r="I17" i="25"/>
  <c r="I55" i="25" s="1"/>
  <c r="I74" i="25" s="1"/>
  <c r="U224" i="25"/>
  <c r="AN245" i="25"/>
  <c r="AK94" i="25"/>
  <c r="AL94" i="25"/>
  <c r="AL132" i="25" s="1"/>
  <c r="AJ94" i="25"/>
  <c r="AJ132" i="25" s="1"/>
  <c r="AM94" i="25"/>
  <c r="AM132" i="25" s="1"/>
  <c r="AA245" i="25"/>
  <c r="AB56" i="25"/>
  <c r="AB75" i="25" s="1"/>
  <c r="Z245" i="25"/>
  <c r="AD226" i="25"/>
  <c r="AC56" i="25"/>
  <c r="AC75" i="25" s="1"/>
  <c r="Z56" i="25"/>
  <c r="Z75" i="25" s="1"/>
  <c r="AA56" i="25"/>
  <c r="AA75" i="25" s="1"/>
  <c r="AC245" i="25"/>
  <c r="S243" i="25"/>
  <c r="I225" i="25"/>
  <c r="I244" i="25" s="1"/>
  <c r="S54" i="25"/>
  <c r="S73" i="25" s="1"/>
  <c r="R54" i="25"/>
  <c r="R73" i="25" s="1"/>
  <c r="H55" i="29"/>
  <c r="H74" i="29" s="1"/>
  <c r="H244" i="29"/>
  <c r="L225" i="29"/>
  <c r="J55" i="29"/>
  <c r="J74" i="29" s="1"/>
  <c r="I55" i="29"/>
  <c r="I74" i="29" s="1"/>
  <c r="I93" i="29" s="1"/>
  <c r="K136" i="41"/>
  <c r="K231" i="41" s="1"/>
  <c r="J136" i="41"/>
  <c r="J212" i="41"/>
  <c r="I136" i="41"/>
  <c r="I212" i="41"/>
  <c r="H136" i="41"/>
  <c r="H212" i="41"/>
  <c r="I55" i="39"/>
  <c r="I74" i="39" s="1"/>
  <c r="K55" i="39"/>
  <c r="K74" i="39" s="1"/>
  <c r="H55" i="39"/>
  <c r="H74" i="39" s="1"/>
  <c r="H244" i="39"/>
  <c r="L225" i="39"/>
  <c r="L130" i="39"/>
  <c r="H97" i="37"/>
  <c r="I97" i="37"/>
  <c r="J97" i="37"/>
  <c r="I22" i="37"/>
  <c r="I60" i="37" s="1"/>
  <c r="I79" i="37" s="1"/>
  <c r="I135" i="37"/>
  <c r="I249" i="37" s="1"/>
  <c r="K22" i="37"/>
  <c r="K60" i="37" s="1"/>
  <c r="K79" i="37" s="1"/>
  <c r="K135" i="37"/>
  <c r="K249" i="37" s="1"/>
  <c r="L248" i="37"/>
  <c r="L229" i="37"/>
  <c r="U37" i="46" l="1"/>
  <c r="I35" i="56"/>
  <c r="E88" i="56" s="1"/>
  <c r="K88" i="56" s="1"/>
  <c r="E36" i="46"/>
  <c r="F34" i="46"/>
  <c r="R34" i="46" s="1"/>
  <c r="AN185" i="55"/>
  <c r="N14" i="56"/>
  <c r="F62" i="56" s="1"/>
  <c r="L35" i="56"/>
  <c r="M35" i="56" s="1"/>
  <c r="AJ90" i="55"/>
  <c r="AJ109" i="55" s="1"/>
  <c r="AN260" i="55"/>
  <c r="F13" i="46" s="1"/>
  <c r="I13" i="56"/>
  <c r="I13" i="48"/>
  <c r="J36" i="56"/>
  <c r="N36" i="56" s="1"/>
  <c r="E64" i="56" s="1"/>
  <c r="J36" i="48"/>
  <c r="N36" i="48" s="1"/>
  <c r="Z149" i="55"/>
  <c r="Z244" i="55"/>
  <c r="AL109" i="55"/>
  <c r="AL15" i="55"/>
  <c r="AA149" i="55"/>
  <c r="AA244" i="55"/>
  <c r="AM90" i="55"/>
  <c r="AC149" i="55"/>
  <c r="AC244" i="55"/>
  <c r="AB149" i="55"/>
  <c r="AB244" i="55"/>
  <c r="AK90" i="55"/>
  <c r="AD262" i="55"/>
  <c r="E15" i="46" s="1"/>
  <c r="I35" i="48"/>
  <c r="L35" i="48" s="1"/>
  <c r="M35" i="48" s="1"/>
  <c r="AA17" i="55"/>
  <c r="W35" i="27" s="1"/>
  <c r="AC17" i="55"/>
  <c r="Y35" i="27" s="1"/>
  <c r="AB17" i="55"/>
  <c r="X35" i="27" s="1"/>
  <c r="Z17" i="55"/>
  <c r="V35" i="27" s="1"/>
  <c r="L395" i="53"/>
  <c r="AL377" i="53"/>
  <c r="AM206" i="53"/>
  <c r="AM17" i="53"/>
  <c r="J36" i="53"/>
  <c r="J55" i="53" s="1"/>
  <c r="J93" i="53"/>
  <c r="J112" i="53" s="1"/>
  <c r="AC206" i="53"/>
  <c r="AC149" i="53"/>
  <c r="AC168" i="53" s="1"/>
  <c r="AC17" i="53"/>
  <c r="L358" i="53"/>
  <c r="L320" i="53"/>
  <c r="L244" i="53"/>
  <c r="L282" i="53"/>
  <c r="AK206" i="53"/>
  <c r="AK17" i="53"/>
  <c r="Z377" i="53"/>
  <c r="AB206" i="53"/>
  <c r="AB149" i="53"/>
  <c r="AB168" i="53" s="1"/>
  <c r="AB17" i="53"/>
  <c r="AK377" i="53"/>
  <c r="AK396" i="53" s="1"/>
  <c r="Q206" i="53"/>
  <c r="Q149" i="53"/>
  <c r="Q168" i="53"/>
  <c r="Q17" i="53"/>
  <c r="K206" i="53"/>
  <c r="K149" i="53"/>
  <c r="K168" i="53" s="1"/>
  <c r="K17" i="53"/>
  <c r="AJ377" i="53"/>
  <c r="R93" i="53"/>
  <c r="R112" i="53" s="1"/>
  <c r="R36" i="53"/>
  <c r="R55" i="53" s="1"/>
  <c r="AA206" i="53"/>
  <c r="AD206" i="53" s="1"/>
  <c r="AA149" i="53"/>
  <c r="AA168" i="53" s="1"/>
  <c r="AA17" i="53"/>
  <c r="H206" i="53"/>
  <c r="H149" i="53"/>
  <c r="H168" i="53" s="1"/>
  <c r="H17" i="53"/>
  <c r="AJ206" i="53"/>
  <c r="AJ17" i="53"/>
  <c r="U358" i="53"/>
  <c r="U244" i="53"/>
  <c r="U282" i="53"/>
  <c r="U320" i="53"/>
  <c r="S206" i="53"/>
  <c r="S149" i="53"/>
  <c r="S17" i="53"/>
  <c r="T206" i="53"/>
  <c r="T149" i="53"/>
  <c r="T17" i="53"/>
  <c r="AM377" i="53"/>
  <c r="Z93" i="53"/>
  <c r="Z112" i="53" s="1"/>
  <c r="Z36" i="53"/>
  <c r="Z55" i="53" s="1"/>
  <c r="AL206" i="53"/>
  <c r="AL17" i="53"/>
  <c r="I206" i="53"/>
  <c r="I149" i="53"/>
  <c r="I168" i="53"/>
  <c r="I17" i="53"/>
  <c r="H149" i="47"/>
  <c r="H168" i="47" s="1"/>
  <c r="H206" i="47"/>
  <c r="AC206" i="52"/>
  <c r="R396" i="52"/>
  <c r="AC93" i="52"/>
  <c r="AC112" i="52" s="1"/>
  <c r="AC149" i="52"/>
  <c r="AC168" i="52" s="1"/>
  <c r="Q93" i="52"/>
  <c r="Q112" i="52" s="1"/>
  <c r="Q36" i="52"/>
  <c r="Q55" i="52" s="1"/>
  <c r="AJ206" i="52"/>
  <c r="AJ17" i="52"/>
  <c r="AB149" i="52"/>
  <c r="AB206" i="52"/>
  <c r="AB17" i="52"/>
  <c r="Z149" i="52"/>
  <c r="Z206" i="52"/>
  <c r="Z17" i="52"/>
  <c r="AM17" i="52"/>
  <c r="U206" i="52"/>
  <c r="T377" i="52"/>
  <c r="T396" i="52" s="1"/>
  <c r="K149" i="52"/>
  <c r="K168" i="52" s="1"/>
  <c r="K17" i="52"/>
  <c r="K131" i="52" s="1"/>
  <c r="S36" i="52"/>
  <c r="S55" i="52" s="1"/>
  <c r="S93" i="52"/>
  <c r="S112" i="52" s="1"/>
  <c r="S168" i="52"/>
  <c r="S377" i="52" s="1"/>
  <c r="S396" i="52" s="1"/>
  <c r="Q377" i="52"/>
  <c r="AN244" i="52"/>
  <c r="AN282" i="52"/>
  <c r="AN320" i="52"/>
  <c r="AN358" i="52"/>
  <c r="AA149" i="52"/>
  <c r="AA168" i="52" s="1"/>
  <c r="AA206" i="52"/>
  <c r="AA17" i="52"/>
  <c r="AL206" i="52"/>
  <c r="AL17" i="52"/>
  <c r="AK206" i="52"/>
  <c r="AK17" i="52"/>
  <c r="T36" i="52"/>
  <c r="T55" i="52" s="1"/>
  <c r="T93" i="52"/>
  <c r="T112" i="52" s="1"/>
  <c r="V8" i="46"/>
  <c r="R8" i="46"/>
  <c r="Z8" i="46"/>
  <c r="J9" i="48"/>
  <c r="AH160" i="27"/>
  <c r="J9" i="46" s="1"/>
  <c r="U8" i="46"/>
  <c r="Q8" i="46"/>
  <c r="Y8" i="46"/>
  <c r="Z160" i="27"/>
  <c r="I9" i="46" s="1"/>
  <c r="Z167" i="27"/>
  <c r="I16" i="46" s="1"/>
  <c r="U16" i="46" s="1"/>
  <c r="L395" i="47"/>
  <c r="L244" i="39"/>
  <c r="J231" i="41"/>
  <c r="L244" i="29"/>
  <c r="I231" i="41"/>
  <c r="U243" i="25"/>
  <c r="S130" i="47"/>
  <c r="S149" i="47" s="1"/>
  <c r="S168" i="47" s="1"/>
  <c r="AN376" i="47"/>
  <c r="Q130" i="47"/>
  <c r="Q149" i="47" s="1"/>
  <c r="T130" i="47"/>
  <c r="T17" i="47" s="1"/>
  <c r="Z395" i="47"/>
  <c r="AD395" i="47" s="1"/>
  <c r="AD376" i="47"/>
  <c r="S395" i="47"/>
  <c r="U395" i="47" s="1"/>
  <c r="U376" i="47"/>
  <c r="Q54" i="47"/>
  <c r="U263" i="47"/>
  <c r="U225" i="47"/>
  <c r="U301" i="47"/>
  <c r="U339" i="47"/>
  <c r="L320" i="47"/>
  <c r="L282" i="47"/>
  <c r="L244" i="47"/>
  <c r="L358" i="47"/>
  <c r="Z54" i="47"/>
  <c r="AD225" i="47"/>
  <c r="AD301" i="47"/>
  <c r="AD263" i="47"/>
  <c r="AD339" i="47"/>
  <c r="AJ54" i="47"/>
  <c r="AN339" i="47"/>
  <c r="AN225" i="47"/>
  <c r="AN263" i="47"/>
  <c r="AN301" i="47"/>
  <c r="I206" i="47"/>
  <c r="R130" i="47"/>
  <c r="J149" i="47"/>
  <c r="J168" i="47" s="1"/>
  <c r="AJ168" i="47"/>
  <c r="AL168" i="47"/>
  <c r="AL149" i="47"/>
  <c r="AM149" i="47"/>
  <c r="AM168" i="47"/>
  <c r="AJ149" i="47"/>
  <c r="AK149" i="47"/>
  <c r="AK168" i="47"/>
  <c r="Z130" i="47"/>
  <c r="K17" i="47"/>
  <c r="K206" i="47"/>
  <c r="H17" i="47"/>
  <c r="H244" i="25"/>
  <c r="L244" i="25" s="1"/>
  <c r="AM130" i="47"/>
  <c r="AM206" i="47" s="1"/>
  <c r="AN395" i="47"/>
  <c r="AL130" i="47"/>
  <c r="AL17" i="47" s="1"/>
  <c r="J17" i="47"/>
  <c r="AK130" i="47"/>
  <c r="AC130" i="47"/>
  <c r="AB130" i="47"/>
  <c r="AJ130" i="47"/>
  <c r="I17" i="47"/>
  <c r="AA130" i="47"/>
  <c r="J93" i="25"/>
  <c r="L130" i="25"/>
  <c r="R92" i="25"/>
  <c r="R225" i="25" s="1"/>
  <c r="AK227" i="25"/>
  <c r="AK132" i="25"/>
  <c r="T16" i="45"/>
  <c r="T54" i="45" s="1"/>
  <c r="V16" i="45"/>
  <c r="V54" i="45" s="1"/>
  <c r="U16" i="45"/>
  <c r="U54" i="45" s="1"/>
  <c r="W16" i="45"/>
  <c r="W54" i="45" s="1"/>
  <c r="AK19" i="25"/>
  <c r="AK57" i="25" s="1"/>
  <c r="AK76" i="25" s="1"/>
  <c r="AM227" i="25"/>
  <c r="AM19" i="25"/>
  <c r="AJ227" i="25"/>
  <c r="AJ19" i="25"/>
  <c r="AL227" i="25"/>
  <c r="AL246" i="25" s="1"/>
  <c r="AL19" i="25"/>
  <c r="AC94" i="25"/>
  <c r="AD245" i="25"/>
  <c r="Z94" i="25"/>
  <c r="Z132" i="25" s="1"/>
  <c r="AA94" i="25"/>
  <c r="AA132" i="25" s="1"/>
  <c r="AB94" i="25"/>
  <c r="AB132" i="25" s="1"/>
  <c r="L225" i="25"/>
  <c r="H93" i="25"/>
  <c r="H226" i="25" s="1"/>
  <c r="I93" i="25"/>
  <c r="I18" i="25" s="1"/>
  <c r="I56" i="25" s="1"/>
  <c r="I75" i="25" s="1"/>
  <c r="T92" i="25"/>
  <c r="T225" i="25" s="1"/>
  <c r="K93" i="25"/>
  <c r="Q92" i="25"/>
  <c r="S92" i="25"/>
  <c r="I131" i="29"/>
  <c r="I226" i="29"/>
  <c r="I18" i="29"/>
  <c r="J93" i="29"/>
  <c r="H93" i="29"/>
  <c r="K93" i="29"/>
  <c r="H231" i="41"/>
  <c r="L212" i="41"/>
  <c r="H93" i="39"/>
  <c r="H18" i="39" s="1"/>
  <c r="J93" i="39"/>
  <c r="J18" i="39" s="1"/>
  <c r="K93" i="39"/>
  <c r="K18" i="39" s="1"/>
  <c r="I93" i="39"/>
  <c r="I18" i="39" s="1"/>
  <c r="J22" i="37"/>
  <c r="J60" i="37" s="1"/>
  <c r="J79" i="37" s="1"/>
  <c r="J135" i="37"/>
  <c r="J249" i="37" s="1"/>
  <c r="H22" i="37"/>
  <c r="H60" i="37" s="1"/>
  <c r="H79" i="37" s="1"/>
  <c r="L230" i="37"/>
  <c r="H135" i="37"/>
  <c r="H249" i="37" s="1"/>
  <c r="Z34" i="46" l="1"/>
  <c r="Q36" i="46"/>
  <c r="Y36" i="46"/>
  <c r="L13" i="56"/>
  <c r="M13" i="56" s="1"/>
  <c r="F86" i="56"/>
  <c r="L86" i="56" s="1"/>
  <c r="AJ15" i="55"/>
  <c r="AD33" i="27" s="1"/>
  <c r="AD90" i="27" s="1"/>
  <c r="AD166" i="27" s="1"/>
  <c r="AJ242" i="55"/>
  <c r="AJ147" i="55"/>
  <c r="AL242" i="55"/>
  <c r="AL147" i="55"/>
  <c r="AA263" i="55"/>
  <c r="AF33" i="27"/>
  <c r="AF90" i="27" s="1"/>
  <c r="AF166" i="27" s="1"/>
  <c r="AL53" i="55"/>
  <c r="AK109" i="55"/>
  <c r="AK15" i="55"/>
  <c r="AA55" i="55"/>
  <c r="AA74" i="55" s="1"/>
  <c r="AM109" i="55"/>
  <c r="AM15" i="55"/>
  <c r="AD149" i="55"/>
  <c r="AB263" i="55"/>
  <c r="AC55" i="55"/>
  <c r="AC74" i="55" s="1"/>
  <c r="Z55" i="55"/>
  <c r="Z74" i="55" s="1"/>
  <c r="AC263" i="55"/>
  <c r="AB55" i="55"/>
  <c r="AB74" i="55" s="1"/>
  <c r="AM396" i="53"/>
  <c r="R377" i="53"/>
  <c r="R396" i="53" s="1"/>
  <c r="AN206" i="53"/>
  <c r="J377" i="53"/>
  <c r="J396" i="53" s="1"/>
  <c r="L206" i="53"/>
  <c r="I93" i="53"/>
  <c r="I112" i="53" s="1"/>
  <c r="I36" i="53"/>
  <c r="I55" i="53" s="1"/>
  <c r="T93" i="53"/>
  <c r="T112" i="53" s="1"/>
  <c r="T36" i="53"/>
  <c r="T55" i="53" s="1"/>
  <c r="AJ93" i="53"/>
  <c r="AJ112" i="53" s="1"/>
  <c r="AJ36" i="53"/>
  <c r="AJ55" i="53"/>
  <c r="AC93" i="53"/>
  <c r="AC112" i="53" s="1"/>
  <c r="AC36" i="53"/>
  <c r="AC55" i="53"/>
  <c r="T168" i="53"/>
  <c r="T377" i="53" s="1"/>
  <c r="T396" i="53" s="1"/>
  <c r="H377" i="53"/>
  <c r="K93" i="53"/>
  <c r="K112" i="53" s="1"/>
  <c r="K36" i="53"/>
  <c r="K55" i="53" s="1"/>
  <c r="AL93" i="53"/>
  <c r="AL112" i="53" s="1"/>
  <c r="AL36" i="53"/>
  <c r="AL55" i="53" s="1"/>
  <c r="AB377" i="53"/>
  <c r="AB396" i="53" s="1"/>
  <c r="Z396" i="53"/>
  <c r="I377" i="53"/>
  <c r="I396" i="53" s="1"/>
  <c r="AA93" i="53"/>
  <c r="AA112" i="53" s="1"/>
  <c r="AA36" i="53"/>
  <c r="AA55" i="53" s="1"/>
  <c r="AK93" i="53"/>
  <c r="AK112" i="53" s="1"/>
  <c r="AK36" i="53"/>
  <c r="AK55" i="53" s="1"/>
  <c r="AN377" i="53"/>
  <c r="AJ396" i="53"/>
  <c r="S377" i="53"/>
  <c r="S396" i="53" s="1"/>
  <c r="AD226" i="53"/>
  <c r="S168" i="53"/>
  <c r="AA377" i="53"/>
  <c r="AA396" i="53" s="1"/>
  <c r="Q93" i="53"/>
  <c r="Q112" i="53" s="1"/>
  <c r="R131" i="53" s="1"/>
  <c r="Q36" i="53"/>
  <c r="Q55" i="53"/>
  <c r="H93" i="53"/>
  <c r="H112" i="53" s="1"/>
  <c r="H131" i="53" s="1"/>
  <c r="H18" i="53" s="1"/>
  <c r="H36" i="53"/>
  <c r="H55" i="53" s="1"/>
  <c r="AM93" i="53"/>
  <c r="AM112" i="53" s="1"/>
  <c r="AM36" i="53"/>
  <c r="AM55" i="53" s="1"/>
  <c r="Q377" i="53"/>
  <c r="AB93" i="53"/>
  <c r="AB112" i="53" s="1"/>
  <c r="AB131" i="53" s="1"/>
  <c r="AB18" i="53" s="1"/>
  <c r="AB36" i="53"/>
  <c r="AB55" i="53" s="1"/>
  <c r="K377" i="53"/>
  <c r="K396" i="53" s="1"/>
  <c r="U206" i="53"/>
  <c r="AC377" i="53"/>
  <c r="AC396" i="53" s="1"/>
  <c r="S93" i="53"/>
  <c r="S112" i="53" s="1"/>
  <c r="S36" i="53"/>
  <c r="S55" i="53"/>
  <c r="AL396" i="53"/>
  <c r="AC377" i="52"/>
  <c r="AC396" i="52" s="1"/>
  <c r="AL377" i="52"/>
  <c r="AL396" i="52" s="1"/>
  <c r="AJ377" i="52"/>
  <c r="AJ396" i="52" s="1"/>
  <c r="AM377" i="52"/>
  <c r="AM396" i="52" s="1"/>
  <c r="S131" i="52"/>
  <c r="S18" i="52" s="1"/>
  <c r="S94" i="52" s="1"/>
  <c r="S113" i="52" s="1"/>
  <c r="U283" i="52"/>
  <c r="U359" i="52"/>
  <c r="U245" i="52"/>
  <c r="U321" i="52"/>
  <c r="AK36" i="52"/>
  <c r="AK55" i="52" s="1"/>
  <c r="AK93" i="52"/>
  <c r="AK112" i="52" s="1"/>
  <c r="AA36" i="52"/>
  <c r="AA55" i="52" s="1"/>
  <c r="AA93" i="52"/>
  <c r="AA112" i="52" s="1"/>
  <c r="AL36" i="52"/>
  <c r="AL55" i="52" s="1"/>
  <c r="AL93" i="52"/>
  <c r="AL112" i="52" s="1"/>
  <c r="AB168" i="52"/>
  <c r="AB377" i="52" s="1"/>
  <c r="AB396" i="52" s="1"/>
  <c r="AB36" i="52"/>
  <c r="AB55" i="52" s="1"/>
  <c r="AB93" i="52"/>
  <c r="AB112" i="52" s="1"/>
  <c r="AA377" i="52"/>
  <c r="AA396" i="52" s="1"/>
  <c r="K36" i="52"/>
  <c r="K55" i="52" s="1"/>
  <c r="K93" i="52"/>
  <c r="AM93" i="52"/>
  <c r="AM36" i="52"/>
  <c r="AM55" i="52" s="1"/>
  <c r="AJ36" i="52"/>
  <c r="AJ55" i="52" s="1"/>
  <c r="AJ93" i="52"/>
  <c r="AJ112" i="52" s="1"/>
  <c r="AN206" i="52"/>
  <c r="T131" i="52"/>
  <c r="Z36" i="52"/>
  <c r="Z55" i="52" s="1"/>
  <c r="Z93" i="52"/>
  <c r="Z112" i="52" s="1"/>
  <c r="U340" i="52"/>
  <c r="U302" i="52"/>
  <c r="U264" i="52"/>
  <c r="U226" i="52"/>
  <c r="Q396" i="52"/>
  <c r="U396" i="52" s="1"/>
  <c r="U377" i="52"/>
  <c r="AD206" i="52"/>
  <c r="AK377" i="52"/>
  <c r="AK396" i="52" s="1"/>
  <c r="Z168" i="52"/>
  <c r="Z377" i="52" s="1"/>
  <c r="Q131" i="52"/>
  <c r="R131" i="52"/>
  <c r="U9" i="46"/>
  <c r="Q9" i="46"/>
  <c r="Y9" i="46"/>
  <c r="Z161" i="27"/>
  <c r="I10" i="46" s="1"/>
  <c r="V9" i="46"/>
  <c r="R9" i="46"/>
  <c r="Z9" i="46"/>
  <c r="J10" i="48"/>
  <c r="AH161" i="27"/>
  <c r="J10" i="46" s="1"/>
  <c r="Q15" i="46"/>
  <c r="Y15" i="46"/>
  <c r="L231" i="41"/>
  <c r="L249" i="37"/>
  <c r="I245" i="29"/>
  <c r="H377" i="47"/>
  <c r="H396" i="47" s="1"/>
  <c r="Q168" i="47"/>
  <c r="T149" i="47"/>
  <c r="T168" i="47" s="1"/>
  <c r="K377" i="47"/>
  <c r="K396" i="47" s="1"/>
  <c r="I377" i="47"/>
  <c r="I396" i="47" s="1"/>
  <c r="R149" i="47"/>
  <c r="R168" i="47" s="1"/>
  <c r="AD320" i="47"/>
  <c r="AD244" i="47"/>
  <c r="AD282" i="47"/>
  <c r="AD358" i="47"/>
  <c r="AC149" i="47"/>
  <c r="AC168" i="47" s="1"/>
  <c r="AN358" i="47"/>
  <c r="AN320" i="47"/>
  <c r="AN244" i="47"/>
  <c r="AN282" i="47"/>
  <c r="U320" i="47"/>
  <c r="U244" i="47"/>
  <c r="U358" i="47"/>
  <c r="U282" i="47"/>
  <c r="Z206" i="47"/>
  <c r="Z149" i="47"/>
  <c r="AB149" i="47"/>
  <c r="AB168" i="47" s="1"/>
  <c r="J377" i="47"/>
  <c r="J396" i="47" s="1"/>
  <c r="AA149" i="47"/>
  <c r="AA168" i="47" s="1"/>
  <c r="Z17" i="47"/>
  <c r="AL93" i="47"/>
  <c r="AL112" i="47" s="1"/>
  <c r="AL36" i="47"/>
  <c r="AL55" i="47" s="1"/>
  <c r="T206" i="47"/>
  <c r="K36" i="47"/>
  <c r="K55" i="47" s="1"/>
  <c r="H36" i="47"/>
  <c r="K93" i="47"/>
  <c r="K112" i="47" s="1"/>
  <c r="T93" i="47"/>
  <c r="T112" i="47" s="1"/>
  <c r="T36" i="47"/>
  <c r="T55" i="47" s="1"/>
  <c r="H93" i="47"/>
  <c r="H112" i="47" s="1"/>
  <c r="AM17" i="47"/>
  <c r="L206" i="47"/>
  <c r="I36" i="47"/>
  <c r="I55" i="47" s="1"/>
  <c r="J36" i="47"/>
  <c r="J55" i="47" s="1"/>
  <c r="AL206" i="47"/>
  <c r="I93" i="47"/>
  <c r="I112" i="47" s="1"/>
  <c r="AK206" i="47"/>
  <c r="AK17" i="47"/>
  <c r="AC206" i="47"/>
  <c r="AC17" i="47"/>
  <c r="Y92" i="27" s="1"/>
  <c r="Y168" i="27" s="1"/>
  <c r="AA206" i="47"/>
  <c r="AA17" i="47"/>
  <c r="W92" i="27" s="1"/>
  <c r="W168" i="27" s="1"/>
  <c r="R206" i="47"/>
  <c r="R17" i="47"/>
  <c r="J93" i="47"/>
  <c r="J112" i="47" s="1"/>
  <c r="Q206" i="47"/>
  <c r="Q17" i="47"/>
  <c r="AB206" i="47"/>
  <c r="AB17" i="47"/>
  <c r="X92" i="27" s="1"/>
  <c r="X168" i="27" s="1"/>
  <c r="S206" i="47"/>
  <c r="S17" i="47"/>
  <c r="AJ206" i="47"/>
  <c r="AJ17" i="47"/>
  <c r="R17" i="25"/>
  <c r="R55" i="25" s="1"/>
  <c r="R74" i="25" s="1"/>
  <c r="R130" i="25"/>
  <c r="R244" i="25" s="1"/>
  <c r="I131" i="25"/>
  <c r="AK246" i="25"/>
  <c r="T130" i="25"/>
  <c r="T244" i="25" s="1"/>
  <c r="T17" i="25"/>
  <c r="T55" i="25" s="1"/>
  <c r="T74" i="25" s="1"/>
  <c r="AN132" i="25"/>
  <c r="X54" i="45"/>
  <c r="I226" i="25"/>
  <c r="AN227" i="25"/>
  <c r="AJ246" i="25"/>
  <c r="AM57" i="25"/>
  <c r="AM76" i="25" s="1"/>
  <c r="AL57" i="25"/>
  <c r="AL76" i="25" s="1"/>
  <c r="AJ57" i="25"/>
  <c r="AJ76" i="25" s="1"/>
  <c r="AM246" i="25"/>
  <c r="AC19" i="25"/>
  <c r="AC57" i="25" s="1"/>
  <c r="AC76" i="25" s="1"/>
  <c r="AC132" i="25"/>
  <c r="AD132" i="25" s="1"/>
  <c r="AC227" i="25"/>
  <c r="Z227" i="25"/>
  <c r="Z19" i="25"/>
  <c r="AA227" i="25"/>
  <c r="AA19" i="25"/>
  <c r="AA57" i="25" s="1"/>
  <c r="AA76" i="25" s="1"/>
  <c r="AB227" i="25"/>
  <c r="AB246" i="25" s="1"/>
  <c r="AB19" i="25"/>
  <c r="AB57" i="25" s="1"/>
  <c r="AB76" i="25" s="1"/>
  <c r="H18" i="25"/>
  <c r="H56" i="25" s="1"/>
  <c r="H75" i="25" s="1"/>
  <c r="H131" i="25"/>
  <c r="J226" i="25"/>
  <c r="J131" i="25"/>
  <c r="J18" i="25"/>
  <c r="K226" i="25"/>
  <c r="K131" i="25"/>
  <c r="K18" i="25"/>
  <c r="S130" i="25"/>
  <c r="S225" i="25"/>
  <c r="S17" i="25"/>
  <c r="Q130" i="25"/>
  <c r="Q225" i="25"/>
  <c r="Q17" i="25"/>
  <c r="K131" i="29"/>
  <c r="K226" i="29"/>
  <c r="K18" i="29"/>
  <c r="H226" i="29"/>
  <c r="H131" i="29"/>
  <c r="H18" i="29"/>
  <c r="J131" i="29"/>
  <c r="J226" i="29"/>
  <c r="J18" i="29"/>
  <c r="I56" i="29"/>
  <c r="I75" i="29" s="1"/>
  <c r="I131" i="39"/>
  <c r="I226" i="39"/>
  <c r="K131" i="39"/>
  <c r="K226" i="39"/>
  <c r="J131" i="39"/>
  <c r="J226" i="39"/>
  <c r="H131" i="39"/>
  <c r="H226" i="39"/>
  <c r="H98" i="37"/>
  <c r="K98" i="37"/>
  <c r="I98" i="37"/>
  <c r="J98" i="37"/>
  <c r="I136" i="37"/>
  <c r="I250" i="37" s="1"/>
  <c r="K136" i="37"/>
  <c r="K250" i="37" s="1"/>
  <c r="H136" i="37"/>
  <c r="H250" i="37" s="1"/>
  <c r="AJ53" i="55" l="1"/>
  <c r="AK242" i="55"/>
  <c r="AK147" i="55"/>
  <c r="AL261" i="55"/>
  <c r="AM242" i="55"/>
  <c r="AM147" i="55"/>
  <c r="AN147" i="55" s="1"/>
  <c r="AJ261" i="55"/>
  <c r="AN242" i="55"/>
  <c r="AJ72" i="55"/>
  <c r="AJ186" i="55"/>
  <c r="AE33" i="27"/>
  <c r="AE90" i="27" s="1"/>
  <c r="AE166" i="27" s="1"/>
  <c r="AK53" i="55"/>
  <c r="AG33" i="27"/>
  <c r="AG90" i="27" s="1"/>
  <c r="AG166" i="27" s="1"/>
  <c r="AM53" i="55"/>
  <c r="AL72" i="55"/>
  <c r="AL186" i="55"/>
  <c r="Z93" i="55"/>
  <c r="AC93" i="55"/>
  <c r="AC112" i="55" s="1"/>
  <c r="AB93" i="55"/>
  <c r="AB112" i="55" s="1"/>
  <c r="AD244" i="55"/>
  <c r="Z263" i="55"/>
  <c r="AA93" i="55"/>
  <c r="AA112" i="55" s="1"/>
  <c r="S131" i="53"/>
  <c r="S18" i="53" s="1"/>
  <c r="AD377" i="53"/>
  <c r="AD396" i="53"/>
  <c r="AD283" i="53"/>
  <c r="AD245" i="53"/>
  <c r="AD359" i="53"/>
  <c r="AD321" i="53"/>
  <c r="L359" i="53"/>
  <c r="L321" i="53"/>
  <c r="L283" i="53"/>
  <c r="L245" i="53"/>
  <c r="AD302" i="53"/>
  <c r="AA131" i="53"/>
  <c r="AN340" i="53"/>
  <c r="AN302" i="53"/>
  <c r="AN226" i="53"/>
  <c r="AN264" i="53"/>
  <c r="AN359" i="53"/>
  <c r="AN321" i="53"/>
  <c r="AN283" i="53"/>
  <c r="AN245" i="53"/>
  <c r="AD340" i="53"/>
  <c r="AJ150" i="53"/>
  <c r="AJ169" i="53"/>
  <c r="AJ131" i="53"/>
  <c r="R207" i="53"/>
  <c r="R150" i="53"/>
  <c r="R169" i="53" s="1"/>
  <c r="R18" i="53"/>
  <c r="K131" i="53"/>
  <c r="AD264" i="53"/>
  <c r="L377" i="53"/>
  <c r="H396" i="53"/>
  <c r="AN396" i="53"/>
  <c r="S94" i="53"/>
  <c r="S113" i="53" s="1"/>
  <c r="S37" i="53"/>
  <c r="S56" i="53" s="1"/>
  <c r="U359" i="53"/>
  <c r="U321" i="53"/>
  <c r="U283" i="53"/>
  <c r="U245" i="53"/>
  <c r="Q396" i="53"/>
  <c r="U396" i="53" s="1"/>
  <c r="U377" i="53"/>
  <c r="J131" i="53"/>
  <c r="T131" i="53"/>
  <c r="AB94" i="53"/>
  <c r="AB113" i="53" s="1"/>
  <c r="AB37" i="53"/>
  <c r="AB56" i="53" s="1"/>
  <c r="S207" i="53"/>
  <c r="S150" i="53"/>
  <c r="S169" i="53" s="1"/>
  <c r="AM169" i="53"/>
  <c r="AM150" i="53"/>
  <c r="AM131" i="53"/>
  <c r="U340" i="53"/>
  <c r="U226" i="53"/>
  <c r="U302" i="53"/>
  <c r="U264" i="53"/>
  <c r="AB207" i="53"/>
  <c r="AB150" i="53"/>
  <c r="AB169" i="53" s="1"/>
  <c r="Q131" i="53"/>
  <c r="L340" i="53"/>
  <c r="L226" i="53"/>
  <c r="L302" i="53"/>
  <c r="L264" i="53"/>
  <c r="Z131" i="53"/>
  <c r="AK169" i="53"/>
  <c r="AK150" i="53"/>
  <c r="AK131" i="53"/>
  <c r="AL169" i="53"/>
  <c r="AL150" i="53"/>
  <c r="AL378" i="53" s="1"/>
  <c r="AL131" i="53"/>
  <c r="I131" i="53"/>
  <c r="H94" i="53"/>
  <c r="H113" i="53" s="1"/>
  <c r="H37" i="53"/>
  <c r="H150" i="53"/>
  <c r="H169" i="53" s="1"/>
  <c r="H207" i="53"/>
  <c r="AC131" i="53"/>
  <c r="S207" i="52"/>
  <c r="S150" i="52"/>
  <c r="S169" i="52" s="1"/>
  <c r="S37" i="52"/>
  <c r="S56" i="52" s="1"/>
  <c r="AA131" i="52"/>
  <c r="AA18" i="52" s="1"/>
  <c r="AD377" i="52"/>
  <c r="Z396" i="52"/>
  <c r="AD396" i="52" s="1"/>
  <c r="AL150" i="52"/>
  <c r="AL169" i="52"/>
  <c r="AL131" i="52"/>
  <c r="AJ150" i="52"/>
  <c r="AJ169" i="52"/>
  <c r="AJ131" i="52"/>
  <c r="AN377" i="52"/>
  <c r="AB131" i="52"/>
  <c r="Z131" i="52"/>
  <c r="AC131" i="52"/>
  <c r="AM131" i="52"/>
  <c r="Q150" i="52"/>
  <c r="Q169" i="52" s="1"/>
  <c r="Q207" i="52"/>
  <c r="Q18" i="52"/>
  <c r="AD226" i="52"/>
  <c r="AD264" i="52"/>
  <c r="AD302" i="52"/>
  <c r="AD340" i="52"/>
  <c r="R150" i="52"/>
  <c r="R207" i="52"/>
  <c r="R18" i="52"/>
  <c r="T150" i="52"/>
  <c r="T207" i="52"/>
  <c r="T18" i="52"/>
  <c r="AK150" i="52"/>
  <c r="AK169" i="52"/>
  <c r="AK131" i="52"/>
  <c r="AN245" i="52"/>
  <c r="AN283" i="52"/>
  <c r="AN321" i="52"/>
  <c r="AN359" i="52"/>
  <c r="AN226" i="52"/>
  <c r="AN264" i="52"/>
  <c r="AN302" i="52"/>
  <c r="AN340" i="52"/>
  <c r="AN396" i="52"/>
  <c r="AD245" i="52"/>
  <c r="AD283" i="52"/>
  <c r="AD359" i="52"/>
  <c r="AD321" i="52"/>
  <c r="S36" i="47"/>
  <c r="S55" i="47" s="1"/>
  <c r="Z93" i="47"/>
  <c r="Z112" i="47" s="1"/>
  <c r="V92" i="27"/>
  <c r="V10" i="46"/>
  <c r="R10" i="46"/>
  <c r="Z10" i="46"/>
  <c r="J11" i="48"/>
  <c r="AH162" i="27"/>
  <c r="J11" i="46" s="1"/>
  <c r="Z11" i="46" s="1"/>
  <c r="U10" i="46"/>
  <c r="Q10" i="46"/>
  <c r="Y10" i="46"/>
  <c r="Z162" i="27"/>
  <c r="I11" i="46" s="1"/>
  <c r="I245" i="39"/>
  <c r="K245" i="29"/>
  <c r="K245" i="39"/>
  <c r="L131" i="39"/>
  <c r="J245" i="39"/>
  <c r="J245" i="29"/>
  <c r="AK377" i="47"/>
  <c r="AK396" i="47" s="1"/>
  <c r="AL377" i="47"/>
  <c r="AL396" i="47" s="1"/>
  <c r="Q377" i="47"/>
  <c r="Q396" i="47" s="1"/>
  <c r="AM377" i="47"/>
  <c r="AM396" i="47" s="1"/>
  <c r="L377" i="47"/>
  <c r="AC377" i="47"/>
  <c r="AC396" i="47" s="1"/>
  <c r="AB377" i="47"/>
  <c r="AB396" i="47" s="1"/>
  <c r="T377" i="47"/>
  <c r="T396" i="47" s="1"/>
  <c r="AA377" i="47"/>
  <c r="AA396" i="47" s="1"/>
  <c r="S377" i="47"/>
  <c r="S396" i="47" s="1"/>
  <c r="R377" i="47"/>
  <c r="Z168" i="47"/>
  <c r="Z377" i="47" s="1"/>
  <c r="AJ377" i="47"/>
  <c r="H55" i="47"/>
  <c r="L340" i="47"/>
  <c r="L264" i="47"/>
  <c r="L226" i="47"/>
  <c r="L302" i="47"/>
  <c r="Z36" i="47"/>
  <c r="J131" i="47"/>
  <c r="AK36" i="47"/>
  <c r="AK55" i="47" s="1"/>
  <c r="AJ36" i="47"/>
  <c r="AM93" i="47"/>
  <c r="AM112" i="47" s="1"/>
  <c r="AM36" i="47"/>
  <c r="AM55" i="47" s="1"/>
  <c r="H131" i="47"/>
  <c r="H207" i="47" s="1"/>
  <c r="K131" i="47"/>
  <c r="I131" i="47"/>
  <c r="Q36" i="47"/>
  <c r="R36" i="47"/>
  <c r="R55" i="47" s="1"/>
  <c r="AB36" i="47"/>
  <c r="AB55" i="47" s="1"/>
  <c r="AC36" i="47"/>
  <c r="AC55" i="47" s="1"/>
  <c r="AA36" i="47"/>
  <c r="AA55" i="47" s="1"/>
  <c r="AN206" i="47"/>
  <c r="L396" i="47"/>
  <c r="AD206" i="47"/>
  <c r="Q93" i="47"/>
  <c r="Q112" i="47" s="1"/>
  <c r="AB93" i="47"/>
  <c r="AB112" i="47" s="1"/>
  <c r="AA93" i="47"/>
  <c r="AA112" i="47" s="1"/>
  <c r="AJ93" i="47"/>
  <c r="AJ112" i="47" s="1"/>
  <c r="U206" i="47"/>
  <c r="R93" i="47"/>
  <c r="R112" i="47" s="1"/>
  <c r="AK93" i="47"/>
  <c r="AK112" i="47" s="1"/>
  <c r="S93" i="47"/>
  <c r="S112" i="47" s="1"/>
  <c r="AC93" i="47"/>
  <c r="AC112" i="47" s="1"/>
  <c r="S244" i="25"/>
  <c r="AC246" i="25"/>
  <c r="I245" i="25"/>
  <c r="U130" i="25"/>
  <c r="AJ95" i="25"/>
  <c r="AJ133" i="25" s="1"/>
  <c r="K245" i="25"/>
  <c r="H245" i="25"/>
  <c r="L131" i="25"/>
  <c r="Q244" i="25"/>
  <c r="U225" i="25"/>
  <c r="AN246" i="25"/>
  <c r="AL95" i="25"/>
  <c r="AL133" i="25" s="1"/>
  <c r="AM95" i="25"/>
  <c r="AM133" i="25" s="1"/>
  <c r="AK95" i="25"/>
  <c r="AK133" i="25" s="1"/>
  <c r="AA246" i="25"/>
  <c r="Z57" i="25"/>
  <c r="Z76" i="25" s="1"/>
  <c r="AA95" i="25" s="1"/>
  <c r="AA133" i="25" s="1"/>
  <c r="Z246" i="25"/>
  <c r="AD227" i="25"/>
  <c r="L226" i="25"/>
  <c r="S55" i="25"/>
  <c r="S74" i="25" s="1"/>
  <c r="J56" i="25"/>
  <c r="J75" i="25" s="1"/>
  <c r="K56" i="25"/>
  <c r="K75" i="25" s="1"/>
  <c r="J245" i="25"/>
  <c r="Q55" i="25"/>
  <c r="Q74" i="25" s="1"/>
  <c r="J56" i="29"/>
  <c r="J75" i="29" s="1"/>
  <c r="H56" i="29"/>
  <c r="H75" i="29" s="1"/>
  <c r="L131" i="29"/>
  <c r="H245" i="29"/>
  <c r="L226" i="29"/>
  <c r="K56" i="29"/>
  <c r="K75" i="29" s="1"/>
  <c r="K94" i="29" s="1"/>
  <c r="H56" i="39"/>
  <c r="H75" i="39" s="1"/>
  <c r="H245" i="39"/>
  <c r="L226" i="39"/>
  <c r="J56" i="39"/>
  <c r="J75" i="39" s="1"/>
  <c r="K56" i="39"/>
  <c r="K75" i="39" s="1"/>
  <c r="I56" i="39"/>
  <c r="I75" i="39" s="1"/>
  <c r="I94" i="39" s="1"/>
  <c r="I19" i="39" s="1"/>
  <c r="J136" i="37"/>
  <c r="J250" i="37" s="1"/>
  <c r="L250" i="37" s="1"/>
  <c r="L231" i="37"/>
  <c r="J36" i="46" l="1"/>
  <c r="V36" i="46" s="1"/>
  <c r="I36" i="56"/>
  <c r="E89" i="56" s="1"/>
  <c r="K89" i="56" s="1"/>
  <c r="E37" i="46"/>
  <c r="L36" i="56"/>
  <c r="M36" i="56" s="1"/>
  <c r="AM261" i="55"/>
  <c r="AK261" i="55"/>
  <c r="F35" i="46" s="1"/>
  <c r="J15" i="56"/>
  <c r="J15" i="48"/>
  <c r="AA150" i="55"/>
  <c r="AA245" i="55"/>
  <c r="AC150" i="55"/>
  <c r="AC245" i="55"/>
  <c r="AM72" i="55"/>
  <c r="AM186" i="55"/>
  <c r="AK72" i="55"/>
  <c r="AK186" i="55"/>
  <c r="AH166" i="27"/>
  <c r="J15" i="46" s="1"/>
  <c r="AB150" i="55"/>
  <c r="AB245" i="55"/>
  <c r="Z18" i="55"/>
  <c r="Z112" i="55"/>
  <c r="AD263" i="55"/>
  <c r="E16" i="46" s="1"/>
  <c r="I36" i="48"/>
  <c r="L36" i="48" s="1"/>
  <c r="M36" i="48" s="1"/>
  <c r="AC18" i="55"/>
  <c r="Y36" i="27" s="1"/>
  <c r="AB18" i="55"/>
  <c r="X36" i="27" s="1"/>
  <c r="AA18" i="55"/>
  <c r="W36" i="27" s="1"/>
  <c r="L396" i="53"/>
  <c r="AL207" i="53"/>
  <c r="AL18" i="53"/>
  <c r="AL397" i="53"/>
  <c r="AJ378" i="53"/>
  <c r="AA207" i="53"/>
  <c r="AA150" i="53"/>
  <c r="AA169" i="53"/>
  <c r="AA18" i="53"/>
  <c r="T169" i="53"/>
  <c r="T207" i="53"/>
  <c r="T150" i="53"/>
  <c r="T18" i="53"/>
  <c r="AB378" i="53"/>
  <c r="AB397" i="53" s="1"/>
  <c r="AK207" i="53"/>
  <c r="AK18" i="53"/>
  <c r="H378" i="53"/>
  <c r="Z207" i="53"/>
  <c r="Z150" i="53"/>
  <c r="Z169" i="53" s="1"/>
  <c r="Z18" i="53"/>
  <c r="J207" i="53"/>
  <c r="L207" i="53" s="1"/>
  <c r="J150" i="53"/>
  <c r="J18" i="53"/>
  <c r="AM207" i="53"/>
  <c r="AM18" i="53"/>
  <c r="AK378" i="53"/>
  <c r="AM378" i="53"/>
  <c r="AM397" i="53" s="1"/>
  <c r="K207" i="53"/>
  <c r="K150" i="53"/>
  <c r="K18" i="53"/>
  <c r="AJ207" i="53"/>
  <c r="AJ18" i="53"/>
  <c r="S378" i="53"/>
  <c r="S397" i="53" s="1"/>
  <c r="R94" i="53"/>
  <c r="R113" i="53" s="1"/>
  <c r="R37" i="53"/>
  <c r="R56" i="53" s="1"/>
  <c r="AC207" i="53"/>
  <c r="AC150" i="53"/>
  <c r="AC169" i="53" s="1"/>
  <c r="AC18" i="53"/>
  <c r="H56" i="53"/>
  <c r="I207" i="53"/>
  <c r="I150" i="53"/>
  <c r="I169" i="53" s="1"/>
  <c r="I18" i="53"/>
  <c r="Q207" i="53"/>
  <c r="Q150" i="53"/>
  <c r="Q18" i="53"/>
  <c r="R378" i="53"/>
  <c r="R397" i="53" s="1"/>
  <c r="S378" i="52"/>
  <c r="S397" i="52" s="1"/>
  <c r="AA207" i="52"/>
  <c r="AA94" i="52"/>
  <c r="AA113" i="52" s="1"/>
  <c r="AA150" i="52"/>
  <c r="AA169" i="52" s="1"/>
  <c r="AA37" i="52"/>
  <c r="AA56" i="52" s="1"/>
  <c r="AK378" i="52"/>
  <c r="AJ207" i="52"/>
  <c r="AJ18" i="52"/>
  <c r="AJ378" i="52"/>
  <c r="T37" i="52"/>
  <c r="T56" i="52" s="1"/>
  <c r="T94" i="52"/>
  <c r="T113" i="52" s="1"/>
  <c r="Z150" i="52"/>
  <c r="Z169" i="52" s="1"/>
  <c r="Z207" i="52"/>
  <c r="Z18" i="52"/>
  <c r="AL207" i="52"/>
  <c r="AL18" i="52"/>
  <c r="Q37" i="52"/>
  <c r="Q56" i="52" s="1"/>
  <c r="Q94" i="52"/>
  <c r="Q113" i="52" s="1"/>
  <c r="AL378" i="52"/>
  <c r="K150" i="52"/>
  <c r="K169" i="52" s="1"/>
  <c r="K18" i="52"/>
  <c r="K132" i="52" s="1"/>
  <c r="U207" i="52"/>
  <c r="AC150" i="52"/>
  <c r="AC169" i="52" s="1"/>
  <c r="AC207" i="52"/>
  <c r="AC18" i="52"/>
  <c r="T169" i="52"/>
  <c r="T378" i="52" s="1"/>
  <c r="T397" i="52" s="1"/>
  <c r="R37" i="52"/>
  <c r="R56" i="52" s="1"/>
  <c r="R94" i="52"/>
  <c r="R113" i="52" s="1"/>
  <c r="R169" i="52"/>
  <c r="R378" i="52" s="1"/>
  <c r="R397" i="52" s="1"/>
  <c r="AM18" i="52"/>
  <c r="Q378" i="52"/>
  <c r="AK207" i="52"/>
  <c r="AK18" i="52"/>
  <c r="AB150" i="52"/>
  <c r="AB207" i="52"/>
  <c r="AB18" i="52"/>
  <c r="AM378" i="52"/>
  <c r="V168" i="27"/>
  <c r="U11" i="46"/>
  <c r="Q11" i="46"/>
  <c r="Y11" i="46"/>
  <c r="Z163" i="27"/>
  <c r="I12" i="46" s="1"/>
  <c r="V11" i="46"/>
  <c r="R11" i="46"/>
  <c r="J12" i="48"/>
  <c r="AH163" i="27"/>
  <c r="J12" i="46" s="1"/>
  <c r="L245" i="29"/>
  <c r="L245" i="39"/>
  <c r="U244" i="25"/>
  <c r="AN377" i="47"/>
  <c r="AJ396" i="47"/>
  <c r="U377" i="47"/>
  <c r="Z396" i="47"/>
  <c r="AD396" i="47" s="1"/>
  <c r="AD377" i="47"/>
  <c r="I207" i="47"/>
  <c r="I150" i="47"/>
  <c r="I169" i="47" s="1"/>
  <c r="K207" i="47"/>
  <c r="K150" i="47"/>
  <c r="K169" i="47" s="1"/>
  <c r="Z55" i="47"/>
  <c r="AD340" i="47"/>
  <c r="AD264" i="47"/>
  <c r="AD226" i="47"/>
  <c r="AD302" i="47"/>
  <c r="AJ55" i="47"/>
  <c r="AN264" i="47"/>
  <c r="AN302" i="47"/>
  <c r="AN340" i="47"/>
  <c r="AN226" i="47"/>
  <c r="H150" i="47"/>
  <c r="H169" i="47" s="1"/>
  <c r="R396" i="47"/>
  <c r="U396" i="47" s="1"/>
  <c r="L283" i="47"/>
  <c r="L321" i="47"/>
  <c r="L359" i="47"/>
  <c r="L245" i="47"/>
  <c r="Q55" i="47"/>
  <c r="U340" i="47"/>
  <c r="U264" i="47"/>
  <c r="U302" i="47"/>
  <c r="U226" i="47"/>
  <c r="J150" i="47"/>
  <c r="J169" i="47" s="1"/>
  <c r="AK150" i="47"/>
  <c r="AK169" i="47"/>
  <c r="AL150" i="47"/>
  <c r="AJ150" i="47"/>
  <c r="AJ169" i="47"/>
  <c r="AL169" i="47"/>
  <c r="AM150" i="47"/>
  <c r="AM169" i="47"/>
  <c r="J18" i="47"/>
  <c r="J207" i="47"/>
  <c r="H18" i="47"/>
  <c r="R131" i="47"/>
  <c r="K18" i="47"/>
  <c r="AA131" i="47"/>
  <c r="S131" i="47"/>
  <c r="AK131" i="47"/>
  <c r="AK18" i="47" s="1"/>
  <c r="AB131" i="47"/>
  <c r="I18" i="47"/>
  <c r="AJ131" i="47"/>
  <c r="AL131" i="47"/>
  <c r="AC131" i="47"/>
  <c r="AM131" i="47"/>
  <c r="Z131" i="47"/>
  <c r="Q131" i="47"/>
  <c r="T131" i="47"/>
  <c r="AJ20" i="25"/>
  <c r="AJ58" i="25" s="1"/>
  <c r="AJ77" i="25" s="1"/>
  <c r="AJ228" i="25"/>
  <c r="AJ247" i="25" s="1"/>
  <c r="AN133" i="25"/>
  <c r="H94" i="25"/>
  <c r="H227" i="25" s="1"/>
  <c r="W17" i="45"/>
  <c r="W55" i="45" s="1"/>
  <c r="U17" i="45"/>
  <c r="U55" i="45" s="1"/>
  <c r="L245" i="25"/>
  <c r="V17" i="45"/>
  <c r="V55" i="45" s="1"/>
  <c r="T17" i="45"/>
  <c r="T55" i="45" s="1"/>
  <c r="Q93" i="25"/>
  <c r="Q226" i="25" s="1"/>
  <c r="R93" i="25"/>
  <c r="R131" i="25" s="1"/>
  <c r="AK228" i="25"/>
  <c r="AK20" i="25"/>
  <c r="AK58" i="25" s="1"/>
  <c r="AK77" i="25" s="1"/>
  <c r="AM228" i="25"/>
  <c r="AM20" i="25"/>
  <c r="AL228" i="25"/>
  <c r="AL20" i="25"/>
  <c r="AB95" i="25"/>
  <c r="AB20" i="25" s="1"/>
  <c r="AB58" i="25" s="1"/>
  <c r="AB77" i="25" s="1"/>
  <c r="AD246" i="25"/>
  <c r="AA228" i="25"/>
  <c r="Z95" i="25"/>
  <c r="Z133" i="25" s="1"/>
  <c r="AC95" i="25"/>
  <c r="AC133" i="25" s="1"/>
  <c r="AA20" i="25"/>
  <c r="T93" i="25"/>
  <c r="J94" i="25"/>
  <c r="I94" i="25"/>
  <c r="S93" i="25"/>
  <c r="K94" i="25"/>
  <c r="K132" i="29"/>
  <c r="K227" i="29"/>
  <c r="K19" i="29"/>
  <c r="H94" i="29"/>
  <c r="I94" i="29"/>
  <c r="J94" i="29"/>
  <c r="I57" i="39"/>
  <c r="I76" i="39" s="1"/>
  <c r="I132" i="39"/>
  <c r="I227" i="39"/>
  <c r="K94" i="39"/>
  <c r="K19" i="39" s="1"/>
  <c r="J94" i="39"/>
  <c r="J19" i="39" s="1"/>
  <c r="H94" i="39"/>
  <c r="H19" i="39" s="1"/>
  <c r="Q37" i="46" l="1"/>
  <c r="Y37" i="46"/>
  <c r="J37" i="56"/>
  <c r="N37" i="56" s="1"/>
  <c r="E65" i="56" s="1"/>
  <c r="I38" i="46"/>
  <c r="U38" i="46" s="1"/>
  <c r="R35" i="46"/>
  <c r="Z35" i="46"/>
  <c r="N15" i="56"/>
  <c r="F63" i="56" s="1"/>
  <c r="AK91" i="55"/>
  <c r="AK110" i="55" s="1"/>
  <c r="I14" i="48"/>
  <c r="I14" i="56"/>
  <c r="AN261" i="55"/>
  <c r="F14" i="46" s="1"/>
  <c r="AN186" i="55"/>
  <c r="AJ91" i="55"/>
  <c r="AJ16" i="55" s="1"/>
  <c r="V15" i="46"/>
  <c r="AM91" i="55"/>
  <c r="AL91" i="55"/>
  <c r="Z150" i="55"/>
  <c r="AD150" i="55" s="1"/>
  <c r="Z245" i="55"/>
  <c r="V36" i="27"/>
  <c r="Z56" i="55"/>
  <c r="Z75" i="55" s="1"/>
  <c r="Z168" i="27"/>
  <c r="I17" i="46" s="1"/>
  <c r="U17" i="46" s="1"/>
  <c r="J37" i="48"/>
  <c r="N37" i="48" s="1"/>
  <c r="AC264" i="55"/>
  <c r="AC56" i="55"/>
  <c r="AC75" i="55" s="1"/>
  <c r="AA264" i="55"/>
  <c r="AB56" i="55"/>
  <c r="AB75" i="55" s="1"/>
  <c r="AA56" i="55"/>
  <c r="AA75" i="55" s="1"/>
  <c r="AB264" i="55"/>
  <c r="U207" i="53"/>
  <c r="AK397" i="53"/>
  <c r="Q94" i="53"/>
  <c r="Q113" i="53" s="1"/>
  <c r="Q37" i="53"/>
  <c r="Q56" i="53"/>
  <c r="Z94" i="53"/>
  <c r="Z113" i="53" s="1"/>
  <c r="Z37" i="53"/>
  <c r="AD207" i="53"/>
  <c r="AA378" i="53"/>
  <c r="AA397" i="53" s="1"/>
  <c r="H397" i="53"/>
  <c r="AA94" i="53"/>
  <c r="AA113" i="53" s="1"/>
  <c r="AA37" i="53"/>
  <c r="AA56" i="53" s="1"/>
  <c r="I94" i="53"/>
  <c r="I113" i="53" s="1"/>
  <c r="I37" i="53"/>
  <c r="AK94" i="53"/>
  <c r="AK113" i="53" s="1"/>
  <c r="AK37" i="53"/>
  <c r="AK56" i="53" s="1"/>
  <c r="AN378" i="53"/>
  <c r="AJ397" i="53"/>
  <c r="AN397" i="53" s="1"/>
  <c r="Z378" i="53"/>
  <c r="AM94" i="53"/>
  <c r="AM113" i="53" s="1"/>
  <c r="AM37" i="53"/>
  <c r="AM56" i="53" s="1"/>
  <c r="AN207" i="53"/>
  <c r="Q169" i="53"/>
  <c r="Q378" i="53" s="1"/>
  <c r="I378" i="53"/>
  <c r="I397" i="53" s="1"/>
  <c r="AJ94" i="53"/>
  <c r="AJ113" i="53" s="1"/>
  <c r="AJ37" i="53"/>
  <c r="AJ56" i="53" s="1"/>
  <c r="K94" i="53"/>
  <c r="K113" i="53" s="1"/>
  <c r="K37" i="53"/>
  <c r="K56" i="53"/>
  <c r="J94" i="53"/>
  <c r="J113" i="53" s="1"/>
  <c r="J37" i="53"/>
  <c r="J56" i="53" s="1"/>
  <c r="T94" i="53"/>
  <c r="T113" i="53" s="1"/>
  <c r="T132" i="53" s="1"/>
  <c r="T19" i="53" s="1"/>
  <c r="T37" i="53"/>
  <c r="T56" i="53" s="1"/>
  <c r="AC94" i="53"/>
  <c r="AC113" i="53" s="1"/>
  <c r="AC132" i="53" s="1"/>
  <c r="AC19" i="53" s="1"/>
  <c r="AC37" i="53"/>
  <c r="AC56" i="53" s="1"/>
  <c r="T378" i="53"/>
  <c r="T397" i="53" s="1"/>
  <c r="AL94" i="53"/>
  <c r="AL113" i="53" s="1"/>
  <c r="AL37" i="53"/>
  <c r="AL56" i="53" s="1"/>
  <c r="AC378" i="53"/>
  <c r="AC397" i="53" s="1"/>
  <c r="K169" i="53"/>
  <c r="K378" i="53" s="1"/>
  <c r="K397" i="53" s="1"/>
  <c r="J169" i="53"/>
  <c r="J378" i="53" s="1"/>
  <c r="J397" i="53" s="1"/>
  <c r="AK397" i="52"/>
  <c r="AA378" i="52"/>
  <c r="AA397" i="52" s="1"/>
  <c r="R132" i="52"/>
  <c r="R151" i="52" s="1"/>
  <c r="R170" i="52" s="1"/>
  <c r="T132" i="52"/>
  <c r="T151" i="52" s="1"/>
  <c r="AC37" i="52"/>
  <c r="AC56" i="52" s="1"/>
  <c r="AC94" i="52"/>
  <c r="AC113" i="52" s="1"/>
  <c r="Z378" i="52"/>
  <c r="AL397" i="52"/>
  <c r="AD207" i="52"/>
  <c r="AM37" i="52"/>
  <c r="AM56" i="52" s="1"/>
  <c r="AM94" i="52"/>
  <c r="Q132" i="52"/>
  <c r="S132" i="52"/>
  <c r="U360" i="52"/>
  <c r="U246" i="52"/>
  <c r="U284" i="52"/>
  <c r="U322" i="52"/>
  <c r="AM397" i="52"/>
  <c r="U378" i="52"/>
  <c r="Q397" i="52"/>
  <c r="U397" i="52" s="1"/>
  <c r="U303" i="52"/>
  <c r="U341" i="52"/>
  <c r="U265" i="52"/>
  <c r="U227" i="52"/>
  <c r="AJ397" i="52"/>
  <c r="AN378" i="52"/>
  <c r="Z37" i="52"/>
  <c r="Z56" i="52" s="1"/>
  <c r="Z94" i="52"/>
  <c r="Z113" i="52" s="1"/>
  <c r="AK37" i="52"/>
  <c r="AK56" i="52" s="1"/>
  <c r="AK94" i="52"/>
  <c r="AK113" i="52" s="1"/>
  <c r="AB37" i="52"/>
  <c r="AB56" i="52" s="1"/>
  <c r="AB94" i="52"/>
  <c r="AB113" i="52" s="1"/>
  <c r="AJ37" i="52"/>
  <c r="AJ56" i="52" s="1"/>
  <c r="AJ94" i="52"/>
  <c r="AJ113" i="52" s="1"/>
  <c r="K37" i="52"/>
  <c r="K56" i="52" s="1"/>
  <c r="K94" i="52"/>
  <c r="AC378" i="52"/>
  <c r="AC397" i="52" s="1"/>
  <c r="AB169" i="52"/>
  <c r="AB378" i="52" s="1"/>
  <c r="AB397" i="52" s="1"/>
  <c r="AL37" i="52"/>
  <c r="AL56" i="52" s="1"/>
  <c r="AL94" i="52"/>
  <c r="AL113" i="52" s="1"/>
  <c r="AN207" i="52"/>
  <c r="V12" i="46"/>
  <c r="R12" i="46"/>
  <c r="Z12" i="46"/>
  <c r="J13" i="48"/>
  <c r="AH164" i="27"/>
  <c r="J13" i="46" s="1"/>
  <c r="U12" i="46"/>
  <c r="Q12" i="46"/>
  <c r="Y12" i="46"/>
  <c r="Z165" i="27"/>
  <c r="I14" i="46" s="1"/>
  <c r="Z164" i="27"/>
  <c r="I13" i="46" s="1"/>
  <c r="AN396" i="47"/>
  <c r="Q16" i="46"/>
  <c r="Y16" i="46"/>
  <c r="I246" i="39"/>
  <c r="K246" i="29"/>
  <c r="J94" i="47"/>
  <c r="J113" i="47" s="1"/>
  <c r="H378" i="47"/>
  <c r="H397" i="47" s="1"/>
  <c r="T150" i="47"/>
  <c r="T169" i="47" s="1"/>
  <c r="AB18" i="47"/>
  <c r="AB150" i="47"/>
  <c r="K378" i="47"/>
  <c r="K397" i="47" s="1"/>
  <c r="J378" i="47"/>
  <c r="J397" i="47" s="1"/>
  <c r="Z150" i="47"/>
  <c r="Z169" i="47" s="1"/>
  <c r="S150" i="47"/>
  <c r="S169" i="47" s="1"/>
  <c r="AN359" i="47"/>
  <c r="AN321" i="47"/>
  <c r="AN245" i="47"/>
  <c r="AN283" i="47"/>
  <c r="Q150" i="47"/>
  <c r="Q169" i="47" s="1"/>
  <c r="AA207" i="47"/>
  <c r="AA150" i="47"/>
  <c r="AA169" i="47" s="1"/>
  <c r="AC150" i="47"/>
  <c r="AC169" i="47" s="1"/>
  <c r="AD321" i="47"/>
  <c r="AD245" i="47"/>
  <c r="AD283" i="47"/>
  <c r="AD359" i="47"/>
  <c r="R18" i="47"/>
  <c r="R150" i="47"/>
  <c r="R169" i="47" s="1"/>
  <c r="I378" i="47"/>
  <c r="I397" i="47" s="1"/>
  <c r="U321" i="47"/>
  <c r="U245" i="47"/>
  <c r="U283" i="47"/>
  <c r="U359" i="47"/>
  <c r="R207" i="47"/>
  <c r="J37" i="47"/>
  <c r="J56" i="47" s="1"/>
  <c r="AK94" i="47"/>
  <c r="AK113" i="47" s="1"/>
  <c r="AK37" i="47"/>
  <c r="AK56" i="47" s="1"/>
  <c r="K94" i="47"/>
  <c r="K113" i="47" s="1"/>
  <c r="H37" i="47"/>
  <c r="H94" i="47"/>
  <c r="H113" i="47" s="1"/>
  <c r="AA18" i="47"/>
  <c r="W93" i="27" s="1"/>
  <c r="W169" i="27" s="1"/>
  <c r="I37" i="47"/>
  <c r="I56" i="47" s="1"/>
  <c r="K37" i="47"/>
  <c r="K56" i="47" s="1"/>
  <c r="L207" i="47"/>
  <c r="S18" i="47"/>
  <c r="AB207" i="47"/>
  <c r="S207" i="47"/>
  <c r="AK207" i="47"/>
  <c r="T207" i="47"/>
  <c r="T18" i="47"/>
  <c r="AJ207" i="47"/>
  <c r="AJ18" i="47"/>
  <c r="AC207" i="47"/>
  <c r="AC18" i="47"/>
  <c r="Y93" i="27" s="1"/>
  <c r="Y169" i="27" s="1"/>
  <c r="Q207" i="47"/>
  <c r="Q18" i="47"/>
  <c r="AM207" i="47"/>
  <c r="AM18" i="47"/>
  <c r="I94" i="47"/>
  <c r="I113" i="47" s="1"/>
  <c r="Z207" i="47"/>
  <c r="Z18" i="47"/>
  <c r="AL207" i="47"/>
  <c r="AL18" i="47"/>
  <c r="H19" i="25"/>
  <c r="H57" i="25" s="1"/>
  <c r="H76" i="25" s="1"/>
  <c r="H132" i="25"/>
  <c r="H246" i="25" s="1"/>
  <c r="Q18" i="25"/>
  <c r="Q56" i="25" s="1"/>
  <c r="Q75" i="25" s="1"/>
  <c r="Q131" i="25"/>
  <c r="Q245" i="25" s="1"/>
  <c r="R226" i="25"/>
  <c r="R245" i="25" s="1"/>
  <c r="R18" i="25"/>
  <c r="R56" i="25" s="1"/>
  <c r="R75" i="25" s="1"/>
  <c r="X55" i="45"/>
  <c r="AM247" i="25"/>
  <c r="AK247" i="25"/>
  <c r="AL58" i="25"/>
  <c r="AL77" i="25" s="1"/>
  <c r="AM58" i="25"/>
  <c r="AM77" i="25" s="1"/>
  <c r="AL247" i="25"/>
  <c r="AN228" i="25"/>
  <c r="AB228" i="25"/>
  <c r="AB133" i="25"/>
  <c r="AD133" i="25" s="1"/>
  <c r="AA247" i="25"/>
  <c r="Z20" i="25"/>
  <c r="Z58" i="25" s="1"/>
  <c r="Z77" i="25" s="1"/>
  <c r="Z228" i="25"/>
  <c r="AA58" i="25"/>
  <c r="AA77" i="25" s="1"/>
  <c r="AC228" i="25"/>
  <c r="AC20" i="25"/>
  <c r="K132" i="25"/>
  <c r="K227" i="25"/>
  <c r="K19" i="25"/>
  <c r="I227" i="25"/>
  <c r="I132" i="25"/>
  <c r="I19" i="25"/>
  <c r="J227" i="25"/>
  <c r="J132" i="25"/>
  <c r="J19" i="25"/>
  <c r="T131" i="25"/>
  <c r="T226" i="25"/>
  <c r="T18" i="25"/>
  <c r="S131" i="25"/>
  <c r="S226" i="25"/>
  <c r="S18" i="25"/>
  <c r="J132" i="29"/>
  <c r="J227" i="29"/>
  <c r="J19" i="29"/>
  <c r="I132" i="29"/>
  <c r="I227" i="29"/>
  <c r="I19" i="29"/>
  <c r="H132" i="29"/>
  <c r="H227" i="29"/>
  <c r="H19" i="29"/>
  <c r="K57" i="29"/>
  <c r="K76" i="29" s="1"/>
  <c r="H132" i="39"/>
  <c r="H227" i="39"/>
  <c r="J132" i="39"/>
  <c r="J227" i="39"/>
  <c r="K132" i="39"/>
  <c r="K227" i="39"/>
  <c r="L14" i="56" l="1"/>
  <c r="M14" i="56" s="1"/>
  <c r="F87" i="56"/>
  <c r="L87" i="56" s="1"/>
  <c r="AJ110" i="55"/>
  <c r="V93" i="27"/>
  <c r="V169" i="27" s="1"/>
  <c r="AK16" i="55"/>
  <c r="AE34" i="27" s="1"/>
  <c r="AE91" i="27" s="1"/>
  <c r="AE167" i="27" s="1"/>
  <c r="AK243" i="55"/>
  <c r="AK148" i="55"/>
  <c r="AJ243" i="55"/>
  <c r="AJ148" i="55"/>
  <c r="Z264" i="55"/>
  <c r="AM110" i="55"/>
  <c r="AM16" i="55"/>
  <c r="AD34" i="27"/>
  <c r="AD91" i="27" s="1"/>
  <c r="AD167" i="27" s="1"/>
  <c r="AJ54" i="55"/>
  <c r="AL110" i="55"/>
  <c r="AL16" i="55"/>
  <c r="AA94" i="55"/>
  <c r="AA113" i="55" s="1"/>
  <c r="Z94" i="55"/>
  <c r="Z113" i="55" s="1"/>
  <c r="AC94" i="55"/>
  <c r="AC113" i="55" s="1"/>
  <c r="AD245" i="55"/>
  <c r="AB94" i="55"/>
  <c r="AB113" i="55" s="1"/>
  <c r="R132" i="53"/>
  <c r="R208" i="53" s="1"/>
  <c r="K132" i="53"/>
  <c r="K19" i="53" s="1"/>
  <c r="T95" i="53"/>
  <c r="T114" i="53" s="1"/>
  <c r="T38" i="53"/>
  <c r="T57" i="53" s="1"/>
  <c r="Q397" i="53"/>
  <c r="U397" i="53" s="1"/>
  <c r="U378" i="53"/>
  <c r="AJ170" i="53"/>
  <c r="AJ151" i="53"/>
  <c r="AJ132" i="53"/>
  <c r="L378" i="53"/>
  <c r="L397" i="53"/>
  <c r="K151" i="53"/>
  <c r="L265" i="53"/>
  <c r="L341" i="53"/>
  <c r="L303" i="53"/>
  <c r="L227" i="53"/>
  <c r="I132" i="53"/>
  <c r="H132" i="53"/>
  <c r="AD341" i="53"/>
  <c r="AD265" i="53"/>
  <c r="AD227" i="53"/>
  <c r="AD303" i="53"/>
  <c r="AC38" i="53"/>
  <c r="AC57" i="53"/>
  <c r="AC95" i="53"/>
  <c r="AC114" i="53" s="1"/>
  <c r="I56" i="53"/>
  <c r="Z56" i="53"/>
  <c r="AM170" i="53"/>
  <c r="AM151" i="53"/>
  <c r="AM132" i="53"/>
  <c r="Z132" i="53"/>
  <c r="AB132" i="53"/>
  <c r="Z397" i="53"/>
  <c r="AD397" i="53" s="1"/>
  <c r="AD378" i="53"/>
  <c r="U360" i="53"/>
  <c r="U322" i="53"/>
  <c r="U284" i="53"/>
  <c r="U246" i="53"/>
  <c r="AK170" i="53"/>
  <c r="AK151" i="53"/>
  <c r="AK132" i="53"/>
  <c r="AL170" i="53"/>
  <c r="AL151" i="53"/>
  <c r="AL132" i="53"/>
  <c r="AN360" i="53"/>
  <c r="AN322" i="53"/>
  <c r="AN284" i="53"/>
  <c r="AN246" i="53"/>
  <c r="AA132" i="53"/>
  <c r="AC208" i="53"/>
  <c r="AC151" i="53"/>
  <c r="AC170" i="53" s="1"/>
  <c r="T208" i="53"/>
  <c r="T151" i="53"/>
  <c r="U341" i="53"/>
  <c r="U227" i="53"/>
  <c r="U303" i="53"/>
  <c r="U265" i="53"/>
  <c r="K95" i="53"/>
  <c r="K114" i="53" s="1"/>
  <c r="K38" i="53"/>
  <c r="K57" i="53" s="1"/>
  <c r="J132" i="53"/>
  <c r="AN341" i="53"/>
  <c r="AN265" i="53"/>
  <c r="AN227" i="53"/>
  <c r="AN303" i="53"/>
  <c r="Q132" i="53"/>
  <c r="S132" i="53"/>
  <c r="AB132" i="52"/>
  <c r="AB208" i="52" s="1"/>
  <c r="K19" i="52"/>
  <c r="K133" i="52" s="1"/>
  <c r="R19" i="52"/>
  <c r="R95" i="52" s="1"/>
  <c r="R114" i="52" s="1"/>
  <c r="R208" i="52"/>
  <c r="T208" i="52"/>
  <c r="T19" i="52"/>
  <c r="T38" i="52" s="1"/>
  <c r="T57" i="52" s="1"/>
  <c r="T170" i="52"/>
  <c r="T379" i="52" s="1"/>
  <c r="AN397" i="52"/>
  <c r="AD246" i="52"/>
  <c r="AD284" i="52"/>
  <c r="AD322" i="52"/>
  <c r="AD360" i="52"/>
  <c r="AN246" i="52"/>
  <c r="AN284" i="52"/>
  <c r="AN360" i="52"/>
  <c r="AN322" i="52"/>
  <c r="AL151" i="52"/>
  <c r="AL170" i="52"/>
  <c r="AL132" i="52"/>
  <c r="Z397" i="52"/>
  <c r="AD397" i="52" s="1"/>
  <c r="AD378" i="52"/>
  <c r="S151" i="52"/>
  <c r="S170" i="52" s="1"/>
  <c r="S208" i="52"/>
  <c r="S19" i="52"/>
  <c r="AM132" i="52"/>
  <c r="AK151" i="52"/>
  <c r="AK170" i="52"/>
  <c r="AK132" i="52"/>
  <c r="Z132" i="52"/>
  <c r="AA132" i="52"/>
  <c r="AC132" i="52"/>
  <c r="Q151" i="52"/>
  <c r="Q170" i="52" s="1"/>
  <c r="Q208" i="52"/>
  <c r="Q19" i="52"/>
  <c r="K151" i="52"/>
  <c r="K170" i="52" s="1"/>
  <c r="R379" i="52"/>
  <c r="AD227" i="52"/>
  <c r="AD265" i="52"/>
  <c r="AD303" i="52"/>
  <c r="AD341" i="52"/>
  <c r="AJ170" i="52"/>
  <c r="AJ151" i="52"/>
  <c r="AJ132" i="52"/>
  <c r="AN227" i="52"/>
  <c r="AN265" i="52"/>
  <c r="AN303" i="52"/>
  <c r="AN341" i="52"/>
  <c r="R37" i="47"/>
  <c r="R56" i="47" s="1"/>
  <c r="AB94" i="47"/>
  <c r="AB113" i="47" s="1"/>
  <c r="X93" i="27"/>
  <c r="U13" i="46"/>
  <c r="Q13" i="46"/>
  <c r="Y13" i="46"/>
  <c r="U14" i="46"/>
  <c r="Q14" i="46"/>
  <c r="Y14" i="46"/>
  <c r="V13" i="46"/>
  <c r="R13" i="46"/>
  <c r="Z13" i="46"/>
  <c r="AH165" i="27"/>
  <c r="J14" i="46" s="1"/>
  <c r="J14" i="48"/>
  <c r="I246" i="29"/>
  <c r="J246" i="39"/>
  <c r="K246" i="39"/>
  <c r="L132" i="29"/>
  <c r="J246" i="29"/>
  <c r="AB37" i="47"/>
  <c r="AB56" i="47" s="1"/>
  <c r="R94" i="47"/>
  <c r="R113" i="47" s="1"/>
  <c r="AM378" i="47"/>
  <c r="AM397" i="47" s="1"/>
  <c r="AB169" i="47"/>
  <c r="AB378" i="47" s="1"/>
  <c r="AB397" i="47" s="1"/>
  <c r="L378" i="47"/>
  <c r="S378" i="47"/>
  <c r="S397" i="47" s="1"/>
  <c r="AC378" i="47"/>
  <c r="AC397" i="47" s="1"/>
  <c r="H56" i="47"/>
  <c r="L341" i="47"/>
  <c r="L265" i="47"/>
  <c r="L227" i="47"/>
  <c r="L303" i="47"/>
  <c r="AK378" i="47"/>
  <c r="AK397" i="47" s="1"/>
  <c r="AL378" i="47"/>
  <c r="AL397" i="47" s="1"/>
  <c r="AA378" i="47"/>
  <c r="AA397" i="47" s="1"/>
  <c r="Z378" i="47"/>
  <c r="Z397" i="47" s="1"/>
  <c r="Q378" i="47"/>
  <c r="Q397" i="47" s="1"/>
  <c r="T378" i="47"/>
  <c r="T397" i="47" s="1"/>
  <c r="R378" i="47"/>
  <c r="R397" i="47" s="1"/>
  <c r="AJ378" i="47"/>
  <c r="I132" i="47"/>
  <c r="AJ37" i="47"/>
  <c r="AL37" i="47"/>
  <c r="AL56" i="47" s="1"/>
  <c r="AM37" i="47"/>
  <c r="AM56" i="47" s="1"/>
  <c r="H132" i="47"/>
  <c r="K132" i="47"/>
  <c r="J132" i="47"/>
  <c r="Q37" i="47"/>
  <c r="T37" i="47"/>
  <c r="T56" i="47" s="1"/>
  <c r="S94" i="47"/>
  <c r="S113" i="47" s="1"/>
  <c r="S37" i="47"/>
  <c r="S56" i="47" s="1"/>
  <c r="AC37" i="47"/>
  <c r="AC56" i="47" s="1"/>
  <c r="Z37" i="47"/>
  <c r="AA37" i="47"/>
  <c r="AA56" i="47" s="1"/>
  <c r="AA94" i="47"/>
  <c r="AA113" i="47" s="1"/>
  <c r="L397" i="47"/>
  <c r="U207" i="47"/>
  <c r="AD207" i="47"/>
  <c r="AM94" i="47"/>
  <c r="AM113" i="47" s="1"/>
  <c r="Z94" i="47"/>
  <c r="Z113" i="47" s="1"/>
  <c r="AC94" i="47"/>
  <c r="AC113" i="47" s="1"/>
  <c r="AJ94" i="47"/>
  <c r="AJ113" i="47" s="1"/>
  <c r="AL94" i="47"/>
  <c r="AL113" i="47" s="1"/>
  <c r="Q94" i="47"/>
  <c r="Q113" i="47" s="1"/>
  <c r="AN207" i="47"/>
  <c r="T94" i="47"/>
  <c r="T113" i="47" s="1"/>
  <c r="U131" i="25"/>
  <c r="T245" i="25"/>
  <c r="K246" i="25"/>
  <c r="L132" i="25"/>
  <c r="I246" i="25"/>
  <c r="AB247" i="25"/>
  <c r="U226" i="25"/>
  <c r="AN247" i="25"/>
  <c r="AL96" i="25"/>
  <c r="AJ96" i="25"/>
  <c r="AJ134" i="25" s="1"/>
  <c r="AM96" i="25"/>
  <c r="AM134" i="25" s="1"/>
  <c r="AK96" i="25"/>
  <c r="AK134" i="25" s="1"/>
  <c r="AC58" i="25"/>
  <c r="AC77" i="25" s="1"/>
  <c r="AC96" i="25" s="1"/>
  <c r="AC247" i="25"/>
  <c r="Z247" i="25"/>
  <c r="AD228" i="25"/>
  <c r="J246" i="25"/>
  <c r="L227" i="25"/>
  <c r="J57" i="25"/>
  <c r="J76" i="25" s="1"/>
  <c r="I57" i="25"/>
  <c r="I76" i="25" s="1"/>
  <c r="S245" i="25"/>
  <c r="S56" i="25"/>
  <c r="S75" i="25" s="1"/>
  <c r="K57" i="25"/>
  <c r="K76" i="25" s="1"/>
  <c r="T56" i="25"/>
  <c r="T75" i="25" s="1"/>
  <c r="H57" i="29"/>
  <c r="H76" i="29" s="1"/>
  <c r="L227" i="29"/>
  <c r="H246" i="29"/>
  <c r="I57" i="29"/>
  <c r="I76" i="29" s="1"/>
  <c r="J57" i="29"/>
  <c r="J76" i="29" s="1"/>
  <c r="J95" i="29" s="1"/>
  <c r="K57" i="39"/>
  <c r="K76" i="39" s="1"/>
  <c r="J57" i="39"/>
  <c r="J76" i="39" s="1"/>
  <c r="H57" i="39"/>
  <c r="H76" i="39" s="1"/>
  <c r="H246" i="39"/>
  <c r="L227" i="39"/>
  <c r="L132" i="39"/>
  <c r="I37" i="56" l="1"/>
  <c r="E90" i="56" s="1"/>
  <c r="K90" i="56" s="1"/>
  <c r="E38" i="46"/>
  <c r="AK54" i="55"/>
  <c r="L37" i="56"/>
  <c r="M37" i="56" s="1"/>
  <c r="AL243" i="55"/>
  <c r="AL148" i="55"/>
  <c r="AM243" i="55"/>
  <c r="AM148" i="55"/>
  <c r="AJ262" i="55"/>
  <c r="AK262" i="55"/>
  <c r="I37" i="48"/>
  <c r="L37" i="48" s="1"/>
  <c r="M37" i="48" s="1"/>
  <c r="AD264" i="55"/>
  <c r="E17" i="46" s="1"/>
  <c r="Z151" i="55"/>
  <c r="Z246" i="55"/>
  <c r="AK73" i="55"/>
  <c r="AK187" i="55"/>
  <c r="AF34" i="27"/>
  <c r="AF91" i="27" s="1"/>
  <c r="AF167" i="27" s="1"/>
  <c r="AL54" i="55"/>
  <c r="AA151" i="55"/>
  <c r="AA246" i="55"/>
  <c r="AJ73" i="55"/>
  <c r="AJ187" i="55"/>
  <c r="AB151" i="55"/>
  <c r="AB246" i="55"/>
  <c r="AG34" i="27"/>
  <c r="AG91" i="27" s="1"/>
  <c r="AG167" i="27" s="1"/>
  <c r="AM54" i="55"/>
  <c r="AC151" i="55"/>
  <c r="AC246" i="55"/>
  <c r="AC19" i="55"/>
  <c r="Y37" i="27" s="1"/>
  <c r="Z19" i="55"/>
  <c r="V37" i="27" s="1"/>
  <c r="AA19" i="55"/>
  <c r="W37" i="27" s="1"/>
  <c r="AB19" i="55"/>
  <c r="X37" i="27" s="1"/>
  <c r="K208" i="53"/>
  <c r="R19" i="53"/>
  <c r="R38" i="53" s="1"/>
  <c r="R57" i="53" s="1"/>
  <c r="R151" i="53"/>
  <c r="R170" i="53" s="1"/>
  <c r="R379" i="53" s="1"/>
  <c r="R398" i="53" s="1"/>
  <c r="AK208" i="53"/>
  <c r="AK19" i="53"/>
  <c r="AM379" i="53"/>
  <c r="H208" i="53"/>
  <c r="H151" i="53"/>
  <c r="H170" i="53" s="1"/>
  <c r="H19" i="53"/>
  <c r="AD360" i="53"/>
  <c r="AD322" i="53"/>
  <c r="AD284" i="53"/>
  <c r="AD246" i="53"/>
  <c r="L360" i="53"/>
  <c r="L284" i="53"/>
  <c r="L246" i="53"/>
  <c r="L322" i="53"/>
  <c r="AJ208" i="53"/>
  <c r="AJ19" i="53"/>
  <c r="AA208" i="53"/>
  <c r="AA151" i="53"/>
  <c r="AA170" i="53" s="1"/>
  <c r="AA19" i="53"/>
  <c r="AJ379" i="53"/>
  <c r="J208" i="53"/>
  <c r="J151" i="53"/>
  <c r="J19" i="53"/>
  <c r="I208" i="53"/>
  <c r="I151" i="53"/>
  <c r="I170" i="53" s="1"/>
  <c r="I19" i="53"/>
  <c r="S208" i="53"/>
  <c r="S151" i="53"/>
  <c r="S19" i="53"/>
  <c r="Q208" i="53"/>
  <c r="Q151" i="53"/>
  <c r="Q170" i="53" s="1"/>
  <c r="Q19" i="53"/>
  <c r="AL208" i="53"/>
  <c r="AL19" i="53"/>
  <c r="AB208" i="53"/>
  <c r="AB151" i="53"/>
  <c r="AB19" i="53"/>
  <c r="AK379" i="53"/>
  <c r="AK398" i="53" s="1"/>
  <c r="T379" i="53"/>
  <c r="T398" i="53" s="1"/>
  <c r="AL379" i="53"/>
  <c r="Z208" i="53"/>
  <c r="Z151" i="53"/>
  <c r="Z170" i="53" s="1"/>
  <c r="Z19" i="53"/>
  <c r="T170" i="53"/>
  <c r="AM208" i="53"/>
  <c r="AM19" i="53"/>
  <c r="K170" i="53"/>
  <c r="K379" i="53" s="1"/>
  <c r="K398" i="53" s="1"/>
  <c r="K95" i="52"/>
  <c r="AB19" i="52"/>
  <c r="AB95" i="52" s="1"/>
  <c r="AB114" i="52" s="1"/>
  <c r="AB151" i="52"/>
  <c r="AB170" i="52" s="1"/>
  <c r="AB379" i="52" s="1"/>
  <c r="AB398" i="52" s="1"/>
  <c r="R38" i="52"/>
  <c r="R57" i="52" s="1"/>
  <c r="T398" i="52"/>
  <c r="K38" i="52"/>
  <c r="K57" i="52" s="1"/>
  <c r="R398" i="52"/>
  <c r="T95" i="52"/>
  <c r="T114" i="52" s="1"/>
  <c r="U208" i="52"/>
  <c r="Q379" i="52"/>
  <c r="AC151" i="52"/>
  <c r="AC170" i="52" s="1"/>
  <c r="AC208" i="52"/>
  <c r="AC19" i="52"/>
  <c r="AL379" i="52"/>
  <c r="S38" i="52"/>
  <c r="S57" i="52" s="1"/>
  <c r="S95" i="52"/>
  <c r="S114" i="52" s="1"/>
  <c r="Z151" i="52"/>
  <c r="Z170" i="52" s="1"/>
  <c r="Z208" i="52"/>
  <c r="Z19" i="52"/>
  <c r="AK208" i="52"/>
  <c r="AK19" i="52"/>
  <c r="AM379" i="52"/>
  <c r="AL208" i="52"/>
  <c r="AL19" i="52"/>
  <c r="AA151" i="52"/>
  <c r="AA170" i="52" s="1"/>
  <c r="AA208" i="52"/>
  <c r="AA19" i="52"/>
  <c r="AJ379" i="52"/>
  <c r="AK379" i="52"/>
  <c r="Q38" i="52"/>
  <c r="Q57" i="52" s="1"/>
  <c r="Q95" i="52"/>
  <c r="Q114" i="52" s="1"/>
  <c r="AJ208" i="52"/>
  <c r="AJ19" i="52"/>
  <c r="S379" i="52"/>
  <c r="S398" i="52" s="1"/>
  <c r="AM19" i="52"/>
  <c r="X169" i="27"/>
  <c r="J38" i="56" s="1"/>
  <c r="V14" i="46"/>
  <c r="R14" i="46"/>
  <c r="Z14" i="46"/>
  <c r="L246" i="39"/>
  <c r="L246" i="29"/>
  <c r="U245" i="25"/>
  <c r="U378" i="47"/>
  <c r="AN378" i="47"/>
  <c r="H208" i="47"/>
  <c r="H151" i="47"/>
  <c r="H170" i="47" s="1"/>
  <c r="AJ397" i="47"/>
  <c r="Z56" i="47"/>
  <c r="AD341" i="47"/>
  <c r="AD265" i="47"/>
  <c r="AD227" i="47"/>
  <c r="AD303" i="47"/>
  <c r="K208" i="47"/>
  <c r="K151" i="47"/>
  <c r="K170" i="47" s="1"/>
  <c r="AJ56" i="47"/>
  <c r="AN303" i="47"/>
  <c r="AN341" i="47"/>
  <c r="AN265" i="47"/>
  <c r="AN227" i="47"/>
  <c r="L284" i="47"/>
  <c r="L360" i="47"/>
  <c r="L246" i="47"/>
  <c r="L322" i="47"/>
  <c r="J208" i="47"/>
  <c r="J151" i="47"/>
  <c r="J170" i="47" s="1"/>
  <c r="AD378" i="47"/>
  <c r="Q56" i="47"/>
  <c r="U341" i="47"/>
  <c r="U265" i="47"/>
  <c r="U227" i="47"/>
  <c r="U303" i="47"/>
  <c r="I208" i="47"/>
  <c r="I151" i="47"/>
  <c r="I170" i="47" s="1"/>
  <c r="I19" i="47"/>
  <c r="AM170" i="47"/>
  <c r="AM151" i="47"/>
  <c r="AJ151" i="47"/>
  <c r="AJ170" i="47"/>
  <c r="AK151" i="47"/>
  <c r="AK170" i="47"/>
  <c r="AL151" i="47"/>
  <c r="AL170" i="47"/>
  <c r="AC132" i="47"/>
  <c r="U397" i="47"/>
  <c r="AD397" i="47"/>
  <c r="AM132" i="47"/>
  <c r="AM19" i="47" s="1"/>
  <c r="Q132" i="47"/>
  <c r="Z132" i="47"/>
  <c r="AA132" i="47"/>
  <c r="J19" i="47"/>
  <c r="R132" i="47"/>
  <c r="S132" i="47"/>
  <c r="AJ132" i="47"/>
  <c r="AK132" i="47"/>
  <c r="T132" i="47"/>
  <c r="H19" i="47"/>
  <c r="AL132" i="47"/>
  <c r="AB132" i="47"/>
  <c r="K19" i="47"/>
  <c r="T94" i="25"/>
  <c r="T19" i="25" s="1"/>
  <c r="T57" i="25" s="1"/>
  <c r="T76" i="25" s="1"/>
  <c r="L246" i="25"/>
  <c r="AL21" i="25"/>
  <c r="AL59" i="25" s="1"/>
  <c r="AL78" i="25" s="1"/>
  <c r="AL134" i="25"/>
  <c r="AN134" i="25" s="1"/>
  <c r="AL229" i="25"/>
  <c r="U18" i="45"/>
  <c r="U56" i="45" s="1"/>
  <c r="V18" i="45"/>
  <c r="V56" i="45" s="1"/>
  <c r="W18" i="45"/>
  <c r="W56" i="45" s="1"/>
  <c r="T18" i="45"/>
  <c r="T56" i="45" s="1"/>
  <c r="AD247" i="25"/>
  <c r="AK21" i="25"/>
  <c r="AK229" i="25"/>
  <c r="AM229" i="25"/>
  <c r="AM21" i="25"/>
  <c r="AJ229" i="25"/>
  <c r="AJ21" i="25"/>
  <c r="Z96" i="25"/>
  <c r="Z134" i="25" s="1"/>
  <c r="AC21" i="25"/>
  <c r="AC59" i="25" s="1"/>
  <c r="AC78" i="25" s="1"/>
  <c r="AC134" i="25"/>
  <c r="AB96" i="25"/>
  <c r="AB134" i="25" s="1"/>
  <c r="AC229" i="25"/>
  <c r="AA96" i="25"/>
  <c r="AA134" i="25" s="1"/>
  <c r="K95" i="25"/>
  <c r="K20" i="25" s="1"/>
  <c r="K58" i="25" s="1"/>
  <c r="K77" i="25" s="1"/>
  <c r="S94" i="25"/>
  <c r="S19" i="25" s="1"/>
  <c r="S57" i="25" s="1"/>
  <c r="S76" i="25" s="1"/>
  <c r="H95" i="25"/>
  <c r="I95" i="25"/>
  <c r="R94" i="25"/>
  <c r="J95" i="25"/>
  <c r="Q94" i="25"/>
  <c r="J133" i="29"/>
  <c r="J228" i="29"/>
  <c r="J20" i="29"/>
  <c r="I95" i="29"/>
  <c r="H95" i="29"/>
  <c r="K95" i="29"/>
  <c r="H95" i="39"/>
  <c r="H20" i="39" s="1"/>
  <c r="I95" i="39"/>
  <c r="I20" i="39" s="1"/>
  <c r="J95" i="39"/>
  <c r="J20" i="39" s="1"/>
  <c r="K95" i="39"/>
  <c r="K20" i="39" s="1"/>
  <c r="AN148" i="55" l="1"/>
  <c r="AN243" i="55"/>
  <c r="J37" i="46"/>
  <c r="Z37" i="46"/>
  <c r="V37" i="46"/>
  <c r="R37" i="46"/>
  <c r="AL262" i="55"/>
  <c r="I39" i="46"/>
  <c r="U39" i="46" s="1"/>
  <c r="Q38" i="46"/>
  <c r="Y38" i="46"/>
  <c r="AM262" i="55"/>
  <c r="AN262" i="55" s="1"/>
  <c r="F15" i="46" s="1"/>
  <c r="J16" i="56"/>
  <c r="F89" i="56" s="1"/>
  <c r="L89" i="56" s="1"/>
  <c r="N38" i="56"/>
  <c r="E66" i="56" s="1"/>
  <c r="J16" i="48"/>
  <c r="AM73" i="55"/>
  <c r="AM187" i="55"/>
  <c r="AL73" i="55"/>
  <c r="AL187" i="55"/>
  <c r="AH167" i="27"/>
  <c r="J16" i="46" s="1"/>
  <c r="Z169" i="27"/>
  <c r="I18" i="46" s="1"/>
  <c r="U18" i="46" s="1"/>
  <c r="J38" i="48"/>
  <c r="N38" i="48" s="1"/>
  <c r="AD151" i="55"/>
  <c r="AA265" i="55"/>
  <c r="AB57" i="55"/>
  <c r="AB76" i="55" s="1"/>
  <c r="AB265" i="55"/>
  <c r="AC57" i="55"/>
  <c r="AC76" i="55" s="1"/>
  <c r="Z57" i="55"/>
  <c r="Z76" i="55" s="1"/>
  <c r="AC265" i="55"/>
  <c r="AA57" i="55"/>
  <c r="AA76" i="55" s="1"/>
  <c r="AC379" i="53"/>
  <c r="AC398" i="53" s="1"/>
  <c r="R95" i="53"/>
  <c r="R114" i="53" s="1"/>
  <c r="Z379" i="53"/>
  <c r="U208" i="53"/>
  <c r="AJ95" i="53"/>
  <c r="AJ114" i="53" s="1"/>
  <c r="AJ38" i="53"/>
  <c r="AJ57" i="53"/>
  <c r="AN208" i="53"/>
  <c r="Q95" i="53"/>
  <c r="Q114" i="53" s="1"/>
  <c r="Q38" i="53"/>
  <c r="Q57" i="53" s="1"/>
  <c r="Z398" i="53"/>
  <c r="H95" i="53"/>
  <c r="H114" i="53" s="1"/>
  <c r="H38" i="53"/>
  <c r="J95" i="53"/>
  <c r="J114" i="53" s="1"/>
  <c r="J38" i="53"/>
  <c r="J57" i="53" s="1"/>
  <c r="J170" i="53"/>
  <c r="J379" i="53" s="1"/>
  <c r="J398" i="53" s="1"/>
  <c r="S95" i="53"/>
  <c r="S114" i="53" s="1"/>
  <c r="S38" i="53"/>
  <c r="S57" i="53" s="1"/>
  <c r="AL398" i="53"/>
  <c r="AM95" i="53"/>
  <c r="AM114" i="53" s="1"/>
  <c r="AM38" i="53"/>
  <c r="AM57" i="53" s="1"/>
  <c r="AB38" i="53"/>
  <c r="AB57" i="53" s="1"/>
  <c r="AB95" i="53"/>
  <c r="AB114" i="53" s="1"/>
  <c r="AJ398" i="53"/>
  <c r="AN379" i="53"/>
  <c r="H379" i="53"/>
  <c r="S170" i="53"/>
  <c r="S379" i="53" s="1"/>
  <c r="S398" i="53" s="1"/>
  <c r="L208" i="53"/>
  <c r="Z95" i="53"/>
  <c r="Z114" i="53" s="1"/>
  <c r="Z38" i="53"/>
  <c r="AB170" i="53"/>
  <c r="AB379" i="53" s="1"/>
  <c r="AB398" i="53" s="1"/>
  <c r="AM398" i="53"/>
  <c r="I95" i="53"/>
  <c r="I114" i="53" s="1"/>
  <c r="I38" i="53"/>
  <c r="I57" i="53" s="1"/>
  <c r="AA95" i="53"/>
  <c r="AA114" i="53" s="1"/>
  <c r="AA38" i="53"/>
  <c r="AA57" i="53" s="1"/>
  <c r="AK95" i="53"/>
  <c r="AK114" i="53" s="1"/>
  <c r="AK38" i="53"/>
  <c r="AK57" i="53" s="1"/>
  <c r="AD208" i="53"/>
  <c r="Q379" i="53"/>
  <c r="AL95" i="53"/>
  <c r="AL114" i="53" s="1"/>
  <c r="AL38" i="53"/>
  <c r="AL57" i="53" s="1"/>
  <c r="I379" i="53"/>
  <c r="I398" i="53" s="1"/>
  <c r="AA379" i="53"/>
  <c r="AA398" i="53" s="1"/>
  <c r="T132" i="25"/>
  <c r="AK398" i="52"/>
  <c r="AB38" i="52"/>
  <c r="AB57" i="52" s="1"/>
  <c r="Q133" i="52"/>
  <c r="Q20" i="52" s="1"/>
  <c r="AL398" i="52"/>
  <c r="AD208" i="52"/>
  <c r="AC38" i="52"/>
  <c r="AC57" i="52" s="1"/>
  <c r="AC95" i="52"/>
  <c r="AC114" i="52" s="1"/>
  <c r="AN208" i="52"/>
  <c r="Z379" i="52"/>
  <c r="AN379" i="52"/>
  <c r="AJ398" i="52"/>
  <c r="S133" i="52"/>
  <c r="AC379" i="52"/>
  <c r="AC398" i="52" s="1"/>
  <c r="U361" i="52"/>
  <c r="U247" i="52"/>
  <c r="U285" i="52"/>
  <c r="U323" i="52"/>
  <c r="U342" i="52"/>
  <c r="U266" i="52"/>
  <c r="U304" i="52"/>
  <c r="U228" i="52"/>
  <c r="AM95" i="52"/>
  <c r="AM38" i="52"/>
  <c r="AM57" i="52" s="1"/>
  <c r="AL38" i="52"/>
  <c r="AL57" i="52" s="1"/>
  <c r="AL95" i="52"/>
  <c r="AL114" i="52" s="1"/>
  <c r="Z95" i="52"/>
  <c r="Z114" i="52" s="1"/>
  <c r="Z38" i="52"/>
  <c r="Z57" i="52" s="1"/>
  <c r="AJ38" i="52"/>
  <c r="AJ57" i="52" s="1"/>
  <c r="AJ95" i="52"/>
  <c r="AJ114" i="52" s="1"/>
  <c r="R133" i="52"/>
  <c r="AA38" i="52"/>
  <c r="AA57" i="52" s="1"/>
  <c r="AA95" i="52"/>
  <c r="AA114" i="52" s="1"/>
  <c r="AM398" i="52"/>
  <c r="AK38" i="52"/>
  <c r="AK57" i="52" s="1"/>
  <c r="AK95" i="52"/>
  <c r="AK114" i="52" s="1"/>
  <c r="T133" i="52"/>
  <c r="AA379" i="52"/>
  <c r="AA398" i="52" s="1"/>
  <c r="Q398" i="52"/>
  <c r="U398" i="52" s="1"/>
  <c r="U379" i="52"/>
  <c r="AN397" i="47"/>
  <c r="Q17" i="46"/>
  <c r="Y17" i="46"/>
  <c r="J247" i="29"/>
  <c r="T227" i="25"/>
  <c r="I95" i="47"/>
  <c r="I114" i="47" s="1"/>
  <c r="H379" i="47"/>
  <c r="H398" i="47" s="1"/>
  <c r="I38" i="47"/>
  <c r="I57" i="47" s="1"/>
  <c r="K379" i="47"/>
  <c r="K398" i="47" s="1"/>
  <c r="AA151" i="47"/>
  <c r="AA170" i="47" s="1"/>
  <c r="J379" i="47"/>
  <c r="Q208" i="47"/>
  <c r="Q151" i="47"/>
  <c r="Q170" i="47" s="1"/>
  <c r="AN360" i="47"/>
  <c r="AN322" i="47"/>
  <c r="AN246" i="47"/>
  <c r="AN284" i="47"/>
  <c r="AD246" i="47"/>
  <c r="AD284" i="47"/>
  <c r="AD322" i="47"/>
  <c r="AD360" i="47"/>
  <c r="Z151" i="47"/>
  <c r="Z170" i="47" s="1"/>
  <c r="AC208" i="47"/>
  <c r="AC151" i="47"/>
  <c r="AC170" i="47" s="1"/>
  <c r="T151" i="47"/>
  <c r="T170" i="47" s="1"/>
  <c r="I379" i="47"/>
  <c r="I398" i="47" s="1"/>
  <c r="S151" i="47"/>
  <c r="S170" i="47" s="1"/>
  <c r="U284" i="47"/>
  <c r="U360" i="47"/>
  <c r="U322" i="47"/>
  <c r="U246" i="47"/>
  <c r="AB151" i="47"/>
  <c r="R151" i="47"/>
  <c r="R170" i="47" s="1"/>
  <c r="AM95" i="47"/>
  <c r="AM114" i="47" s="1"/>
  <c r="AM38" i="47"/>
  <c r="AM57" i="47" s="1"/>
  <c r="AC19" i="47"/>
  <c r="Q19" i="47"/>
  <c r="K38" i="47"/>
  <c r="K57" i="47" s="1"/>
  <c r="H38" i="47"/>
  <c r="AM208" i="47"/>
  <c r="J38" i="47"/>
  <c r="J57" i="47" s="1"/>
  <c r="AK208" i="47"/>
  <c r="AK19" i="47"/>
  <c r="AB208" i="47"/>
  <c r="AB19" i="47"/>
  <c r="X94" i="27" s="1"/>
  <c r="X170" i="27" s="1"/>
  <c r="L208" i="47"/>
  <c r="R208" i="47"/>
  <c r="R19" i="47"/>
  <c r="J95" i="47"/>
  <c r="J114" i="47" s="1"/>
  <c r="Z208" i="47"/>
  <c r="Z19" i="47"/>
  <c r="V94" i="27" s="1"/>
  <c r="V170" i="27" s="1"/>
  <c r="H95" i="47"/>
  <c r="H114" i="47" s="1"/>
  <c r="S208" i="47"/>
  <c r="S19" i="47"/>
  <c r="AJ208" i="47"/>
  <c r="AJ19" i="47"/>
  <c r="AA208" i="47"/>
  <c r="AA19" i="47"/>
  <c r="W94" i="27" s="1"/>
  <c r="W170" i="27" s="1"/>
  <c r="K95" i="47"/>
  <c r="K114" i="47" s="1"/>
  <c r="AL208" i="47"/>
  <c r="AL19" i="47"/>
  <c r="T208" i="47"/>
  <c r="T19" i="47"/>
  <c r="S227" i="25"/>
  <c r="AL248" i="25"/>
  <c r="S132" i="25"/>
  <c r="AD134" i="25"/>
  <c r="X56" i="45"/>
  <c r="K133" i="25"/>
  <c r="K228" i="25"/>
  <c r="AM248" i="25"/>
  <c r="AM59" i="25"/>
  <c r="AM78" i="25" s="1"/>
  <c r="AK248" i="25"/>
  <c r="AJ248" i="25"/>
  <c r="AN229" i="25"/>
  <c r="AJ59" i="25"/>
  <c r="AJ78" i="25" s="1"/>
  <c r="AK59" i="25"/>
  <c r="AK78" i="25" s="1"/>
  <c r="Z229" i="25"/>
  <c r="AB229" i="25"/>
  <c r="AB248" i="25" s="1"/>
  <c r="Z21" i="25"/>
  <c r="Z59" i="25" s="1"/>
  <c r="Z78" i="25" s="1"/>
  <c r="AB21" i="25"/>
  <c r="AB59" i="25" s="1"/>
  <c r="AB78" i="25" s="1"/>
  <c r="AA229" i="25"/>
  <c r="AA21" i="25"/>
  <c r="AC248" i="25"/>
  <c r="R227" i="25"/>
  <c r="R132" i="25"/>
  <c r="R19" i="25"/>
  <c r="J228" i="25"/>
  <c r="J133" i="25"/>
  <c r="J20" i="25"/>
  <c r="I133" i="25"/>
  <c r="I228" i="25"/>
  <c r="I20" i="25"/>
  <c r="H133" i="25"/>
  <c r="H228" i="25"/>
  <c r="H20" i="25"/>
  <c r="Q19" i="25"/>
  <c r="Q132" i="25"/>
  <c r="Q227" i="25"/>
  <c r="K133" i="29"/>
  <c r="K228" i="29"/>
  <c r="K20" i="29"/>
  <c r="H133" i="29"/>
  <c r="H228" i="29"/>
  <c r="H20" i="29"/>
  <c r="I133" i="29"/>
  <c r="I228" i="29"/>
  <c r="I20" i="29"/>
  <c r="J58" i="29"/>
  <c r="J77" i="29" s="1"/>
  <c r="K133" i="39"/>
  <c r="K228" i="39"/>
  <c r="J133" i="39"/>
  <c r="J228" i="39"/>
  <c r="I133" i="39"/>
  <c r="I228" i="39"/>
  <c r="H133" i="39"/>
  <c r="H228" i="39"/>
  <c r="AN187" i="55" l="1"/>
  <c r="AL92" i="55"/>
  <c r="Z15" i="46"/>
  <c r="R15" i="46"/>
  <c r="F36" i="46"/>
  <c r="N16" i="56"/>
  <c r="F64" i="56" s="1"/>
  <c r="AJ92" i="55"/>
  <c r="AJ111" i="55" s="1"/>
  <c r="AJ149" i="55" s="1"/>
  <c r="I15" i="48"/>
  <c r="I15" i="56"/>
  <c r="AK92" i="55"/>
  <c r="AK111" i="55" s="1"/>
  <c r="AK149" i="55" s="1"/>
  <c r="L16" i="56"/>
  <c r="M16" i="56" s="1"/>
  <c r="AM92" i="55"/>
  <c r="AM111" i="55" s="1"/>
  <c r="AM149" i="55" s="1"/>
  <c r="V16" i="46"/>
  <c r="Z16" i="46"/>
  <c r="R16" i="46"/>
  <c r="AL111" i="55"/>
  <c r="AL149" i="55" s="1"/>
  <c r="AL17" i="55"/>
  <c r="AA95" i="55"/>
  <c r="AA114" i="55" s="1"/>
  <c r="Z95" i="55"/>
  <c r="Z114" i="55" s="1"/>
  <c r="AB95" i="55"/>
  <c r="AB114" i="55" s="1"/>
  <c r="AD246" i="55"/>
  <c r="Z265" i="55"/>
  <c r="AC95" i="55"/>
  <c r="AC114" i="55" s="1"/>
  <c r="AB133" i="53"/>
  <c r="AB20" i="53" s="1"/>
  <c r="S133" i="53"/>
  <c r="S209" i="53" s="1"/>
  <c r="AB96" i="53"/>
  <c r="AB115" i="53" s="1"/>
  <c r="AB39" i="53"/>
  <c r="AB58" i="53" s="1"/>
  <c r="U361" i="53"/>
  <c r="U247" i="53"/>
  <c r="U285" i="53"/>
  <c r="U323" i="53"/>
  <c r="H133" i="53"/>
  <c r="K133" i="53"/>
  <c r="AD398" i="53"/>
  <c r="S171" i="53"/>
  <c r="S152" i="53"/>
  <c r="AD379" i="53"/>
  <c r="AK171" i="53"/>
  <c r="AK152" i="53"/>
  <c r="AK133" i="53"/>
  <c r="Z133" i="53"/>
  <c r="AC133" i="53"/>
  <c r="U342" i="53"/>
  <c r="U266" i="53"/>
  <c r="U228" i="53"/>
  <c r="U304" i="53"/>
  <c r="AA133" i="53"/>
  <c r="Q133" i="53"/>
  <c r="T133" i="53"/>
  <c r="J133" i="53"/>
  <c r="AM171" i="53"/>
  <c r="AM152" i="53"/>
  <c r="AM133" i="53"/>
  <c r="AN361" i="53"/>
  <c r="AN323" i="53"/>
  <c r="AN247" i="53"/>
  <c r="AN285" i="53"/>
  <c r="AL171" i="53"/>
  <c r="AL152" i="53"/>
  <c r="AL133" i="53"/>
  <c r="H398" i="53"/>
  <c r="L379" i="53"/>
  <c r="L342" i="53"/>
  <c r="L228" i="53"/>
  <c r="L266" i="53"/>
  <c r="L304" i="53"/>
  <c r="AD304" i="53"/>
  <c r="AD342" i="53"/>
  <c r="AD228" i="53"/>
  <c r="AD266" i="53"/>
  <c r="U379" i="53"/>
  <c r="Q398" i="53"/>
  <c r="U398" i="53" s="1"/>
  <c r="I133" i="53"/>
  <c r="R133" i="53"/>
  <c r="AN342" i="53"/>
  <c r="AN304" i="53"/>
  <c r="AN228" i="53"/>
  <c r="AN266" i="53"/>
  <c r="AB209" i="53"/>
  <c r="AB152" i="53"/>
  <c r="Z57" i="53"/>
  <c r="AN398" i="53"/>
  <c r="S20" i="53"/>
  <c r="H57" i="53"/>
  <c r="AJ171" i="53"/>
  <c r="AJ152" i="53"/>
  <c r="AJ133" i="53"/>
  <c r="T246" i="25"/>
  <c r="Q209" i="52"/>
  <c r="Q152" i="52"/>
  <c r="Q171" i="52" s="1"/>
  <c r="AA133" i="52"/>
  <c r="AA209" i="52" s="1"/>
  <c r="S152" i="52"/>
  <c r="S171" i="52" s="1"/>
  <c r="S209" i="52"/>
  <c r="S20" i="52"/>
  <c r="AN398" i="52"/>
  <c r="AD379" i="52"/>
  <c r="Z398" i="52"/>
  <c r="AD398" i="52" s="1"/>
  <c r="AJ152" i="52"/>
  <c r="AJ171" i="52"/>
  <c r="AJ133" i="52"/>
  <c r="AD228" i="52"/>
  <c r="AD266" i="52"/>
  <c r="AD304" i="52"/>
  <c r="AD342" i="52"/>
  <c r="AL152" i="52"/>
  <c r="AL171" i="52"/>
  <c r="AL133" i="52"/>
  <c r="AM133" i="52"/>
  <c r="Z133" i="52"/>
  <c r="AC133" i="52"/>
  <c r="Q39" i="52"/>
  <c r="Q58" i="52" s="1"/>
  <c r="Q96" i="52"/>
  <c r="Q115" i="52" s="1"/>
  <c r="T152" i="52"/>
  <c r="T171" i="52" s="1"/>
  <c r="T209" i="52"/>
  <c r="T20" i="52"/>
  <c r="R152" i="52"/>
  <c r="R171" i="52" s="1"/>
  <c r="R209" i="52"/>
  <c r="R20" i="52"/>
  <c r="AD247" i="52"/>
  <c r="AD285" i="52"/>
  <c r="AD323" i="52"/>
  <c r="AD361" i="52"/>
  <c r="AN247" i="52"/>
  <c r="AN285" i="52"/>
  <c r="AN361" i="52"/>
  <c r="AN323" i="52"/>
  <c r="AN228" i="52"/>
  <c r="AN266" i="52"/>
  <c r="AN304" i="52"/>
  <c r="AN342" i="52"/>
  <c r="AK152" i="52"/>
  <c r="AK171" i="52"/>
  <c r="AK133" i="52"/>
  <c r="AB133" i="52"/>
  <c r="Q95" i="47"/>
  <c r="Q114" i="47" s="1"/>
  <c r="AC95" i="47"/>
  <c r="AC114" i="47" s="1"/>
  <c r="Y94" i="27"/>
  <c r="I247" i="39"/>
  <c r="I247" i="29"/>
  <c r="K247" i="29"/>
  <c r="K247" i="39"/>
  <c r="J247" i="39"/>
  <c r="L133" i="39"/>
  <c r="S246" i="25"/>
  <c r="L379" i="47"/>
  <c r="J398" i="47"/>
  <c r="AC38" i="47"/>
  <c r="AC57" i="47" s="1"/>
  <c r="S379" i="47"/>
  <c r="S398" i="47" s="1"/>
  <c r="AK379" i="47"/>
  <c r="AK398" i="47" s="1"/>
  <c r="AA379" i="47"/>
  <c r="AA398" i="47" s="1"/>
  <c r="T379" i="47"/>
  <c r="T398" i="47" s="1"/>
  <c r="R379" i="47"/>
  <c r="R398" i="47" s="1"/>
  <c r="AC379" i="47"/>
  <c r="AC398" i="47" s="1"/>
  <c r="Q379" i="47"/>
  <c r="Q398" i="47" s="1"/>
  <c r="AB170" i="47"/>
  <c r="AB379" i="47" s="1"/>
  <c r="AB398" i="47" s="1"/>
  <c r="AJ379" i="47"/>
  <c r="AJ398" i="47" s="1"/>
  <c r="AM379" i="47"/>
  <c r="AM398" i="47" s="1"/>
  <c r="H57" i="47"/>
  <c r="L342" i="47"/>
  <c r="L266" i="47"/>
  <c r="L304" i="47"/>
  <c r="L228" i="47"/>
  <c r="AL379" i="47"/>
  <c r="AL398" i="47" s="1"/>
  <c r="Z379" i="47"/>
  <c r="Z398" i="47" s="1"/>
  <c r="K133" i="47"/>
  <c r="AJ38" i="47"/>
  <c r="AK38" i="47"/>
  <c r="AK57" i="47" s="1"/>
  <c r="AL38" i="47"/>
  <c r="AL57" i="47" s="1"/>
  <c r="J133" i="47"/>
  <c r="H133" i="47"/>
  <c r="I133" i="47"/>
  <c r="S38" i="47"/>
  <c r="S57" i="47" s="1"/>
  <c r="T38" i="47"/>
  <c r="T57" i="47" s="1"/>
  <c r="R38" i="47"/>
  <c r="R57" i="47" s="1"/>
  <c r="Q38" i="47"/>
  <c r="AB38" i="47"/>
  <c r="AB57" i="47" s="1"/>
  <c r="Z38" i="47"/>
  <c r="AA38" i="47"/>
  <c r="AA57" i="47" s="1"/>
  <c r="U208" i="47"/>
  <c r="AD208" i="47"/>
  <c r="AN208" i="47"/>
  <c r="R95" i="47"/>
  <c r="R114" i="47" s="1"/>
  <c r="AB95" i="47"/>
  <c r="AB114" i="47" s="1"/>
  <c r="AL95" i="47"/>
  <c r="AL114" i="47" s="1"/>
  <c r="T95" i="47"/>
  <c r="T114" i="47" s="1"/>
  <c r="AJ95" i="47"/>
  <c r="AJ114" i="47" s="1"/>
  <c r="Z95" i="47"/>
  <c r="Z114" i="47" s="1"/>
  <c r="AA95" i="47"/>
  <c r="AA114" i="47" s="1"/>
  <c r="S95" i="47"/>
  <c r="S114" i="47" s="1"/>
  <c r="AK95" i="47"/>
  <c r="AK114" i="47" s="1"/>
  <c r="I247" i="25"/>
  <c r="AK97" i="25"/>
  <c r="AK135" i="25" s="1"/>
  <c r="U132" i="25"/>
  <c r="K247" i="25"/>
  <c r="L133" i="25"/>
  <c r="J247" i="25"/>
  <c r="U227" i="25"/>
  <c r="AN248" i="25"/>
  <c r="AJ97" i="25"/>
  <c r="AJ135" i="25" s="1"/>
  <c r="AL97" i="25"/>
  <c r="AL135" i="25" s="1"/>
  <c r="AM97" i="25"/>
  <c r="AM135" i="25" s="1"/>
  <c r="AD229" i="25"/>
  <c r="Z248" i="25"/>
  <c r="AA59" i="25"/>
  <c r="AA78" i="25" s="1"/>
  <c r="AA248" i="25"/>
  <c r="Q246" i="25"/>
  <c r="H247" i="25"/>
  <c r="L228" i="25"/>
  <c r="Q57" i="25"/>
  <c r="Q76" i="25" s="1"/>
  <c r="H58" i="25"/>
  <c r="H77" i="25" s="1"/>
  <c r="I58" i="25"/>
  <c r="I77" i="25" s="1"/>
  <c r="R57" i="25"/>
  <c r="R76" i="25" s="1"/>
  <c r="R246" i="25"/>
  <c r="J58" i="25"/>
  <c r="J77" i="25" s="1"/>
  <c r="I58" i="29"/>
  <c r="I77" i="29" s="1"/>
  <c r="H58" i="29"/>
  <c r="H77" i="29" s="1"/>
  <c r="L228" i="29"/>
  <c r="H247" i="29"/>
  <c r="L133" i="29"/>
  <c r="K58" i="29"/>
  <c r="K77" i="29" s="1"/>
  <c r="K96" i="29" s="1"/>
  <c r="H58" i="39"/>
  <c r="H77" i="39" s="1"/>
  <c r="H247" i="39"/>
  <c r="L228" i="39"/>
  <c r="I58" i="39"/>
  <c r="I77" i="39" s="1"/>
  <c r="J58" i="39"/>
  <c r="J77" i="39" s="1"/>
  <c r="K58" i="39"/>
  <c r="K77" i="39" s="1"/>
  <c r="K96" i="39" s="1"/>
  <c r="K21" i="39" s="1"/>
  <c r="AK17" i="55" l="1"/>
  <c r="I38" i="56"/>
  <c r="E91" i="56" s="1"/>
  <c r="K91" i="56" s="1"/>
  <c r="E39" i="46"/>
  <c r="AJ17" i="55"/>
  <c r="L15" i="56"/>
  <c r="M15" i="56" s="1"/>
  <c r="F88" i="56"/>
  <c r="L88" i="56" s="1"/>
  <c r="Z36" i="46"/>
  <c r="R36" i="46"/>
  <c r="L38" i="56"/>
  <c r="M38" i="56" s="1"/>
  <c r="AM17" i="55"/>
  <c r="AM55" i="55" s="1"/>
  <c r="Z152" i="55"/>
  <c r="Z247" i="55"/>
  <c r="AA152" i="55"/>
  <c r="AA247" i="55"/>
  <c r="AA266" i="55" s="1"/>
  <c r="AE35" i="27"/>
  <c r="AE92" i="27" s="1"/>
  <c r="AE168" i="27" s="1"/>
  <c r="AK55" i="55"/>
  <c r="AA20" i="55"/>
  <c r="W38" i="27" s="1"/>
  <c r="AC152" i="55"/>
  <c r="AC247" i="55"/>
  <c r="AD35" i="27"/>
  <c r="AD92" i="27" s="1"/>
  <c r="AD168" i="27" s="1"/>
  <c r="AJ55" i="55"/>
  <c r="AB152" i="55"/>
  <c r="AB247" i="55"/>
  <c r="AN149" i="55"/>
  <c r="AF35" i="27"/>
  <c r="AF92" i="27" s="1"/>
  <c r="AF168" i="27" s="1"/>
  <c r="AL55" i="55"/>
  <c r="AD265" i="55"/>
  <c r="E18" i="46" s="1"/>
  <c r="I38" i="48"/>
  <c r="L38" i="48" s="1"/>
  <c r="M38" i="48" s="1"/>
  <c r="AB20" i="55"/>
  <c r="X38" i="27" s="1"/>
  <c r="Z20" i="55"/>
  <c r="V38" i="27" s="1"/>
  <c r="AC20" i="55"/>
  <c r="Y38" i="27" s="1"/>
  <c r="L398" i="53"/>
  <c r="AD361" i="53"/>
  <c r="AD323" i="53"/>
  <c r="AD285" i="53"/>
  <c r="AD247" i="53"/>
  <c r="AB380" i="53" s="1"/>
  <c r="AB399" i="53" s="1"/>
  <c r="K209" i="53"/>
  <c r="K152" i="53"/>
  <c r="K171" i="53" s="1"/>
  <c r="K20" i="53"/>
  <c r="H209" i="53"/>
  <c r="H152" i="53"/>
  <c r="H171" i="53" s="1"/>
  <c r="H20" i="53"/>
  <c r="AM209" i="53"/>
  <c r="AM20" i="53"/>
  <c r="Z209" i="53"/>
  <c r="Z152" i="53"/>
  <c r="Z171" i="53"/>
  <c r="Z20" i="53"/>
  <c r="AJ209" i="53"/>
  <c r="AJ20" i="53"/>
  <c r="AM380" i="53"/>
  <c r="AM399" i="53" s="1"/>
  <c r="AK209" i="53"/>
  <c r="AK20" i="53"/>
  <c r="AJ380" i="53"/>
  <c r="AK380" i="53"/>
  <c r="AB171" i="53"/>
  <c r="AC209" i="53"/>
  <c r="AC152" i="53"/>
  <c r="AC20" i="53"/>
  <c r="R209" i="53"/>
  <c r="R152" i="53"/>
  <c r="R20" i="53"/>
  <c r="J209" i="53"/>
  <c r="J152" i="53"/>
  <c r="J171" i="53" s="1"/>
  <c r="J20" i="53"/>
  <c r="I209" i="53"/>
  <c r="I152" i="53"/>
  <c r="I20" i="53"/>
  <c r="S96" i="53"/>
  <c r="S115" i="53" s="1"/>
  <c r="S39" i="53"/>
  <c r="S58" i="53" s="1"/>
  <c r="AL209" i="53"/>
  <c r="AL20" i="53"/>
  <c r="Q209" i="53"/>
  <c r="Q152" i="53"/>
  <c r="Q171" i="53"/>
  <c r="Q20" i="53"/>
  <c r="S380" i="53"/>
  <c r="S399" i="53" s="1"/>
  <c r="L361" i="53"/>
  <c r="L247" i="53"/>
  <c r="L285" i="53"/>
  <c r="L323" i="53"/>
  <c r="T209" i="53"/>
  <c r="T152" i="53"/>
  <c r="T171" i="53" s="1"/>
  <c r="T20" i="53"/>
  <c r="AL380" i="53"/>
  <c r="AA209" i="53"/>
  <c r="AA152" i="53"/>
  <c r="AA171" i="53" s="1"/>
  <c r="AA20" i="53"/>
  <c r="Q380" i="52"/>
  <c r="Q399" i="52" s="1"/>
  <c r="AA152" i="52"/>
  <c r="AA171" i="52" s="1"/>
  <c r="AA20" i="52"/>
  <c r="AA39" i="52" s="1"/>
  <c r="AA58" i="52" s="1"/>
  <c r="U209" i="52"/>
  <c r="T39" i="52"/>
  <c r="T58" i="52" s="1"/>
  <c r="T96" i="52"/>
  <c r="T115" i="52" s="1"/>
  <c r="AM20" i="52"/>
  <c r="AM380" i="52"/>
  <c r="AK209" i="52"/>
  <c r="AK20" i="52"/>
  <c r="AL209" i="52"/>
  <c r="AL20" i="52"/>
  <c r="R39" i="52"/>
  <c r="R58" i="52" s="1"/>
  <c r="R96" i="52"/>
  <c r="R115" i="52" s="1"/>
  <c r="AJ209" i="52"/>
  <c r="AJ20" i="52"/>
  <c r="S39" i="52"/>
  <c r="S96" i="52"/>
  <c r="S115" i="52" s="1"/>
  <c r="AK380" i="52"/>
  <c r="AL380" i="52"/>
  <c r="AJ380" i="52"/>
  <c r="T380" i="52"/>
  <c r="T399" i="52" s="1"/>
  <c r="S380" i="52"/>
  <c r="S399" i="52" s="1"/>
  <c r="AC152" i="52"/>
  <c r="AC171" i="52" s="1"/>
  <c r="AC209" i="52"/>
  <c r="AC20" i="52"/>
  <c r="R380" i="52"/>
  <c r="R399" i="52" s="1"/>
  <c r="Z152" i="52"/>
  <c r="Z209" i="52"/>
  <c r="Z20" i="52"/>
  <c r="K152" i="52"/>
  <c r="K171" i="52" s="1"/>
  <c r="K20" i="52"/>
  <c r="K134" i="52" s="1"/>
  <c r="AB152" i="52"/>
  <c r="AB171" i="52" s="1"/>
  <c r="AB209" i="52"/>
  <c r="AB20" i="52"/>
  <c r="Y170" i="27"/>
  <c r="L398" i="47"/>
  <c r="L247" i="39"/>
  <c r="L247" i="29"/>
  <c r="U379" i="47"/>
  <c r="AN379" i="47"/>
  <c r="I152" i="47"/>
  <c r="I171" i="47" s="1"/>
  <c r="K152" i="47"/>
  <c r="K171" i="47" s="1"/>
  <c r="L361" i="47"/>
  <c r="L285" i="47"/>
  <c r="L247" i="47"/>
  <c r="L323" i="47"/>
  <c r="J209" i="47"/>
  <c r="J152" i="47"/>
  <c r="J171" i="47" s="1"/>
  <c r="AJ57" i="47"/>
  <c r="AN266" i="47"/>
  <c r="AN228" i="47"/>
  <c r="AN304" i="47"/>
  <c r="AN342" i="47"/>
  <c r="H209" i="47"/>
  <c r="H152" i="47"/>
  <c r="H171" i="47" s="1"/>
  <c r="Z57" i="47"/>
  <c r="AD266" i="47"/>
  <c r="AD342" i="47"/>
  <c r="AD228" i="47"/>
  <c r="AD304" i="47"/>
  <c r="AD379" i="47"/>
  <c r="Q57" i="47"/>
  <c r="U342" i="47"/>
  <c r="U266" i="47"/>
  <c r="U304" i="47"/>
  <c r="U228" i="47"/>
  <c r="AM171" i="47"/>
  <c r="AL152" i="47"/>
  <c r="AL171" i="47"/>
  <c r="AJ152" i="47"/>
  <c r="AJ171" i="47"/>
  <c r="AK152" i="47"/>
  <c r="AK171" i="47"/>
  <c r="AM152" i="47"/>
  <c r="I20" i="47"/>
  <c r="I209" i="47"/>
  <c r="K20" i="47"/>
  <c r="K209" i="47"/>
  <c r="Z133" i="47"/>
  <c r="AL133" i="47"/>
  <c r="AL209" i="47" s="1"/>
  <c r="AN398" i="47"/>
  <c r="U398" i="47"/>
  <c r="R133" i="47"/>
  <c r="AJ133" i="47"/>
  <c r="AM133" i="47"/>
  <c r="H20" i="47"/>
  <c r="Q133" i="47"/>
  <c r="T133" i="47"/>
  <c r="AB133" i="47"/>
  <c r="S133" i="47"/>
  <c r="AC133" i="47"/>
  <c r="AK133" i="47"/>
  <c r="AA133" i="47"/>
  <c r="J20" i="47"/>
  <c r="AD398" i="47"/>
  <c r="AK22" i="25"/>
  <c r="AK60" i="25" s="1"/>
  <c r="AK79" i="25" s="1"/>
  <c r="R95" i="25"/>
  <c r="R20" i="25" s="1"/>
  <c r="R58" i="25" s="1"/>
  <c r="R77" i="25" s="1"/>
  <c r="AK230" i="25"/>
  <c r="AK249" i="25" s="1"/>
  <c r="V19" i="45"/>
  <c r="V57" i="45" s="1"/>
  <c r="U19" i="45"/>
  <c r="U57" i="45" s="1"/>
  <c r="L247" i="25"/>
  <c r="T19" i="45"/>
  <c r="T57" i="45" s="1"/>
  <c r="W19" i="45"/>
  <c r="W57" i="45" s="1"/>
  <c r="U246" i="25"/>
  <c r="AD248" i="25"/>
  <c r="AM230" i="25"/>
  <c r="AM22" i="25"/>
  <c r="AM60" i="25" s="1"/>
  <c r="AM79" i="25" s="1"/>
  <c r="AL230" i="25"/>
  <c r="AL249" i="25" s="1"/>
  <c r="AL22" i="25"/>
  <c r="AL60" i="25" s="1"/>
  <c r="AL79" i="25" s="1"/>
  <c r="AN135" i="25"/>
  <c r="AJ230" i="25"/>
  <c r="AJ22" i="25"/>
  <c r="AJ60" i="25" s="1"/>
  <c r="AJ79" i="25" s="1"/>
  <c r="AA97" i="25"/>
  <c r="AA135" i="25" s="1"/>
  <c r="AB97" i="25"/>
  <c r="AB135" i="25" s="1"/>
  <c r="AC97" i="25"/>
  <c r="AC135" i="25" s="1"/>
  <c r="Z97" i="25"/>
  <c r="Z135" i="25" s="1"/>
  <c r="J96" i="25"/>
  <c r="J229" i="25" s="1"/>
  <c r="H96" i="25"/>
  <c r="K96" i="25"/>
  <c r="Q95" i="25"/>
  <c r="S95" i="25"/>
  <c r="T95" i="25"/>
  <c r="I96" i="25"/>
  <c r="K134" i="29"/>
  <c r="K229" i="29"/>
  <c r="K21" i="29"/>
  <c r="H96" i="29"/>
  <c r="J96" i="29"/>
  <c r="I96" i="29"/>
  <c r="K59" i="39"/>
  <c r="K78" i="39" s="1"/>
  <c r="K134" i="39"/>
  <c r="K229" i="39"/>
  <c r="J96" i="39"/>
  <c r="J21" i="39" s="1"/>
  <c r="I96" i="39"/>
  <c r="I21" i="39" s="1"/>
  <c r="H96" i="39"/>
  <c r="H21" i="39" s="1"/>
  <c r="AG35" i="27" l="1"/>
  <c r="AG92" i="27" s="1"/>
  <c r="AG168" i="27" s="1"/>
  <c r="J38" i="46" s="1"/>
  <c r="Y39" i="46"/>
  <c r="Q39" i="46"/>
  <c r="J39" i="56"/>
  <c r="I40" i="46"/>
  <c r="U40" i="46" s="1"/>
  <c r="AA58" i="55"/>
  <c r="AA77" i="55" s="1"/>
  <c r="J17" i="56"/>
  <c r="F90" i="56" s="1"/>
  <c r="L90" i="56" s="1"/>
  <c r="N17" i="56"/>
  <c r="F65" i="56" s="1"/>
  <c r="N39" i="56"/>
  <c r="E67" i="56" s="1"/>
  <c r="AL74" i="55"/>
  <c r="AL188" i="55"/>
  <c r="AM74" i="55"/>
  <c r="AM188" i="55"/>
  <c r="AK74" i="55"/>
  <c r="AK188" i="55"/>
  <c r="AN263" i="55"/>
  <c r="I16" i="48"/>
  <c r="AJ74" i="55"/>
  <c r="AJ188" i="55"/>
  <c r="J17" i="48"/>
  <c r="AH168" i="27"/>
  <c r="J17" i="46" s="1"/>
  <c r="Z170" i="27"/>
  <c r="I19" i="46" s="1"/>
  <c r="U19" i="46" s="1"/>
  <c r="J39" i="48"/>
  <c r="N39" i="48" s="1"/>
  <c r="AD152" i="55"/>
  <c r="AC266" i="55"/>
  <c r="AC58" i="55"/>
  <c r="AC77" i="55" s="1"/>
  <c r="AB58" i="55"/>
  <c r="AB77" i="55" s="1"/>
  <c r="AB266" i="55"/>
  <c r="Z58" i="55"/>
  <c r="Z77" i="55" s="1"/>
  <c r="AN380" i="53"/>
  <c r="AJ399" i="53"/>
  <c r="H96" i="53"/>
  <c r="H115" i="53" s="1"/>
  <c r="H39" i="53"/>
  <c r="H380" i="53"/>
  <c r="L209" i="53"/>
  <c r="R171" i="53"/>
  <c r="R380" i="53" s="1"/>
  <c r="R399" i="53" s="1"/>
  <c r="AJ96" i="53"/>
  <c r="AJ115" i="53" s="1"/>
  <c r="AJ39" i="53"/>
  <c r="K96" i="53"/>
  <c r="K115" i="53" s="1"/>
  <c r="K39" i="53"/>
  <c r="K58" i="53" s="1"/>
  <c r="I96" i="53"/>
  <c r="I115" i="53" s="1"/>
  <c r="I39" i="53"/>
  <c r="I58" i="53" s="1"/>
  <c r="AC96" i="53"/>
  <c r="AC115" i="53" s="1"/>
  <c r="AC39" i="53"/>
  <c r="AC58" i="53" s="1"/>
  <c r="AN209" i="53"/>
  <c r="Z96" i="53"/>
  <c r="Z115" i="53" s="1"/>
  <c r="Z39" i="53"/>
  <c r="K380" i="53"/>
  <c r="K399" i="53" s="1"/>
  <c r="Q39" i="53"/>
  <c r="Q96" i="53"/>
  <c r="Q115" i="53" s="1"/>
  <c r="S134" i="53" s="1"/>
  <c r="I171" i="53"/>
  <c r="I380" i="53" s="1"/>
  <c r="I399" i="53" s="1"/>
  <c r="AC171" i="53"/>
  <c r="AC380" i="53" s="1"/>
  <c r="AC399" i="53" s="1"/>
  <c r="AK96" i="53"/>
  <c r="AK115" i="53" s="1"/>
  <c r="AK39" i="53"/>
  <c r="AK58" i="53" s="1"/>
  <c r="AL399" i="53"/>
  <c r="Z380" i="53"/>
  <c r="AA96" i="53"/>
  <c r="AA115" i="53" s="1"/>
  <c r="AA39" i="53"/>
  <c r="AA58" i="53" s="1"/>
  <c r="T96" i="53"/>
  <c r="T115" i="53" s="1"/>
  <c r="T39" i="53"/>
  <c r="T58" i="53" s="1"/>
  <c r="Q380" i="53"/>
  <c r="J96" i="53"/>
  <c r="J115" i="53" s="1"/>
  <c r="J39" i="53"/>
  <c r="J58" i="53" s="1"/>
  <c r="AD209" i="53"/>
  <c r="R96" i="53"/>
  <c r="R115" i="53" s="1"/>
  <c r="R39" i="53"/>
  <c r="R58" i="53"/>
  <c r="AA380" i="53"/>
  <c r="AA399" i="53" s="1"/>
  <c r="T380" i="53"/>
  <c r="T399" i="53" s="1"/>
  <c r="U209" i="53"/>
  <c r="J380" i="53"/>
  <c r="J399" i="53" s="1"/>
  <c r="AM96" i="53"/>
  <c r="AM115" i="53" s="1"/>
  <c r="AM39" i="53"/>
  <c r="AM58" i="53" s="1"/>
  <c r="AL96" i="53"/>
  <c r="AL115" i="53" s="1"/>
  <c r="AL58" i="53"/>
  <c r="AL39" i="53"/>
  <c r="AK399" i="53"/>
  <c r="AL399" i="52"/>
  <c r="AA96" i="52"/>
  <c r="AA115" i="52" s="1"/>
  <c r="AA380" i="52"/>
  <c r="AA399" i="52" s="1"/>
  <c r="Q134" i="52"/>
  <c r="Q153" i="52" s="1"/>
  <c r="Q172" i="52" s="1"/>
  <c r="U343" i="52"/>
  <c r="U305" i="52"/>
  <c r="AM399" i="52"/>
  <c r="R134" i="52"/>
  <c r="R21" i="52" s="1"/>
  <c r="S58" i="52"/>
  <c r="U286" i="52" s="1"/>
  <c r="AM39" i="52"/>
  <c r="AM58" i="52" s="1"/>
  <c r="AM96" i="52"/>
  <c r="AB39" i="52"/>
  <c r="AB58" i="52" s="1"/>
  <c r="AB96" i="52"/>
  <c r="AB115" i="52" s="1"/>
  <c r="AJ39" i="52"/>
  <c r="AJ58" i="52" s="1"/>
  <c r="AJ96" i="52"/>
  <c r="AJ115" i="52" s="1"/>
  <c r="AC39" i="52"/>
  <c r="AC58" i="52" s="1"/>
  <c r="AC96" i="52"/>
  <c r="AC115" i="52" s="1"/>
  <c r="AN209" i="52"/>
  <c r="T134" i="52"/>
  <c r="U380" i="52"/>
  <c r="AC380" i="52"/>
  <c r="AC399" i="52" s="1"/>
  <c r="U399" i="52"/>
  <c r="U229" i="52"/>
  <c r="AJ399" i="52"/>
  <c r="AN380" i="52"/>
  <c r="Z39" i="52"/>
  <c r="Z96" i="52"/>
  <c r="Z115" i="52" s="1"/>
  <c r="U267" i="52"/>
  <c r="AL39" i="52"/>
  <c r="AL58" i="52" s="1"/>
  <c r="AL96" i="52"/>
  <c r="AL115" i="52" s="1"/>
  <c r="K39" i="52"/>
  <c r="K58" i="52" s="1"/>
  <c r="K96" i="52"/>
  <c r="AD209" i="52"/>
  <c r="AK399" i="52"/>
  <c r="AB380" i="52"/>
  <c r="AB399" i="52" s="1"/>
  <c r="Z171" i="52"/>
  <c r="Z380" i="52" s="1"/>
  <c r="S134" i="52"/>
  <c r="AK39" i="52"/>
  <c r="AK58" i="52" s="1"/>
  <c r="AK96" i="52"/>
  <c r="AK115" i="52" s="1"/>
  <c r="Q18" i="46"/>
  <c r="Y18" i="46"/>
  <c r="K248" i="29"/>
  <c r="K248" i="39"/>
  <c r="R133" i="25"/>
  <c r="H380" i="47"/>
  <c r="H399" i="47" s="1"/>
  <c r="J380" i="47"/>
  <c r="J399" i="47" s="1"/>
  <c r="I380" i="47"/>
  <c r="I399" i="47" s="1"/>
  <c r="T152" i="47"/>
  <c r="T171" i="47" s="1"/>
  <c r="Z20" i="47"/>
  <c r="Z152" i="47"/>
  <c r="Z171" i="47" s="1"/>
  <c r="AD361" i="47"/>
  <c r="AD285" i="47"/>
  <c r="AD247" i="47"/>
  <c r="AD323" i="47"/>
  <c r="AN285" i="47"/>
  <c r="AN361" i="47"/>
  <c r="AN323" i="47"/>
  <c r="AN247" i="47"/>
  <c r="AA152" i="47"/>
  <c r="AA171" i="47" s="1"/>
  <c r="AC152" i="47"/>
  <c r="AC171" i="47" s="1"/>
  <c r="R209" i="47"/>
  <c r="R152" i="47"/>
  <c r="R171" i="47" s="1"/>
  <c r="Q152" i="47"/>
  <c r="S152" i="47"/>
  <c r="S171" i="47" s="1"/>
  <c r="U361" i="47"/>
  <c r="U285" i="47"/>
  <c r="U323" i="47"/>
  <c r="U247" i="47"/>
  <c r="K380" i="47"/>
  <c r="K399" i="47" s="1"/>
  <c r="AB152" i="47"/>
  <c r="AB171" i="47" s="1"/>
  <c r="AL20" i="47"/>
  <c r="I39" i="47"/>
  <c r="I58" i="47" s="1"/>
  <c r="K96" i="47"/>
  <c r="K115" i="47" s="1"/>
  <c r="K39" i="47"/>
  <c r="K58" i="47" s="1"/>
  <c r="I96" i="47"/>
  <c r="I115" i="47" s="1"/>
  <c r="Z209" i="47"/>
  <c r="R20" i="47"/>
  <c r="J39" i="47"/>
  <c r="J58" i="47" s="1"/>
  <c r="H39" i="47"/>
  <c r="AK209" i="47"/>
  <c r="AK20" i="47"/>
  <c r="AB209" i="47"/>
  <c r="AB20" i="47"/>
  <c r="X95" i="27" s="1"/>
  <c r="X171" i="27" s="1"/>
  <c r="AM209" i="47"/>
  <c r="AM20" i="47"/>
  <c r="T209" i="47"/>
  <c r="T20" i="47"/>
  <c r="H96" i="47"/>
  <c r="H115" i="47" s="1"/>
  <c r="AJ209" i="47"/>
  <c r="AJ20" i="47"/>
  <c r="AC209" i="47"/>
  <c r="AC20" i="47"/>
  <c r="Y95" i="27" s="1"/>
  <c r="Y171" i="27" s="1"/>
  <c r="Q209" i="47"/>
  <c r="Q20" i="47"/>
  <c r="L209" i="47"/>
  <c r="J96" i="47"/>
  <c r="J115" i="47" s="1"/>
  <c r="AA209" i="47"/>
  <c r="AA20" i="47"/>
  <c r="W95" i="27" s="1"/>
  <c r="W171" i="27" s="1"/>
  <c r="S209" i="47"/>
  <c r="S20" i="47"/>
  <c r="R228" i="25"/>
  <c r="AL98" i="25"/>
  <c r="AL136" i="25" s="1"/>
  <c r="J21" i="25"/>
  <c r="X57" i="45"/>
  <c r="J134" i="25"/>
  <c r="J248" i="25" s="1"/>
  <c r="AK98" i="25"/>
  <c r="AK136" i="25" s="1"/>
  <c r="AM98" i="25"/>
  <c r="AM136" i="25" s="1"/>
  <c r="AJ98" i="25"/>
  <c r="AJ136" i="25" s="1"/>
  <c r="AJ249" i="25"/>
  <c r="AN230" i="25"/>
  <c r="AM249" i="25"/>
  <c r="Z230" i="25"/>
  <c r="AD135" i="25"/>
  <c r="Z22" i="25"/>
  <c r="Z60" i="25" s="1"/>
  <c r="Z79" i="25" s="1"/>
  <c r="AC230" i="25"/>
  <c r="AC22" i="25"/>
  <c r="AC60" i="25" s="1"/>
  <c r="AC79" i="25" s="1"/>
  <c r="AB230" i="25"/>
  <c r="AB22" i="25"/>
  <c r="AB60" i="25" s="1"/>
  <c r="AB79" i="25" s="1"/>
  <c r="AA230" i="25"/>
  <c r="AA22" i="25"/>
  <c r="AA60" i="25" s="1"/>
  <c r="AA79" i="25" s="1"/>
  <c r="K229" i="25"/>
  <c r="K134" i="25"/>
  <c r="K21" i="25"/>
  <c r="H229" i="25"/>
  <c r="H134" i="25"/>
  <c r="H21" i="25"/>
  <c r="I134" i="25"/>
  <c r="I229" i="25"/>
  <c r="I21" i="25"/>
  <c r="S133" i="25"/>
  <c r="S228" i="25"/>
  <c r="S20" i="25"/>
  <c r="Q133" i="25"/>
  <c r="Q228" i="25"/>
  <c r="Q20" i="25"/>
  <c r="T133" i="25"/>
  <c r="T228" i="25"/>
  <c r="T20" i="25"/>
  <c r="I134" i="29"/>
  <c r="I229" i="29"/>
  <c r="I21" i="29"/>
  <c r="J134" i="29"/>
  <c r="J229" i="29"/>
  <c r="J21" i="29"/>
  <c r="H134" i="29"/>
  <c r="H229" i="29"/>
  <c r="H21" i="29"/>
  <c r="K59" i="29"/>
  <c r="K78" i="29" s="1"/>
  <c r="H134" i="39"/>
  <c r="H229" i="39"/>
  <c r="I134" i="39"/>
  <c r="I229" i="39"/>
  <c r="J134" i="39"/>
  <c r="J229" i="39"/>
  <c r="L17" i="56" l="1"/>
  <c r="M17" i="56" s="1"/>
  <c r="V38" i="46"/>
  <c r="Z38" i="46"/>
  <c r="R38" i="46"/>
  <c r="AN188" i="55"/>
  <c r="AJ93" i="55"/>
  <c r="V17" i="46"/>
  <c r="R17" i="46"/>
  <c r="Z17" i="46"/>
  <c r="AJ112" i="55"/>
  <c r="AJ150" i="55" s="1"/>
  <c r="AJ18" i="55"/>
  <c r="AK93" i="55"/>
  <c r="AM93" i="55"/>
  <c r="AL93" i="55"/>
  <c r="AC96" i="55"/>
  <c r="AC115" i="55" s="1"/>
  <c r="AD247" i="55"/>
  <c r="Z266" i="55"/>
  <c r="Z96" i="55"/>
  <c r="Z115" i="55" s="1"/>
  <c r="AB96" i="55"/>
  <c r="AB115" i="55" s="1"/>
  <c r="AA96" i="55"/>
  <c r="AA115" i="55" s="1"/>
  <c r="T134" i="53"/>
  <c r="T21" i="53" s="1"/>
  <c r="AC134" i="53"/>
  <c r="J134" i="53"/>
  <c r="J21" i="53" s="1"/>
  <c r="T97" i="53"/>
  <c r="T116" i="53" s="1"/>
  <c r="T40" i="53"/>
  <c r="T59" i="53" s="1"/>
  <c r="J97" i="53"/>
  <c r="J116" i="53" s="1"/>
  <c r="J40" i="53"/>
  <c r="J59" i="53" s="1"/>
  <c r="U343" i="53"/>
  <c r="U267" i="53"/>
  <c r="U305" i="53"/>
  <c r="U229" i="53"/>
  <c r="AN343" i="53"/>
  <c r="AN305" i="53"/>
  <c r="AN229" i="53"/>
  <c r="AN267" i="53"/>
  <c r="J210" i="53"/>
  <c r="J153" i="53"/>
  <c r="AJ172" i="53"/>
  <c r="AJ153" i="53"/>
  <c r="AJ134" i="53"/>
  <c r="I134" i="53"/>
  <c r="L380" i="53"/>
  <c r="H399" i="53"/>
  <c r="AD229" i="53"/>
  <c r="AD305" i="53"/>
  <c r="AD267" i="53"/>
  <c r="AD343" i="53"/>
  <c r="Z58" i="53"/>
  <c r="Q399" i="53"/>
  <c r="U399" i="53" s="1"/>
  <c r="U380" i="53"/>
  <c r="T210" i="53"/>
  <c r="T153" i="53"/>
  <c r="T172" i="53" s="1"/>
  <c r="L343" i="53"/>
  <c r="L267" i="53"/>
  <c r="L229" i="53"/>
  <c r="L305" i="53"/>
  <c r="AM172" i="53"/>
  <c r="AM153" i="53"/>
  <c r="AM134" i="53"/>
  <c r="Z134" i="53"/>
  <c r="AB134" i="53"/>
  <c r="H58" i="53"/>
  <c r="AC210" i="53"/>
  <c r="AC153" i="53"/>
  <c r="AC172" i="53" s="1"/>
  <c r="Q134" i="53"/>
  <c r="K134" i="53"/>
  <c r="H134" i="53"/>
  <c r="AD380" i="53"/>
  <c r="Z399" i="53"/>
  <c r="AD399" i="53" s="1"/>
  <c r="AK172" i="53"/>
  <c r="AK153" i="53"/>
  <c r="AK134" i="53"/>
  <c r="AL172" i="53"/>
  <c r="AL153" i="53"/>
  <c r="AL134" i="53"/>
  <c r="R134" i="53"/>
  <c r="Q58" i="53"/>
  <c r="AJ58" i="53"/>
  <c r="AN399" i="53"/>
  <c r="S210" i="53"/>
  <c r="S153" i="53"/>
  <c r="S172" i="53" s="1"/>
  <c r="S21" i="53"/>
  <c r="AA134" i="53"/>
  <c r="AC21" i="53"/>
  <c r="Q21" i="52"/>
  <c r="Q40" i="52" s="1"/>
  <c r="Q59" i="52" s="1"/>
  <c r="Q210" i="52"/>
  <c r="U248" i="52"/>
  <c r="U324" i="52"/>
  <c r="R153" i="52"/>
  <c r="R172" i="52" s="1"/>
  <c r="Z134" i="52"/>
  <c r="Z21" i="52" s="1"/>
  <c r="Z40" i="52" s="1"/>
  <c r="R210" i="52"/>
  <c r="AA134" i="52"/>
  <c r="AA210" i="52" s="1"/>
  <c r="Z399" i="52"/>
  <c r="AD399" i="52" s="1"/>
  <c r="AD380" i="52"/>
  <c r="S153" i="52"/>
  <c r="S172" i="52" s="1"/>
  <c r="S210" i="52"/>
  <c r="S21" i="52"/>
  <c r="AM134" i="52"/>
  <c r="T153" i="52"/>
  <c r="T172" i="52" s="1"/>
  <c r="T210" i="52"/>
  <c r="T21" i="52"/>
  <c r="AJ172" i="52"/>
  <c r="AJ153" i="52"/>
  <c r="AJ134" i="52"/>
  <c r="AN248" i="52"/>
  <c r="AN286" i="52"/>
  <c r="AN362" i="52"/>
  <c r="AN324" i="52"/>
  <c r="U362" i="52"/>
  <c r="R40" i="52"/>
  <c r="R59" i="52" s="1"/>
  <c r="R97" i="52"/>
  <c r="R116" i="52" s="1"/>
  <c r="AD229" i="52"/>
  <c r="AD267" i="52"/>
  <c r="AD305" i="52"/>
  <c r="AD343" i="52"/>
  <c r="AL153" i="52"/>
  <c r="AL172" i="52"/>
  <c r="AL134" i="52"/>
  <c r="AN229" i="52"/>
  <c r="AN267" i="52"/>
  <c r="AN305" i="52"/>
  <c r="AN343" i="52"/>
  <c r="AK153" i="52"/>
  <c r="AK172" i="52"/>
  <c r="AK134" i="52"/>
  <c r="AN399" i="52"/>
  <c r="AB134" i="52"/>
  <c r="Z58" i="52"/>
  <c r="AC134" i="52"/>
  <c r="AL96" i="47"/>
  <c r="AL115" i="47" s="1"/>
  <c r="Z96" i="47"/>
  <c r="Z115" i="47" s="1"/>
  <c r="V95" i="27"/>
  <c r="L134" i="29"/>
  <c r="J248" i="29"/>
  <c r="I248" i="39"/>
  <c r="J248" i="39"/>
  <c r="I248" i="29"/>
  <c r="R247" i="25"/>
  <c r="AL231" i="25"/>
  <c r="AL250" i="25" s="1"/>
  <c r="AK380" i="47"/>
  <c r="AK399" i="47" s="1"/>
  <c r="AM380" i="47"/>
  <c r="AM399" i="47" s="1"/>
  <c r="Z39" i="47"/>
  <c r="Z58" i="47" s="1"/>
  <c r="AJ380" i="47"/>
  <c r="AJ399" i="47" s="1"/>
  <c r="Z380" i="47"/>
  <c r="Z399" i="47" s="1"/>
  <c r="AA380" i="47"/>
  <c r="AA399" i="47" s="1"/>
  <c r="T380" i="47"/>
  <c r="T399" i="47" s="1"/>
  <c r="R380" i="47"/>
  <c r="R399" i="47" s="1"/>
  <c r="AC380" i="47"/>
  <c r="AC399" i="47" s="1"/>
  <c r="L380" i="47"/>
  <c r="AB380" i="47"/>
  <c r="AB399" i="47" s="1"/>
  <c r="Q171" i="47"/>
  <c r="Q380" i="47" s="1"/>
  <c r="AL380" i="47"/>
  <c r="AL399" i="47" s="1"/>
  <c r="S380" i="47"/>
  <c r="S399" i="47" s="1"/>
  <c r="H58" i="47"/>
  <c r="L305" i="47"/>
  <c r="L229" i="47"/>
  <c r="L267" i="47"/>
  <c r="L343" i="47"/>
  <c r="I134" i="47"/>
  <c r="AM39" i="47"/>
  <c r="AM58" i="47" s="1"/>
  <c r="AK39" i="47"/>
  <c r="AK58" i="47" s="1"/>
  <c r="AJ39" i="47"/>
  <c r="AL39" i="47"/>
  <c r="AL58" i="47" s="1"/>
  <c r="J134" i="47"/>
  <c r="K134" i="47"/>
  <c r="H134" i="47"/>
  <c r="R96" i="47"/>
  <c r="R115" i="47" s="1"/>
  <c r="R39" i="47"/>
  <c r="R58" i="47" s="1"/>
  <c r="S39" i="47"/>
  <c r="S58" i="47" s="1"/>
  <c r="Q39" i="47"/>
  <c r="T39" i="47"/>
  <c r="T58" i="47" s="1"/>
  <c r="AC39" i="47"/>
  <c r="AC58" i="47" s="1"/>
  <c r="AB39" i="47"/>
  <c r="AB58" i="47" s="1"/>
  <c r="AA39" i="47"/>
  <c r="AA58" i="47" s="1"/>
  <c r="AD209" i="47"/>
  <c r="AN209" i="47"/>
  <c r="L399" i="47"/>
  <c r="S96" i="47"/>
  <c r="S115" i="47" s="1"/>
  <c r="AJ96" i="47"/>
  <c r="AJ115" i="47" s="1"/>
  <c r="AC96" i="47"/>
  <c r="AC115" i="47" s="1"/>
  <c r="AM96" i="47"/>
  <c r="AM115" i="47" s="1"/>
  <c r="AK96" i="47"/>
  <c r="AK115" i="47" s="1"/>
  <c r="Q96" i="47"/>
  <c r="Q115" i="47" s="1"/>
  <c r="AB96" i="47"/>
  <c r="AB115" i="47" s="1"/>
  <c r="AA96" i="47"/>
  <c r="AA115" i="47" s="1"/>
  <c r="U209" i="47"/>
  <c r="T96" i="47"/>
  <c r="T115" i="47" s="1"/>
  <c r="I248" i="25"/>
  <c r="T247" i="25"/>
  <c r="S247" i="25"/>
  <c r="J59" i="25"/>
  <c r="J78" i="25" s="1"/>
  <c r="U228" i="25"/>
  <c r="U133" i="25"/>
  <c r="L134" i="25"/>
  <c r="AN249" i="25"/>
  <c r="AN136" i="25"/>
  <c r="AJ231" i="25"/>
  <c r="AM231" i="25"/>
  <c r="AM250" i="25" s="1"/>
  <c r="AK231" i="25"/>
  <c r="AK250" i="25" s="1"/>
  <c r="AC98" i="25"/>
  <c r="AA98" i="25"/>
  <c r="AA136" i="25" s="1"/>
  <c r="AB249" i="25"/>
  <c r="AC249" i="25"/>
  <c r="AA249" i="25"/>
  <c r="Z98" i="25"/>
  <c r="Z136" i="25" s="1"/>
  <c r="AB98" i="25"/>
  <c r="AB136" i="25" s="1"/>
  <c r="Z249" i="25"/>
  <c r="AD230" i="25"/>
  <c r="K248" i="25"/>
  <c r="H248" i="25"/>
  <c r="L229" i="25"/>
  <c r="S58" i="25"/>
  <c r="S77" i="25" s="1"/>
  <c r="T58" i="25"/>
  <c r="T77" i="25" s="1"/>
  <c r="I59" i="25"/>
  <c r="I78" i="25" s="1"/>
  <c r="Q58" i="25"/>
  <c r="Q77" i="25" s="1"/>
  <c r="K59" i="25"/>
  <c r="K78" i="25" s="1"/>
  <c r="Q247" i="25"/>
  <c r="H59" i="25"/>
  <c r="H78" i="25" s="1"/>
  <c r="H59" i="29"/>
  <c r="H78" i="29" s="1"/>
  <c r="H248" i="29"/>
  <c r="L229" i="29"/>
  <c r="J59" i="29"/>
  <c r="J78" i="29" s="1"/>
  <c r="I59" i="29"/>
  <c r="I78" i="29" s="1"/>
  <c r="I97" i="29" s="1"/>
  <c r="J59" i="39"/>
  <c r="J78" i="39" s="1"/>
  <c r="I59" i="39"/>
  <c r="I78" i="39" s="1"/>
  <c r="H59" i="39"/>
  <c r="H78" i="39" s="1"/>
  <c r="H248" i="39"/>
  <c r="L248" i="39" s="1"/>
  <c r="L229" i="39"/>
  <c r="L134" i="39"/>
  <c r="I39" i="56" l="1"/>
  <c r="E92" i="56" s="1"/>
  <c r="K92" i="56" s="1"/>
  <c r="E40" i="46"/>
  <c r="L39" i="56"/>
  <c r="M39" i="56" s="1"/>
  <c r="AC153" i="55"/>
  <c r="AC248" i="55"/>
  <c r="AL112" i="55"/>
  <c r="AL150" i="55" s="1"/>
  <c r="AL18" i="55"/>
  <c r="AM112" i="55"/>
  <c r="AM150" i="55" s="1"/>
  <c r="AM18" i="55"/>
  <c r="Z153" i="55"/>
  <c r="Z248" i="55"/>
  <c r="AK112" i="55"/>
  <c r="AK150" i="55" s="1"/>
  <c r="AK18" i="55"/>
  <c r="AB153" i="55"/>
  <c r="AB248" i="55"/>
  <c r="AD36" i="27"/>
  <c r="AD93" i="27" s="1"/>
  <c r="AD169" i="27" s="1"/>
  <c r="AJ56" i="55"/>
  <c r="AC21" i="55"/>
  <c r="Y39" i="27" s="1"/>
  <c r="AA153" i="55"/>
  <c r="AA248" i="55"/>
  <c r="AD266" i="55"/>
  <c r="E19" i="46" s="1"/>
  <c r="I39" i="48"/>
  <c r="L39" i="48" s="1"/>
  <c r="M39" i="48" s="1"/>
  <c r="AC267" i="55"/>
  <c r="AB21" i="55"/>
  <c r="X39" i="27" s="1"/>
  <c r="AA21" i="55"/>
  <c r="W39" i="27" s="1"/>
  <c r="Z21" i="55"/>
  <c r="V39" i="27" s="1"/>
  <c r="L399" i="53"/>
  <c r="Q210" i="53"/>
  <c r="Q153" i="53"/>
  <c r="Q172" i="53" s="1"/>
  <c r="Q21" i="53"/>
  <c r="R210" i="53"/>
  <c r="R153" i="53"/>
  <c r="R21" i="53"/>
  <c r="AJ210" i="53"/>
  <c r="AJ21" i="53"/>
  <c r="AC97" i="53"/>
  <c r="AC116" i="53" s="1"/>
  <c r="AC40" i="53"/>
  <c r="AC59" i="53" s="1"/>
  <c r="L362" i="53"/>
  <c r="L286" i="53"/>
  <c r="L248" i="53"/>
  <c r="L324" i="53"/>
  <c r="S97" i="53"/>
  <c r="S116" i="53" s="1"/>
  <c r="S40" i="53"/>
  <c r="S59" i="53" s="1"/>
  <c r="AK210" i="53"/>
  <c r="AK21" i="53"/>
  <c r="Z210" i="53"/>
  <c r="Z153" i="53"/>
  <c r="Z172" i="53" s="1"/>
  <c r="Z21" i="53"/>
  <c r="AM210" i="53"/>
  <c r="AM21" i="53"/>
  <c r="AD362" i="53"/>
  <c r="AD324" i="53"/>
  <c r="AD286" i="53"/>
  <c r="AD248" i="53"/>
  <c r="AC381" i="53" s="1"/>
  <c r="AC400" i="53" s="1"/>
  <c r="J172" i="53"/>
  <c r="J381" i="53" s="1"/>
  <c r="J400" i="53" s="1"/>
  <c r="AB210" i="53"/>
  <c r="AB153" i="53"/>
  <c r="AB21" i="53"/>
  <c r="AL210" i="53"/>
  <c r="AL21" i="53"/>
  <c r="H210" i="53"/>
  <c r="H153" i="53"/>
  <c r="H172" i="53"/>
  <c r="H21" i="53"/>
  <c r="U362" i="53"/>
  <c r="U248" i="53"/>
  <c r="U324" i="53"/>
  <c r="U286" i="53"/>
  <c r="S381" i="53" s="1"/>
  <c r="S400" i="53" s="1"/>
  <c r="I210" i="53"/>
  <c r="I153" i="53"/>
  <c r="I172" i="53" s="1"/>
  <c r="I21" i="53"/>
  <c r="AA210" i="53"/>
  <c r="AA153" i="53"/>
  <c r="AA21" i="53"/>
  <c r="AN362" i="53"/>
  <c r="AN324" i="53"/>
  <c r="AN286" i="53"/>
  <c r="AN248" i="53"/>
  <c r="AL381" i="53" s="1"/>
  <c r="K210" i="53"/>
  <c r="K153" i="53"/>
  <c r="K172" i="53" s="1"/>
  <c r="K21" i="53"/>
  <c r="Q97" i="52"/>
  <c r="Q116" i="52" s="1"/>
  <c r="Z153" i="52"/>
  <c r="Z172" i="52" s="1"/>
  <c r="AA153" i="52"/>
  <c r="AA172" i="52" s="1"/>
  <c r="Q381" i="52"/>
  <c r="Q400" i="52" s="1"/>
  <c r="AA21" i="52"/>
  <c r="AA40" i="52" s="1"/>
  <c r="AA59" i="52" s="1"/>
  <c r="Z210" i="52"/>
  <c r="Z97" i="52"/>
  <c r="Z116" i="52" s="1"/>
  <c r="U210" i="52"/>
  <c r="AL381" i="52"/>
  <c r="T381" i="52"/>
  <c r="T400" i="52" s="1"/>
  <c r="S40" i="52"/>
  <c r="S59" i="52" s="1"/>
  <c r="S97" i="52"/>
  <c r="S116" i="52" s="1"/>
  <c r="AK210" i="52"/>
  <c r="AK21" i="52"/>
  <c r="AK381" i="52"/>
  <c r="AC153" i="52"/>
  <c r="AC172" i="52" s="1"/>
  <c r="AC210" i="52"/>
  <c r="AC21" i="52"/>
  <c r="S381" i="52"/>
  <c r="S400" i="52" s="1"/>
  <c r="AJ381" i="52"/>
  <c r="AM21" i="52"/>
  <c r="AD248" i="52"/>
  <c r="AD286" i="52"/>
  <c r="AD324" i="52"/>
  <c r="AD362" i="52"/>
  <c r="AJ210" i="52"/>
  <c r="AJ21" i="52"/>
  <c r="K153" i="52"/>
  <c r="K172" i="52" s="1"/>
  <c r="K21" i="52"/>
  <c r="K135" i="52" s="1"/>
  <c r="R381" i="52"/>
  <c r="R400" i="52" s="1"/>
  <c r="AM381" i="52"/>
  <c r="AB153" i="52"/>
  <c r="AB172" i="52" s="1"/>
  <c r="AB210" i="52"/>
  <c r="AB21" i="52"/>
  <c r="AL210" i="52"/>
  <c r="AL21" i="52"/>
  <c r="T97" i="52"/>
  <c r="T116" i="52" s="1"/>
  <c r="T40" i="52"/>
  <c r="T59" i="52" s="1"/>
  <c r="Z59" i="52"/>
  <c r="V171" i="27"/>
  <c r="L248" i="29"/>
  <c r="AN380" i="47"/>
  <c r="U380" i="47"/>
  <c r="Q399" i="47"/>
  <c r="AD380" i="47"/>
  <c r="I210" i="47"/>
  <c r="I153" i="47"/>
  <c r="I172" i="47" s="1"/>
  <c r="AD343" i="47"/>
  <c r="AD229" i="47"/>
  <c r="AD267" i="47"/>
  <c r="H210" i="47"/>
  <c r="H153" i="47"/>
  <c r="H172" i="47" s="1"/>
  <c r="J210" i="47"/>
  <c r="J153" i="47"/>
  <c r="J172" i="47" s="1"/>
  <c r="Q58" i="47"/>
  <c r="U229" i="47"/>
  <c r="U343" i="47"/>
  <c r="U267" i="47"/>
  <c r="U305" i="47"/>
  <c r="AD305" i="47"/>
  <c r="AJ58" i="47"/>
  <c r="AN267" i="47"/>
  <c r="AN305" i="47"/>
  <c r="AN229" i="47"/>
  <c r="AN343" i="47"/>
  <c r="AD362" i="47"/>
  <c r="AD286" i="47"/>
  <c r="AD248" i="47"/>
  <c r="AD324" i="47"/>
  <c r="K210" i="47"/>
  <c r="K153" i="47"/>
  <c r="K172" i="47" s="1"/>
  <c r="L362" i="47"/>
  <c r="L248" i="47"/>
  <c r="L324" i="47"/>
  <c r="L286" i="47"/>
  <c r="AJ172" i="47"/>
  <c r="AJ153" i="47"/>
  <c r="AK172" i="47"/>
  <c r="AK153" i="47"/>
  <c r="AL153" i="47"/>
  <c r="AM153" i="47"/>
  <c r="AM172" i="47"/>
  <c r="AL172" i="47"/>
  <c r="AL134" i="47"/>
  <c r="AL210" i="47" s="1"/>
  <c r="J21" i="47"/>
  <c r="R134" i="47"/>
  <c r="AK134" i="47"/>
  <c r="AK210" i="47" s="1"/>
  <c r="AD399" i="47"/>
  <c r="I21" i="47"/>
  <c r="T134" i="47"/>
  <c r="AA134" i="47"/>
  <c r="Z134" i="47"/>
  <c r="AB134" i="47"/>
  <c r="AM134" i="47"/>
  <c r="H21" i="47"/>
  <c r="AN399" i="47"/>
  <c r="K21" i="47"/>
  <c r="Q134" i="47"/>
  <c r="AC134" i="47"/>
  <c r="AJ134" i="47"/>
  <c r="S134" i="47"/>
  <c r="U247" i="25"/>
  <c r="T20" i="45"/>
  <c r="T58" i="45" s="1"/>
  <c r="AC136" i="25"/>
  <c r="AD136" i="25" s="1"/>
  <c r="AC231" i="25"/>
  <c r="W20" i="45"/>
  <c r="W58" i="45" s="1"/>
  <c r="U20" i="45"/>
  <c r="U58" i="45" s="1"/>
  <c r="V20" i="45"/>
  <c r="V58" i="45" s="1"/>
  <c r="T96" i="25"/>
  <c r="T21" i="25" s="1"/>
  <c r="T59" i="25" s="1"/>
  <c r="T78" i="25" s="1"/>
  <c r="L248" i="25"/>
  <c r="AJ250" i="25"/>
  <c r="AN250" i="25" s="1"/>
  <c r="AN231" i="25"/>
  <c r="AD249" i="25"/>
  <c r="AA231" i="25"/>
  <c r="AA250" i="25" s="1"/>
  <c r="AB231" i="25"/>
  <c r="Z231" i="25"/>
  <c r="J97" i="25"/>
  <c r="J135" i="25" s="1"/>
  <c r="K97" i="25"/>
  <c r="K135" i="25" s="1"/>
  <c r="Q96" i="25"/>
  <c r="R96" i="25"/>
  <c r="S96" i="25"/>
  <c r="H97" i="25"/>
  <c r="I97" i="25"/>
  <c r="I135" i="29"/>
  <c r="I230" i="29"/>
  <c r="I22" i="29"/>
  <c r="I60" i="29" s="1"/>
  <c r="I79" i="29" s="1"/>
  <c r="J97" i="29"/>
  <c r="H97" i="29"/>
  <c r="K97" i="29"/>
  <c r="H97" i="39"/>
  <c r="H22" i="39" s="1"/>
  <c r="K97" i="39"/>
  <c r="K22" i="39" s="1"/>
  <c r="I97" i="39"/>
  <c r="I22" i="39" s="1"/>
  <c r="J97" i="39"/>
  <c r="J22" i="39" s="1"/>
  <c r="Q40" i="46" l="1"/>
  <c r="Y40" i="46"/>
  <c r="J40" i="56"/>
  <c r="I41" i="46"/>
  <c r="U41" i="46" s="1"/>
  <c r="N40" i="56"/>
  <c r="E68" i="56" s="1"/>
  <c r="AN150" i="55"/>
  <c r="AG36" i="27"/>
  <c r="AG93" i="27" s="1"/>
  <c r="AG169" i="27" s="1"/>
  <c r="J39" i="46" s="1"/>
  <c r="AM56" i="55"/>
  <c r="I17" i="48"/>
  <c r="AN264" i="55"/>
  <c r="AJ75" i="55"/>
  <c r="AJ189" i="55"/>
  <c r="AF36" i="27"/>
  <c r="AF93" i="27" s="1"/>
  <c r="AF169" i="27" s="1"/>
  <c r="AL56" i="55"/>
  <c r="AC59" i="55"/>
  <c r="AC78" i="55" s="1"/>
  <c r="AE36" i="27"/>
  <c r="AE93" i="27" s="1"/>
  <c r="AE169" i="27" s="1"/>
  <c r="AK56" i="55"/>
  <c r="Z171" i="27"/>
  <c r="I20" i="46" s="1"/>
  <c r="U20" i="46" s="1"/>
  <c r="J40" i="48"/>
  <c r="N40" i="48" s="1"/>
  <c r="Z59" i="55"/>
  <c r="Z78" i="55" s="1"/>
  <c r="AB59" i="55"/>
  <c r="AB78" i="55" s="1"/>
  <c r="AA267" i="55"/>
  <c r="AD153" i="55"/>
  <c r="AA59" i="55"/>
  <c r="AA78" i="55" s="1"/>
  <c r="AB267" i="55"/>
  <c r="AL400" i="53"/>
  <c r="T381" i="53"/>
  <c r="T400" i="53" s="1"/>
  <c r="AK381" i="53"/>
  <c r="AK400" i="53" s="1"/>
  <c r="AM97" i="53"/>
  <c r="AM116" i="53" s="1"/>
  <c r="AM40" i="53"/>
  <c r="AM59" i="53" s="1"/>
  <c r="AN210" i="53"/>
  <c r="AB97" i="53"/>
  <c r="AB116" i="53" s="1"/>
  <c r="AB40" i="53"/>
  <c r="AB59" i="53" s="1"/>
  <c r="AJ381" i="53"/>
  <c r="R97" i="53"/>
  <c r="R116" i="53" s="1"/>
  <c r="R40" i="53"/>
  <c r="R59" i="53"/>
  <c r="Z381" i="53"/>
  <c r="AJ97" i="53"/>
  <c r="AJ116" i="53" s="1"/>
  <c r="AJ40" i="53"/>
  <c r="AJ59" i="53" s="1"/>
  <c r="AB172" i="53"/>
  <c r="AB381" i="53" s="1"/>
  <c r="AB400" i="53" s="1"/>
  <c r="AA97" i="53"/>
  <c r="AA116" i="53" s="1"/>
  <c r="AA40" i="53"/>
  <c r="AA59" i="53" s="1"/>
  <c r="H97" i="53"/>
  <c r="H116" i="53" s="1"/>
  <c r="H40" i="53"/>
  <c r="AD210" i="53"/>
  <c r="R172" i="53"/>
  <c r="R381" i="53" s="1"/>
  <c r="R400" i="53" s="1"/>
  <c r="AA381" i="53"/>
  <c r="AA400" i="53" s="1"/>
  <c r="AK97" i="53"/>
  <c r="AK116" i="53" s="1"/>
  <c r="AK40" i="53"/>
  <c r="AK59" i="53"/>
  <c r="AM381" i="53"/>
  <c r="AM400" i="53" s="1"/>
  <c r="AA172" i="53"/>
  <c r="H381" i="53"/>
  <c r="Q97" i="53"/>
  <c r="Q116" i="53" s="1"/>
  <c r="Q40" i="53"/>
  <c r="Q59" i="53"/>
  <c r="L210" i="53"/>
  <c r="Z97" i="53"/>
  <c r="Z116" i="53" s="1"/>
  <c r="AC135" i="53" s="1"/>
  <c r="Z40" i="53"/>
  <c r="K97" i="53"/>
  <c r="K116" i="53" s="1"/>
  <c r="K40" i="53"/>
  <c r="K59" i="53"/>
  <c r="I97" i="53"/>
  <c r="I116" i="53" s="1"/>
  <c r="I40" i="53"/>
  <c r="I59" i="53" s="1"/>
  <c r="AL97" i="53"/>
  <c r="AL116" i="53" s="1"/>
  <c r="AL40" i="53"/>
  <c r="AL59" i="53" s="1"/>
  <c r="Q381" i="53"/>
  <c r="K381" i="53"/>
  <c r="K400" i="53" s="1"/>
  <c r="I381" i="53"/>
  <c r="I400" i="53" s="1"/>
  <c r="U210" i="53"/>
  <c r="U399" i="47"/>
  <c r="AA97" i="52"/>
  <c r="AA116" i="52" s="1"/>
  <c r="AL400" i="52"/>
  <c r="U344" i="52"/>
  <c r="Q135" i="52"/>
  <c r="Q154" i="52" s="1"/>
  <c r="Q173" i="52" s="1"/>
  <c r="Z381" i="52"/>
  <c r="Z400" i="52" s="1"/>
  <c r="T135" i="52"/>
  <c r="T22" i="52" s="1"/>
  <c r="T41" i="52" s="1"/>
  <c r="T60" i="52" s="1"/>
  <c r="AK400" i="52"/>
  <c r="U306" i="52"/>
  <c r="AD210" i="52"/>
  <c r="R135" i="52"/>
  <c r="R154" i="52" s="1"/>
  <c r="AA381" i="52"/>
  <c r="AA400" i="52" s="1"/>
  <c r="U363" i="52"/>
  <c r="U249" i="52"/>
  <c r="U325" i="52"/>
  <c r="AM40" i="52"/>
  <c r="AM59" i="52" s="1"/>
  <c r="AM97" i="52"/>
  <c r="AC381" i="52"/>
  <c r="AC400" i="52" s="1"/>
  <c r="AJ400" i="52"/>
  <c r="AN381" i="52"/>
  <c r="U287" i="52"/>
  <c r="K40" i="52"/>
  <c r="K59" i="52" s="1"/>
  <c r="K97" i="52"/>
  <c r="AJ40" i="52"/>
  <c r="AJ59" i="52" s="1"/>
  <c r="AJ97" i="52"/>
  <c r="AJ116" i="52" s="1"/>
  <c r="AB381" i="52"/>
  <c r="AB400" i="52" s="1"/>
  <c r="AL40" i="52"/>
  <c r="AL59" i="52" s="1"/>
  <c r="AL97" i="52"/>
  <c r="AL116" i="52" s="1"/>
  <c r="AM400" i="52"/>
  <c r="AN210" i="52"/>
  <c r="U230" i="52"/>
  <c r="AK40" i="52"/>
  <c r="AK59" i="52" s="1"/>
  <c r="AK97" i="52"/>
  <c r="AK116" i="52" s="1"/>
  <c r="U268" i="52"/>
  <c r="U400" i="52"/>
  <c r="AB97" i="52"/>
  <c r="AB116" i="52" s="1"/>
  <c r="AB40" i="52"/>
  <c r="AC40" i="52"/>
  <c r="AC59" i="52" s="1"/>
  <c r="AC97" i="52"/>
  <c r="AC116" i="52" s="1"/>
  <c r="S135" i="52"/>
  <c r="U381" i="52"/>
  <c r="I249" i="29"/>
  <c r="Q19" i="46"/>
  <c r="Y19" i="46"/>
  <c r="I381" i="47"/>
  <c r="I400" i="47" s="1"/>
  <c r="H381" i="47"/>
  <c r="H400" i="47" s="1"/>
  <c r="Q153" i="47"/>
  <c r="Q172" i="47" s="1"/>
  <c r="T21" i="47"/>
  <c r="T153" i="47"/>
  <c r="T172" i="47" s="1"/>
  <c r="J381" i="47"/>
  <c r="J400" i="47" s="1"/>
  <c r="Z153" i="47"/>
  <c r="Z172" i="47" s="1"/>
  <c r="Z381" i="47" s="1"/>
  <c r="K381" i="47"/>
  <c r="K400" i="47" s="1"/>
  <c r="U362" i="47"/>
  <c r="U286" i="47"/>
  <c r="U248" i="47"/>
  <c r="U324" i="47"/>
  <c r="AB153" i="47"/>
  <c r="AB172" i="47" s="1"/>
  <c r="AA153" i="47"/>
  <c r="AN324" i="47"/>
  <c r="AN362" i="47"/>
  <c r="AN286" i="47"/>
  <c r="AN248" i="47"/>
  <c r="AC153" i="47"/>
  <c r="AC172" i="47" s="1"/>
  <c r="S153" i="47"/>
  <c r="S172" i="47" s="1"/>
  <c r="R21" i="47"/>
  <c r="R153" i="47"/>
  <c r="R172" i="47" s="1"/>
  <c r="AL21" i="47"/>
  <c r="R210" i="47"/>
  <c r="I97" i="47"/>
  <c r="I116" i="47" s="1"/>
  <c r="J97" i="47"/>
  <c r="J116" i="47" s="1"/>
  <c r="H40" i="47"/>
  <c r="I40" i="47"/>
  <c r="I59" i="47" s="1"/>
  <c r="K40" i="47"/>
  <c r="K59" i="47" s="1"/>
  <c r="J40" i="47"/>
  <c r="J59" i="47" s="1"/>
  <c r="AK21" i="47"/>
  <c r="T210" i="47"/>
  <c r="AA21" i="47"/>
  <c r="W96" i="27" s="1"/>
  <c r="W172" i="27" s="1"/>
  <c r="AA210" i="47"/>
  <c r="L210" i="47"/>
  <c r="Q210" i="47"/>
  <c r="Q21" i="47"/>
  <c r="AM210" i="47"/>
  <c r="AM21" i="47"/>
  <c r="Z210" i="47"/>
  <c r="Z21" i="47"/>
  <c r="V96" i="27" s="1"/>
  <c r="V172" i="27" s="1"/>
  <c r="S210" i="47"/>
  <c r="S21" i="47"/>
  <c r="K97" i="47"/>
  <c r="K116" i="47" s="1"/>
  <c r="AJ210" i="47"/>
  <c r="AJ21" i="47"/>
  <c r="H97" i="47"/>
  <c r="H116" i="47" s="1"/>
  <c r="AC210" i="47"/>
  <c r="AC21" i="47"/>
  <c r="Y96" i="27" s="1"/>
  <c r="Y172" i="27" s="1"/>
  <c r="AB210" i="47"/>
  <c r="AB21" i="47"/>
  <c r="X96" i="27" s="1"/>
  <c r="X172" i="27" s="1"/>
  <c r="K22" i="25"/>
  <c r="K60" i="25" s="1"/>
  <c r="K79" i="25" s="1"/>
  <c r="T134" i="25"/>
  <c r="T229" i="25"/>
  <c r="AC250" i="25"/>
  <c r="X58" i="45"/>
  <c r="K230" i="25"/>
  <c r="K249" i="25" s="1"/>
  <c r="J22" i="25"/>
  <c r="J230" i="25"/>
  <c r="J249" i="25" s="1"/>
  <c r="AB250" i="25"/>
  <c r="Z250" i="25"/>
  <c r="AD231" i="25"/>
  <c r="H230" i="25"/>
  <c r="H135" i="25"/>
  <c r="H22" i="25"/>
  <c r="S21" i="25"/>
  <c r="S134" i="25"/>
  <c r="S229" i="25"/>
  <c r="R134" i="25"/>
  <c r="R229" i="25"/>
  <c r="R21" i="25"/>
  <c r="I135" i="25"/>
  <c r="I230" i="25"/>
  <c r="I22" i="25"/>
  <c r="Q21" i="25"/>
  <c r="Q134" i="25"/>
  <c r="Q229" i="25"/>
  <c r="K135" i="29"/>
  <c r="K230" i="29"/>
  <c r="K22" i="29"/>
  <c r="K60" i="29" s="1"/>
  <c r="K79" i="29" s="1"/>
  <c r="H135" i="29"/>
  <c r="H230" i="29"/>
  <c r="H22" i="29"/>
  <c r="H60" i="29" s="1"/>
  <c r="H79" i="29" s="1"/>
  <c r="J135" i="29"/>
  <c r="J230" i="29"/>
  <c r="J22" i="29"/>
  <c r="J60" i="29" s="1"/>
  <c r="J79" i="29" s="1"/>
  <c r="J98" i="29" s="1"/>
  <c r="I98" i="29"/>
  <c r="J135" i="39"/>
  <c r="J230" i="39"/>
  <c r="J60" i="39"/>
  <c r="J79" i="39" s="1"/>
  <c r="I135" i="39"/>
  <c r="I230" i="39"/>
  <c r="I60" i="39"/>
  <c r="I79" i="39" s="1"/>
  <c r="K135" i="39"/>
  <c r="K230" i="39"/>
  <c r="K60" i="39"/>
  <c r="K79" i="39" s="1"/>
  <c r="H135" i="39"/>
  <c r="H230" i="39"/>
  <c r="H60" i="39"/>
  <c r="H79" i="39" s="1"/>
  <c r="H98" i="39" s="1"/>
  <c r="Z39" i="46" l="1"/>
  <c r="V39" i="46"/>
  <c r="R39" i="46"/>
  <c r="AC97" i="55"/>
  <c r="AC116" i="55" s="1"/>
  <c r="AC249" i="55" s="1"/>
  <c r="I42" i="46"/>
  <c r="U42" i="46" s="1"/>
  <c r="J41" i="56"/>
  <c r="N41" i="56" s="1"/>
  <c r="E69" i="56" s="1"/>
  <c r="J18" i="56"/>
  <c r="F91" i="56" s="1"/>
  <c r="L91" i="56" s="1"/>
  <c r="AA97" i="55"/>
  <c r="AA22" i="55" s="1"/>
  <c r="W40" i="27" s="1"/>
  <c r="J18" i="48"/>
  <c r="AH169" i="27"/>
  <c r="J18" i="46" s="1"/>
  <c r="V18" i="46" s="1"/>
  <c r="AL75" i="55"/>
  <c r="AL189" i="55"/>
  <c r="AK75" i="55"/>
  <c r="AK189" i="55"/>
  <c r="AM75" i="55"/>
  <c r="AM189" i="55"/>
  <c r="J41" i="48"/>
  <c r="N41" i="48" s="1"/>
  <c r="Z267" i="55"/>
  <c r="AD248" i="55"/>
  <c r="Z97" i="55"/>
  <c r="Z116" i="55" s="1"/>
  <c r="AB97" i="55"/>
  <c r="AB116" i="55" s="1"/>
  <c r="AB135" i="53"/>
  <c r="AB22" i="53" s="1"/>
  <c r="S135" i="53"/>
  <c r="I135" i="53"/>
  <c r="I22" i="53" s="1"/>
  <c r="AC211" i="53"/>
  <c r="AC154" i="53"/>
  <c r="AC22" i="53"/>
  <c r="S211" i="53"/>
  <c r="S154" i="53"/>
  <c r="S22" i="53"/>
  <c r="AB98" i="53"/>
  <c r="AB117" i="53" s="1"/>
  <c r="AB41" i="53"/>
  <c r="AB60" i="53" s="1"/>
  <c r="I98" i="53"/>
  <c r="I117" i="53" s="1"/>
  <c r="AB211" i="53"/>
  <c r="AB154" i="53"/>
  <c r="I211" i="53"/>
  <c r="I154" i="53"/>
  <c r="U344" i="53"/>
  <c r="U306" i="53"/>
  <c r="U230" i="53"/>
  <c r="U268" i="53"/>
  <c r="L344" i="53"/>
  <c r="L230" i="53"/>
  <c r="L306" i="53"/>
  <c r="L268" i="53"/>
  <c r="AN344" i="53"/>
  <c r="AN306" i="53"/>
  <c r="AN268" i="53"/>
  <c r="AN230" i="53"/>
  <c r="U363" i="53"/>
  <c r="U287" i="53"/>
  <c r="U249" i="53"/>
  <c r="U325" i="53"/>
  <c r="H400" i="53"/>
  <c r="L381" i="53"/>
  <c r="H59" i="53"/>
  <c r="H135" i="53"/>
  <c r="J135" i="53"/>
  <c r="Z400" i="53"/>
  <c r="AD400" i="53" s="1"/>
  <c r="AD381" i="53"/>
  <c r="AN363" i="53"/>
  <c r="AN325" i="53"/>
  <c r="AN287" i="53"/>
  <c r="AN249" i="53"/>
  <c r="AJ173" i="53"/>
  <c r="AJ154" i="53"/>
  <c r="AJ135" i="53"/>
  <c r="AD306" i="53"/>
  <c r="AD344" i="53"/>
  <c r="AD268" i="53"/>
  <c r="AD230" i="53"/>
  <c r="U381" i="53"/>
  <c r="Q400" i="53"/>
  <c r="U400" i="53" s="1"/>
  <c r="AA135" i="53"/>
  <c r="Q135" i="53"/>
  <c r="T135" i="53"/>
  <c r="K135" i="53"/>
  <c r="Z59" i="53"/>
  <c r="R135" i="53"/>
  <c r="AM173" i="53"/>
  <c r="AM154" i="53"/>
  <c r="AM135" i="53"/>
  <c r="AL173" i="53"/>
  <c r="AL154" i="53"/>
  <c r="AL135" i="53"/>
  <c r="Z135" i="53"/>
  <c r="AK173" i="53"/>
  <c r="AK154" i="53"/>
  <c r="AK382" i="53" s="1"/>
  <c r="AK135" i="53"/>
  <c r="AN381" i="53"/>
  <c r="AJ400" i="53"/>
  <c r="AN400" i="53" s="1"/>
  <c r="Q22" i="52"/>
  <c r="Q98" i="52" s="1"/>
  <c r="Q117" i="52" s="1"/>
  <c r="AC135" i="52"/>
  <c r="AC22" i="52" s="1"/>
  <c r="AC98" i="52" s="1"/>
  <c r="AC117" i="52" s="1"/>
  <c r="T98" i="52"/>
  <c r="T117" i="52" s="1"/>
  <c r="R22" i="52"/>
  <c r="R41" i="52" s="1"/>
  <c r="R60" i="52" s="1"/>
  <c r="Q211" i="52"/>
  <c r="T154" i="52"/>
  <c r="T173" i="52" s="1"/>
  <c r="R173" i="52"/>
  <c r="R382" i="52" s="1"/>
  <c r="R211" i="52"/>
  <c r="T211" i="52"/>
  <c r="AN249" i="52"/>
  <c r="AN287" i="52"/>
  <c r="AN363" i="52"/>
  <c r="AN325" i="52"/>
  <c r="AN230" i="52"/>
  <c r="AN268" i="52"/>
  <c r="AN306" i="52"/>
  <c r="AN344" i="52"/>
  <c r="AM135" i="52"/>
  <c r="S154" i="52"/>
  <c r="S211" i="52"/>
  <c r="S22" i="52"/>
  <c r="AD306" i="52"/>
  <c r="AD344" i="52"/>
  <c r="AB135" i="52"/>
  <c r="Z135" i="52"/>
  <c r="Q382" i="52"/>
  <c r="AD230" i="52"/>
  <c r="AK154" i="52"/>
  <c r="AK173" i="52"/>
  <c r="AK135" i="52"/>
  <c r="AD400" i="52"/>
  <c r="AL154" i="52"/>
  <c r="AL173" i="52"/>
  <c r="AL135" i="52"/>
  <c r="AA135" i="52"/>
  <c r="AD268" i="52"/>
  <c r="AB59" i="52"/>
  <c r="AJ154" i="52"/>
  <c r="AJ173" i="52"/>
  <c r="AJ135" i="52"/>
  <c r="AN400" i="52"/>
  <c r="AD381" i="52"/>
  <c r="Z172" i="27"/>
  <c r="I21" i="46" s="1"/>
  <c r="U21" i="46" s="1"/>
  <c r="Q40" i="47"/>
  <c r="Q59" i="47" s="1"/>
  <c r="AL97" i="47"/>
  <c r="AL116" i="47" s="1"/>
  <c r="R40" i="47"/>
  <c r="R59" i="47" s="1"/>
  <c r="T97" i="47"/>
  <c r="T116" i="47" s="1"/>
  <c r="J249" i="29"/>
  <c r="J249" i="39"/>
  <c r="I249" i="39"/>
  <c r="K249" i="39"/>
  <c r="K249" i="29"/>
  <c r="L135" i="39"/>
  <c r="T248" i="25"/>
  <c r="T40" i="47"/>
  <c r="T59" i="47" s="1"/>
  <c r="T381" i="47"/>
  <c r="T400" i="47" s="1"/>
  <c r="R381" i="47"/>
  <c r="R400" i="47" s="1"/>
  <c r="R97" i="47"/>
  <c r="R116" i="47" s="1"/>
  <c r="S381" i="47"/>
  <c r="S400" i="47" s="1"/>
  <c r="AM381" i="47"/>
  <c r="AM400" i="47" s="1"/>
  <c r="Q381" i="47"/>
  <c r="Q400" i="47" s="1"/>
  <c r="AB381" i="47"/>
  <c r="AB400" i="47" s="1"/>
  <c r="AC381" i="47"/>
  <c r="AC400" i="47" s="1"/>
  <c r="AJ381" i="47"/>
  <c r="AK381" i="47"/>
  <c r="AK400" i="47" s="1"/>
  <c r="H59" i="47"/>
  <c r="L306" i="47"/>
  <c r="L268" i="47"/>
  <c r="L344" i="47"/>
  <c r="L230" i="47"/>
  <c r="L381" i="47"/>
  <c r="AL381" i="47"/>
  <c r="AL400" i="47" s="1"/>
  <c r="AA172" i="47"/>
  <c r="AA381" i="47" s="1"/>
  <c r="AM40" i="47"/>
  <c r="AM59" i="47" s="1"/>
  <c r="AJ40" i="47"/>
  <c r="AK97" i="47"/>
  <c r="AK116" i="47" s="1"/>
  <c r="AK40" i="47"/>
  <c r="AK59" i="47" s="1"/>
  <c r="AL40" i="47"/>
  <c r="AL59" i="47" s="1"/>
  <c r="H135" i="47"/>
  <c r="K135" i="47"/>
  <c r="K154" i="47" s="1"/>
  <c r="K173" i="47" s="1"/>
  <c r="J135" i="47"/>
  <c r="J211" i="47" s="1"/>
  <c r="I135" i="47"/>
  <c r="S40" i="47"/>
  <c r="S59" i="47" s="1"/>
  <c r="Z40" i="47"/>
  <c r="AA97" i="47"/>
  <c r="AA116" i="47" s="1"/>
  <c r="AA40" i="47"/>
  <c r="AA59" i="47" s="1"/>
  <c r="AC40" i="47"/>
  <c r="AC59" i="47" s="1"/>
  <c r="AB40" i="47"/>
  <c r="AB59" i="47" s="1"/>
  <c r="AN210" i="47"/>
  <c r="L400" i="47"/>
  <c r="AJ97" i="47"/>
  <c r="AJ116" i="47" s="1"/>
  <c r="AM97" i="47"/>
  <c r="AM116" i="47" s="1"/>
  <c r="Z97" i="47"/>
  <c r="Z116" i="47" s="1"/>
  <c r="Q97" i="47"/>
  <c r="Q116" i="47" s="1"/>
  <c r="AC97" i="47"/>
  <c r="AC116" i="47" s="1"/>
  <c r="AB97" i="47"/>
  <c r="AB116" i="47" s="1"/>
  <c r="S97" i="47"/>
  <c r="S116" i="47" s="1"/>
  <c r="AD210" i="47"/>
  <c r="U210" i="47"/>
  <c r="Z400" i="47"/>
  <c r="R248" i="25"/>
  <c r="U134" i="25"/>
  <c r="J60" i="25"/>
  <c r="J79" i="25" s="1"/>
  <c r="L135" i="25"/>
  <c r="Q248" i="25"/>
  <c r="U229" i="25"/>
  <c r="AD250" i="25"/>
  <c r="I249" i="25"/>
  <c r="S248" i="25"/>
  <c r="S59" i="25"/>
  <c r="S78" i="25" s="1"/>
  <c r="Q59" i="25"/>
  <c r="Q78" i="25" s="1"/>
  <c r="H60" i="25"/>
  <c r="H79" i="25" s="1"/>
  <c r="R59" i="25"/>
  <c r="R78" i="25" s="1"/>
  <c r="I60" i="25"/>
  <c r="I79" i="25" s="1"/>
  <c r="H249" i="25"/>
  <c r="L230" i="25"/>
  <c r="I136" i="29"/>
  <c r="I231" i="29"/>
  <c r="J136" i="29"/>
  <c r="J231" i="29"/>
  <c r="H98" i="29"/>
  <c r="H249" i="29"/>
  <c r="L230" i="29"/>
  <c r="L135" i="29"/>
  <c r="K98" i="29"/>
  <c r="H136" i="39"/>
  <c r="H231" i="39"/>
  <c r="H249" i="39"/>
  <c r="L230" i="39"/>
  <c r="K98" i="39"/>
  <c r="I98" i="39"/>
  <c r="J98" i="39"/>
  <c r="AC22" i="55" l="1"/>
  <c r="Y40" i="27" s="1"/>
  <c r="AC154" i="55"/>
  <c r="I40" i="56"/>
  <c r="E93" i="56" s="1"/>
  <c r="K93" i="56" s="1"/>
  <c r="E41" i="46"/>
  <c r="AA116" i="55"/>
  <c r="AA249" i="55" s="1"/>
  <c r="L40" i="56"/>
  <c r="M40" i="56" s="1"/>
  <c r="N18" i="56"/>
  <c r="F66" i="56" s="1"/>
  <c r="L18" i="56"/>
  <c r="M18" i="56" s="1"/>
  <c r="Z18" i="46"/>
  <c r="R18" i="46"/>
  <c r="AN189" i="55"/>
  <c r="AJ94" i="55"/>
  <c r="AJ113" i="55" s="1"/>
  <c r="AJ151" i="55" s="1"/>
  <c r="AL94" i="55"/>
  <c r="AL113" i="55" s="1"/>
  <c r="AL151" i="55" s="1"/>
  <c r="AA60" i="55"/>
  <c r="AA79" i="55" s="1"/>
  <c r="AB154" i="55"/>
  <c r="AB249" i="55"/>
  <c r="Z154" i="55"/>
  <c r="Z249" i="55"/>
  <c r="AM94" i="55"/>
  <c r="AK94" i="55"/>
  <c r="AD267" i="55"/>
  <c r="E20" i="46" s="1"/>
  <c r="I40" i="48"/>
  <c r="L40" i="48" s="1"/>
  <c r="M40" i="48" s="1"/>
  <c r="AB22" i="55"/>
  <c r="X40" i="27" s="1"/>
  <c r="Z22" i="55"/>
  <c r="V40" i="27" s="1"/>
  <c r="AC60" i="55"/>
  <c r="AC79" i="55" s="1"/>
  <c r="AC268" i="55"/>
  <c r="I41" i="53"/>
  <c r="I60" i="53" s="1"/>
  <c r="L400" i="53"/>
  <c r="K211" i="53"/>
  <c r="K154" i="53"/>
  <c r="K173" i="53"/>
  <c r="K22" i="53"/>
  <c r="S98" i="53"/>
  <c r="S117" i="53" s="1"/>
  <c r="S41" i="53"/>
  <c r="S60" i="53" s="1"/>
  <c r="AK211" i="53"/>
  <c r="AK401" i="53" s="1"/>
  <c r="AK22" i="53"/>
  <c r="I173" i="53"/>
  <c r="T211" i="53"/>
  <c r="T154" i="53"/>
  <c r="T22" i="53"/>
  <c r="AL211" i="53"/>
  <c r="AL22" i="53"/>
  <c r="S173" i="53"/>
  <c r="S382" i="53" s="1"/>
  <c r="S401" i="53" s="1"/>
  <c r="Z211" i="53"/>
  <c r="AD211" i="53" s="1"/>
  <c r="Z154" i="53"/>
  <c r="Z173" i="53" s="1"/>
  <c r="Z22" i="53"/>
  <c r="J211" i="53"/>
  <c r="J154" i="53"/>
  <c r="J22" i="53"/>
  <c r="AA211" i="53"/>
  <c r="AA154" i="53"/>
  <c r="AA22" i="53"/>
  <c r="AL382" i="53"/>
  <c r="AM382" i="53"/>
  <c r="AM401" i="53" s="1"/>
  <c r="H154" i="53"/>
  <c r="H211" i="53"/>
  <c r="H22" i="53"/>
  <c r="AB173" i="53"/>
  <c r="AC98" i="53"/>
  <c r="AC117" i="53" s="1"/>
  <c r="AC41" i="53"/>
  <c r="AC60" i="53" s="1"/>
  <c r="L363" i="53"/>
  <c r="L287" i="53"/>
  <c r="L325" i="53"/>
  <c r="L249" i="53"/>
  <c r="AM211" i="53"/>
  <c r="AM22" i="53"/>
  <c r="R211" i="53"/>
  <c r="R154" i="53"/>
  <c r="R22" i="53"/>
  <c r="AJ211" i="53"/>
  <c r="AJ22" i="53"/>
  <c r="AC173" i="53"/>
  <c r="Q211" i="53"/>
  <c r="Q154" i="53"/>
  <c r="Q173" i="53" s="1"/>
  <c r="Q22" i="53"/>
  <c r="AD363" i="53"/>
  <c r="AD325" i="53"/>
  <c r="AD287" i="53"/>
  <c r="AD249" i="53"/>
  <c r="AJ382" i="53"/>
  <c r="AC41" i="52"/>
  <c r="AC60" i="52" s="1"/>
  <c r="Q41" i="52"/>
  <c r="Q60" i="52" s="1"/>
  <c r="AC154" i="52"/>
  <c r="AC173" i="52" s="1"/>
  <c r="AC211" i="52"/>
  <c r="R98" i="52"/>
  <c r="R117" i="52" s="1"/>
  <c r="R401" i="52"/>
  <c r="T382" i="52"/>
  <c r="T401" i="52" s="1"/>
  <c r="U211" i="52"/>
  <c r="K154" i="52"/>
  <c r="K173" i="52" s="1"/>
  <c r="K22" i="52"/>
  <c r="K136" i="52" s="1"/>
  <c r="AM22" i="52"/>
  <c r="AM382" i="52"/>
  <c r="AL211" i="52"/>
  <c r="AL22" i="52"/>
  <c r="AJ211" i="52"/>
  <c r="AJ22" i="52"/>
  <c r="AB154" i="52"/>
  <c r="AB211" i="52"/>
  <c r="AB22" i="52"/>
  <c r="Z154" i="52"/>
  <c r="Z173" i="52" s="1"/>
  <c r="Z211" i="52"/>
  <c r="Z22" i="52"/>
  <c r="Q401" i="52"/>
  <c r="S41" i="52"/>
  <c r="S98" i="52"/>
  <c r="S117" i="52" s="1"/>
  <c r="AK211" i="52"/>
  <c r="AK22" i="52"/>
  <c r="AJ382" i="52"/>
  <c r="S173" i="52"/>
  <c r="S382" i="52" s="1"/>
  <c r="AL382" i="52"/>
  <c r="AK382" i="52"/>
  <c r="AD249" i="52"/>
  <c r="AD325" i="52"/>
  <c r="AD363" i="52"/>
  <c r="AD287" i="52"/>
  <c r="AA154" i="52"/>
  <c r="AA211" i="52"/>
  <c r="AA22" i="52"/>
  <c r="I250" i="29"/>
  <c r="L249" i="39"/>
  <c r="J250" i="29"/>
  <c r="L249" i="29"/>
  <c r="AN381" i="47"/>
  <c r="U381" i="47"/>
  <c r="AJ400" i="47"/>
  <c r="U306" i="47"/>
  <c r="U230" i="47"/>
  <c r="AD381" i="47"/>
  <c r="AA400" i="47"/>
  <c r="AD400" i="47" s="1"/>
  <c r="I211" i="47"/>
  <c r="I154" i="47"/>
  <c r="I173" i="47" s="1"/>
  <c r="Z59" i="47"/>
  <c r="AD306" i="47"/>
  <c r="AD230" i="47"/>
  <c r="AD344" i="47"/>
  <c r="AD268" i="47"/>
  <c r="AJ59" i="47"/>
  <c r="AN344" i="47"/>
  <c r="AN306" i="47"/>
  <c r="AN230" i="47"/>
  <c r="AN268" i="47"/>
  <c r="J154" i="47"/>
  <c r="J173" i="47" s="1"/>
  <c r="L249" i="47"/>
  <c r="L363" i="47"/>
  <c r="L325" i="47"/>
  <c r="L287" i="47"/>
  <c r="U344" i="47"/>
  <c r="U363" i="47"/>
  <c r="U287" i="47"/>
  <c r="U249" i="47"/>
  <c r="U325" i="47"/>
  <c r="H154" i="47"/>
  <c r="H173" i="47" s="1"/>
  <c r="U268" i="47"/>
  <c r="AM154" i="47"/>
  <c r="AM173" i="47"/>
  <c r="AK154" i="47"/>
  <c r="AK173" i="47"/>
  <c r="AL173" i="47"/>
  <c r="AK135" i="47"/>
  <c r="AK22" i="47" s="1"/>
  <c r="AJ154" i="47"/>
  <c r="AJ173" i="47"/>
  <c r="AL154" i="47"/>
  <c r="AA135" i="47"/>
  <c r="H22" i="47"/>
  <c r="H211" i="47"/>
  <c r="K22" i="47"/>
  <c r="K211" i="47"/>
  <c r="S135" i="47"/>
  <c r="U400" i="47"/>
  <c r="AM135" i="47"/>
  <c r="AM22" i="47" s="1"/>
  <c r="R135" i="47"/>
  <c r="I22" i="47"/>
  <c r="AB135" i="47"/>
  <c r="AL135" i="47"/>
  <c r="AC135" i="47"/>
  <c r="Z135" i="47"/>
  <c r="AJ135" i="47"/>
  <c r="Q135" i="47"/>
  <c r="T135" i="47"/>
  <c r="J22" i="47"/>
  <c r="T21" i="45"/>
  <c r="T59" i="45" s="1"/>
  <c r="L249" i="25"/>
  <c r="U21" i="45"/>
  <c r="U59" i="45" s="1"/>
  <c r="W21" i="45"/>
  <c r="W59" i="45" s="1"/>
  <c r="V21" i="45"/>
  <c r="V59" i="45" s="1"/>
  <c r="J98" i="25"/>
  <c r="J231" i="25" s="1"/>
  <c r="U248" i="25"/>
  <c r="I98" i="25"/>
  <c r="I231" i="25" s="1"/>
  <c r="R97" i="25"/>
  <c r="R22" i="25" s="1"/>
  <c r="R60" i="25" s="1"/>
  <c r="R79" i="25" s="1"/>
  <c r="Q97" i="25"/>
  <c r="T97" i="25"/>
  <c r="K98" i="25"/>
  <c r="H98" i="25"/>
  <c r="H136" i="25" s="1"/>
  <c r="S97" i="25"/>
  <c r="K136" i="29"/>
  <c r="K231" i="29"/>
  <c r="H136" i="29"/>
  <c r="H231" i="29"/>
  <c r="J136" i="39"/>
  <c r="J231" i="39"/>
  <c r="I136" i="39"/>
  <c r="I231" i="39"/>
  <c r="K136" i="39"/>
  <c r="K231" i="39"/>
  <c r="H250" i="39"/>
  <c r="AA154" i="55" l="1"/>
  <c r="AA268" i="55" s="1"/>
  <c r="Q41" i="46"/>
  <c r="Y41" i="46"/>
  <c r="AJ19" i="55"/>
  <c r="AL19" i="55"/>
  <c r="AF37" i="27" s="1"/>
  <c r="AF94" i="27" s="1"/>
  <c r="AF170" i="27" s="1"/>
  <c r="AK113" i="55"/>
  <c r="AK151" i="55" s="1"/>
  <c r="AK19" i="55"/>
  <c r="AD37" i="27"/>
  <c r="AD94" i="27" s="1"/>
  <c r="AD170" i="27" s="1"/>
  <c r="AJ57" i="55"/>
  <c r="AM113" i="55"/>
  <c r="AM151" i="55" s="1"/>
  <c r="AM19" i="55"/>
  <c r="AB60" i="55"/>
  <c r="AB79" i="55" s="1"/>
  <c r="AB268" i="55"/>
  <c r="Z60" i="55"/>
  <c r="Z79" i="55" s="1"/>
  <c r="AD154" i="55"/>
  <c r="AL401" i="53"/>
  <c r="I382" i="53"/>
  <c r="I401" i="53" s="1"/>
  <c r="AN211" i="53"/>
  <c r="AB382" i="53"/>
  <c r="AB401" i="53" s="1"/>
  <c r="U211" i="53"/>
  <c r="AC382" i="53"/>
  <c r="AC401" i="53" s="1"/>
  <c r="AK98" i="53"/>
  <c r="AK117" i="53" s="1"/>
  <c r="AK41" i="53"/>
  <c r="AK60" i="53"/>
  <c r="AA98" i="53"/>
  <c r="AA117" i="53" s="1"/>
  <c r="AA41" i="53"/>
  <c r="AA60" i="53" s="1"/>
  <c r="Z382" i="53"/>
  <c r="AJ401" i="53"/>
  <c r="AN401" i="53" s="1"/>
  <c r="AN382" i="53"/>
  <c r="T98" i="53"/>
  <c r="T117" i="53" s="1"/>
  <c r="T41" i="53"/>
  <c r="T60" i="53" s="1"/>
  <c r="R173" i="53"/>
  <c r="R382" i="53" s="1"/>
  <c r="R401" i="53" s="1"/>
  <c r="J98" i="53"/>
  <c r="J117" i="53" s="1"/>
  <c r="J41" i="53"/>
  <c r="J60" i="53" s="1"/>
  <c r="AA173" i="53"/>
  <c r="AA382" i="53" s="1"/>
  <c r="AA401" i="53" s="1"/>
  <c r="T173" i="53"/>
  <c r="T382" i="53" s="1"/>
  <c r="T401" i="53" s="1"/>
  <c r="R98" i="53"/>
  <c r="R117" i="53" s="1"/>
  <c r="R41" i="53"/>
  <c r="R60" i="53"/>
  <c r="L211" i="53"/>
  <c r="J173" i="53"/>
  <c r="J382" i="53" s="1"/>
  <c r="J401" i="53" s="1"/>
  <c r="K98" i="53"/>
  <c r="K117" i="53" s="1"/>
  <c r="K41" i="53"/>
  <c r="K60" i="53"/>
  <c r="AJ98" i="53"/>
  <c r="AJ117" i="53" s="1"/>
  <c r="AJ41" i="53"/>
  <c r="AJ60" i="53"/>
  <c r="AL98" i="53"/>
  <c r="AL117" i="53" s="1"/>
  <c r="AL41" i="53"/>
  <c r="AL60" i="53" s="1"/>
  <c r="H98" i="53"/>
  <c r="H117" i="53" s="1"/>
  <c r="H41" i="53"/>
  <c r="H60" i="53" s="1"/>
  <c r="Q98" i="53"/>
  <c r="Q117" i="53" s="1"/>
  <c r="Q41" i="53"/>
  <c r="Q60" i="53"/>
  <c r="AM98" i="53"/>
  <c r="AM117" i="53" s="1"/>
  <c r="AM41" i="53"/>
  <c r="AM60" i="53" s="1"/>
  <c r="Q382" i="53"/>
  <c r="H173" i="53"/>
  <c r="H382" i="53" s="1"/>
  <c r="Z98" i="53"/>
  <c r="Z117" i="53" s="1"/>
  <c r="Z41" i="53"/>
  <c r="Z60" i="53" s="1"/>
  <c r="K382" i="53"/>
  <c r="K401" i="53" s="1"/>
  <c r="U269" i="52"/>
  <c r="AL401" i="52"/>
  <c r="U345" i="52"/>
  <c r="AC382" i="52"/>
  <c r="AC401" i="52" s="1"/>
  <c r="S60" i="52"/>
  <c r="U364" i="52" s="1"/>
  <c r="U307" i="52"/>
  <c r="K98" i="52"/>
  <c r="K41" i="52"/>
  <c r="K60" i="52" s="1"/>
  <c r="S401" i="52"/>
  <c r="U401" i="52" s="1"/>
  <c r="U382" i="52"/>
  <c r="AM98" i="52"/>
  <c r="AM41" i="52"/>
  <c r="AM60" i="52" s="1"/>
  <c r="AN382" i="52"/>
  <c r="AJ401" i="52"/>
  <c r="AN211" i="52"/>
  <c r="AD211" i="52"/>
  <c r="AL41" i="52"/>
  <c r="AL60" i="52" s="1"/>
  <c r="AL98" i="52"/>
  <c r="AL117" i="52" s="1"/>
  <c r="S136" i="52"/>
  <c r="T136" i="52"/>
  <c r="Z382" i="52"/>
  <c r="AK41" i="52"/>
  <c r="AK60" i="52" s="1"/>
  <c r="AK98" i="52"/>
  <c r="AK117" i="52" s="1"/>
  <c r="AA173" i="52"/>
  <c r="AA382" i="52" s="1"/>
  <c r="AA401" i="52" s="1"/>
  <c r="AM401" i="52"/>
  <c r="AJ41" i="52"/>
  <c r="AJ60" i="52" s="1"/>
  <c r="AJ98" i="52"/>
  <c r="AJ117" i="52" s="1"/>
  <c r="R136" i="52"/>
  <c r="Z41" i="52"/>
  <c r="Z98" i="52"/>
  <c r="Z117" i="52" s="1"/>
  <c r="AK401" i="52"/>
  <c r="U231" i="52"/>
  <c r="AB41" i="52"/>
  <c r="AB60" i="52" s="1"/>
  <c r="AB98" i="52"/>
  <c r="AB117" i="52" s="1"/>
  <c r="Q136" i="52"/>
  <c r="AA41" i="52"/>
  <c r="AA60" i="52" s="1"/>
  <c r="AA98" i="52"/>
  <c r="AA117" i="52" s="1"/>
  <c r="AB173" i="52"/>
  <c r="AB382" i="52" s="1"/>
  <c r="AB401" i="52" s="1"/>
  <c r="AN400" i="47"/>
  <c r="K250" i="39"/>
  <c r="Q20" i="46"/>
  <c r="Y20" i="46"/>
  <c r="L136" i="29"/>
  <c r="K250" i="29"/>
  <c r="J250" i="39"/>
  <c r="L136" i="39"/>
  <c r="L231" i="39"/>
  <c r="I250" i="39"/>
  <c r="R230" i="25"/>
  <c r="K382" i="47"/>
  <c r="K401" i="47" s="1"/>
  <c r="I382" i="47"/>
  <c r="I401" i="47" s="1"/>
  <c r="J382" i="47"/>
  <c r="J401" i="47" s="1"/>
  <c r="H382" i="47"/>
  <c r="T154" i="47"/>
  <c r="T173" i="47" s="1"/>
  <c r="T382" i="47" s="1"/>
  <c r="AB211" i="47"/>
  <c r="AB154" i="47"/>
  <c r="AB173" i="47" s="1"/>
  <c r="R22" i="47"/>
  <c r="R154" i="47"/>
  <c r="AD363" i="47"/>
  <c r="AD287" i="47"/>
  <c r="AD249" i="47"/>
  <c r="AD325" i="47"/>
  <c r="AN325" i="47"/>
  <c r="AN287" i="47"/>
  <c r="AN363" i="47"/>
  <c r="AN249" i="47"/>
  <c r="Z154" i="47"/>
  <c r="Z173" i="47" s="1"/>
  <c r="S22" i="47"/>
  <c r="S154" i="47"/>
  <c r="Q154" i="47"/>
  <c r="AC154" i="47"/>
  <c r="AC173" i="47" s="1"/>
  <c r="AA22" i="47"/>
  <c r="AA154" i="47"/>
  <c r="AA173" i="47" s="1"/>
  <c r="AA211" i="47"/>
  <c r="AK98" i="47"/>
  <c r="AK117" i="47" s="1"/>
  <c r="AK41" i="47"/>
  <c r="AK60" i="47" s="1"/>
  <c r="AK211" i="47"/>
  <c r="AM98" i="47"/>
  <c r="AM117" i="47" s="1"/>
  <c r="AM41" i="47"/>
  <c r="AM60" i="47" s="1"/>
  <c r="K41" i="47"/>
  <c r="K60" i="47" s="1"/>
  <c r="H98" i="47"/>
  <c r="H117" i="47" s="1"/>
  <c r="K98" i="47"/>
  <c r="K117" i="47" s="1"/>
  <c r="H41" i="47"/>
  <c r="AM211" i="47"/>
  <c r="AB22" i="47"/>
  <c r="X97" i="27" s="1"/>
  <c r="X173" i="27" s="1"/>
  <c r="L211" i="47"/>
  <c r="I98" i="47"/>
  <c r="I117" i="47" s="1"/>
  <c r="I41" i="47"/>
  <c r="I60" i="47" s="1"/>
  <c r="S211" i="47"/>
  <c r="J98" i="47"/>
  <c r="J117" i="47" s="1"/>
  <c r="J41" i="47"/>
  <c r="J60" i="47" s="1"/>
  <c r="R211" i="47"/>
  <c r="Q211" i="47"/>
  <c r="Q22" i="47"/>
  <c r="Z211" i="47"/>
  <c r="Z22" i="47"/>
  <c r="V97" i="27" s="1"/>
  <c r="V173" i="27" s="1"/>
  <c r="AC211" i="47"/>
  <c r="AC22" i="47"/>
  <c r="Y97" i="27" s="1"/>
  <c r="Y173" i="27" s="1"/>
  <c r="T211" i="47"/>
  <c r="T22" i="47"/>
  <c r="AJ211" i="47"/>
  <c r="AJ22" i="47"/>
  <c r="AL211" i="47"/>
  <c r="AL22" i="47"/>
  <c r="I136" i="25"/>
  <c r="I250" i="25" s="1"/>
  <c r="J136" i="25"/>
  <c r="J250" i="25" s="1"/>
  <c r="X59" i="45"/>
  <c r="R135" i="25"/>
  <c r="H231" i="25"/>
  <c r="T135" i="25"/>
  <c r="T230" i="25"/>
  <c r="T22" i="25"/>
  <c r="Q135" i="25"/>
  <c r="Q230" i="25"/>
  <c r="Q22" i="25"/>
  <c r="K231" i="25"/>
  <c r="K136" i="25"/>
  <c r="S135" i="25"/>
  <c r="S230" i="25"/>
  <c r="S22" i="25"/>
  <c r="H250" i="29"/>
  <c r="L250" i="29" s="1"/>
  <c r="L231" i="29"/>
  <c r="AL57" i="55" l="1"/>
  <c r="AN151" i="55"/>
  <c r="AJ76" i="55"/>
  <c r="AJ190" i="55"/>
  <c r="AE37" i="27"/>
  <c r="AE94" i="27" s="1"/>
  <c r="AE170" i="27" s="1"/>
  <c r="AK57" i="55"/>
  <c r="I18" i="48"/>
  <c r="AN265" i="55"/>
  <c r="AG37" i="27"/>
  <c r="AG94" i="27" s="1"/>
  <c r="AG170" i="27" s="1"/>
  <c r="J40" i="46" s="1"/>
  <c r="AM57" i="55"/>
  <c r="AC98" i="55"/>
  <c r="AC117" i="55" s="1"/>
  <c r="AL76" i="55"/>
  <c r="AL190" i="55"/>
  <c r="AB98" i="55"/>
  <c r="AB117" i="55" s="1"/>
  <c r="AD249" i="55"/>
  <c r="Z268" i="55"/>
  <c r="Z98" i="55"/>
  <c r="Z117" i="55" s="1"/>
  <c r="AA98" i="55"/>
  <c r="AA117" i="55" s="1"/>
  <c r="AA136" i="53"/>
  <c r="J136" i="53"/>
  <c r="R136" i="53"/>
  <c r="R212" i="53" s="1"/>
  <c r="K136" i="53"/>
  <c r="K155" i="53" s="1"/>
  <c r="L364" i="53"/>
  <c r="L250" i="53"/>
  <c r="L288" i="53"/>
  <c r="L326" i="53"/>
  <c r="AD364" i="53"/>
  <c r="AD326" i="53"/>
  <c r="AD288" i="53"/>
  <c r="AD250" i="53"/>
  <c r="AD382" i="53"/>
  <c r="Z401" i="53"/>
  <c r="AD401" i="53" s="1"/>
  <c r="AL174" i="53"/>
  <c r="AL155" i="53"/>
  <c r="AL136" i="53"/>
  <c r="AL212" i="53" s="1"/>
  <c r="S136" i="53"/>
  <c r="AA212" i="53"/>
  <c r="AA155" i="53"/>
  <c r="J212" i="53"/>
  <c r="J155" i="53"/>
  <c r="J174" i="53" s="1"/>
  <c r="H401" i="53"/>
  <c r="L382" i="53"/>
  <c r="Q136" i="53"/>
  <c r="AN364" i="53"/>
  <c r="AN326" i="53"/>
  <c r="AN288" i="53"/>
  <c r="AN250" i="53"/>
  <c r="U345" i="53"/>
  <c r="U231" i="53"/>
  <c r="U307" i="53"/>
  <c r="U269" i="53"/>
  <c r="K212" i="53"/>
  <c r="Z136" i="53"/>
  <c r="AB136" i="53"/>
  <c r="H136" i="53"/>
  <c r="I136" i="53"/>
  <c r="AN345" i="53"/>
  <c r="AN307" i="53"/>
  <c r="AN269" i="53"/>
  <c r="AN231" i="53"/>
  <c r="U364" i="53"/>
  <c r="U326" i="53"/>
  <c r="U288" i="53"/>
  <c r="U250" i="53"/>
  <c r="AD345" i="53"/>
  <c r="AD307" i="53"/>
  <c r="AD269" i="53"/>
  <c r="AD231" i="53"/>
  <c r="AC136" i="53"/>
  <c r="T136" i="53"/>
  <c r="AM174" i="53"/>
  <c r="AM155" i="53"/>
  <c r="AM136" i="53"/>
  <c r="AM212" i="53" s="1"/>
  <c r="AJ174" i="53"/>
  <c r="AJ155" i="53"/>
  <c r="AJ383" i="53" s="1"/>
  <c r="AJ136" i="53"/>
  <c r="AJ212" i="53" s="1"/>
  <c r="L345" i="53"/>
  <c r="L269" i="53"/>
  <c r="L307" i="53"/>
  <c r="L231" i="53"/>
  <c r="U382" i="53"/>
  <c r="Q401" i="53"/>
  <c r="U401" i="53" s="1"/>
  <c r="AK174" i="53"/>
  <c r="AK155" i="53"/>
  <c r="AK136" i="53"/>
  <c r="AK212" i="53" s="1"/>
  <c r="U250" i="52"/>
  <c r="U288" i="52"/>
  <c r="U326" i="52"/>
  <c r="AN401" i="52"/>
  <c r="AA136" i="52"/>
  <c r="AA155" i="52" s="1"/>
  <c r="K155" i="52"/>
  <c r="K174" i="52" s="1"/>
  <c r="AK155" i="52"/>
  <c r="AK174" i="52"/>
  <c r="AK136" i="52"/>
  <c r="AK212" i="52" s="1"/>
  <c r="R155" i="52"/>
  <c r="R174" i="52" s="1"/>
  <c r="R212" i="52"/>
  <c r="AD231" i="52"/>
  <c r="AD269" i="52"/>
  <c r="AD307" i="52"/>
  <c r="AD345" i="52"/>
  <c r="AN231" i="52"/>
  <c r="AN269" i="52"/>
  <c r="AN307" i="52"/>
  <c r="AN345" i="52"/>
  <c r="AD382" i="52"/>
  <c r="Z401" i="52"/>
  <c r="AD401" i="52" s="1"/>
  <c r="Q155" i="52"/>
  <c r="Q212" i="52"/>
  <c r="S155" i="52"/>
  <c r="S174" i="52" s="1"/>
  <c r="S212" i="52"/>
  <c r="AJ174" i="52"/>
  <c r="AJ155" i="52"/>
  <c r="AJ136" i="52"/>
  <c r="AJ212" i="52" s="1"/>
  <c r="AN250" i="52"/>
  <c r="AN288" i="52"/>
  <c r="AN326" i="52"/>
  <c r="AN364" i="52"/>
  <c r="AL155" i="52"/>
  <c r="AL174" i="52"/>
  <c r="AL136" i="52"/>
  <c r="AL212" i="52" s="1"/>
  <c r="AM136" i="52"/>
  <c r="T155" i="52"/>
  <c r="T174" i="52" s="1"/>
  <c r="T212" i="52"/>
  <c r="Z136" i="52"/>
  <c r="AC136" i="52"/>
  <c r="AB136" i="52"/>
  <c r="Z60" i="52"/>
  <c r="AA41" i="47"/>
  <c r="AA60" i="47" s="1"/>
  <c r="W97" i="27"/>
  <c r="S98" i="47"/>
  <c r="S117" i="47" s="1"/>
  <c r="R98" i="47"/>
  <c r="R117" i="47" s="1"/>
  <c r="L250" i="39"/>
  <c r="R249" i="25"/>
  <c r="L382" i="47"/>
  <c r="R41" i="47"/>
  <c r="R60" i="47" s="1"/>
  <c r="S41" i="47"/>
  <c r="S60" i="47" s="1"/>
  <c r="AJ382" i="47"/>
  <c r="AJ401" i="47" s="1"/>
  <c r="H401" i="47"/>
  <c r="AA382" i="47"/>
  <c r="AA401" i="47" s="1"/>
  <c r="AA98" i="47"/>
  <c r="AA117" i="47" s="1"/>
  <c r="AB382" i="47"/>
  <c r="AB401" i="47" s="1"/>
  <c r="AC382" i="47"/>
  <c r="AC401" i="47" s="1"/>
  <c r="Z382" i="47"/>
  <c r="Z401" i="47" s="1"/>
  <c r="R173" i="47"/>
  <c r="R382" i="47" s="1"/>
  <c r="R401" i="47" s="1"/>
  <c r="AM382" i="47"/>
  <c r="AM401" i="47" s="1"/>
  <c r="Q173" i="47"/>
  <c r="Q382" i="47" s="1"/>
  <c r="S173" i="47"/>
  <c r="S382" i="47" s="1"/>
  <c r="S401" i="47" s="1"/>
  <c r="AL382" i="47"/>
  <c r="AL401" i="47" s="1"/>
  <c r="H60" i="47"/>
  <c r="L307" i="47"/>
  <c r="L345" i="47"/>
  <c r="L269" i="47"/>
  <c r="L231" i="47"/>
  <c r="AK382" i="47"/>
  <c r="J136" i="47"/>
  <c r="I136" i="47"/>
  <c r="AL98" i="47"/>
  <c r="AL117" i="47" s="1"/>
  <c r="AL41" i="47"/>
  <c r="AL60" i="47" s="1"/>
  <c r="AJ98" i="47"/>
  <c r="AJ117" i="47" s="1"/>
  <c r="AJ41" i="47"/>
  <c r="K136" i="47"/>
  <c r="H136" i="47"/>
  <c r="T98" i="47"/>
  <c r="T117" i="47" s="1"/>
  <c r="T41" i="47"/>
  <c r="T60" i="47" s="1"/>
  <c r="Q98" i="47"/>
  <c r="Q117" i="47" s="1"/>
  <c r="Q41" i="47"/>
  <c r="AB98" i="47"/>
  <c r="AB117" i="47" s="1"/>
  <c r="AB41" i="47"/>
  <c r="AB60" i="47" s="1"/>
  <c r="Z98" i="47"/>
  <c r="Z117" i="47" s="1"/>
  <c r="Z41" i="47"/>
  <c r="AC98" i="47"/>
  <c r="AC117" i="47" s="1"/>
  <c r="AC41" i="47"/>
  <c r="AC60" i="47" s="1"/>
  <c r="T401" i="47"/>
  <c r="AN211" i="47"/>
  <c r="AD211" i="47"/>
  <c r="U211" i="47"/>
  <c r="S249" i="25"/>
  <c r="T249" i="25"/>
  <c r="U135" i="25"/>
  <c r="L136" i="25"/>
  <c r="U230" i="25"/>
  <c r="S60" i="25"/>
  <c r="S79" i="25" s="1"/>
  <c r="T60" i="25"/>
  <c r="T79" i="25" s="1"/>
  <c r="K250" i="25"/>
  <c r="Q60" i="25"/>
  <c r="Q79" i="25" s="1"/>
  <c r="H250" i="25"/>
  <c r="L231" i="25"/>
  <c r="Q249" i="25"/>
  <c r="R40" i="46" l="1"/>
  <c r="V40" i="46"/>
  <c r="Z40" i="46"/>
  <c r="I41" i="56"/>
  <c r="E94" i="56" s="1"/>
  <c r="K94" i="56" s="1"/>
  <c r="E42" i="46"/>
  <c r="L41" i="56"/>
  <c r="M41" i="56" s="1"/>
  <c r="J19" i="56"/>
  <c r="F92" i="56" s="1"/>
  <c r="L92" i="56" s="1"/>
  <c r="AH170" i="27"/>
  <c r="J19" i="46" s="1"/>
  <c r="V19" i="46" s="1"/>
  <c r="Z155" i="55"/>
  <c r="Z250" i="55"/>
  <c r="AK76" i="55"/>
  <c r="AK190" i="55"/>
  <c r="AB155" i="55"/>
  <c r="AB250" i="55"/>
  <c r="J19" i="48"/>
  <c r="AC155" i="55"/>
  <c r="AC250" i="55"/>
  <c r="AA155" i="55"/>
  <c r="AA250" i="55"/>
  <c r="AM76" i="55"/>
  <c r="AM190" i="55"/>
  <c r="AD268" i="55"/>
  <c r="E21" i="46" s="1"/>
  <c r="I41" i="48"/>
  <c r="L41" i="48" s="1"/>
  <c r="M41" i="48" s="1"/>
  <c r="R155" i="53"/>
  <c r="R174" i="53" s="1"/>
  <c r="L401" i="53"/>
  <c r="R383" i="53"/>
  <c r="R402" i="53" s="1"/>
  <c r="AA174" i="53"/>
  <c r="AA383" i="53" s="1"/>
  <c r="AA402" i="53" s="1"/>
  <c r="J383" i="53"/>
  <c r="J402" i="53" s="1"/>
  <c r="AC212" i="53"/>
  <c r="AC155" i="53"/>
  <c r="AM383" i="53"/>
  <c r="AM402" i="53" s="1"/>
  <c r="I212" i="53"/>
  <c r="I155" i="53"/>
  <c r="S212" i="53"/>
  <c r="S155" i="53"/>
  <c r="AJ402" i="53"/>
  <c r="H212" i="53"/>
  <c r="H155" i="53"/>
  <c r="H174" i="53" s="1"/>
  <c r="AK383" i="53"/>
  <c r="AK402" i="53" s="1"/>
  <c r="AB212" i="53"/>
  <c r="AB155" i="53"/>
  <c r="AB174" i="53" s="1"/>
  <c r="AL383" i="53"/>
  <c r="AL402" i="53" s="1"/>
  <c r="Z212" i="53"/>
  <c r="Z155" i="53"/>
  <c r="Q212" i="53"/>
  <c r="Q155" i="53"/>
  <c r="T212" i="53"/>
  <c r="T155" i="53"/>
  <c r="AN212" i="53"/>
  <c r="K174" i="53"/>
  <c r="K383" i="53" s="1"/>
  <c r="K402" i="53" s="1"/>
  <c r="AA212" i="52"/>
  <c r="U212" i="52"/>
  <c r="AN212" i="52"/>
  <c r="AC155" i="52"/>
  <c r="AC174" i="52" s="1"/>
  <c r="AC212" i="52"/>
  <c r="AD250" i="52"/>
  <c r="AD326" i="52"/>
  <c r="AD288" i="52"/>
  <c r="AD364" i="52"/>
  <c r="R383" i="52"/>
  <c r="R402" i="52" s="1"/>
  <c r="AA174" i="52"/>
  <c r="AJ383" i="52"/>
  <c r="AM383" i="52"/>
  <c r="AM402" i="52" s="1"/>
  <c r="T383" i="52"/>
  <c r="T402" i="52" s="1"/>
  <c r="AB155" i="52"/>
  <c r="AB212" i="52"/>
  <c r="Z155" i="52"/>
  <c r="Z174" i="52" s="1"/>
  <c r="Z212" i="52"/>
  <c r="S383" i="52"/>
  <c r="S402" i="52" s="1"/>
  <c r="AL383" i="52"/>
  <c r="AL402" i="52" s="1"/>
  <c r="Q174" i="52"/>
  <c r="Q383" i="52" s="1"/>
  <c r="AK383" i="52"/>
  <c r="AK402" i="52" s="1"/>
  <c r="W173" i="27"/>
  <c r="L401" i="47"/>
  <c r="AD382" i="47"/>
  <c r="AN382" i="47"/>
  <c r="U382" i="47"/>
  <c r="Q401" i="47"/>
  <c r="AK401" i="47"/>
  <c r="Q60" i="47"/>
  <c r="U307" i="47"/>
  <c r="U231" i="47"/>
  <c r="U269" i="47"/>
  <c r="U345" i="47"/>
  <c r="J212" i="47"/>
  <c r="J155" i="47"/>
  <c r="J174" i="47" s="1"/>
  <c r="AJ60" i="47"/>
  <c r="AN345" i="47"/>
  <c r="AN307" i="47"/>
  <c r="AN231" i="47"/>
  <c r="AN269" i="47"/>
  <c r="K212" i="47"/>
  <c r="K155" i="47"/>
  <c r="K174" i="47" s="1"/>
  <c r="Z60" i="47"/>
  <c r="AD307" i="47"/>
  <c r="AD231" i="47"/>
  <c r="AD269" i="47"/>
  <c r="AD345" i="47"/>
  <c r="H212" i="47"/>
  <c r="H155" i="47"/>
  <c r="H174" i="47" s="1"/>
  <c r="I212" i="47"/>
  <c r="I155" i="47"/>
  <c r="I174" i="47" s="1"/>
  <c r="L288" i="47"/>
  <c r="L250" i="47"/>
  <c r="L364" i="47"/>
  <c r="L326" i="47"/>
  <c r="AJ136" i="47"/>
  <c r="AJ212" i="47" s="1"/>
  <c r="AL136" i="47"/>
  <c r="AL212" i="47" s="1"/>
  <c r="AK174" i="47"/>
  <c r="R136" i="47"/>
  <c r="AM136" i="47"/>
  <c r="AM212" i="47" s="1"/>
  <c r="AM155" i="47"/>
  <c r="AJ155" i="47"/>
  <c r="AJ174" i="47"/>
  <c r="AK136" i="47"/>
  <c r="AK212" i="47" s="1"/>
  <c r="AK155" i="47"/>
  <c r="AM174" i="47"/>
  <c r="AL155" i="47"/>
  <c r="AL174" i="47"/>
  <c r="AB136" i="47"/>
  <c r="AC136" i="47"/>
  <c r="Z136" i="47"/>
  <c r="S136" i="47"/>
  <c r="T136" i="47"/>
  <c r="Q136" i="47"/>
  <c r="AA136" i="47"/>
  <c r="AD401" i="47"/>
  <c r="U249" i="25"/>
  <c r="L250" i="25"/>
  <c r="Q98" i="25"/>
  <c r="Q231" i="25" s="1"/>
  <c r="R98" i="25"/>
  <c r="T98" i="25"/>
  <c r="S98" i="25"/>
  <c r="Y42" i="46" l="1"/>
  <c r="Q42" i="46"/>
  <c r="J42" i="56"/>
  <c r="I43" i="46"/>
  <c r="U43" i="46" s="1"/>
  <c r="L19" i="56"/>
  <c r="M19" i="56" s="1"/>
  <c r="N19" i="56"/>
  <c r="F67" i="56" s="1"/>
  <c r="AB269" i="55"/>
  <c r="N42" i="56"/>
  <c r="E70" i="56" s="1"/>
  <c r="R19" i="46"/>
  <c r="Z19" i="46"/>
  <c r="AM95" i="55"/>
  <c r="AM114" i="55" s="1"/>
  <c r="AM152" i="55" s="1"/>
  <c r="AL95" i="55"/>
  <c r="AL114" i="55" s="1"/>
  <c r="AL152" i="55" s="1"/>
  <c r="AC269" i="55"/>
  <c r="AN190" i="55"/>
  <c r="AK95" i="55"/>
  <c r="AK20" i="55" s="1"/>
  <c r="AJ95" i="55"/>
  <c r="Z173" i="27"/>
  <c r="I22" i="46" s="1"/>
  <c r="U22" i="46" s="1"/>
  <c r="J42" i="48"/>
  <c r="N42" i="48" s="1"/>
  <c r="AA269" i="55"/>
  <c r="AD155" i="55"/>
  <c r="T174" i="53"/>
  <c r="T383" i="53" s="1"/>
  <c r="T402" i="53" s="1"/>
  <c r="AB383" i="53"/>
  <c r="AB402" i="53" s="1"/>
  <c r="I174" i="53"/>
  <c r="I383" i="53" s="1"/>
  <c r="I402" i="53" s="1"/>
  <c r="Q174" i="53"/>
  <c r="Q383" i="53" s="1"/>
  <c r="AN383" i="53"/>
  <c r="U212" i="53"/>
  <c r="Z174" i="53"/>
  <c r="Z383" i="53" s="1"/>
  <c r="H383" i="53"/>
  <c r="L212" i="53"/>
  <c r="AD212" i="53"/>
  <c r="AC174" i="53"/>
  <c r="AC383" i="53" s="1"/>
  <c r="AC402" i="53" s="1"/>
  <c r="AN402" i="53"/>
  <c r="S174" i="53"/>
  <c r="S383" i="53" s="1"/>
  <c r="S402" i="53" s="1"/>
  <c r="U401" i="47"/>
  <c r="AA383" i="52"/>
  <c r="AA402" i="52" s="1"/>
  <c r="U383" i="52"/>
  <c r="Q402" i="52"/>
  <c r="U402" i="52" s="1"/>
  <c r="AB174" i="52"/>
  <c r="AB383" i="52" s="1"/>
  <c r="AB402" i="52" s="1"/>
  <c r="AC383" i="52"/>
  <c r="AC402" i="52" s="1"/>
  <c r="AD212" i="52"/>
  <c r="AJ402" i="52"/>
  <c r="AN383" i="52"/>
  <c r="Z383" i="52"/>
  <c r="AN401" i="47"/>
  <c r="Q21" i="46"/>
  <c r="Y21" i="46"/>
  <c r="L212" i="47"/>
  <c r="J383" i="47"/>
  <c r="J402" i="47" s="1"/>
  <c r="I383" i="47"/>
  <c r="I402" i="47" s="1"/>
  <c r="Q212" i="47"/>
  <c r="Q155" i="47"/>
  <c r="Q174" i="47" s="1"/>
  <c r="T212" i="47"/>
  <c r="T155" i="47"/>
  <c r="T174" i="47" s="1"/>
  <c r="R212" i="47"/>
  <c r="R155" i="47"/>
  <c r="R174" i="47" s="1"/>
  <c r="S212" i="47"/>
  <c r="S155" i="47"/>
  <c r="S174" i="47" s="1"/>
  <c r="H383" i="47"/>
  <c r="H402" i="47" s="1"/>
  <c r="AD364" i="47"/>
  <c r="AD326" i="47"/>
  <c r="AD288" i="47"/>
  <c r="AD250" i="47"/>
  <c r="AN326" i="47"/>
  <c r="AN364" i="47"/>
  <c r="AN250" i="47"/>
  <c r="AN288" i="47"/>
  <c r="U364" i="47"/>
  <c r="U288" i="47"/>
  <c r="U250" i="47"/>
  <c r="U326" i="47"/>
  <c r="Z212" i="47"/>
  <c r="Z155" i="47"/>
  <c r="Z174" i="47" s="1"/>
  <c r="AA155" i="47"/>
  <c r="AC212" i="47"/>
  <c r="AC155" i="47"/>
  <c r="AC174" i="47" s="1"/>
  <c r="K383" i="47"/>
  <c r="K402" i="47" s="1"/>
  <c r="AB212" i="47"/>
  <c r="AB155" i="47"/>
  <c r="AB174" i="47" s="1"/>
  <c r="AA212" i="47"/>
  <c r="AN212" i="47"/>
  <c r="S231" i="25"/>
  <c r="S136" i="25"/>
  <c r="T136" i="25"/>
  <c r="T231" i="25"/>
  <c r="R136" i="25"/>
  <c r="R231" i="25"/>
  <c r="Q136" i="25"/>
  <c r="AL20" i="55" l="1"/>
  <c r="AK114" i="55"/>
  <c r="AK152" i="55" s="1"/>
  <c r="AM20" i="55"/>
  <c r="AJ114" i="55"/>
  <c r="AJ152" i="55" s="1"/>
  <c r="AJ20" i="55"/>
  <c r="AF38" i="27"/>
  <c r="AF95" i="27" s="1"/>
  <c r="AF171" i="27" s="1"/>
  <c r="AL58" i="55"/>
  <c r="AG38" i="27"/>
  <c r="AG95" i="27" s="1"/>
  <c r="AG171" i="27" s="1"/>
  <c r="AM58" i="55"/>
  <c r="AE38" i="27"/>
  <c r="AE95" i="27" s="1"/>
  <c r="AE171" i="27" s="1"/>
  <c r="AK58" i="55"/>
  <c r="AD250" i="55"/>
  <c r="Z269" i="55"/>
  <c r="Q402" i="53"/>
  <c r="U402" i="53" s="1"/>
  <c r="U383" i="53"/>
  <c r="AD383" i="53"/>
  <c r="Z402" i="53"/>
  <c r="AD402" i="53" s="1"/>
  <c r="L383" i="53"/>
  <c r="H402" i="53"/>
  <c r="AN402" i="52"/>
  <c r="Z402" i="52"/>
  <c r="AD402" i="52" s="1"/>
  <c r="AD383" i="52"/>
  <c r="AM383" i="47"/>
  <c r="AM402" i="47" s="1"/>
  <c r="AK383" i="47"/>
  <c r="AK402" i="47" s="1"/>
  <c r="U212" i="47"/>
  <c r="AJ383" i="47"/>
  <c r="AJ402" i="47" s="1"/>
  <c r="Q383" i="47"/>
  <c r="Q402" i="47" s="1"/>
  <c r="Z383" i="47"/>
  <c r="Z402" i="47" s="1"/>
  <c r="T383" i="47"/>
  <c r="T402" i="47" s="1"/>
  <c r="AA174" i="47"/>
  <c r="AA383" i="47" s="1"/>
  <c r="AA402" i="47" s="1"/>
  <c r="R383" i="47"/>
  <c r="R402" i="47" s="1"/>
  <c r="AC383" i="47"/>
  <c r="AC402" i="47" s="1"/>
  <c r="AL383" i="47"/>
  <c r="AL402" i="47" s="1"/>
  <c r="AB383" i="47"/>
  <c r="AB402" i="47" s="1"/>
  <c r="L383" i="47"/>
  <c r="S383" i="47"/>
  <c r="S402" i="47" s="1"/>
  <c r="L402" i="47"/>
  <c r="AD212" i="47"/>
  <c r="T250" i="25"/>
  <c r="U136" i="25"/>
  <c r="R250" i="25"/>
  <c r="U231" i="25"/>
  <c r="Q250" i="25"/>
  <c r="S250" i="25"/>
  <c r="I42" i="56" l="1"/>
  <c r="E95" i="56" s="1"/>
  <c r="K95" i="56" s="1"/>
  <c r="E43" i="46"/>
  <c r="L42" i="56"/>
  <c r="M42" i="56" s="1"/>
  <c r="AD38" i="27"/>
  <c r="AD95" i="27" s="1"/>
  <c r="AD171" i="27" s="1"/>
  <c r="AJ58" i="55"/>
  <c r="AM77" i="55"/>
  <c r="AM191" i="55"/>
  <c r="AL77" i="55"/>
  <c r="AL191" i="55"/>
  <c r="AN152" i="55"/>
  <c r="AK77" i="55"/>
  <c r="AK191" i="55"/>
  <c r="AD269" i="55"/>
  <c r="E22" i="46" s="1"/>
  <c r="I42" i="48"/>
  <c r="L42" i="48" s="1"/>
  <c r="M42" i="48" s="1"/>
  <c r="L402" i="53"/>
  <c r="AN402" i="47"/>
  <c r="U383" i="47"/>
  <c r="U402" i="47"/>
  <c r="AD402" i="47"/>
  <c r="AN383" i="47"/>
  <c r="AD383" i="47"/>
  <c r="U250" i="25"/>
  <c r="Y43" i="46" l="1"/>
  <c r="Q43" i="46"/>
  <c r="J20" i="56"/>
  <c r="F93" i="56" s="1"/>
  <c r="L93" i="56" s="1"/>
  <c r="J41" i="46"/>
  <c r="L20" i="56"/>
  <c r="M20" i="56" s="1"/>
  <c r="I19" i="48"/>
  <c r="AN266" i="55"/>
  <c r="AJ77" i="55"/>
  <c r="AJ96" i="55" s="1"/>
  <c r="AJ191" i="55"/>
  <c r="AN191" i="55" s="1"/>
  <c r="J20" i="48"/>
  <c r="AH171" i="27"/>
  <c r="J20" i="46" s="1"/>
  <c r="Q22" i="46"/>
  <c r="Y22" i="46"/>
  <c r="R41" i="46" l="1"/>
  <c r="Z41" i="46"/>
  <c r="V41" i="46"/>
  <c r="N20" i="56"/>
  <c r="F68" i="56" s="1"/>
  <c r="AM96" i="55"/>
  <c r="AM115" i="55" s="1"/>
  <c r="AM153" i="55" s="1"/>
  <c r="AK96" i="55"/>
  <c r="V20" i="46"/>
  <c r="R20" i="46"/>
  <c r="Z20" i="46"/>
  <c r="AJ115" i="55"/>
  <c r="AJ153" i="55" s="1"/>
  <c r="AJ21" i="55"/>
  <c r="AL96" i="55"/>
  <c r="H139" i="52"/>
  <c r="H158" i="52" s="1"/>
  <c r="H7" i="52"/>
  <c r="H196" i="52"/>
  <c r="L196" i="52" s="1"/>
  <c r="AM21" i="55" l="1"/>
  <c r="AL115" i="55"/>
  <c r="AL153" i="55" s="1"/>
  <c r="AL21" i="55"/>
  <c r="AD39" i="27"/>
  <c r="AD96" i="27" s="1"/>
  <c r="AD172" i="27" s="1"/>
  <c r="AJ59" i="55"/>
  <c r="AK115" i="55"/>
  <c r="AK153" i="55" s="1"/>
  <c r="AK21" i="55"/>
  <c r="AG39" i="27"/>
  <c r="AG96" i="27" s="1"/>
  <c r="AG172" i="27" s="1"/>
  <c r="AM59" i="55"/>
  <c r="H367" i="52"/>
  <c r="H386" i="52" s="1"/>
  <c r="H83" i="52"/>
  <c r="H102" i="52" s="1"/>
  <c r="H121" i="52" s="1"/>
  <c r="H26" i="52"/>
  <c r="H45" i="52" s="1"/>
  <c r="AE39" i="27" l="1"/>
  <c r="AE96" i="27" s="1"/>
  <c r="AE172" i="27" s="1"/>
  <c r="AK59" i="55"/>
  <c r="AF39" i="27"/>
  <c r="AF96" i="27" s="1"/>
  <c r="AF172" i="27" s="1"/>
  <c r="J42" i="46" s="1"/>
  <c r="AL59" i="55"/>
  <c r="AJ78" i="55"/>
  <c r="AJ192" i="55"/>
  <c r="I20" i="48"/>
  <c r="AN267" i="55"/>
  <c r="AM78" i="55"/>
  <c r="AM192" i="55"/>
  <c r="AN153" i="55"/>
  <c r="L367" i="52"/>
  <c r="H8" i="52"/>
  <c r="I121" i="52"/>
  <c r="J121" i="52"/>
  <c r="L386" i="52"/>
  <c r="L349" i="52"/>
  <c r="L273" i="52"/>
  <c r="L235" i="52"/>
  <c r="L311" i="52"/>
  <c r="L216" i="52"/>
  <c r="L254" i="52"/>
  <c r="L330" i="52"/>
  <c r="L292" i="52"/>
  <c r="Z42" i="46" l="1"/>
  <c r="V42" i="46"/>
  <c r="R42" i="46"/>
  <c r="AH172" i="27"/>
  <c r="J21" i="46" s="1"/>
  <c r="V21" i="46" s="1"/>
  <c r="J21" i="56"/>
  <c r="F94" i="56" s="1"/>
  <c r="L94" i="56" s="1"/>
  <c r="J21" i="48"/>
  <c r="AL78" i="55"/>
  <c r="AL192" i="55"/>
  <c r="AK78" i="55"/>
  <c r="AK97" i="55" s="1"/>
  <c r="AK192" i="55"/>
  <c r="AN192" i="55" s="1"/>
  <c r="AJ97" i="55"/>
  <c r="AM97" i="55"/>
  <c r="I197" i="52"/>
  <c r="I140" i="52"/>
  <c r="I159" i="52" s="1"/>
  <c r="I8" i="52"/>
  <c r="H197" i="52"/>
  <c r="H140" i="52"/>
  <c r="H159" i="52" s="1"/>
  <c r="J140" i="52"/>
  <c r="J159" i="52" s="1"/>
  <c r="J8" i="52"/>
  <c r="J197" i="52"/>
  <c r="Z21" i="46" l="1"/>
  <c r="R21" i="46"/>
  <c r="N21" i="56"/>
  <c r="F69" i="56" s="1"/>
  <c r="L21" i="56"/>
  <c r="M21" i="56" s="1"/>
  <c r="AJ116" i="55"/>
  <c r="AJ154" i="55" s="1"/>
  <c r="AJ22" i="55"/>
  <c r="AK116" i="55"/>
  <c r="AK154" i="55" s="1"/>
  <c r="AK22" i="55"/>
  <c r="AM116" i="55"/>
  <c r="AM154" i="55" s="1"/>
  <c r="AM22" i="55"/>
  <c r="AL97" i="55"/>
  <c r="H368" i="52"/>
  <c r="H387" i="52" s="1"/>
  <c r="L197" i="52"/>
  <c r="J27" i="52"/>
  <c r="J46" i="52" s="1"/>
  <c r="J84" i="52"/>
  <c r="J103" i="52" s="1"/>
  <c r="H27" i="52"/>
  <c r="H84" i="52"/>
  <c r="H103" i="52" s="1"/>
  <c r="I27" i="52"/>
  <c r="I46" i="52" s="1"/>
  <c r="I84" i="52"/>
  <c r="I103" i="52" s="1"/>
  <c r="J368" i="52"/>
  <c r="J387" i="52" s="1"/>
  <c r="I368" i="52"/>
  <c r="I387" i="52" s="1"/>
  <c r="AG40" i="27" l="1"/>
  <c r="AG97" i="27" s="1"/>
  <c r="AG173" i="27" s="1"/>
  <c r="AM60" i="55"/>
  <c r="AL116" i="55"/>
  <c r="AL154" i="55" s="1"/>
  <c r="AL22" i="55"/>
  <c r="AE40" i="27"/>
  <c r="AE97" i="27" s="1"/>
  <c r="AE173" i="27" s="1"/>
  <c r="AK60" i="55"/>
  <c r="AD40" i="27"/>
  <c r="AD97" i="27" s="1"/>
  <c r="AD173" i="27" s="1"/>
  <c r="AJ60" i="55"/>
  <c r="AN154" i="55"/>
  <c r="H122" i="52"/>
  <c r="J122" i="52"/>
  <c r="I122" i="52"/>
  <c r="I9" i="52" s="1"/>
  <c r="L368" i="52"/>
  <c r="L387" i="52"/>
  <c r="L331" i="52"/>
  <c r="L217" i="52"/>
  <c r="L293" i="52"/>
  <c r="L255" i="52"/>
  <c r="H46" i="52"/>
  <c r="AN268" i="55" l="1"/>
  <c r="I21" i="48"/>
  <c r="AJ79" i="55"/>
  <c r="AJ193" i="55"/>
  <c r="AK79" i="55"/>
  <c r="AK193" i="55"/>
  <c r="AF40" i="27"/>
  <c r="AF97" i="27" s="1"/>
  <c r="AF173" i="27" s="1"/>
  <c r="J22" i="48" s="1"/>
  <c r="AL60" i="55"/>
  <c r="AM79" i="55"/>
  <c r="AM193" i="55"/>
  <c r="I141" i="52"/>
  <c r="I160" i="52" s="1"/>
  <c r="I198" i="52"/>
  <c r="I28" i="52"/>
  <c r="I47" i="52" s="1"/>
  <c r="I85" i="52"/>
  <c r="I104" i="52" s="1"/>
  <c r="L236" i="52"/>
  <c r="L312" i="52"/>
  <c r="L350" i="52"/>
  <c r="L274" i="52"/>
  <c r="H198" i="52"/>
  <c r="H141" i="52"/>
  <c r="H160" i="52" s="1"/>
  <c r="H9" i="52"/>
  <c r="J141" i="52"/>
  <c r="J198" i="52"/>
  <c r="J9" i="52"/>
  <c r="J43" i="46" l="1"/>
  <c r="J22" i="56"/>
  <c r="F95" i="56" s="1"/>
  <c r="L95" i="56" s="1"/>
  <c r="AH173" i="27"/>
  <c r="J22" i="46" s="1"/>
  <c r="V22" i="46" s="1"/>
  <c r="AL79" i="55"/>
  <c r="AL98" i="55" s="1"/>
  <c r="AL193" i="55"/>
  <c r="AN193" i="55" s="1"/>
  <c r="AJ98" i="55"/>
  <c r="AK98" i="55"/>
  <c r="H369" i="52"/>
  <c r="H388" i="52" s="1"/>
  <c r="L198" i="52"/>
  <c r="I369" i="52"/>
  <c r="I388" i="52" s="1"/>
  <c r="J160" i="52"/>
  <c r="J369" i="52" s="1"/>
  <c r="J388" i="52" s="1"/>
  <c r="J85" i="52"/>
  <c r="J104" i="52" s="1"/>
  <c r="J28" i="52"/>
  <c r="J47" i="52" s="1"/>
  <c r="H28" i="52"/>
  <c r="H47" i="52" s="1"/>
  <c r="H85" i="52"/>
  <c r="H104" i="52" s="1"/>
  <c r="Z43" i="46" l="1"/>
  <c r="R43" i="46"/>
  <c r="V43" i="46"/>
  <c r="R22" i="46"/>
  <c r="Z22" i="46"/>
  <c r="N22" i="56"/>
  <c r="F70" i="56" s="1"/>
  <c r="L22" i="56"/>
  <c r="M22" i="56" s="1"/>
  <c r="AK117" i="55"/>
  <c r="AK155" i="55" s="1"/>
  <c r="AL117" i="55"/>
  <c r="AL155" i="55" s="1"/>
  <c r="AM98" i="55"/>
  <c r="AJ117" i="55"/>
  <c r="AJ155" i="55" s="1"/>
  <c r="J123" i="52"/>
  <c r="J199" i="52" s="1"/>
  <c r="H123" i="52"/>
  <c r="I123" i="52"/>
  <c r="L388" i="52"/>
  <c r="L369" i="52"/>
  <c r="L313" i="52"/>
  <c r="L351" i="52"/>
  <c r="L237" i="52"/>
  <c r="L275" i="52"/>
  <c r="L294" i="52"/>
  <c r="L218" i="52"/>
  <c r="L256" i="52"/>
  <c r="L332" i="52"/>
  <c r="AM117" i="55" l="1"/>
  <c r="AM155" i="55" s="1"/>
  <c r="J10" i="52"/>
  <c r="J142" i="52"/>
  <c r="J161" i="52" s="1"/>
  <c r="I142" i="52"/>
  <c r="I161" i="52" s="1"/>
  <c r="I370" i="52" s="1"/>
  <c r="I199" i="52"/>
  <c r="I10" i="52"/>
  <c r="H142" i="52"/>
  <c r="H161" i="52" s="1"/>
  <c r="H370" i="52" s="1"/>
  <c r="H199" i="52"/>
  <c r="H10" i="52"/>
  <c r="J29" i="52"/>
  <c r="J48" i="52" s="1"/>
  <c r="AN269" i="55" l="1"/>
  <c r="I22" i="48"/>
  <c r="AN155" i="55"/>
  <c r="J86" i="52"/>
  <c r="J105" i="52" s="1"/>
  <c r="J370" i="52"/>
  <c r="J389" i="52" s="1"/>
  <c r="L199" i="52"/>
  <c r="I389" i="52"/>
  <c r="H389" i="52"/>
  <c r="I29" i="52"/>
  <c r="I48" i="52" s="1"/>
  <c r="I86" i="52"/>
  <c r="I105" i="52" s="1"/>
  <c r="H86" i="52"/>
  <c r="H105" i="52" s="1"/>
  <c r="H29" i="52"/>
  <c r="L370" i="52" l="1"/>
  <c r="H124" i="52"/>
  <c r="H11" i="52" s="1"/>
  <c r="H30" i="52" s="1"/>
  <c r="I124" i="52"/>
  <c r="J124" i="52"/>
  <c r="J11" i="52" s="1"/>
  <c r="L389" i="52"/>
  <c r="L333" i="52"/>
  <c r="L257" i="52"/>
  <c r="L219" i="52"/>
  <c r="L295" i="52"/>
  <c r="H48" i="52"/>
  <c r="H143" i="52" l="1"/>
  <c r="H162" i="52" s="1"/>
  <c r="H200" i="52"/>
  <c r="J143" i="52"/>
  <c r="J200" i="52"/>
  <c r="H87" i="52"/>
  <c r="H106" i="52" s="1"/>
  <c r="J162" i="52"/>
  <c r="J30" i="52"/>
  <c r="J49" i="52" s="1"/>
  <c r="J87" i="52"/>
  <c r="J106" i="52" s="1"/>
  <c r="H49" i="52"/>
  <c r="I200" i="52"/>
  <c r="I143" i="52"/>
  <c r="I162" i="52" s="1"/>
  <c r="I11" i="52"/>
  <c r="L238" i="52"/>
  <c r="L276" i="52"/>
  <c r="L352" i="52"/>
  <c r="L314" i="52"/>
  <c r="L200" i="52" l="1"/>
  <c r="I371" i="52"/>
  <c r="I390" i="52" s="1"/>
  <c r="H371" i="52"/>
  <c r="H390" i="52" s="1"/>
  <c r="J371" i="52"/>
  <c r="J390" i="52" s="1"/>
  <c r="I87" i="52"/>
  <c r="I106" i="52" s="1"/>
  <c r="J125" i="52" s="1"/>
  <c r="I30" i="52"/>
  <c r="I125" i="52" l="1"/>
  <c r="H125" i="52"/>
  <c r="L390" i="52"/>
  <c r="L371" i="52"/>
  <c r="I49" i="52"/>
  <c r="L220" i="52"/>
  <c r="L334" i="52"/>
  <c r="L296" i="52"/>
  <c r="L258" i="52"/>
  <c r="J144" i="52"/>
  <c r="J201" i="52"/>
  <c r="J12" i="52"/>
  <c r="L353" i="52" l="1"/>
  <c r="L277" i="52"/>
  <c r="L315" i="52"/>
  <c r="L239" i="52"/>
  <c r="J163" i="52"/>
  <c r="J88" i="52"/>
  <c r="J107" i="52" s="1"/>
  <c r="J31" i="52"/>
  <c r="J50" i="52" s="1"/>
  <c r="H201" i="52"/>
  <c r="H144" i="52"/>
  <c r="H163" i="52" s="1"/>
  <c r="H12" i="52"/>
  <c r="I201" i="52"/>
  <c r="I144" i="52"/>
  <c r="I163" i="52" s="1"/>
  <c r="I12" i="52"/>
  <c r="L201" i="52" l="1"/>
  <c r="J372" i="52"/>
  <c r="J391" i="52" s="1"/>
  <c r="I88" i="52"/>
  <c r="I107" i="52" s="1"/>
  <c r="I31" i="52"/>
  <c r="I50" i="52" s="1"/>
  <c r="H88" i="52"/>
  <c r="H107" i="52" s="1"/>
  <c r="H31" i="52"/>
  <c r="H50" i="52" s="1"/>
  <c r="I372" i="52"/>
  <c r="I391" i="52" s="1"/>
  <c r="H372" i="52"/>
  <c r="I126" i="52" l="1"/>
  <c r="H126" i="52"/>
  <c r="H202" i="52" s="1"/>
  <c r="J126" i="52"/>
  <c r="J145" i="52" s="1"/>
  <c r="J164" i="52" s="1"/>
  <c r="L372" i="52"/>
  <c r="H391" i="52"/>
  <c r="L278" i="52"/>
  <c r="L316" i="52"/>
  <c r="L240" i="52"/>
  <c r="L354" i="52"/>
  <c r="L221" i="52"/>
  <c r="L335" i="52"/>
  <c r="L259" i="52"/>
  <c r="L297" i="52"/>
  <c r="L391" i="52" l="1"/>
  <c r="H145" i="52"/>
  <c r="H164" i="52" s="1"/>
  <c r="J13" i="52"/>
  <c r="H13" i="52"/>
  <c r="J202" i="52"/>
  <c r="J373" i="52"/>
  <c r="H373" i="52"/>
  <c r="I145" i="52"/>
  <c r="I164" i="52" s="1"/>
  <c r="I373" i="52" s="1"/>
  <c r="I202" i="52"/>
  <c r="I13" i="52"/>
  <c r="J89" i="52" l="1"/>
  <c r="J108" i="52" s="1"/>
  <c r="J392" i="52"/>
  <c r="L202" i="52"/>
  <c r="H89" i="52"/>
  <c r="H108" i="52" s="1"/>
  <c r="J32" i="52"/>
  <c r="J51" i="52" s="1"/>
  <c r="H32" i="52"/>
  <c r="H51" i="52" s="1"/>
  <c r="I392" i="52"/>
  <c r="I32" i="52"/>
  <c r="I51" i="52" s="1"/>
  <c r="I89" i="52"/>
  <c r="I108" i="52" s="1"/>
  <c r="H392" i="52"/>
  <c r="L373" i="52"/>
  <c r="H127" i="52" l="1"/>
  <c r="L222" i="52"/>
  <c r="L355" i="52"/>
  <c r="J127" i="52"/>
  <c r="J14" i="52" s="1"/>
  <c r="L392" i="52"/>
  <c r="L336" i="52"/>
  <c r="L298" i="52"/>
  <c r="L260" i="52"/>
  <c r="I127" i="52"/>
  <c r="I14" i="52" s="1"/>
  <c r="L317" i="52"/>
  <c r="L241" i="52"/>
  <c r="L279" i="52"/>
  <c r="I146" i="52" l="1"/>
  <c r="I165" i="52" s="1"/>
  <c r="I374" i="52" s="1"/>
  <c r="I90" i="52"/>
  <c r="I109" i="52" s="1"/>
  <c r="I33" i="52"/>
  <c r="I52" i="52" s="1"/>
  <c r="I203" i="52"/>
  <c r="J146" i="52"/>
  <c r="J165" i="52" s="1"/>
  <c r="J374" i="52" s="1"/>
  <c r="J203" i="52"/>
  <c r="H146" i="52"/>
  <c r="H203" i="52"/>
  <c r="H14" i="52"/>
  <c r="J90" i="52"/>
  <c r="J109" i="52" s="1"/>
  <c r="J33" i="52"/>
  <c r="J52" i="52" s="1"/>
  <c r="I393" i="52" l="1"/>
  <c r="L203" i="52"/>
  <c r="J393" i="52"/>
  <c r="H33" i="52"/>
  <c r="H90" i="52"/>
  <c r="H109" i="52" s="1"/>
  <c r="H128" i="52" s="1"/>
  <c r="H165" i="52"/>
  <c r="H374" i="52" s="1"/>
  <c r="I128" i="52" l="1"/>
  <c r="J128" i="52"/>
  <c r="H393" i="52"/>
  <c r="L374" i="52"/>
  <c r="L223" i="52"/>
  <c r="L337" i="52"/>
  <c r="L299" i="52"/>
  <c r="L261" i="52"/>
  <c r="H52" i="52"/>
  <c r="L393" i="52" l="1"/>
  <c r="H204" i="52"/>
  <c r="H147" i="52"/>
  <c r="H15" i="52"/>
  <c r="L356" i="52"/>
  <c r="L242" i="52"/>
  <c r="L318" i="52"/>
  <c r="L280" i="52"/>
  <c r="I204" i="52"/>
  <c r="I147" i="52"/>
  <c r="I15" i="52"/>
  <c r="J204" i="52"/>
  <c r="J147" i="52"/>
  <c r="J15" i="52"/>
  <c r="J166" i="52" l="1"/>
  <c r="J375" i="52" s="1"/>
  <c r="J394" i="52" s="1"/>
  <c r="L204" i="52"/>
  <c r="I34" i="52"/>
  <c r="I53" i="52" s="1"/>
  <c r="I91" i="52"/>
  <c r="I110" i="52" s="1"/>
  <c r="H91" i="52"/>
  <c r="H110" i="52" s="1"/>
  <c r="H34" i="52"/>
  <c r="H53" i="52" s="1"/>
  <c r="H166" i="52"/>
  <c r="H375" i="52" s="1"/>
  <c r="J91" i="52"/>
  <c r="J110" i="52" s="1"/>
  <c r="J34" i="52"/>
  <c r="J53" i="52" s="1"/>
  <c r="I166" i="52"/>
  <c r="I375" i="52" s="1"/>
  <c r="I394" i="52" s="1"/>
  <c r="H129" i="52" l="1"/>
  <c r="J129" i="52"/>
  <c r="J205" i="52" s="1"/>
  <c r="I129" i="52"/>
  <c r="H394" i="52"/>
  <c r="L375" i="52"/>
  <c r="L357" i="52"/>
  <c r="L319" i="52"/>
  <c r="L281" i="52"/>
  <c r="L243" i="52"/>
  <c r="L300" i="52"/>
  <c r="L262" i="52"/>
  <c r="L338" i="52"/>
  <c r="L224" i="52"/>
  <c r="J148" i="52" l="1"/>
  <c r="J167" i="52" s="1"/>
  <c r="J16" i="52"/>
  <c r="L394" i="52"/>
  <c r="H148" i="52"/>
  <c r="H167" i="52" s="1"/>
  <c r="H376" i="52" s="1"/>
  <c r="H205" i="52"/>
  <c r="H16" i="52"/>
  <c r="I205" i="52"/>
  <c r="I148" i="52"/>
  <c r="I167" i="52" s="1"/>
  <c r="I16" i="52"/>
  <c r="J376" i="52" l="1"/>
  <c r="J395" i="52" s="1"/>
  <c r="J92" i="52"/>
  <c r="J111" i="52" s="1"/>
  <c r="J35" i="52"/>
  <c r="J54" i="52" s="1"/>
  <c r="L205" i="52"/>
  <c r="I376" i="52"/>
  <c r="I395" i="52" s="1"/>
  <c r="I35" i="52"/>
  <c r="I54" i="52" s="1"/>
  <c r="I92" i="52"/>
  <c r="I111" i="52" s="1"/>
  <c r="H395" i="52"/>
  <c r="H92" i="52"/>
  <c r="H111" i="52" s="1"/>
  <c r="H35" i="52"/>
  <c r="H54" i="52" s="1"/>
  <c r="I130" i="52" l="1"/>
  <c r="I149" i="52" s="1"/>
  <c r="I168" i="52" s="1"/>
  <c r="H130" i="52"/>
  <c r="H206" i="52" s="1"/>
  <c r="J130" i="52"/>
  <c r="L376" i="52"/>
  <c r="L395" i="52"/>
  <c r="L244" i="52"/>
  <c r="L358" i="52"/>
  <c r="L320" i="52"/>
  <c r="L282" i="52"/>
  <c r="L263" i="52"/>
  <c r="L225" i="52"/>
  <c r="L301" i="52"/>
  <c r="L339" i="52"/>
  <c r="I206" i="52" l="1"/>
  <c r="I17" i="52"/>
  <c r="H17" i="52"/>
  <c r="H149" i="52"/>
  <c r="H168" i="52" s="1"/>
  <c r="J206" i="52"/>
  <c r="J149" i="52"/>
  <c r="J168" i="52" s="1"/>
  <c r="J17" i="52"/>
  <c r="I377" i="52"/>
  <c r="I396" i="52" s="1"/>
  <c r="L206" i="52" l="1"/>
  <c r="I93" i="52"/>
  <c r="I112" i="52" s="1"/>
  <c r="I36" i="52"/>
  <c r="I55" i="52" s="1"/>
  <c r="H93" i="52"/>
  <c r="H112" i="52" s="1"/>
  <c r="H36" i="52"/>
  <c r="H55" i="52" s="1"/>
  <c r="H377" i="52"/>
  <c r="H396" i="52" s="1"/>
  <c r="J93" i="52"/>
  <c r="J112" i="52" s="1"/>
  <c r="J36" i="52"/>
  <c r="J377" i="52"/>
  <c r="J396" i="52" s="1"/>
  <c r="H131" i="52" l="1"/>
  <c r="J131" i="52"/>
  <c r="J207" i="52" s="1"/>
  <c r="L226" i="52"/>
  <c r="H18" i="52"/>
  <c r="L302" i="52"/>
  <c r="L396" i="52"/>
  <c r="I131" i="52"/>
  <c r="I18" i="52" s="1"/>
  <c r="L377" i="52"/>
  <c r="J55" i="52"/>
  <c r="L321" i="52" s="1"/>
  <c r="L340" i="52"/>
  <c r="L264" i="52"/>
  <c r="H207" i="52"/>
  <c r="J150" i="52"/>
  <c r="J169" i="52" s="1"/>
  <c r="J18" i="52"/>
  <c r="H150" i="52" l="1"/>
  <c r="I150" i="52"/>
  <c r="I169" i="52" s="1"/>
  <c r="L359" i="52"/>
  <c r="I207" i="52"/>
  <c r="L207" i="52" s="1"/>
  <c r="L283" i="52"/>
  <c r="L245" i="52"/>
  <c r="J37" i="52"/>
  <c r="J56" i="52" s="1"/>
  <c r="J94" i="52"/>
  <c r="J113" i="52" s="1"/>
  <c r="H37" i="52"/>
  <c r="H56" i="52" s="1"/>
  <c r="H94" i="52"/>
  <c r="H113" i="52" s="1"/>
  <c r="I94" i="52"/>
  <c r="I113" i="52" s="1"/>
  <c r="I37" i="52"/>
  <c r="I56" i="52" s="1"/>
  <c r="H169" i="52"/>
  <c r="I132" i="52" l="1"/>
  <c r="I208" i="52" s="1"/>
  <c r="H132" i="52"/>
  <c r="J132" i="52"/>
  <c r="I378" i="52"/>
  <c r="I397" i="52" s="1"/>
  <c r="H378" i="52"/>
  <c r="H397" i="52" s="1"/>
  <c r="J378" i="52"/>
  <c r="J397" i="52" s="1"/>
  <c r="L227" i="52"/>
  <c r="L341" i="52"/>
  <c r="L303" i="52"/>
  <c r="L265" i="52"/>
  <c r="L246" i="52"/>
  <c r="L284" i="52"/>
  <c r="L360" i="52"/>
  <c r="L322" i="52"/>
  <c r="I19" i="52" l="1"/>
  <c r="I151" i="52"/>
  <c r="I170" i="52" s="1"/>
  <c r="L397" i="52"/>
  <c r="L378" i="52"/>
  <c r="J208" i="52"/>
  <c r="J151" i="52"/>
  <c r="J170" i="52" s="1"/>
  <c r="J379" i="52" s="1"/>
  <c r="J19" i="52"/>
  <c r="H151" i="52"/>
  <c r="H170" i="52" s="1"/>
  <c r="H208" i="52"/>
  <c r="H19" i="52"/>
  <c r="I38" i="52" l="1"/>
  <c r="I57" i="52" s="1"/>
  <c r="I379" i="52"/>
  <c r="I398" i="52" s="1"/>
  <c r="I95" i="52"/>
  <c r="I114" i="52" s="1"/>
  <c r="L208" i="52"/>
  <c r="J398" i="52"/>
  <c r="J95" i="52"/>
  <c r="J114" i="52" s="1"/>
  <c r="J38" i="52"/>
  <c r="J57" i="52" s="1"/>
  <c r="H95" i="52"/>
  <c r="H114" i="52" s="1"/>
  <c r="H38" i="52"/>
  <c r="H57" i="52" s="1"/>
  <c r="H379" i="52"/>
  <c r="J133" i="52" l="1"/>
  <c r="J209" i="52" s="1"/>
  <c r="H133" i="52"/>
  <c r="H20" i="52" s="1"/>
  <c r="I133" i="52"/>
  <c r="H398" i="52"/>
  <c r="L379" i="52"/>
  <c r="L361" i="52"/>
  <c r="L323" i="52"/>
  <c r="L247" i="52"/>
  <c r="L285" i="52"/>
  <c r="L304" i="52"/>
  <c r="L342" i="52"/>
  <c r="L228" i="52"/>
  <c r="L266" i="52"/>
  <c r="J20" i="52" l="1"/>
  <c r="J152" i="52"/>
  <c r="J171" i="52" s="1"/>
  <c r="L398" i="52"/>
  <c r="H96" i="52"/>
  <c r="H115" i="52" s="1"/>
  <c r="J96" i="52"/>
  <c r="J115" i="52" s="1"/>
  <c r="J39" i="52"/>
  <c r="J58" i="52" s="1"/>
  <c r="H152" i="52"/>
  <c r="H171" i="52" s="1"/>
  <c r="H209" i="52"/>
  <c r="H39" i="52"/>
  <c r="H58" i="52" s="1"/>
  <c r="I152" i="52"/>
  <c r="I171" i="52" s="1"/>
  <c r="I380" i="52" s="1"/>
  <c r="I209" i="52"/>
  <c r="I20" i="52"/>
  <c r="J380" i="52"/>
  <c r="J399" i="52" s="1"/>
  <c r="H380" i="52" l="1"/>
  <c r="L380" i="52" s="1"/>
  <c r="I399" i="52"/>
  <c r="L209" i="52"/>
  <c r="I96" i="52"/>
  <c r="I115" i="52" s="1"/>
  <c r="I39" i="52"/>
  <c r="I58" i="52" s="1"/>
  <c r="H399" i="52" l="1"/>
  <c r="L399" i="52" s="1"/>
  <c r="I134" i="52"/>
  <c r="H134" i="52"/>
  <c r="J134" i="52"/>
  <c r="L362" i="52"/>
  <c r="L248" i="52"/>
  <c r="L324" i="52"/>
  <c r="L286" i="52"/>
  <c r="L343" i="52"/>
  <c r="L229" i="52"/>
  <c r="L267" i="52"/>
  <c r="L305" i="52"/>
  <c r="H210" i="52" l="1"/>
  <c r="H153" i="52"/>
  <c r="H172" i="52" s="1"/>
  <c r="H21" i="52"/>
  <c r="J210" i="52"/>
  <c r="J153" i="52"/>
  <c r="J21" i="52"/>
  <c r="I210" i="52"/>
  <c r="I153" i="52"/>
  <c r="I21" i="52"/>
  <c r="L210" i="52" l="1"/>
  <c r="H40" i="52"/>
  <c r="H59" i="52" s="1"/>
  <c r="H97" i="52"/>
  <c r="H116" i="52" s="1"/>
  <c r="H381" i="52"/>
  <c r="I97" i="52"/>
  <c r="I116" i="52" s="1"/>
  <c r="I40" i="52"/>
  <c r="I59" i="52" s="1"/>
  <c r="J40" i="52"/>
  <c r="J59" i="52" s="1"/>
  <c r="J97" i="52"/>
  <c r="J116" i="52" s="1"/>
  <c r="I172" i="52"/>
  <c r="I381" i="52" s="1"/>
  <c r="I400" i="52" s="1"/>
  <c r="J172" i="52"/>
  <c r="J381" i="52" s="1"/>
  <c r="J400" i="52" s="1"/>
  <c r="J135" i="52" l="1"/>
  <c r="H135" i="52"/>
  <c r="H22" i="52" s="1"/>
  <c r="I135" i="52"/>
  <c r="L287" i="52"/>
  <c r="L249" i="52"/>
  <c r="L363" i="52"/>
  <c r="L325" i="52"/>
  <c r="H400" i="52"/>
  <c r="L381" i="52"/>
  <c r="L268" i="52"/>
  <c r="L306" i="52"/>
  <c r="L230" i="52"/>
  <c r="L344" i="52"/>
  <c r="H211" i="52" l="1"/>
  <c r="L400" i="52"/>
  <c r="H154" i="52"/>
  <c r="H173" i="52" s="1"/>
  <c r="H41" i="52"/>
  <c r="H60" i="52" s="1"/>
  <c r="H98" i="52"/>
  <c r="H117" i="52" s="1"/>
  <c r="I154" i="52"/>
  <c r="I173" i="52" s="1"/>
  <c r="I382" i="52" s="1"/>
  <c r="I211" i="52"/>
  <c r="I22" i="52"/>
  <c r="J154" i="52"/>
  <c r="J173" i="52" s="1"/>
  <c r="J382" i="52" s="1"/>
  <c r="J211" i="52"/>
  <c r="J22" i="52"/>
  <c r="H382" i="52" l="1"/>
  <c r="L382" i="52" s="1"/>
  <c r="L211" i="52"/>
  <c r="J401" i="52"/>
  <c r="I401" i="52"/>
  <c r="J98" i="52"/>
  <c r="J117" i="52" s="1"/>
  <c r="J41" i="52"/>
  <c r="J60" i="52" s="1"/>
  <c r="I41" i="52"/>
  <c r="I98" i="52"/>
  <c r="I117" i="52" s="1"/>
  <c r="H401" i="52" l="1"/>
  <c r="I136" i="52"/>
  <c r="J136" i="52"/>
  <c r="H136" i="52"/>
  <c r="L401" i="52"/>
  <c r="L307" i="52"/>
  <c r="L345" i="52"/>
  <c r="L231" i="52"/>
  <c r="L269" i="52"/>
  <c r="I60" i="52"/>
  <c r="L364" i="52" l="1"/>
  <c r="L326" i="52"/>
  <c r="L250" i="52"/>
  <c r="L288" i="52"/>
  <c r="J155" i="52"/>
  <c r="J174" i="52" s="1"/>
  <c r="J212" i="52"/>
  <c r="H212" i="52"/>
  <c r="H155" i="52"/>
  <c r="I212" i="52"/>
  <c r="I155" i="52"/>
  <c r="I174" i="52" s="1"/>
  <c r="L212" i="52" l="1"/>
  <c r="I383" i="52"/>
  <c r="I402" i="52" s="1"/>
  <c r="H174" i="52"/>
  <c r="H383" i="52" s="1"/>
  <c r="J383" i="52"/>
  <c r="J402" i="52" s="1"/>
  <c r="L383" i="52" l="1"/>
  <c r="H402" i="52"/>
  <c r="L402" i="52" l="1"/>
  <c r="H25" i="48" l="1"/>
  <c r="N25" i="48"/>
  <c r="M25" i="48"/>
  <c r="E5" i="48"/>
  <c r="K5" i="48"/>
  <c r="N5" i="48" l="1"/>
  <c r="K15" i="48"/>
  <c r="K6" i="48"/>
  <c r="N6" i="48" s="1"/>
  <c r="E6" i="48"/>
  <c r="L6" i="48" l="1"/>
  <c r="M6" i="48" s="1"/>
  <c r="K16" i="48"/>
  <c r="L16" i="48" s="1"/>
  <c r="K7" i="48"/>
  <c r="L15" i="48"/>
  <c r="M15" i="48" s="1"/>
  <c r="N15" i="48"/>
  <c r="K8" i="48" l="1"/>
  <c r="N8" i="48" s="1"/>
  <c r="K17" i="48"/>
  <c r="L17" i="48" s="1"/>
  <c r="M17" i="48" s="1"/>
  <c r="N7" i="48"/>
  <c r="L7" i="48"/>
  <c r="M7" i="48" s="1"/>
  <c r="E7" i="48"/>
  <c r="M16" i="48"/>
  <c r="N16" i="48"/>
  <c r="E8" i="48"/>
  <c r="L8" i="48" l="1"/>
  <c r="M8" i="48" s="1"/>
  <c r="N17" i="48"/>
  <c r="K18" i="48"/>
  <c r="L18" i="48" s="1"/>
  <c r="K9" i="48"/>
  <c r="E9" i="48" l="1"/>
  <c r="K19" i="48"/>
  <c r="L19" i="48" s="1"/>
  <c r="N9" i="48"/>
  <c r="L9" i="48"/>
  <c r="M18" i="48"/>
  <c r="N18" i="48"/>
  <c r="K10" i="48"/>
  <c r="K11" i="48"/>
  <c r="E10" i="48"/>
  <c r="N10" i="48" l="1"/>
  <c r="L10" i="48"/>
  <c r="M10" i="48" s="1"/>
  <c r="M9" i="48"/>
  <c r="N11" i="48"/>
  <c r="L11" i="48"/>
  <c r="M11" i="48" s="1"/>
  <c r="M19" i="48"/>
  <c r="N19" i="48"/>
  <c r="K20" i="48"/>
  <c r="L20" i="48" s="1"/>
  <c r="E11" i="48"/>
  <c r="K12" i="48" l="1"/>
  <c r="N12" i="48" s="1"/>
  <c r="M20" i="48"/>
  <c r="N20" i="48"/>
  <c r="K21" i="48"/>
  <c r="L21" i="48" s="1"/>
  <c r="L12" i="48" l="1"/>
  <c r="M12" i="48" s="1"/>
  <c r="E12" i="48"/>
  <c r="M21" i="48"/>
  <c r="N21" i="48"/>
  <c r="K22" i="48"/>
  <c r="L22" i="48" s="1"/>
  <c r="K13" i="48"/>
  <c r="E14" i="48"/>
  <c r="E13" i="48"/>
  <c r="N22" i="48" l="1"/>
  <c r="E15" i="48"/>
  <c r="N13" i="48"/>
  <c r="L13" i="48"/>
  <c r="M13" i="48" s="1"/>
  <c r="K14" i="48"/>
  <c r="L14" i="48" l="1"/>
  <c r="M14" i="48" s="1"/>
  <c r="N14" i="48"/>
  <c r="E16" i="48"/>
  <c r="M22" i="48"/>
  <c r="E17" i="48" l="1"/>
  <c r="E18" i="48"/>
  <c r="E19" i="48" l="1"/>
  <c r="E20" i="48" l="1"/>
  <c r="E21" i="48"/>
  <c r="E22" i="48" l="1"/>
  <c r="AN347" i="47" l="1"/>
  <c r="AN328" i="47"/>
  <c r="AN309" i="47"/>
  <c r="AN290" i="47"/>
  <c r="AN271" i="47"/>
  <c r="AN252" i="47"/>
  <c r="AN233" i="47"/>
  <c r="AD347" i="47"/>
  <c r="AD328" i="47"/>
  <c r="AD309" i="47"/>
  <c r="AD290" i="47"/>
  <c r="AD271" i="47"/>
  <c r="AD252" i="47"/>
  <c r="AD233" i="47"/>
  <c r="AD214" i="47"/>
  <c r="AN214" i="47"/>
  <c r="U347" i="47"/>
  <c r="U328" i="47"/>
  <c r="L347" i="47"/>
  <c r="AK366" i="47"/>
  <c r="AJ366" i="47"/>
  <c r="AM366" i="47"/>
  <c r="AL366" i="47"/>
  <c r="Z366" i="47"/>
  <c r="AB366" i="47"/>
  <c r="AA366" i="47"/>
  <c r="H366" i="47"/>
  <c r="H385" i="47"/>
  <c r="AC366" i="47"/>
  <c r="AD366" i="47"/>
  <c r="Q366" i="47"/>
  <c r="R366" i="47"/>
  <c r="R385" i="47"/>
  <c r="AA385" i="47"/>
  <c r="AB385" i="47"/>
  <c r="AM385" i="47"/>
  <c r="T366" i="47"/>
  <c r="T385" i="47"/>
  <c r="K366" i="47"/>
  <c r="K385" i="47"/>
  <c r="AL385" i="47"/>
  <c r="AJ385" i="47"/>
  <c r="AK385" i="47"/>
  <c r="Z385" i="47"/>
  <c r="AC385" i="47"/>
  <c r="AD385" i="47"/>
  <c r="Y5" i="46"/>
  <c r="Q385" i="47"/>
  <c r="S366" i="47"/>
  <c r="S385" i="47"/>
  <c r="AN366" i="47"/>
  <c r="J366" i="47"/>
  <c r="J385" i="47"/>
  <c r="I366" i="47"/>
  <c r="I385" i="47"/>
  <c r="AN385" i="47"/>
  <c r="R5" i="46"/>
  <c r="Z5" i="46"/>
  <c r="Q5" i="46"/>
  <c r="U385" i="47"/>
  <c r="U366" i="47"/>
  <c r="L385" i="47"/>
  <c r="L366" i="47"/>
  <c r="L5" i="48"/>
  <c r="M5" i="48" s="1"/>
  <c r="D23" i="27"/>
  <c r="D80" i="27" s="1"/>
  <c r="D156" i="27" s="1"/>
  <c r="R81" i="55"/>
  <c r="R6" i="55" s="1"/>
  <c r="H81" i="55"/>
  <c r="D5" i="56" l="1"/>
  <c r="H5" i="56" s="1"/>
  <c r="C53" i="56" s="1"/>
  <c r="G26" i="46"/>
  <c r="S26" i="46" s="1"/>
  <c r="H100" i="55"/>
  <c r="H233" i="55" s="1"/>
  <c r="H6" i="55"/>
  <c r="R100" i="55"/>
  <c r="J156" i="27"/>
  <c r="G5" i="46" s="1"/>
  <c r="D5" i="48"/>
  <c r="H5" i="48" s="1"/>
  <c r="H138" i="55"/>
  <c r="S81" i="55"/>
  <c r="S6" i="55" s="1"/>
  <c r="F100" i="55"/>
  <c r="I81" i="55"/>
  <c r="I6" i="55" s="1"/>
  <c r="T81" i="55"/>
  <c r="T6" i="55" s="1"/>
  <c r="K81" i="55"/>
  <c r="K6" i="55" s="1"/>
  <c r="Q81" i="55"/>
  <c r="Q6" i="55" s="1"/>
  <c r="J81" i="55"/>
  <c r="J6" i="55" s="1"/>
  <c r="S100" i="55" l="1"/>
  <c r="J100" i="55"/>
  <c r="F24" i="27"/>
  <c r="F81" i="27" s="1"/>
  <c r="F157" i="27" s="1"/>
  <c r="H44" i="55"/>
  <c r="H63" i="55" s="1"/>
  <c r="Q100" i="55"/>
  <c r="R44" i="55"/>
  <c r="R63" i="55" s="1"/>
  <c r="O24" i="27"/>
  <c r="O81" i="27" s="1"/>
  <c r="O157" i="27" s="1"/>
  <c r="I100" i="55"/>
  <c r="F44" i="55"/>
  <c r="F82" i="55"/>
  <c r="F7" i="55" s="1"/>
  <c r="D24" i="27"/>
  <c r="D81" i="27" s="1"/>
  <c r="D157" i="27" s="1"/>
  <c r="H252" i="55"/>
  <c r="S5" i="46"/>
  <c r="K100" i="55"/>
  <c r="T100" i="55"/>
  <c r="R138" i="55"/>
  <c r="R233" i="55"/>
  <c r="R252" i="55" s="1"/>
  <c r="K233" i="55" l="1"/>
  <c r="K138" i="55"/>
  <c r="N24" i="27"/>
  <c r="N81" i="27" s="1"/>
  <c r="N157" i="27" s="1"/>
  <c r="Q44" i="55"/>
  <c r="Q63" i="55" s="1"/>
  <c r="F45" i="55"/>
  <c r="F83" i="55"/>
  <c r="F8" i="55" s="1"/>
  <c r="D25" i="27"/>
  <c r="D82" i="27" s="1"/>
  <c r="D158" i="27" s="1"/>
  <c r="J138" i="55"/>
  <c r="J233" i="55"/>
  <c r="J252" i="55" s="1"/>
  <c r="Q138" i="55"/>
  <c r="Q233" i="55"/>
  <c r="T138" i="55"/>
  <c r="T233" i="55"/>
  <c r="P24" i="27"/>
  <c r="P81" i="27" s="1"/>
  <c r="P157" i="27" s="1"/>
  <c r="S44" i="55"/>
  <c r="S63" i="55" s="1"/>
  <c r="F101" i="55"/>
  <c r="J44" i="55"/>
  <c r="J63" i="55" s="1"/>
  <c r="H24" i="27"/>
  <c r="H81" i="27" s="1"/>
  <c r="H157" i="27" s="1"/>
  <c r="T44" i="55"/>
  <c r="T63" i="55" s="1"/>
  <c r="T82" i="55" s="1"/>
  <c r="T7" i="55" s="1"/>
  <c r="Q24" i="27"/>
  <c r="Q81" i="27" s="1"/>
  <c r="Q157" i="27" s="1"/>
  <c r="I233" i="55"/>
  <c r="I138" i="55"/>
  <c r="G24" i="27"/>
  <c r="G81" i="27" s="1"/>
  <c r="G157" i="27" s="1"/>
  <c r="J157" i="27" s="1"/>
  <c r="G6" i="46" s="1"/>
  <c r="I44" i="55"/>
  <c r="I63" i="55" s="1"/>
  <c r="I24" i="27"/>
  <c r="I81" i="27" s="1"/>
  <c r="I157" i="27" s="1"/>
  <c r="K44" i="55"/>
  <c r="K63" i="55" s="1"/>
  <c r="S233" i="55"/>
  <c r="S138" i="55"/>
  <c r="H27" i="46" l="1"/>
  <c r="T27" i="46" s="1"/>
  <c r="G27" i="46"/>
  <c r="S27" i="46" s="1"/>
  <c r="D26" i="56"/>
  <c r="D6" i="56"/>
  <c r="T252" i="55"/>
  <c r="I82" i="55"/>
  <c r="I7" i="55" s="1"/>
  <c r="T101" i="55"/>
  <c r="T139" i="55" s="1"/>
  <c r="D6" i="48"/>
  <c r="H6" i="48" s="1"/>
  <c r="K82" i="55"/>
  <c r="K7" i="55" s="1"/>
  <c r="R82" i="55"/>
  <c r="R7" i="55" s="1"/>
  <c r="L138" i="55"/>
  <c r="T45" i="55"/>
  <c r="T64" i="55" s="1"/>
  <c r="J82" i="55"/>
  <c r="J7" i="55" s="1"/>
  <c r="S82" i="55"/>
  <c r="S7" i="55" s="1"/>
  <c r="S6" i="46"/>
  <c r="R157" i="27"/>
  <c r="H6" i="46" s="1"/>
  <c r="D26" i="48"/>
  <c r="H26" i="48" s="1"/>
  <c r="I252" i="55"/>
  <c r="L233" i="55"/>
  <c r="F102" i="55"/>
  <c r="Q252" i="55"/>
  <c r="U233" i="55"/>
  <c r="T234" i="55"/>
  <c r="Q82" i="55"/>
  <c r="Q7" i="55" s="1"/>
  <c r="U138" i="55"/>
  <c r="F46" i="55"/>
  <c r="D26" i="27"/>
  <c r="D83" i="27" s="1"/>
  <c r="D159" i="27" s="1"/>
  <c r="F84" i="55"/>
  <c r="F9" i="55" s="1"/>
  <c r="H82" i="55"/>
  <c r="H7" i="55" s="1"/>
  <c r="S252" i="55"/>
  <c r="K252" i="55"/>
  <c r="C25" i="56" l="1"/>
  <c r="D78" i="56" s="1"/>
  <c r="J78" i="56" s="1"/>
  <c r="D26" i="46"/>
  <c r="C26" i="46"/>
  <c r="F25" i="56"/>
  <c r="G25" i="56" s="1"/>
  <c r="C5" i="56"/>
  <c r="C78" i="56" s="1"/>
  <c r="I78" i="56" s="1"/>
  <c r="I101" i="55"/>
  <c r="I139" i="55" s="1"/>
  <c r="H6" i="56"/>
  <c r="C54" i="56" s="1"/>
  <c r="H26" i="56"/>
  <c r="D54" i="56" s="1"/>
  <c r="K101" i="55"/>
  <c r="K234" i="55" s="1"/>
  <c r="R101" i="55"/>
  <c r="R139" i="55" s="1"/>
  <c r="R45" i="55"/>
  <c r="R64" i="55" s="1"/>
  <c r="S101" i="55"/>
  <c r="S234" i="55" s="1"/>
  <c r="J101" i="55"/>
  <c r="J139" i="55" s="1"/>
  <c r="Q25" i="27"/>
  <c r="Q82" i="27" s="1"/>
  <c r="Q158" i="27" s="1"/>
  <c r="H101" i="55"/>
  <c r="I25" i="27"/>
  <c r="I82" i="27" s="1"/>
  <c r="I158" i="27" s="1"/>
  <c r="K45" i="55"/>
  <c r="K64" i="55" s="1"/>
  <c r="C25" i="48"/>
  <c r="F25" i="48" s="1"/>
  <c r="G25" i="48" s="1"/>
  <c r="U252" i="55"/>
  <c r="D5" i="46" s="1"/>
  <c r="F47" i="55"/>
  <c r="D27" i="27"/>
  <c r="D84" i="27" s="1"/>
  <c r="D160" i="27" s="1"/>
  <c r="F85" i="55"/>
  <c r="F10" i="55" s="1"/>
  <c r="F103" i="55"/>
  <c r="H25" i="27"/>
  <c r="H82" i="27" s="1"/>
  <c r="H158" i="27" s="1"/>
  <c r="J45" i="55"/>
  <c r="J64" i="55" s="1"/>
  <c r="T6" i="46"/>
  <c r="O25" i="27"/>
  <c r="O82" i="27" s="1"/>
  <c r="O158" i="27" s="1"/>
  <c r="L252" i="55"/>
  <c r="C5" i="46" s="1"/>
  <c r="C5" i="48"/>
  <c r="F5" i="48" s="1"/>
  <c r="G5" i="48" s="1"/>
  <c r="Q101" i="55"/>
  <c r="P25" i="27"/>
  <c r="P82" i="27" s="1"/>
  <c r="P158" i="27" s="1"/>
  <c r="S45" i="55"/>
  <c r="S64" i="55" s="1"/>
  <c r="T253" i="55"/>
  <c r="G25" i="27"/>
  <c r="G82" i="27" s="1"/>
  <c r="G158" i="27" s="1"/>
  <c r="I45" i="55"/>
  <c r="I64" i="55" s="1"/>
  <c r="P5" i="46" l="1"/>
  <c r="X5" i="46"/>
  <c r="X26" i="46"/>
  <c r="P26" i="46"/>
  <c r="I234" i="55"/>
  <c r="I253" i="55" s="1"/>
  <c r="R234" i="55"/>
  <c r="R253" i="55" s="1"/>
  <c r="O5" i="46"/>
  <c r="W5" i="46"/>
  <c r="W26" i="46"/>
  <c r="O26" i="46"/>
  <c r="F5" i="56"/>
  <c r="G5" i="56" s="1"/>
  <c r="S139" i="55"/>
  <c r="S253" i="55" s="1"/>
  <c r="K139" i="55"/>
  <c r="K253" i="55" s="1"/>
  <c r="J234" i="55"/>
  <c r="J253" i="55" s="1"/>
  <c r="Q45" i="55"/>
  <c r="Q64" i="55" s="1"/>
  <c r="S83" i="55" s="1"/>
  <c r="S8" i="55" s="1"/>
  <c r="N25" i="27"/>
  <c r="N82" i="27" s="1"/>
  <c r="N158" i="27" s="1"/>
  <c r="F104" i="55"/>
  <c r="R83" i="55"/>
  <c r="R8" i="55" s="1"/>
  <c r="Q139" i="55"/>
  <c r="Q234" i="55"/>
  <c r="H45" i="55"/>
  <c r="H64" i="55" s="1"/>
  <c r="H83" i="55" s="1"/>
  <c r="H8" i="55" s="1"/>
  <c r="F25" i="27"/>
  <c r="F82" i="27" s="1"/>
  <c r="F158" i="27" s="1"/>
  <c r="H139" i="55"/>
  <c r="L139" i="55" s="1"/>
  <c r="H234" i="55"/>
  <c r="D27" i="56" l="1"/>
  <c r="H28" i="46"/>
  <c r="T28" i="46" s="1"/>
  <c r="D7" i="56"/>
  <c r="G28" i="46"/>
  <c r="S28" i="46" s="1"/>
  <c r="U139" i="55"/>
  <c r="H27" i="56"/>
  <c r="D55" i="56" s="1"/>
  <c r="H7" i="56"/>
  <c r="C55" i="56" s="1"/>
  <c r="H102" i="55"/>
  <c r="H235" i="55" s="1"/>
  <c r="R102" i="55"/>
  <c r="F48" i="55"/>
  <c r="D28" i="27"/>
  <c r="D85" i="27" s="1"/>
  <c r="D161" i="27" s="1"/>
  <c r="F86" i="55"/>
  <c r="F11" i="55" s="1"/>
  <c r="J158" i="27"/>
  <c r="G7" i="46" s="1"/>
  <c r="D7" i="48"/>
  <c r="H7" i="48" s="1"/>
  <c r="Q253" i="55"/>
  <c r="U234" i="55"/>
  <c r="K83" i="55"/>
  <c r="K8" i="55" s="1"/>
  <c r="Q83" i="55"/>
  <c r="Q8" i="55" s="1"/>
  <c r="T83" i="55"/>
  <c r="T8" i="55" s="1"/>
  <c r="L234" i="55"/>
  <c r="H253" i="55"/>
  <c r="S102" i="55"/>
  <c r="R158" i="27"/>
  <c r="H7" i="46" s="1"/>
  <c r="D27" i="48"/>
  <c r="H27" i="48" s="1"/>
  <c r="I83" i="55"/>
  <c r="I8" i="55" s="1"/>
  <c r="J83" i="55"/>
  <c r="J8" i="55" s="1"/>
  <c r="C26" i="56" l="1"/>
  <c r="D79" i="56" s="1"/>
  <c r="J79" i="56" s="1"/>
  <c r="D27" i="46"/>
  <c r="C6" i="56"/>
  <c r="C79" i="56" s="1"/>
  <c r="I79" i="56" s="1"/>
  <c r="C27" i="46"/>
  <c r="F26" i="56"/>
  <c r="G26" i="56" s="1"/>
  <c r="F6" i="56"/>
  <c r="G6" i="56" s="1"/>
  <c r="H140" i="55"/>
  <c r="H254" i="55" s="1"/>
  <c r="J102" i="55"/>
  <c r="P26" i="27"/>
  <c r="P83" i="27" s="1"/>
  <c r="P159" i="27" s="1"/>
  <c r="S46" i="55"/>
  <c r="S65" i="55" s="1"/>
  <c r="I102" i="55"/>
  <c r="C26" i="48"/>
  <c r="F26" i="48" s="1"/>
  <c r="G26" i="48" s="1"/>
  <c r="U253" i="55"/>
  <c r="D6" i="46" s="1"/>
  <c r="S140" i="55"/>
  <c r="S235" i="55"/>
  <c r="T102" i="55"/>
  <c r="S7" i="46"/>
  <c r="D29" i="27"/>
  <c r="D86" i="27" s="1"/>
  <c r="D162" i="27" s="1"/>
  <c r="F49" i="55"/>
  <c r="F87" i="55"/>
  <c r="F12" i="55" s="1"/>
  <c r="K102" i="55"/>
  <c r="R46" i="55"/>
  <c r="R65" i="55" s="1"/>
  <c r="O26" i="27"/>
  <c r="O83" i="27" s="1"/>
  <c r="O159" i="27" s="1"/>
  <c r="T7" i="46"/>
  <c r="F26" i="27"/>
  <c r="F83" i="27" s="1"/>
  <c r="F159" i="27" s="1"/>
  <c r="H46" i="55"/>
  <c r="H65" i="55" s="1"/>
  <c r="L253" i="55"/>
  <c r="C6" i="46" s="1"/>
  <c r="C6" i="48"/>
  <c r="F6" i="48" s="1"/>
  <c r="G6" i="48" s="1"/>
  <c r="F105" i="55"/>
  <c r="Q102" i="55"/>
  <c r="R235" i="55"/>
  <c r="R140" i="55"/>
  <c r="P27" i="46" l="1"/>
  <c r="X27" i="46"/>
  <c r="X6" i="46"/>
  <c r="P6" i="46"/>
  <c r="O6" i="46"/>
  <c r="W6" i="46"/>
  <c r="W27" i="46"/>
  <c r="O27" i="46"/>
  <c r="S254" i="55"/>
  <c r="G26" i="27"/>
  <c r="G83" i="27" s="1"/>
  <c r="G159" i="27" s="1"/>
  <c r="I46" i="55"/>
  <c r="I65" i="55" s="1"/>
  <c r="F106" i="55"/>
  <c r="T140" i="55"/>
  <c r="T235" i="55"/>
  <c r="K235" i="55"/>
  <c r="K140" i="55"/>
  <c r="Q26" i="27"/>
  <c r="Q83" i="27" s="1"/>
  <c r="Q159" i="27" s="1"/>
  <c r="T46" i="55"/>
  <c r="T65" i="55" s="1"/>
  <c r="J46" i="55"/>
  <c r="J65" i="55" s="1"/>
  <c r="H26" i="27"/>
  <c r="H83" i="27" s="1"/>
  <c r="H159" i="27" s="1"/>
  <c r="R254" i="55"/>
  <c r="Q46" i="55"/>
  <c r="Q65" i="55" s="1"/>
  <c r="N26" i="27"/>
  <c r="N83" i="27" s="1"/>
  <c r="N159" i="27" s="1"/>
  <c r="Q140" i="55"/>
  <c r="Q235" i="55"/>
  <c r="I235" i="55"/>
  <c r="I140" i="55"/>
  <c r="K46" i="55"/>
  <c r="K65" i="55" s="1"/>
  <c r="I26" i="27"/>
  <c r="I83" i="27" s="1"/>
  <c r="I159" i="27" s="1"/>
  <c r="J235" i="55"/>
  <c r="J140" i="55"/>
  <c r="G29" i="46" l="1"/>
  <c r="S29" i="46" s="1"/>
  <c r="H29" i="46"/>
  <c r="T29" i="46" s="1"/>
  <c r="T254" i="55"/>
  <c r="D28" i="56"/>
  <c r="H28" i="56" s="1"/>
  <c r="D56" i="56" s="1"/>
  <c r="D8" i="56"/>
  <c r="H8" i="56" s="1"/>
  <c r="C56" i="56" s="1"/>
  <c r="T84" i="55"/>
  <c r="T9" i="55" s="1"/>
  <c r="R84" i="55"/>
  <c r="R9" i="55" s="1"/>
  <c r="U140" i="55"/>
  <c r="L140" i="55"/>
  <c r="J84" i="55"/>
  <c r="J9" i="55" s="1"/>
  <c r="K254" i="55"/>
  <c r="D8" i="48"/>
  <c r="H8" i="48" s="1"/>
  <c r="R159" i="27"/>
  <c r="H8" i="46" s="1"/>
  <c r="D28" i="48"/>
  <c r="H28" i="48" s="1"/>
  <c r="I254" i="55"/>
  <c r="L235" i="55"/>
  <c r="H84" i="55"/>
  <c r="H9" i="55" s="1"/>
  <c r="J159" i="27"/>
  <c r="G8" i="46" s="1"/>
  <c r="S84" i="55"/>
  <c r="S9" i="55" s="1"/>
  <c r="J254" i="55"/>
  <c r="I84" i="55"/>
  <c r="I9" i="55" s="1"/>
  <c r="Q254" i="55"/>
  <c r="U235" i="55"/>
  <c r="Q84" i="55"/>
  <c r="Q9" i="55" s="1"/>
  <c r="F50" i="55"/>
  <c r="D30" i="27"/>
  <c r="D87" i="27" s="1"/>
  <c r="D163" i="27" s="1"/>
  <c r="F88" i="55"/>
  <c r="F13" i="55" s="1"/>
  <c r="K84" i="55"/>
  <c r="K9" i="55" s="1"/>
  <c r="C27" i="56" l="1"/>
  <c r="D80" i="56" s="1"/>
  <c r="J80" i="56" s="1"/>
  <c r="D28" i="46"/>
  <c r="C28" i="46"/>
  <c r="F27" i="56"/>
  <c r="G27" i="56" s="1"/>
  <c r="R103" i="55"/>
  <c r="C7" i="56"/>
  <c r="C80" i="56" s="1"/>
  <c r="I80" i="56" s="1"/>
  <c r="T103" i="55"/>
  <c r="J103" i="55"/>
  <c r="U254" i="55"/>
  <c r="D7" i="46" s="1"/>
  <c r="C27" i="48"/>
  <c r="F27" i="48" s="1"/>
  <c r="G27" i="48" s="1"/>
  <c r="H103" i="55"/>
  <c r="L254" i="55"/>
  <c r="C7" i="46" s="1"/>
  <c r="C7" i="48"/>
  <c r="F7" i="48" s="1"/>
  <c r="G7" i="48" s="1"/>
  <c r="I103" i="55"/>
  <c r="T8" i="46"/>
  <c r="Q103" i="55"/>
  <c r="S103" i="55"/>
  <c r="R47" i="55"/>
  <c r="R66" i="55" s="1"/>
  <c r="O27" i="27"/>
  <c r="O84" i="27" s="1"/>
  <c r="O160" i="27" s="1"/>
  <c r="R236" i="55"/>
  <c r="R141" i="55"/>
  <c r="T47" i="55"/>
  <c r="T66" i="55" s="1"/>
  <c r="Q27" i="27"/>
  <c r="Q84" i="27" s="1"/>
  <c r="Q160" i="27" s="1"/>
  <c r="K103" i="55"/>
  <c r="F107" i="55"/>
  <c r="S8" i="46"/>
  <c r="X7" i="46" l="1"/>
  <c r="P7" i="46"/>
  <c r="X28" i="46"/>
  <c r="P28" i="46"/>
  <c r="W7" i="46"/>
  <c r="O7" i="46"/>
  <c r="O28" i="46"/>
  <c r="W28" i="46"/>
  <c r="F7" i="56"/>
  <c r="G7" i="56" s="1"/>
  <c r="T236" i="55"/>
  <c r="T141" i="55"/>
  <c r="H27" i="27"/>
  <c r="H84" i="27" s="1"/>
  <c r="H160" i="27" s="1"/>
  <c r="J47" i="55"/>
  <c r="J66" i="55" s="1"/>
  <c r="J236" i="55"/>
  <c r="J141" i="55"/>
  <c r="R255" i="55"/>
  <c r="K47" i="55"/>
  <c r="K66" i="55" s="1"/>
  <c r="I27" i="27"/>
  <c r="I84" i="27" s="1"/>
  <c r="I160" i="27" s="1"/>
  <c r="Q141" i="55"/>
  <c r="Q236" i="55"/>
  <c r="F27" i="27"/>
  <c r="F84" i="27" s="1"/>
  <c r="F160" i="27" s="1"/>
  <c r="H47" i="55"/>
  <c r="H66" i="55" s="1"/>
  <c r="F89" i="55"/>
  <c r="F14" i="55" s="1"/>
  <c r="D31" i="27"/>
  <c r="D88" i="27" s="1"/>
  <c r="D164" i="27" s="1"/>
  <c r="F51" i="55"/>
  <c r="G27" i="27"/>
  <c r="G84" i="27" s="1"/>
  <c r="G160" i="27" s="1"/>
  <c r="I47" i="55"/>
  <c r="I66" i="55" s="1"/>
  <c r="K141" i="55"/>
  <c r="K236" i="55"/>
  <c r="S47" i="55"/>
  <c r="S66" i="55" s="1"/>
  <c r="S85" i="55" s="1"/>
  <c r="S10" i="55" s="1"/>
  <c r="P27" i="27"/>
  <c r="P84" i="27" s="1"/>
  <c r="P160" i="27" s="1"/>
  <c r="H236" i="55"/>
  <c r="H141" i="55"/>
  <c r="I141" i="55"/>
  <c r="I236" i="55"/>
  <c r="S236" i="55"/>
  <c r="S141" i="55"/>
  <c r="N27" i="27"/>
  <c r="N84" i="27" s="1"/>
  <c r="N160" i="27" s="1"/>
  <c r="Q47" i="55"/>
  <c r="Q66" i="55" s="1"/>
  <c r="G30" i="46" l="1"/>
  <c r="S30" i="46" s="1"/>
  <c r="H30" i="46"/>
  <c r="T30" i="46" s="1"/>
  <c r="R85" i="55"/>
  <c r="R10" i="55" s="1"/>
  <c r="K255" i="55"/>
  <c r="D9" i="56"/>
  <c r="H9" i="56" s="1"/>
  <c r="C57" i="56" s="1"/>
  <c r="D29" i="56"/>
  <c r="H29" i="56" s="1"/>
  <c r="D57" i="56" s="1"/>
  <c r="T255" i="55"/>
  <c r="S104" i="55"/>
  <c r="S237" i="55" s="1"/>
  <c r="S255" i="55"/>
  <c r="I255" i="55"/>
  <c r="J255" i="55"/>
  <c r="L141" i="55"/>
  <c r="U141" i="55"/>
  <c r="Q85" i="55"/>
  <c r="Q10" i="55" s="1"/>
  <c r="D32" i="27"/>
  <c r="D89" i="27" s="1"/>
  <c r="D165" i="27" s="1"/>
  <c r="F52" i="55"/>
  <c r="F90" i="55"/>
  <c r="F15" i="55" s="1"/>
  <c r="F108" i="55"/>
  <c r="H85" i="55"/>
  <c r="H10" i="55" s="1"/>
  <c r="J85" i="55"/>
  <c r="J10" i="55" s="1"/>
  <c r="R160" i="27"/>
  <c r="H9" i="46" s="1"/>
  <c r="D29" i="48"/>
  <c r="H29" i="48" s="1"/>
  <c r="H255" i="55"/>
  <c r="C29" i="46" s="1"/>
  <c r="L236" i="55"/>
  <c r="J160" i="27"/>
  <c r="G9" i="46" s="1"/>
  <c r="D9" i="48"/>
  <c r="H9" i="48" s="1"/>
  <c r="I85" i="55"/>
  <c r="I10" i="55" s="1"/>
  <c r="Q255" i="55"/>
  <c r="U236" i="55"/>
  <c r="K85" i="55"/>
  <c r="K10" i="55" s="1"/>
  <c r="T85" i="55"/>
  <c r="T10" i="55" s="1"/>
  <c r="D29" i="46" l="1"/>
  <c r="W29" i="46"/>
  <c r="O29" i="46"/>
  <c r="R104" i="55"/>
  <c r="R142" i="55" s="1"/>
  <c r="S142" i="55"/>
  <c r="C28" i="56"/>
  <c r="D81" i="56" s="1"/>
  <c r="J81" i="56" s="1"/>
  <c r="C8" i="56"/>
  <c r="C81" i="56" s="1"/>
  <c r="I81" i="56" s="1"/>
  <c r="Q104" i="55"/>
  <c r="Q237" i="55" s="1"/>
  <c r="Q142" i="55"/>
  <c r="S256" i="55"/>
  <c r="F91" i="55"/>
  <c r="F16" i="55" s="1"/>
  <c r="D33" i="27"/>
  <c r="D90" i="27" s="1"/>
  <c r="D166" i="27" s="1"/>
  <c r="F53" i="55"/>
  <c r="S48" i="55"/>
  <c r="S67" i="55" s="1"/>
  <c r="P28" i="27"/>
  <c r="P85" i="27" s="1"/>
  <c r="P161" i="27" s="1"/>
  <c r="T104" i="55"/>
  <c r="C8" i="48"/>
  <c r="F8" i="48" s="1"/>
  <c r="G8" i="48" s="1"/>
  <c r="L255" i="55"/>
  <c r="C8" i="46" s="1"/>
  <c r="T9" i="46"/>
  <c r="K104" i="55"/>
  <c r="R48" i="55"/>
  <c r="R67" i="55" s="1"/>
  <c r="O28" i="27"/>
  <c r="O85" i="27" s="1"/>
  <c r="O161" i="27" s="1"/>
  <c r="H104" i="55"/>
  <c r="C28" i="48"/>
  <c r="F28" i="48" s="1"/>
  <c r="G28" i="48" s="1"/>
  <c r="U255" i="55"/>
  <c r="D8" i="46" s="1"/>
  <c r="S9" i="46"/>
  <c r="F109" i="55"/>
  <c r="N28" i="27"/>
  <c r="N85" i="27" s="1"/>
  <c r="N161" i="27" s="1"/>
  <c r="Q48" i="55"/>
  <c r="Q67" i="55" s="1"/>
  <c r="J104" i="55"/>
  <c r="I104" i="55"/>
  <c r="R237" i="55" l="1"/>
  <c r="P8" i="46"/>
  <c r="X8" i="46"/>
  <c r="X29" i="46"/>
  <c r="P29" i="46"/>
  <c r="H31" i="46"/>
  <c r="T31" i="46" s="1"/>
  <c r="O8" i="46"/>
  <c r="W8" i="46"/>
  <c r="Q256" i="55"/>
  <c r="F8" i="56"/>
  <c r="G8" i="56" s="1"/>
  <c r="F28" i="56"/>
  <c r="G28" i="56" s="1"/>
  <c r="R256" i="55"/>
  <c r="Q28" i="27"/>
  <c r="Q85" i="27" s="1"/>
  <c r="Q161" i="27" s="1"/>
  <c r="D30" i="48" s="1"/>
  <c r="H30" i="48" s="1"/>
  <c r="T48" i="55"/>
  <c r="T67" i="55" s="1"/>
  <c r="T86" i="55" s="1"/>
  <c r="T11" i="55" s="1"/>
  <c r="H142" i="55"/>
  <c r="H237" i="55"/>
  <c r="K48" i="55"/>
  <c r="K67" i="55" s="1"/>
  <c r="I28" i="27"/>
  <c r="I85" i="27" s="1"/>
  <c r="I161" i="27" s="1"/>
  <c r="T237" i="55"/>
  <c r="T142" i="55"/>
  <c r="U142" i="55" s="1"/>
  <c r="J48" i="55"/>
  <c r="J67" i="55" s="1"/>
  <c r="H28" i="27"/>
  <c r="H85" i="27" s="1"/>
  <c r="H161" i="27" s="1"/>
  <c r="K237" i="55"/>
  <c r="K142" i="55"/>
  <c r="J237" i="55"/>
  <c r="J142" i="55"/>
  <c r="I48" i="55"/>
  <c r="I67" i="55" s="1"/>
  <c r="G28" i="27"/>
  <c r="G85" i="27" s="1"/>
  <c r="G161" i="27" s="1"/>
  <c r="I142" i="55"/>
  <c r="I237" i="55"/>
  <c r="F54" i="55"/>
  <c r="D34" i="27"/>
  <c r="D91" i="27" s="1"/>
  <c r="D167" i="27" s="1"/>
  <c r="F92" i="55"/>
  <c r="F17" i="55" s="1"/>
  <c r="H48" i="55"/>
  <c r="H67" i="55" s="1"/>
  <c r="F28" i="27"/>
  <c r="F85" i="27" s="1"/>
  <c r="F161" i="27" s="1"/>
  <c r="F110" i="55"/>
  <c r="G31" i="46" l="1"/>
  <c r="S31" i="46" s="1"/>
  <c r="J86" i="55"/>
  <c r="J11" i="55" s="1"/>
  <c r="Q86" i="55"/>
  <c r="Q11" i="55" s="1"/>
  <c r="R86" i="55"/>
  <c r="R11" i="55" s="1"/>
  <c r="S86" i="55"/>
  <c r="S11" i="55" s="1"/>
  <c r="D10" i="56"/>
  <c r="D30" i="56"/>
  <c r="I256" i="55"/>
  <c r="T105" i="55"/>
  <c r="T143" i="55" s="1"/>
  <c r="R161" i="27"/>
  <c r="H10" i="46" s="1"/>
  <c r="T10" i="46" s="1"/>
  <c r="J105" i="55"/>
  <c r="J143" i="55" s="1"/>
  <c r="K256" i="55"/>
  <c r="T256" i="55"/>
  <c r="C29" i="56" s="1"/>
  <c r="D82" i="56" s="1"/>
  <c r="J82" i="56" s="1"/>
  <c r="K86" i="55"/>
  <c r="K11" i="55" s="1"/>
  <c r="U237" i="55"/>
  <c r="L237" i="55"/>
  <c r="H256" i="55"/>
  <c r="Q105" i="55"/>
  <c r="L142" i="55"/>
  <c r="J256" i="55"/>
  <c r="R105" i="55"/>
  <c r="J161" i="27"/>
  <c r="G10" i="46" s="1"/>
  <c r="D10" i="48"/>
  <c r="H10" i="48" s="1"/>
  <c r="F111" i="55"/>
  <c r="D35" i="27"/>
  <c r="D92" i="27" s="1"/>
  <c r="D168" i="27" s="1"/>
  <c r="F55" i="55"/>
  <c r="F93" i="55"/>
  <c r="F18" i="55" s="1"/>
  <c r="I86" i="55"/>
  <c r="I11" i="55" s="1"/>
  <c r="H86" i="55"/>
  <c r="H11" i="55" s="1"/>
  <c r="D30" i="46" l="1"/>
  <c r="C30" i="46"/>
  <c r="S105" i="55"/>
  <c r="F29" i="56"/>
  <c r="G29" i="56" s="1"/>
  <c r="C9" i="56"/>
  <c r="C82" i="56" s="1"/>
  <c r="I82" i="56" s="1"/>
  <c r="H30" i="56"/>
  <c r="D58" i="56" s="1"/>
  <c r="H10" i="56"/>
  <c r="C58" i="56" s="1"/>
  <c r="T238" i="55"/>
  <c r="T257" i="55" s="1"/>
  <c r="J238" i="55"/>
  <c r="J257" i="55" s="1"/>
  <c r="U256" i="55"/>
  <c r="D9" i="46" s="1"/>
  <c r="C29" i="48"/>
  <c r="F29" i="48" s="1"/>
  <c r="G29" i="48" s="1"/>
  <c r="H29" i="27"/>
  <c r="H86" i="27" s="1"/>
  <c r="H162" i="27" s="1"/>
  <c r="J49" i="55"/>
  <c r="J68" i="55" s="1"/>
  <c r="S10" i="46"/>
  <c r="Q49" i="55"/>
  <c r="Q68" i="55" s="1"/>
  <c r="N29" i="27"/>
  <c r="N86" i="27" s="1"/>
  <c r="N162" i="27" s="1"/>
  <c r="I105" i="55"/>
  <c r="C9" i="48"/>
  <c r="F9" i="48" s="1"/>
  <c r="G9" i="48" s="1"/>
  <c r="L256" i="55"/>
  <c r="C9" i="46" s="1"/>
  <c r="P29" i="27"/>
  <c r="P86" i="27" s="1"/>
  <c r="P162" i="27" s="1"/>
  <c r="S49" i="55"/>
  <c r="S68" i="55" s="1"/>
  <c r="H105" i="55"/>
  <c r="F112" i="55"/>
  <c r="T49" i="55"/>
  <c r="T68" i="55" s="1"/>
  <c r="Q29" i="27"/>
  <c r="Q86" i="27" s="1"/>
  <c r="Q162" i="27" s="1"/>
  <c r="O29" i="27"/>
  <c r="O86" i="27" s="1"/>
  <c r="O162" i="27" s="1"/>
  <c r="R49" i="55"/>
  <c r="R68" i="55" s="1"/>
  <c r="S143" i="55"/>
  <c r="S238" i="55"/>
  <c r="Q143" i="55"/>
  <c r="Q238" i="55"/>
  <c r="R238" i="55"/>
  <c r="R143" i="55"/>
  <c r="K105" i="55"/>
  <c r="H32" i="46" l="1"/>
  <c r="T32" i="46" s="1"/>
  <c r="P30" i="46"/>
  <c r="X30" i="46"/>
  <c r="P9" i="46"/>
  <c r="X9" i="46"/>
  <c r="W9" i="46"/>
  <c r="O9" i="46"/>
  <c r="W30" i="46"/>
  <c r="O30" i="46"/>
  <c r="F9" i="56"/>
  <c r="G9" i="56" s="1"/>
  <c r="D31" i="56"/>
  <c r="S257" i="55"/>
  <c r="Q87" i="55"/>
  <c r="Q12" i="55" s="1"/>
  <c r="U143" i="55"/>
  <c r="R87" i="55"/>
  <c r="R12" i="55" s="1"/>
  <c r="F94" i="55"/>
  <c r="F19" i="55" s="1"/>
  <c r="F56" i="55"/>
  <c r="D36" i="27"/>
  <c r="D93" i="27" s="1"/>
  <c r="D169" i="27" s="1"/>
  <c r="I29" i="27"/>
  <c r="I86" i="27" s="1"/>
  <c r="I162" i="27" s="1"/>
  <c r="K49" i="55"/>
  <c r="K68" i="55" s="1"/>
  <c r="S87" i="55"/>
  <c r="S12" i="55" s="1"/>
  <c r="G29" i="27"/>
  <c r="G86" i="27" s="1"/>
  <c r="G162" i="27" s="1"/>
  <c r="I49" i="55"/>
  <c r="I68" i="55" s="1"/>
  <c r="R162" i="27"/>
  <c r="H11" i="46" s="1"/>
  <c r="D31" i="48"/>
  <c r="H31" i="48" s="1"/>
  <c r="H49" i="55"/>
  <c r="H68" i="55" s="1"/>
  <c r="F29" i="27"/>
  <c r="F86" i="27" s="1"/>
  <c r="F162" i="27" s="1"/>
  <c r="H143" i="55"/>
  <c r="H238" i="55"/>
  <c r="K143" i="55"/>
  <c r="K238" i="55"/>
  <c r="I143" i="55"/>
  <c r="I238" i="55"/>
  <c r="U238" i="55"/>
  <c r="Q257" i="55"/>
  <c r="D31" i="46" s="1"/>
  <c r="R257" i="55"/>
  <c r="T87" i="55"/>
  <c r="T12" i="55" s="1"/>
  <c r="X31" i="46" l="1"/>
  <c r="P31" i="46"/>
  <c r="G32" i="46"/>
  <c r="S32" i="46" s="1"/>
  <c r="C30" i="56"/>
  <c r="D83" i="56" s="1"/>
  <c r="J83" i="56" s="1"/>
  <c r="D11" i="56"/>
  <c r="H31" i="56"/>
  <c r="D59" i="56" s="1"/>
  <c r="R106" i="55"/>
  <c r="R144" i="55" s="1"/>
  <c r="Q106" i="55"/>
  <c r="K257" i="55"/>
  <c r="K87" i="55"/>
  <c r="K12" i="55" s="1"/>
  <c r="R239" i="55"/>
  <c r="R258" i="55" s="1"/>
  <c r="L143" i="55"/>
  <c r="J162" i="27"/>
  <c r="G11" i="46" s="1"/>
  <c r="D11" i="48"/>
  <c r="H11" i="48" s="1"/>
  <c r="F57" i="55"/>
  <c r="F95" i="55"/>
  <c r="F20" i="55" s="1"/>
  <c r="D37" i="27"/>
  <c r="D94" i="27" s="1"/>
  <c r="D170" i="27" s="1"/>
  <c r="H87" i="55"/>
  <c r="H12" i="55" s="1"/>
  <c r="S106" i="55"/>
  <c r="L238" i="55"/>
  <c r="H257" i="55"/>
  <c r="C31" i="46" s="1"/>
  <c r="J87" i="55"/>
  <c r="J12" i="55" s="1"/>
  <c r="T106" i="55"/>
  <c r="R50" i="55"/>
  <c r="R69" i="55" s="1"/>
  <c r="O30" i="27"/>
  <c r="O87" i="27" s="1"/>
  <c r="O163" i="27" s="1"/>
  <c r="U257" i="55"/>
  <c r="D10" i="46" s="1"/>
  <c r="C30" i="48"/>
  <c r="F30" i="48" s="1"/>
  <c r="G30" i="48" s="1"/>
  <c r="T11" i="46"/>
  <c r="I257" i="55"/>
  <c r="I87" i="55"/>
  <c r="I12" i="55" s="1"/>
  <c r="F113" i="55"/>
  <c r="P10" i="46" l="1"/>
  <c r="X10" i="46"/>
  <c r="O31" i="46"/>
  <c r="W31" i="46"/>
  <c r="F30" i="56"/>
  <c r="G30" i="56" s="1"/>
  <c r="C10" i="56"/>
  <c r="C83" i="56" s="1"/>
  <c r="I83" i="56" s="1"/>
  <c r="H11" i="56"/>
  <c r="C59" i="56" s="1"/>
  <c r="Q144" i="55"/>
  <c r="Q239" i="55"/>
  <c r="Q258" i="55" s="1"/>
  <c r="K106" i="55"/>
  <c r="K239" i="55" s="1"/>
  <c r="K50" i="55"/>
  <c r="K69" i="55" s="1"/>
  <c r="I30" i="27"/>
  <c r="I87" i="27" s="1"/>
  <c r="I163" i="27" s="1"/>
  <c r="Q50" i="55"/>
  <c r="Q69" i="55" s="1"/>
  <c r="N30" i="27"/>
  <c r="N87" i="27" s="1"/>
  <c r="N163" i="27" s="1"/>
  <c r="F114" i="55"/>
  <c r="J106" i="55"/>
  <c r="S11" i="46"/>
  <c r="S50" i="55"/>
  <c r="S69" i="55" s="1"/>
  <c r="P30" i="27"/>
  <c r="P87" i="27" s="1"/>
  <c r="P163" i="27" s="1"/>
  <c r="S239" i="55"/>
  <c r="S144" i="55"/>
  <c r="F96" i="55"/>
  <c r="F21" i="55" s="1"/>
  <c r="D38" i="27"/>
  <c r="D95" i="27" s="1"/>
  <c r="D171" i="27" s="1"/>
  <c r="F58" i="55"/>
  <c r="Q30" i="27"/>
  <c r="Q87" i="27" s="1"/>
  <c r="Q163" i="27" s="1"/>
  <c r="T50" i="55"/>
  <c r="T69" i="55" s="1"/>
  <c r="H106" i="55"/>
  <c r="I106" i="55"/>
  <c r="L257" i="55"/>
  <c r="C10" i="46" s="1"/>
  <c r="C10" i="48"/>
  <c r="F10" i="48" s="1"/>
  <c r="G10" i="48" s="1"/>
  <c r="T239" i="55"/>
  <c r="T144" i="55"/>
  <c r="H33" i="46" l="1"/>
  <c r="T33" i="46" s="1"/>
  <c r="W10" i="46"/>
  <c r="O10" i="46"/>
  <c r="F10" i="56"/>
  <c r="G10" i="56" s="1"/>
  <c r="D32" i="56"/>
  <c r="H32" i="56" s="1"/>
  <c r="D60" i="56" s="1"/>
  <c r="K144" i="55"/>
  <c r="K258" i="55" s="1"/>
  <c r="R163" i="27"/>
  <c r="H12" i="46" s="1"/>
  <c r="T12" i="46" s="1"/>
  <c r="R88" i="55"/>
  <c r="R13" i="55" s="1"/>
  <c r="T88" i="55"/>
  <c r="T13" i="55" s="1"/>
  <c r="U144" i="55"/>
  <c r="D32" i="48"/>
  <c r="H32" i="48" s="1"/>
  <c r="T258" i="55"/>
  <c r="F97" i="55"/>
  <c r="F22" i="55" s="1"/>
  <c r="D39" i="27"/>
  <c r="D96" i="27" s="1"/>
  <c r="D172" i="27" s="1"/>
  <c r="F59" i="55"/>
  <c r="F115" i="55"/>
  <c r="I239" i="55"/>
  <c r="I144" i="55"/>
  <c r="S88" i="55"/>
  <c r="S13" i="55" s="1"/>
  <c r="Q88" i="55"/>
  <c r="Q13" i="55" s="1"/>
  <c r="S258" i="55"/>
  <c r="U239" i="55"/>
  <c r="H144" i="55"/>
  <c r="H239" i="55"/>
  <c r="J50" i="55"/>
  <c r="J69" i="55" s="1"/>
  <c r="H30" i="27"/>
  <c r="H87" i="27" s="1"/>
  <c r="H163" i="27" s="1"/>
  <c r="J239" i="55"/>
  <c r="J144" i="55"/>
  <c r="I50" i="55"/>
  <c r="I69" i="55" s="1"/>
  <c r="G30" i="27"/>
  <c r="G87" i="27" s="1"/>
  <c r="G163" i="27" s="1"/>
  <c r="H50" i="55"/>
  <c r="H69" i="55" s="1"/>
  <c r="F30" i="27"/>
  <c r="F87" i="27" s="1"/>
  <c r="F163" i="27" s="1"/>
  <c r="G33" i="46" s="1"/>
  <c r="S33" i="46" s="1"/>
  <c r="D32" i="46" l="1"/>
  <c r="X32" i="46"/>
  <c r="P32" i="46"/>
  <c r="C31" i="56"/>
  <c r="D84" i="56" s="1"/>
  <c r="J84" i="56" s="1"/>
  <c r="D12" i="56"/>
  <c r="R107" i="55"/>
  <c r="R145" i="55" s="1"/>
  <c r="T107" i="55"/>
  <c r="H88" i="55"/>
  <c r="H13" i="55" s="1"/>
  <c r="U258" i="55"/>
  <c r="D11" i="46" s="1"/>
  <c r="C31" i="48"/>
  <c r="F31" i="48" s="1"/>
  <c r="G31" i="48" s="1"/>
  <c r="Q31" i="27"/>
  <c r="Q88" i="27" s="1"/>
  <c r="Q164" i="27" s="1"/>
  <c r="T51" i="55"/>
  <c r="T70" i="55" s="1"/>
  <c r="I88" i="55"/>
  <c r="I13" i="55" s="1"/>
  <c r="D12" i="48"/>
  <c r="H12" i="48" s="1"/>
  <c r="J163" i="27"/>
  <c r="G12" i="46" s="1"/>
  <c r="K88" i="55"/>
  <c r="K13" i="55" s="1"/>
  <c r="F116" i="55"/>
  <c r="S107" i="55"/>
  <c r="J258" i="55"/>
  <c r="Q107" i="55"/>
  <c r="F60" i="55"/>
  <c r="D40" i="27"/>
  <c r="D97" i="27" s="1"/>
  <c r="D173" i="27" s="1"/>
  <c r="F98" i="55"/>
  <c r="I258" i="55"/>
  <c r="J88" i="55"/>
  <c r="J13" i="55" s="1"/>
  <c r="H258" i="55"/>
  <c r="L239" i="55"/>
  <c r="L144" i="55"/>
  <c r="P11" i="46" l="1"/>
  <c r="X11" i="46"/>
  <c r="C32" i="46"/>
  <c r="F31" i="56"/>
  <c r="G31" i="56" s="1"/>
  <c r="R240" i="55"/>
  <c r="R259" i="55" s="1"/>
  <c r="C11" i="56"/>
  <c r="C84" i="56" s="1"/>
  <c r="I84" i="56" s="1"/>
  <c r="H12" i="56"/>
  <c r="C60" i="56" s="1"/>
  <c r="T240" i="55"/>
  <c r="T145" i="55"/>
  <c r="R51" i="55"/>
  <c r="R70" i="55" s="1"/>
  <c r="O31" i="27"/>
  <c r="O88" i="27" s="1"/>
  <c r="O164" i="27" s="1"/>
  <c r="H107" i="55"/>
  <c r="J107" i="55"/>
  <c r="L258" i="55"/>
  <c r="C11" i="46" s="1"/>
  <c r="C11" i="48"/>
  <c r="F11" i="48" s="1"/>
  <c r="G11" i="48" s="1"/>
  <c r="I107" i="55"/>
  <c r="Q51" i="55"/>
  <c r="Q70" i="55" s="1"/>
  <c r="N31" i="27"/>
  <c r="N88" i="27" s="1"/>
  <c r="N164" i="27" s="1"/>
  <c r="S145" i="55"/>
  <c r="S240" i="55"/>
  <c r="S12" i="46"/>
  <c r="F117" i="55"/>
  <c r="K107" i="55"/>
  <c r="Q240" i="55"/>
  <c r="Q145" i="55"/>
  <c r="F31" i="27"/>
  <c r="F88" i="27" s="1"/>
  <c r="F164" i="27" s="1"/>
  <c r="H51" i="55"/>
  <c r="H70" i="55" s="1"/>
  <c r="P31" i="27"/>
  <c r="P88" i="27" s="1"/>
  <c r="P164" i="27" s="1"/>
  <c r="S51" i="55"/>
  <c r="S70" i="55" s="1"/>
  <c r="H34" i="46" l="1"/>
  <c r="T34" i="46" s="1"/>
  <c r="W11" i="46"/>
  <c r="O11" i="46"/>
  <c r="O32" i="46"/>
  <c r="W32" i="46"/>
  <c r="F11" i="56"/>
  <c r="G11" i="56" s="1"/>
  <c r="R89" i="55"/>
  <c r="R14" i="55" s="1"/>
  <c r="S259" i="55"/>
  <c r="D33" i="56"/>
  <c r="S89" i="55"/>
  <c r="T259" i="55"/>
  <c r="H145" i="55"/>
  <c r="H240" i="55"/>
  <c r="U145" i="55"/>
  <c r="I51" i="55"/>
  <c r="I70" i="55" s="1"/>
  <c r="G31" i="27"/>
  <c r="G88" i="27" s="1"/>
  <c r="G164" i="27" s="1"/>
  <c r="T89" i="55"/>
  <c r="T14" i="55" s="1"/>
  <c r="J51" i="55"/>
  <c r="J70" i="55" s="1"/>
  <c r="H31" i="27"/>
  <c r="H88" i="27" s="1"/>
  <c r="H164" i="27" s="1"/>
  <c r="Q259" i="55"/>
  <c r="U240" i="55"/>
  <c r="I240" i="55"/>
  <c r="I145" i="55"/>
  <c r="J145" i="55"/>
  <c r="J240" i="55"/>
  <c r="R164" i="27"/>
  <c r="H13" i="46" s="1"/>
  <c r="D33" i="48"/>
  <c r="H33" i="48" s="1"/>
  <c r="K51" i="55"/>
  <c r="K70" i="55" s="1"/>
  <c r="I31" i="27"/>
  <c r="I88" i="27" s="1"/>
  <c r="I164" i="27" s="1"/>
  <c r="K240" i="55"/>
  <c r="K145" i="55"/>
  <c r="Q89" i="55"/>
  <c r="Q14" i="55" s="1"/>
  <c r="G34" i="46" l="1"/>
  <c r="S34" i="46" s="1"/>
  <c r="R108" i="55"/>
  <c r="D33" i="46"/>
  <c r="J89" i="55"/>
  <c r="J14" i="55" s="1"/>
  <c r="H33" i="56"/>
  <c r="D61" i="56" s="1"/>
  <c r="C32" i="56"/>
  <c r="D85" i="56" s="1"/>
  <c r="J85" i="56" s="1"/>
  <c r="D13" i="56"/>
  <c r="H13" i="56" s="1"/>
  <c r="C61" i="56" s="1"/>
  <c r="J259" i="55"/>
  <c r="S108" i="55"/>
  <c r="S14" i="55"/>
  <c r="S52" i="55" s="1"/>
  <c r="S71" i="55" s="1"/>
  <c r="S146" i="55"/>
  <c r="S241" i="55"/>
  <c r="H259" i="55"/>
  <c r="D13" i="48"/>
  <c r="H13" i="48" s="1"/>
  <c r="H89" i="55"/>
  <c r="H14" i="55" s="1"/>
  <c r="J164" i="27"/>
  <c r="G13" i="46" s="1"/>
  <c r="Q108" i="55"/>
  <c r="K259" i="55"/>
  <c r="I89" i="55"/>
  <c r="I14" i="55" s="1"/>
  <c r="T13" i="46"/>
  <c r="T108" i="55"/>
  <c r="L145" i="55"/>
  <c r="I259" i="55"/>
  <c r="L240" i="55"/>
  <c r="R52" i="55"/>
  <c r="R71" i="55" s="1"/>
  <c r="O32" i="27"/>
  <c r="O89" i="27" s="1"/>
  <c r="O165" i="27" s="1"/>
  <c r="K89" i="55"/>
  <c r="K14" i="55" s="1"/>
  <c r="U259" i="55"/>
  <c r="D12" i="46" s="1"/>
  <c r="C32" i="48"/>
  <c r="F32" i="48" s="1"/>
  <c r="G32" i="48" s="1"/>
  <c r="R146" i="55"/>
  <c r="R241" i="55"/>
  <c r="J108" i="55" l="1"/>
  <c r="J146" i="55" s="1"/>
  <c r="X12" i="46"/>
  <c r="P12" i="46"/>
  <c r="X33" i="46"/>
  <c r="P33" i="46"/>
  <c r="C33" i="46"/>
  <c r="W33" i="46"/>
  <c r="O33" i="46"/>
  <c r="F32" i="56"/>
  <c r="G32" i="56" s="1"/>
  <c r="J241" i="55"/>
  <c r="J260" i="55" s="1"/>
  <c r="R260" i="55"/>
  <c r="S260" i="55"/>
  <c r="C12" i="56"/>
  <c r="C85" i="56" s="1"/>
  <c r="I85" i="56" s="1"/>
  <c r="P32" i="27"/>
  <c r="P89" i="27" s="1"/>
  <c r="P165" i="27" s="1"/>
  <c r="H108" i="55"/>
  <c r="H146" i="55" s="1"/>
  <c r="S13" i="46"/>
  <c r="L259" i="55"/>
  <c r="C12" i="46" s="1"/>
  <c r="C12" i="48"/>
  <c r="F12" i="48" s="1"/>
  <c r="G12" i="48" s="1"/>
  <c r="F32" i="27"/>
  <c r="F89" i="27" s="1"/>
  <c r="F165" i="27" s="1"/>
  <c r="H52" i="55"/>
  <c r="H71" i="55" s="1"/>
  <c r="Q32" i="27"/>
  <c r="Q89" i="27" s="1"/>
  <c r="Q165" i="27" s="1"/>
  <c r="T52" i="55"/>
  <c r="T71" i="55" s="1"/>
  <c r="H32" i="27"/>
  <c r="H89" i="27" s="1"/>
  <c r="H165" i="27" s="1"/>
  <c r="J52" i="55"/>
  <c r="J71" i="55" s="1"/>
  <c r="Q52" i="55"/>
  <c r="Q71" i="55" s="1"/>
  <c r="N32" i="27"/>
  <c r="N89" i="27" s="1"/>
  <c r="N165" i="27" s="1"/>
  <c r="Q146" i="55"/>
  <c r="Q241" i="55"/>
  <c r="I108" i="55"/>
  <c r="T241" i="55"/>
  <c r="T146" i="55"/>
  <c r="K108" i="55"/>
  <c r="H35" i="46" l="1"/>
  <c r="T35" i="46" s="1"/>
  <c r="W12" i="46"/>
  <c r="O12" i="46"/>
  <c r="F12" i="56"/>
  <c r="G12" i="56" s="1"/>
  <c r="H241" i="55"/>
  <c r="H260" i="55" s="1"/>
  <c r="D34" i="56"/>
  <c r="T90" i="55"/>
  <c r="T15" i="55" s="1"/>
  <c r="I52" i="55"/>
  <c r="I71" i="55" s="1"/>
  <c r="G32" i="27"/>
  <c r="G89" i="27" s="1"/>
  <c r="G165" i="27" s="1"/>
  <c r="T260" i="55"/>
  <c r="Q90" i="55"/>
  <c r="Q15" i="55" s="1"/>
  <c r="I241" i="55"/>
  <c r="I146" i="55"/>
  <c r="U241" i="55"/>
  <c r="Q260" i="55"/>
  <c r="R90" i="55"/>
  <c r="R15" i="55" s="1"/>
  <c r="S90" i="55"/>
  <c r="S15" i="55" s="1"/>
  <c r="U146" i="55"/>
  <c r="D34" i="48"/>
  <c r="H34" i="48" s="1"/>
  <c r="R165" i="27"/>
  <c r="H14" i="46" s="1"/>
  <c r="K52" i="55"/>
  <c r="K71" i="55" s="1"/>
  <c r="I32" i="27"/>
  <c r="I89" i="27" s="1"/>
  <c r="I165" i="27" s="1"/>
  <c r="K146" i="55"/>
  <c r="K241" i="55"/>
  <c r="G35" i="46" l="1"/>
  <c r="S35" i="46" s="1"/>
  <c r="D34" i="46"/>
  <c r="K90" i="55"/>
  <c r="K15" i="55" s="1"/>
  <c r="C33" i="56"/>
  <c r="D86" i="56" s="1"/>
  <c r="J86" i="56" s="1"/>
  <c r="D14" i="48"/>
  <c r="H14" i="48" s="1"/>
  <c r="D14" i="56"/>
  <c r="H14" i="56" s="1"/>
  <c r="C62" i="56" s="1"/>
  <c r="H34" i="56"/>
  <c r="D62" i="56" s="1"/>
  <c r="T109" i="55"/>
  <c r="K109" i="55"/>
  <c r="K147" i="55" s="1"/>
  <c r="L146" i="55"/>
  <c r="J165" i="27"/>
  <c r="G14" i="46" s="1"/>
  <c r="S14" i="46" s="1"/>
  <c r="K260" i="55"/>
  <c r="Q109" i="55"/>
  <c r="J90" i="55"/>
  <c r="J15" i="55" s="1"/>
  <c r="S109" i="55"/>
  <c r="C33" i="48"/>
  <c r="F33" i="48" s="1"/>
  <c r="G33" i="48" s="1"/>
  <c r="U260" i="55"/>
  <c r="D13" i="46" s="1"/>
  <c r="T14" i="46"/>
  <c r="H90" i="55"/>
  <c r="H15" i="55" s="1"/>
  <c r="I260" i="55"/>
  <c r="R109" i="55"/>
  <c r="L241" i="55"/>
  <c r="I90" i="55"/>
  <c r="I15" i="55" s="1"/>
  <c r="C34" i="46" l="1"/>
  <c r="K242" i="55"/>
  <c r="X13" i="46"/>
  <c r="P13" i="46"/>
  <c r="P34" i="46"/>
  <c r="X34" i="46"/>
  <c r="W34" i="46"/>
  <c r="O34" i="46"/>
  <c r="F33" i="56"/>
  <c r="G33" i="56" s="1"/>
  <c r="C13" i="56"/>
  <c r="C86" i="56" s="1"/>
  <c r="I86" i="56" s="1"/>
  <c r="T242" i="55"/>
  <c r="T147" i="55"/>
  <c r="T53" i="55"/>
  <c r="T72" i="55" s="1"/>
  <c r="Q33" i="27"/>
  <c r="Q90" i="27" s="1"/>
  <c r="Q166" i="27" s="1"/>
  <c r="L260" i="55"/>
  <c r="C13" i="46" s="1"/>
  <c r="C13" i="48"/>
  <c r="F13" i="48" s="1"/>
  <c r="G13" i="48" s="1"/>
  <c r="R147" i="55"/>
  <c r="R242" i="55"/>
  <c r="P33" i="27"/>
  <c r="P90" i="27" s="1"/>
  <c r="P166" i="27" s="1"/>
  <c r="S53" i="55"/>
  <c r="S72" i="55" s="1"/>
  <c r="I33" i="27"/>
  <c r="I90" i="27" s="1"/>
  <c r="I166" i="27" s="1"/>
  <c r="K53" i="55"/>
  <c r="K72" i="55" s="1"/>
  <c r="H109" i="55"/>
  <c r="J109" i="55"/>
  <c r="Q53" i="55"/>
  <c r="Q72" i="55" s="1"/>
  <c r="N33" i="27"/>
  <c r="N90" i="27" s="1"/>
  <c r="N166" i="27" s="1"/>
  <c r="Q147" i="55"/>
  <c r="Q242" i="55"/>
  <c r="K261" i="55"/>
  <c r="S242" i="55"/>
  <c r="S147" i="55"/>
  <c r="I109" i="55"/>
  <c r="O33" i="27"/>
  <c r="O90" i="27" s="1"/>
  <c r="O166" i="27" s="1"/>
  <c r="R53" i="55"/>
  <c r="R72" i="55" s="1"/>
  <c r="H36" i="46" l="1"/>
  <c r="T36" i="46" s="1"/>
  <c r="W13" i="46"/>
  <c r="O13" i="46"/>
  <c r="F13" i="56"/>
  <c r="G13" i="56" s="1"/>
  <c r="D35" i="56"/>
  <c r="R261" i="55"/>
  <c r="T91" i="55"/>
  <c r="T16" i="55" s="1"/>
  <c r="T261" i="55"/>
  <c r="R91" i="55"/>
  <c r="R16" i="55" s="1"/>
  <c r="S261" i="55"/>
  <c r="S91" i="55"/>
  <c r="S16" i="55" s="1"/>
  <c r="F33" i="27"/>
  <c r="F90" i="27" s="1"/>
  <c r="F166" i="27" s="1"/>
  <c r="H53" i="55"/>
  <c r="H72" i="55" s="1"/>
  <c r="I242" i="55"/>
  <c r="I147" i="55"/>
  <c r="U242" i="55"/>
  <c r="Q261" i="55"/>
  <c r="J147" i="55"/>
  <c r="J242" i="55"/>
  <c r="H242" i="55"/>
  <c r="H147" i="55"/>
  <c r="U147" i="55"/>
  <c r="I53" i="55"/>
  <c r="I72" i="55" s="1"/>
  <c r="G33" i="27"/>
  <c r="G90" i="27" s="1"/>
  <c r="G166" i="27" s="1"/>
  <c r="D35" i="48"/>
  <c r="H35" i="48" s="1"/>
  <c r="R166" i="27"/>
  <c r="H15" i="46" s="1"/>
  <c r="H33" i="27"/>
  <c r="H90" i="27" s="1"/>
  <c r="H166" i="27" s="1"/>
  <c r="J53" i="55"/>
  <c r="J72" i="55" s="1"/>
  <c r="Q91" i="55"/>
  <c r="Q16" i="55" s="1"/>
  <c r="D35" i="46" l="1"/>
  <c r="G36" i="46"/>
  <c r="S36" i="46" s="1"/>
  <c r="J261" i="55"/>
  <c r="C34" i="56"/>
  <c r="D87" i="56" s="1"/>
  <c r="J87" i="56" s="1"/>
  <c r="D15" i="56"/>
  <c r="H35" i="56"/>
  <c r="D63" i="56" s="1"/>
  <c r="R110" i="55"/>
  <c r="T110" i="55"/>
  <c r="T148" i="55" s="1"/>
  <c r="S110" i="55"/>
  <c r="S243" i="55" s="1"/>
  <c r="I91" i="55"/>
  <c r="I16" i="55" s="1"/>
  <c r="K91" i="55"/>
  <c r="K16" i="55" s="1"/>
  <c r="S148" i="55"/>
  <c r="Q110" i="55"/>
  <c r="U261" i="55"/>
  <c r="D14" i="46" s="1"/>
  <c r="C34" i="48"/>
  <c r="F34" i="48" s="1"/>
  <c r="G34" i="48" s="1"/>
  <c r="I261" i="55"/>
  <c r="H261" i="55"/>
  <c r="C35" i="46" s="1"/>
  <c r="L242" i="55"/>
  <c r="R54" i="55"/>
  <c r="R73" i="55" s="1"/>
  <c r="O34" i="27"/>
  <c r="O91" i="27" s="1"/>
  <c r="O167" i="27" s="1"/>
  <c r="L147" i="55"/>
  <c r="T54" i="55"/>
  <c r="T73" i="55" s="1"/>
  <c r="Q34" i="27"/>
  <c r="Q91" i="27" s="1"/>
  <c r="Q167" i="27" s="1"/>
  <c r="T243" i="55"/>
  <c r="H91" i="55"/>
  <c r="H16" i="55" s="1"/>
  <c r="T15" i="46"/>
  <c r="J91" i="55"/>
  <c r="J16" i="55" s="1"/>
  <c r="D15" i="48"/>
  <c r="H15" i="48" s="1"/>
  <c r="J166" i="27"/>
  <c r="G15" i="46" s="1"/>
  <c r="P14" i="46" l="1"/>
  <c r="X14" i="46"/>
  <c r="X35" i="46"/>
  <c r="P35" i="46"/>
  <c r="O35" i="46"/>
  <c r="W35" i="46"/>
  <c r="F34" i="56"/>
  <c r="G34" i="56" s="1"/>
  <c r="C14" i="56"/>
  <c r="C87" i="56" s="1"/>
  <c r="I87" i="56" s="1"/>
  <c r="S262" i="55"/>
  <c r="H15" i="56"/>
  <c r="C63" i="56" s="1"/>
  <c r="P34" i="27"/>
  <c r="P91" i="27" s="1"/>
  <c r="P167" i="27" s="1"/>
  <c r="S54" i="55"/>
  <c r="S73" i="55" s="1"/>
  <c r="R243" i="55"/>
  <c r="R148" i="55"/>
  <c r="K110" i="55"/>
  <c r="K243" i="55" s="1"/>
  <c r="K54" i="55"/>
  <c r="K73" i="55" s="1"/>
  <c r="I110" i="55"/>
  <c r="T262" i="55"/>
  <c r="N34" i="27"/>
  <c r="N91" i="27" s="1"/>
  <c r="N167" i="27" s="1"/>
  <c r="Q54" i="55"/>
  <c r="Q73" i="55" s="1"/>
  <c r="S15" i="46"/>
  <c r="Q148" i="55"/>
  <c r="Q243" i="55"/>
  <c r="H110" i="55"/>
  <c r="C14" i="48"/>
  <c r="F14" i="48" s="1"/>
  <c r="G14" i="48" s="1"/>
  <c r="L261" i="55"/>
  <c r="C14" i="46" s="1"/>
  <c r="J110" i="55"/>
  <c r="I54" i="55"/>
  <c r="I73" i="55" s="1"/>
  <c r="G34" i="27"/>
  <c r="G91" i="27" s="1"/>
  <c r="G167" i="27" s="1"/>
  <c r="H37" i="46" l="1"/>
  <c r="W14" i="46"/>
  <c r="O14" i="46"/>
  <c r="F14" i="56"/>
  <c r="G14" i="56" s="1"/>
  <c r="D36" i="56"/>
  <c r="H36" i="56" s="1"/>
  <c r="D64" i="56" s="1"/>
  <c r="Q92" i="55"/>
  <c r="Q17" i="55" s="1"/>
  <c r="N35" i="27" s="1"/>
  <c r="N92" i="27" s="1"/>
  <c r="N168" i="27" s="1"/>
  <c r="K148" i="55"/>
  <c r="K262" i="55" s="1"/>
  <c r="I34" i="27"/>
  <c r="I91" i="27" s="1"/>
  <c r="I167" i="27" s="1"/>
  <c r="R262" i="55"/>
  <c r="U148" i="55"/>
  <c r="Q111" i="55"/>
  <c r="Q149" i="55" s="1"/>
  <c r="I243" i="55"/>
  <c r="I148" i="55"/>
  <c r="R92" i="55"/>
  <c r="R17" i="55" s="1"/>
  <c r="T92" i="55"/>
  <c r="T17" i="55" s="1"/>
  <c r="J54" i="55"/>
  <c r="J73" i="55" s="1"/>
  <c r="H34" i="27"/>
  <c r="H91" i="27" s="1"/>
  <c r="H167" i="27" s="1"/>
  <c r="R167" i="27"/>
  <c r="H16" i="46" s="1"/>
  <c r="D36" i="48"/>
  <c r="H36" i="48" s="1"/>
  <c r="U243" i="55"/>
  <c r="Q262" i="55"/>
  <c r="J243" i="55"/>
  <c r="J148" i="55"/>
  <c r="H54" i="55"/>
  <c r="H73" i="55" s="1"/>
  <c r="F34" i="27"/>
  <c r="F91" i="27" s="1"/>
  <c r="F167" i="27" s="1"/>
  <c r="S92" i="55"/>
  <c r="S17" i="55" s="1"/>
  <c r="H243" i="55"/>
  <c r="H148" i="55"/>
  <c r="C35" i="56" l="1"/>
  <c r="D88" i="56" s="1"/>
  <c r="J88" i="56" s="1"/>
  <c r="D36" i="46"/>
  <c r="G37" i="46"/>
  <c r="S37" i="46" s="1"/>
  <c r="T37" i="46"/>
  <c r="Q55" i="55"/>
  <c r="Q74" i="55" s="1"/>
  <c r="D16" i="56"/>
  <c r="H16" i="56" s="1"/>
  <c r="C64" i="56" s="1"/>
  <c r="F35" i="56"/>
  <c r="G35" i="56" s="1"/>
  <c r="H92" i="55"/>
  <c r="H17" i="55" s="1"/>
  <c r="Q244" i="55"/>
  <c r="Q263" i="55" s="1"/>
  <c r="I262" i="55"/>
  <c r="T111" i="55"/>
  <c r="T149" i="55" s="1"/>
  <c r="R111" i="55"/>
  <c r="K92" i="55"/>
  <c r="K17" i="55" s="1"/>
  <c r="Q35" i="27"/>
  <c r="Q92" i="27" s="1"/>
  <c r="Q168" i="27" s="1"/>
  <c r="L243" i="55"/>
  <c r="H262" i="55"/>
  <c r="J167" i="27"/>
  <c r="G16" i="46" s="1"/>
  <c r="D16" i="48"/>
  <c r="H16" i="48" s="1"/>
  <c r="J262" i="55"/>
  <c r="S111" i="55"/>
  <c r="O35" i="27"/>
  <c r="O92" i="27" s="1"/>
  <c r="O168" i="27" s="1"/>
  <c r="R55" i="55"/>
  <c r="R74" i="55" s="1"/>
  <c r="R244" i="55"/>
  <c r="R149" i="55"/>
  <c r="J92" i="55"/>
  <c r="J17" i="55" s="1"/>
  <c r="C35" i="48"/>
  <c r="F35" i="48" s="1"/>
  <c r="G35" i="48" s="1"/>
  <c r="U262" i="55"/>
  <c r="D15" i="46" s="1"/>
  <c r="L148" i="55"/>
  <c r="T16" i="46"/>
  <c r="I92" i="55"/>
  <c r="I17" i="55" s="1"/>
  <c r="X15" i="46" l="1"/>
  <c r="P15" i="46"/>
  <c r="X36" i="46"/>
  <c r="P36" i="46"/>
  <c r="H111" i="55"/>
  <c r="H244" i="55" s="1"/>
  <c r="C36" i="46"/>
  <c r="H149" i="55"/>
  <c r="C15" i="56"/>
  <c r="C88" i="56" s="1"/>
  <c r="I88" i="56" s="1"/>
  <c r="T244" i="55"/>
  <c r="T263" i="55" s="1"/>
  <c r="K111" i="55"/>
  <c r="K244" i="55" s="1"/>
  <c r="T55" i="55"/>
  <c r="T74" i="55" s="1"/>
  <c r="P35" i="27"/>
  <c r="P92" i="27" s="1"/>
  <c r="P168" i="27" s="1"/>
  <c r="D37" i="48" s="1"/>
  <c r="H37" i="48" s="1"/>
  <c r="S55" i="55"/>
  <c r="S74" i="55" s="1"/>
  <c r="S149" i="55"/>
  <c r="U149" i="55" s="1"/>
  <c r="S244" i="55"/>
  <c r="I111" i="55"/>
  <c r="I35" i="27"/>
  <c r="I92" i="27" s="1"/>
  <c r="I168" i="27" s="1"/>
  <c r="K55" i="55"/>
  <c r="K74" i="55" s="1"/>
  <c r="S16" i="46"/>
  <c r="F35" i="27"/>
  <c r="F92" i="27" s="1"/>
  <c r="F168" i="27" s="1"/>
  <c r="H55" i="55"/>
  <c r="H74" i="55" s="1"/>
  <c r="C15" i="48"/>
  <c r="F15" i="48" s="1"/>
  <c r="G15" i="48" s="1"/>
  <c r="L262" i="55"/>
  <c r="C15" i="46" s="1"/>
  <c r="T93" i="55"/>
  <c r="T18" i="55" s="1"/>
  <c r="J111" i="55"/>
  <c r="R263" i="55"/>
  <c r="H263" i="55" l="1"/>
  <c r="S93" i="55"/>
  <c r="S18" i="55" s="1"/>
  <c r="K149" i="55"/>
  <c r="H38" i="46"/>
  <c r="W15" i="46"/>
  <c r="O15" i="46"/>
  <c r="W36" i="46"/>
  <c r="O36" i="46"/>
  <c r="F15" i="56"/>
  <c r="G15" i="56" s="1"/>
  <c r="D37" i="56"/>
  <c r="S112" i="55"/>
  <c r="S245" i="55" s="1"/>
  <c r="K263" i="55"/>
  <c r="J244" i="55"/>
  <c r="J149" i="55"/>
  <c r="R168" i="27"/>
  <c r="H17" i="46" s="1"/>
  <c r="I149" i="55"/>
  <c r="L149" i="55" s="1"/>
  <c r="I244" i="55"/>
  <c r="H35" i="27"/>
  <c r="H92" i="27" s="1"/>
  <c r="H168" i="27" s="1"/>
  <c r="J55" i="55"/>
  <c r="J74" i="55" s="1"/>
  <c r="R93" i="55"/>
  <c r="R18" i="55" s="1"/>
  <c r="S263" i="55"/>
  <c r="C36" i="56" s="1"/>
  <c r="D89" i="56" s="1"/>
  <c r="J89" i="56" s="1"/>
  <c r="U244" i="55"/>
  <c r="T112" i="55"/>
  <c r="G35" i="27"/>
  <c r="G92" i="27" s="1"/>
  <c r="G168" i="27" s="1"/>
  <c r="I55" i="55"/>
  <c r="I74" i="55" s="1"/>
  <c r="Q93" i="55"/>
  <c r="Q18" i="55" s="1"/>
  <c r="G38" i="46" l="1"/>
  <c r="S38" i="46" s="1"/>
  <c r="T38" i="46"/>
  <c r="S150" i="55"/>
  <c r="D37" i="46"/>
  <c r="F36" i="56"/>
  <c r="G36" i="56" s="1"/>
  <c r="D17" i="56"/>
  <c r="H17" i="56" s="1"/>
  <c r="C65" i="56" s="1"/>
  <c r="H37" i="56"/>
  <c r="D65" i="56" s="1"/>
  <c r="I93" i="55"/>
  <c r="I18" i="55" s="1"/>
  <c r="J168" i="27"/>
  <c r="G17" i="46" s="1"/>
  <c r="S264" i="55"/>
  <c r="J263" i="55"/>
  <c r="T17" i="46"/>
  <c r="C36" i="48"/>
  <c r="F36" i="48" s="1"/>
  <c r="G36" i="48" s="1"/>
  <c r="U263" i="55"/>
  <c r="D16" i="46" s="1"/>
  <c r="D17" i="48"/>
  <c r="H17" i="48" s="1"/>
  <c r="I263" i="55"/>
  <c r="L244" i="55"/>
  <c r="K93" i="55"/>
  <c r="K18" i="55" s="1"/>
  <c r="P36" i="27"/>
  <c r="P93" i="27" s="1"/>
  <c r="P169" i="27" s="1"/>
  <c r="S56" i="55"/>
  <c r="S75" i="55" s="1"/>
  <c r="T56" i="55"/>
  <c r="T75" i="55" s="1"/>
  <c r="Q36" i="27"/>
  <c r="Q93" i="27" s="1"/>
  <c r="Q169" i="27" s="1"/>
  <c r="T245" i="55"/>
  <c r="T150" i="55"/>
  <c r="R112" i="55"/>
  <c r="Q112" i="55"/>
  <c r="J93" i="55"/>
  <c r="J18" i="55" s="1"/>
  <c r="H93" i="55"/>
  <c r="H18" i="55" s="1"/>
  <c r="P37" i="46" l="1"/>
  <c r="X37" i="46"/>
  <c r="P16" i="46"/>
  <c r="X16" i="46"/>
  <c r="C37" i="46"/>
  <c r="S17" i="46"/>
  <c r="C16" i="56"/>
  <c r="C89" i="56" s="1"/>
  <c r="I89" i="56" s="1"/>
  <c r="I112" i="55"/>
  <c r="R150" i="55"/>
  <c r="R245" i="55"/>
  <c r="T264" i="55"/>
  <c r="G36" i="27"/>
  <c r="G93" i="27" s="1"/>
  <c r="G169" i="27" s="1"/>
  <c r="I56" i="55"/>
  <c r="I75" i="55" s="1"/>
  <c r="H112" i="55"/>
  <c r="K112" i="55"/>
  <c r="O36" i="27"/>
  <c r="O93" i="27" s="1"/>
  <c r="O169" i="27" s="1"/>
  <c r="R56" i="55"/>
  <c r="R75" i="55" s="1"/>
  <c r="L263" i="55"/>
  <c r="C16" i="46" s="1"/>
  <c r="C16" i="48"/>
  <c r="F16" i="48" s="1"/>
  <c r="G16" i="48" s="1"/>
  <c r="J112" i="55"/>
  <c r="Q56" i="55"/>
  <c r="Q75" i="55" s="1"/>
  <c r="N36" i="27"/>
  <c r="N93" i="27" s="1"/>
  <c r="N169" i="27" s="1"/>
  <c r="H39" i="46" s="1"/>
  <c r="T39" i="46" s="1"/>
  <c r="Q245" i="55"/>
  <c r="Q150" i="55"/>
  <c r="U150" i="55" s="1"/>
  <c r="O16" i="46" l="1"/>
  <c r="W16" i="46"/>
  <c r="W37" i="46"/>
  <c r="O37" i="46"/>
  <c r="F16" i="56"/>
  <c r="G16" i="56" s="1"/>
  <c r="S94" i="55"/>
  <c r="S19" i="55" s="1"/>
  <c r="R264" i="55"/>
  <c r="D38" i="56"/>
  <c r="I150" i="55"/>
  <c r="I245" i="55"/>
  <c r="Q94" i="55"/>
  <c r="Q19" i="55" s="1"/>
  <c r="Q264" i="55"/>
  <c r="U245" i="55"/>
  <c r="K245" i="55"/>
  <c r="K150" i="55"/>
  <c r="H36" i="27"/>
  <c r="H93" i="27" s="1"/>
  <c r="H169" i="27" s="1"/>
  <c r="J56" i="55"/>
  <c r="J75" i="55" s="1"/>
  <c r="I36" i="27"/>
  <c r="I93" i="27" s="1"/>
  <c r="I169" i="27" s="1"/>
  <c r="K56" i="55"/>
  <c r="K75" i="55" s="1"/>
  <c r="F36" i="27"/>
  <c r="F93" i="27" s="1"/>
  <c r="F169" i="27" s="1"/>
  <c r="H56" i="55"/>
  <c r="H75" i="55" s="1"/>
  <c r="H150" i="55"/>
  <c r="H245" i="55"/>
  <c r="T94" i="55"/>
  <c r="T19" i="55" s="1"/>
  <c r="D38" i="48"/>
  <c r="H38" i="48" s="1"/>
  <c r="R169" i="27"/>
  <c r="H18" i="46" s="1"/>
  <c r="J150" i="55"/>
  <c r="J245" i="55"/>
  <c r="R94" i="55"/>
  <c r="R19" i="55" s="1"/>
  <c r="G39" i="46" l="1"/>
  <c r="S39" i="46" s="1"/>
  <c r="C37" i="56"/>
  <c r="D90" i="56" s="1"/>
  <c r="J90" i="56" s="1"/>
  <c r="D38" i="46"/>
  <c r="F37" i="56"/>
  <c r="G37" i="56" s="1"/>
  <c r="S113" i="55"/>
  <c r="I264" i="55"/>
  <c r="D18" i="56"/>
  <c r="H38" i="56"/>
  <c r="D66" i="56" s="1"/>
  <c r="Q113" i="55"/>
  <c r="K94" i="55"/>
  <c r="K19" i="55" s="1"/>
  <c r="J264" i="55"/>
  <c r="L150" i="55"/>
  <c r="I94" i="55"/>
  <c r="I19" i="55" s="1"/>
  <c r="T18" i="46"/>
  <c r="S57" i="55"/>
  <c r="S76" i="55" s="1"/>
  <c r="P37" i="27"/>
  <c r="P94" i="27" s="1"/>
  <c r="P170" i="27" s="1"/>
  <c r="T113" i="55"/>
  <c r="S151" i="55"/>
  <c r="S246" i="55"/>
  <c r="K264" i="55"/>
  <c r="J94" i="55"/>
  <c r="J19" i="55" s="1"/>
  <c r="R113" i="55"/>
  <c r="L245" i="55"/>
  <c r="H264" i="55"/>
  <c r="H94" i="55"/>
  <c r="H19" i="55" s="1"/>
  <c r="J169" i="27"/>
  <c r="G18" i="46" s="1"/>
  <c r="D18" i="48"/>
  <c r="H18" i="48" s="1"/>
  <c r="Q57" i="55"/>
  <c r="Q76" i="55" s="1"/>
  <c r="N37" i="27"/>
  <c r="N94" i="27" s="1"/>
  <c r="N170" i="27" s="1"/>
  <c r="C37" i="48"/>
  <c r="F37" i="48" s="1"/>
  <c r="G37" i="48" s="1"/>
  <c r="U264" i="55"/>
  <c r="D17" i="46" s="1"/>
  <c r="X17" i="46" l="1"/>
  <c r="P17" i="46"/>
  <c r="P38" i="46"/>
  <c r="X38" i="46"/>
  <c r="C17" i="56"/>
  <c r="C90" i="56" s="1"/>
  <c r="I90" i="56" s="1"/>
  <c r="C38" i="46"/>
  <c r="F17" i="56"/>
  <c r="G17" i="56" s="1"/>
  <c r="H18" i="56"/>
  <c r="C66" i="56" s="1"/>
  <c r="Q246" i="55"/>
  <c r="Q151" i="55"/>
  <c r="I113" i="55"/>
  <c r="I151" i="55" s="1"/>
  <c r="K113" i="55"/>
  <c r="S265" i="55"/>
  <c r="R57" i="55"/>
  <c r="R76" i="55" s="1"/>
  <c r="O37" i="27"/>
  <c r="O94" i="27" s="1"/>
  <c r="O170" i="27" s="1"/>
  <c r="J113" i="55"/>
  <c r="I37" i="27"/>
  <c r="I94" i="27" s="1"/>
  <c r="I170" i="27" s="1"/>
  <c r="L264" i="55"/>
  <c r="C17" i="46" s="1"/>
  <c r="C17" i="48"/>
  <c r="F17" i="48" s="1"/>
  <c r="G17" i="48" s="1"/>
  <c r="T57" i="55"/>
  <c r="T76" i="55" s="1"/>
  <c r="Q37" i="27"/>
  <c r="Q94" i="27" s="1"/>
  <c r="Q170" i="27" s="1"/>
  <c r="H40" i="46" s="1"/>
  <c r="T40" i="46" s="1"/>
  <c r="G37" i="27"/>
  <c r="G94" i="27" s="1"/>
  <c r="G170" i="27" s="1"/>
  <c r="I57" i="55"/>
  <c r="I76" i="55" s="1"/>
  <c r="T151" i="55"/>
  <c r="T246" i="55"/>
  <c r="S18" i="46"/>
  <c r="R246" i="55"/>
  <c r="R151" i="55"/>
  <c r="H113" i="55"/>
  <c r="O38" i="46" l="1"/>
  <c r="W38" i="46"/>
  <c r="O17" i="46"/>
  <c r="W17" i="46"/>
  <c r="D39" i="56"/>
  <c r="H39" i="56" s="1"/>
  <c r="D67" i="56" s="1"/>
  <c r="Q265" i="55"/>
  <c r="T265" i="55"/>
  <c r="I246" i="55"/>
  <c r="I265" i="55" s="1"/>
  <c r="T95" i="55"/>
  <c r="T20" i="55" s="1"/>
  <c r="K246" i="55"/>
  <c r="K151" i="55"/>
  <c r="K57" i="55"/>
  <c r="K76" i="55" s="1"/>
  <c r="R170" i="27"/>
  <c r="H19" i="46" s="1"/>
  <c r="D39" i="48"/>
  <c r="H39" i="48" s="1"/>
  <c r="Q95" i="55"/>
  <c r="Q20" i="55" s="1"/>
  <c r="H57" i="55"/>
  <c r="H76" i="55" s="1"/>
  <c r="F37" i="27"/>
  <c r="F94" i="27" s="1"/>
  <c r="F170" i="27" s="1"/>
  <c r="G40" i="46" s="1"/>
  <c r="S40" i="46" s="1"/>
  <c r="H246" i="55"/>
  <c r="H151" i="55"/>
  <c r="J246" i="55"/>
  <c r="J151" i="55"/>
  <c r="R265" i="55"/>
  <c r="U246" i="55"/>
  <c r="U151" i="55"/>
  <c r="S95" i="55"/>
  <c r="S20" i="55" s="1"/>
  <c r="J57" i="55"/>
  <c r="J76" i="55" s="1"/>
  <c r="H37" i="27"/>
  <c r="H94" i="27" s="1"/>
  <c r="H170" i="27" s="1"/>
  <c r="R95" i="55"/>
  <c r="R20" i="55" s="1"/>
  <c r="D39" i="46" l="1"/>
  <c r="I95" i="55"/>
  <c r="I20" i="55" s="1"/>
  <c r="D19" i="56"/>
  <c r="C38" i="56"/>
  <c r="D91" i="56" s="1"/>
  <c r="J91" i="56" s="1"/>
  <c r="H19" i="56"/>
  <c r="C67" i="56" s="1"/>
  <c r="T19" i="46"/>
  <c r="Q114" i="55"/>
  <c r="Q152" i="55" s="1"/>
  <c r="Q58" i="55"/>
  <c r="Q77" i="55" s="1"/>
  <c r="T114" i="55"/>
  <c r="J95" i="55"/>
  <c r="J20" i="55" s="1"/>
  <c r="K265" i="55"/>
  <c r="C38" i="48"/>
  <c r="F38" i="48" s="1"/>
  <c r="G38" i="48" s="1"/>
  <c r="U265" i="55"/>
  <c r="D18" i="46" s="1"/>
  <c r="J170" i="27"/>
  <c r="G19" i="46" s="1"/>
  <c r="D19" i="48"/>
  <c r="H19" i="48" s="1"/>
  <c r="H265" i="55"/>
  <c r="L246" i="55"/>
  <c r="S114" i="55"/>
  <c r="I114" i="55"/>
  <c r="J265" i="55"/>
  <c r="H95" i="55"/>
  <c r="H20" i="55" s="1"/>
  <c r="Q38" i="27"/>
  <c r="Q95" i="27" s="1"/>
  <c r="Q171" i="27" s="1"/>
  <c r="T58" i="55"/>
  <c r="T77" i="55" s="1"/>
  <c r="L151" i="55"/>
  <c r="R114" i="55"/>
  <c r="K95" i="55"/>
  <c r="K20" i="55" s="1"/>
  <c r="Q247" i="55" l="1"/>
  <c r="X18" i="46"/>
  <c r="P18" i="46"/>
  <c r="X39" i="46"/>
  <c r="P39" i="46"/>
  <c r="C39" i="46"/>
  <c r="F38" i="56"/>
  <c r="G38" i="56" s="1"/>
  <c r="C18" i="56"/>
  <c r="C91" i="56" s="1"/>
  <c r="I91" i="56" s="1"/>
  <c r="N38" i="27"/>
  <c r="N95" i="27" s="1"/>
  <c r="N171" i="27" s="1"/>
  <c r="T247" i="55"/>
  <c r="T152" i="55"/>
  <c r="J114" i="55"/>
  <c r="S152" i="55"/>
  <c r="S247" i="55"/>
  <c r="H114" i="55"/>
  <c r="H38" i="27"/>
  <c r="H95" i="27" s="1"/>
  <c r="H171" i="27" s="1"/>
  <c r="J58" i="55"/>
  <c r="J77" i="55" s="1"/>
  <c r="S19" i="46"/>
  <c r="K114" i="55"/>
  <c r="Q266" i="55"/>
  <c r="R58" i="55"/>
  <c r="R77" i="55" s="1"/>
  <c r="O38" i="27"/>
  <c r="O95" i="27" s="1"/>
  <c r="O171" i="27" s="1"/>
  <c r="Q96" i="55"/>
  <c r="Q21" i="55" s="1"/>
  <c r="I58" i="55"/>
  <c r="I77" i="55" s="1"/>
  <c r="G38" i="27"/>
  <c r="G95" i="27" s="1"/>
  <c r="G171" i="27" s="1"/>
  <c r="C18" i="48"/>
  <c r="F18" i="48" s="1"/>
  <c r="G18" i="48" s="1"/>
  <c r="L265" i="55"/>
  <c r="C18" i="46" s="1"/>
  <c r="I247" i="55"/>
  <c r="I152" i="55"/>
  <c r="R152" i="55"/>
  <c r="R247" i="55"/>
  <c r="P38" i="27"/>
  <c r="P95" i="27" s="1"/>
  <c r="P171" i="27" s="1"/>
  <c r="S58" i="55"/>
  <c r="S77" i="55" s="1"/>
  <c r="S96" i="55" s="1"/>
  <c r="S21" i="55" s="1"/>
  <c r="H41" i="46" l="1"/>
  <c r="T41" i="46" s="1"/>
  <c r="O18" i="46"/>
  <c r="W18" i="46"/>
  <c r="W39" i="46"/>
  <c r="O39" i="46"/>
  <c r="F18" i="56"/>
  <c r="G18" i="56" s="1"/>
  <c r="R171" i="27"/>
  <c r="H20" i="46" s="1"/>
  <c r="T20" i="46" s="1"/>
  <c r="D40" i="56"/>
  <c r="S266" i="55"/>
  <c r="S115" i="55"/>
  <c r="S153" i="55" s="1"/>
  <c r="D40" i="48"/>
  <c r="H40" i="48" s="1"/>
  <c r="T266" i="55"/>
  <c r="U152" i="55"/>
  <c r="J152" i="55"/>
  <c r="J247" i="55"/>
  <c r="R266" i="55"/>
  <c r="R96" i="55"/>
  <c r="R21" i="55" s="1"/>
  <c r="H58" i="55"/>
  <c r="H77" i="55" s="1"/>
  <c r="F38" i="27"/>
  <c r="F95" i="27" s="1"/>
  <c r="F171" i="27" s="1"/>
  <c r="T96" i="55"/>
  <c r="T21" i="55" s="1"/>
  <c r="U247" i="55"/>
  <c r="K58" i="55"/>
  <c r="K77" i="55" s="1"/>
  <c r="I38" i="27"/>
  <c r="I95" i="27" s="1"/>
  <c r="I171" i="27" s="1"/>
  <c r="H152" i="55"/>
  <c r="H247" i="55"/>
  <c r="Q115" i="55"/>
  <c r="K152" i="55"/>
  <c r="K247" i="55"/>
  <c r="I266" i="55"/>
  <c r="D40" i="46" l="1"/>
  <c r="P40" i="46"/>
  <c r="X40" i="46"/>
  <c r="G41" i="46"/>
  <c r="S41" i="46" s="1"/>
  <c r="U266" i="55"/>
  <c r="D19" i="46" s="1"/>
  <c r="C39" i="56"/>
  <c r="D92" i="56" s="1"/>
  <c r="J92" i="56" s="1"/>
  <c r="D20" i="56"/>
  <c r="H40" i="56"/>
  <c r="D68" i="56" s="1"/>
  <c r="J266" i="55"/>
  <c r="S248" i="55"/>
  <c r="S267" i="55" s="1"/>
  <c r="C39" i="48"/>
  <c r="F39" i="48" s="1"/>
  <c r="G39" i="48" s="1"/>
  <c r="H96" i="55"/>
  <c r="H21" i="55" s="1"/>
  <c r="K266" i="55"/>
  <c r="D20" i="48"/>
  <c r="H20" i="48" s="1"/>
  <c r="J171" i="27"/>
  <c r="G20" i="46" s="1"/>
  <c r="P39" i="27"/>
  <c r="P96" i="27" s="1"/>
  <c r="P172" i="27" s="1"/>
  <c r="S59" i="55"/>
  <c r="S78" i="55" s="1"/>
  <c r="Q153" i="55"/>
  <c r="Q248" i="55"/>
  <c r="H266" i="55"/>
  <c r="L247" i="55"/>
  <c r="R115" i="55"/>
  <c r="Q59" i="55"/>
  <c r="Q78" i="55" s="1"/>
  <c r="N39" i="27"/>
  <c r="N96" i="27" s="1"/>
  <c r="N172" i="27" s="1"/>
  <c r="T115" i="55"/>
  <c r="L152" i="55"/>
  <c r="K96" i="55"/>
  <c r="K21" i="55" s="1"/>
  <c r="I96" i="55"/>
  <c r="I21" i="55" s="1"/>
  <c r="J96" i="55"/>
  <c r="J21" i="55" s="1"/>
  <c r="X19" i="46" l="1"/>
  <c r="P19" i="46"/>
  <c r="C40" i="46"/>
  <c r="F39" i="56"/>
  <c r="G39" i="56" s="1"/>
  <c r="C19" i="56"/>
  <c r="C92" i="56" s="1"/>
  <c r="I92" i="56" s="1"/>
  <c r="H20" i="56"/>
  <c r="C68" i="56" s="1"/>
  <c r="H115" i="55"/>
  <c r="R153" i="55"/>
  <c r="R248" i="55"/>
  <c r="R267" i="55" s="1"/>
  <c r="O39" i="27"/>
  <c r="O96" i="27" s="1"/>
  <c r="O172" i="27" s="1"/>
  <c r="R59" i="55"/>
  <c r="R78" i="55" s="1"/>
  <c r="L266" i="55"/>
  <c r="C19" i="46" s="1"/>
  <c r="C19" i="48"/>
  <c r="F19" i="48" s="1"/>
  <c r="G19" i="48" s="1"/>
  <c r="H59" i="55"/>
  <c r="H78" i="55" s="1"/>
  <c r="T59" i="55"/>
  <c r="T78" i="55" s="1"/>
  <c r="Q39" i="27"/>
  <c r="Q96" i="27" s="1"/>
  <c r="Q172" i="27" s="1"/>
  <c r="T248" i="55"/>
  <c r="T153" i="55"/>
  <c r="J115" i="55"/>
  <c r="Q267" i="55"/>
  <c r="I115" i="55"/>
  <c r="S20" i="46"/>
  <c r="K115" i="55"/>
  <c r="H42" i="46" l="1"/>
  <c r="T42" i="46" s="1"/>
  <c r="W19" i="46"/>
  <c r="O19" i="46"/>
  <c r="O40" i="46"/>
  <c r="W40" i="46"/>
  <c r="F19" i="56"/>
  <c r="G19" i="56" s="1"/>
  <c r="T97" i="55"/>
  <c r="T22" i="55" s="1"/>
  <c r="U248" i="55"/>
  <c r="R172" i="27"/>
  <c r="H21" i="46" s="1"/>
  <c r="D41" i="56"/>
  <c r="T116" i="55"/>
  <c r="T249" i="55" s="1"/>
  <c r="U153" i="55"/>
  <c r="H153" i="55"/>
  <c r="H248" i="55"/>
  <c r="F39" i="27"/>
  <c r="F96" i="27" s="1"/>
  <c r="F172" i="27" s="1"/>
  <c r="D41" i="48"/>
  <c r="H41" i="48" s="1"/>
  <c r="Q97" i="55"/>
  <c r="Q22" i="55" s="1"/>
  <c r="T267" i="55"/>
  <c r="U267" i="55" s="1"/>
  <c r="D20" i="46" s="1"/>
  <c r="G39" i="27"/>
  <c r="G96" i="27" s="1"/>
  <c r="G172" i="27" s="1"/>
  <c r="I59" i="55"/>
  <c r="I78" i="55" s="1"/>
  <c r="I39" i="27"/>
  <c r="I96" i="27" s="1"/>
  <c r="I172" i="27" s="1"/>
  <c r="K59" i="55"/>
  <c r="K78" i="55" s="1"/>
  <c r="K153" i="55"/>
  <c r="K248" i="55"/>
  <c r="S97" i="55"/>
  <c r="S22" i="55" s="1"/>
  <c r="R97" i="55"/>
  <c r="R22" i="55" s="1"/>
  <c r="I153" i="55"/>
  <c r="I248" i="55"/>
  <c r="J59" i="55"/>
  <c r="J78" i="55" s="1"/>
  <c r="H39" i="27"/>
  <c r="H96" i="27" s="1"/>
  <c r="H172" i="27" s="1"/>
  <c r="J248" i="55"/>
  <c r="J153" i="55"/>
  <c r="G42" i="46" l="1"/>
  <c r="S42" i="46" s="1"/>
  <c r="X20" i="46"/>
  <c r="P20" i="46"/>
  <c r="T154" i="55"/>
  <c r="D41" i="46"/>
  <c r="H267" i="55"/>
  <c r="T21" i="46"/>
  <c r="C40" i="48"/>
  <c r="F40" i="48" s="1"/>
  <c r="G40" i="48" s="1"/>
  <c r="C40" i="56"/>
  <c r="D93" i="56" s="1"/>
  <c r="J93" i="56" s="1"/>
  <c r="D21" i="56"/>
  <c r="H41" i="56"/>
  <c r="D69" i="56" s="1"/>
  <c r="Q116" i="55"/>
  <c r="Q154" i="55" s="1"/>
  <c r="K267" i="55"/>
  <c r="H97" i="55"/>
  <c r="H22" i="55" s="1"/>
  <c r="D21" i="48"/>
  <c r="H21" i="48" s="1"/>
  <c r="Q60" i="55"/>
  <c r="Q79" i="55" s="1"/>
  <c r="K97" i="55"/>
  <c r="K22" i="55" s="1"/>
  <c r="Q40" i="27"/>
  <c r="Q97" i="27" s="1"/>
  <c r="Q173" i="27" s="1"/>
  <c r="T60" i="55"/>
  <c r="T79" i="55" s="1"/>
  <c r="J172" i="27"/>
  <c r="G21" i="46" s="1"/>
  <c r="T268" i="55"/>
  <c r="R116" i="55"/>
  <c r="L153" i="55"/>
  <c r="I97" i="55"/>
  <c r="I22" i="55" s="1"/>
  <c r="J267" i="55"/>
  <c r="I267" i="55"/>
  <c r="L248" i="55"/>
  <c r="J97" i="55"/>
  <c r="J22" i="55" s="1"/>
  <c r="S116" i="55"/>
  <c r="Q249" i="55" l="1"/>
  <c r="X41" i="46"/>
  <c r="P41" i="46"/>
  <c r="C20" i="56"/>
  <c r="C93" i="56" s="1"/>
  <c r="I93" i="56" s="1"/>
  <c r="C41" i="46"/>
  <c r="F20" i="56"/>
  <c r="G20" i="56" s="1"/>
  <c r="F40" i="56"/>
  <c r="G40" i="56" s="1"/>
  <c r="H116" i="55"/>
  <c r="H249" i="55" s="1"/>
  <c r="H21" i="56"/>
  <c r="C69" i="56" s="1"/>
  <c r="K116" i="55"/>
  <c r="K154" i="55" s="1"/>
  <c r="N40" i="27"/>
  <c r="N97" i="27" s="1"/>
  <c r="N173" i="27" s="1"/>
  <c r="H43" i="46" s="1"/>
  <c r="T43" i="46" s="1"/>
  <c r="K249" i="55"/>
  <c r="K268" i="55" s="1"/>
  <c r="P40" i="27"/>
  <c r="P97" i="27" s="1"/>
  <c r="P173" i="27" s="1"/>
  <c r="S60" i="55"/>
  <c r="S79" i="55" s="1"/>
  <c r="S154" i="55"/>
  <c r="S249" i="55"/>
  <c r="K60" i="55"/>
  <c r="K79" i="55" s="1"/>
  <c r="I40" i="27"/>
  <c r="I97" i="27" s="1"/>
  <c r="I173" i="27" s="1"/>
  <c r="R249" i="55"/>
  <c r="R154" i="55"/>
  <c r="Q268" i="55"/>
  <c r="O40" i="27"/>
  <c r="O97" i="27" s="1"/>
  <c r="O173" i="27" s="1"/>
  <c r="R60" i="55"/>
  <c r="R79" i="55" s="1"/>
  <c r="S21" i="46"/>
  <c r="J116" i="55"/>
  <c r="I116" i="55"/>
  <c r="L267" i="55"/>
  <c r="C20" i="46" s="1"/>
  <c r="C20" i="48"/>
  <c r="F20" i="48" s="1"/>
  <c r="G20" i="48" s="1"/>
  <c r="F40" i="27"/>
  <c r="F97" i="27" s="1"/>
  <c r="F173" i="27" s="1"/>
  <c r="H60" i="55"/>
  <c r="H79" i="55" s="1"/>
  <c r="H154" i="55" l="1"/>
  <c r="W20" i="46"/>
  <c r="O20" i="46"/>
  <c r="O41" i="46"/>
  <c r="W41" i="46"/>
  <c r="T98" i="55"/>
  <c r="T117" i="55" s="1"/>
  <c r="T250" i="55" s="1"/>
  <c r="S98" i="55"/>
  <c r="S117" i="55" s="1"/>
  <c r="S250" i="55" s="1"/>
  <c r="R173" i="27"/>
  <c r="H22" i="46" s="1"/>
  <c r="T22" i="46" s="1"/>
  <c r="D42" i="56"/>
  <c r="D42" i="48"/>
  <c r="H42" i="48" s="1"/>
  <c r="S268" i="55"/>
  <c r="R268" i="55"/>
  <c r="Q98" i="55"/>
  <c r="Q117" i="55" s="1"/>
  <c r="Q155" i="55" s="1"/>
  <c r="U154" i="55"/>
  <c r="U249" i="55"/>
  <c r="I154" i="55"/>
  <c r="I249" i="55"/>
  <c r="H40" i="27"/>
  <c r="H97" i="27" s="1"/>
  <c r="H173" i="27" s="1"/>
  <c r="J60" i="55"/>
  <c r="J79" i="55" s="1"/>
  <c r="J154" i="55"/>
  <c r="J249" i="55"/>
  <c r="R98" i="55"/>
  <c r="R117" i="55" s="1"/>
  <c r="H268" i="55"/>
  <c r="I60" i="55"/>
  <c r="I79" i="55" s="1"/>
  <c r="G40" i="27"/>
  <c r="G97" i="27" s="1"/>
  <c r="G173" i="27" s="1"/>
  <c r="C41" i="48" l="1"/>
  <c r="F41" i="48" s="1"/>
  <c r="G41" i="48" s="1"/>
  <c r="G43" i="46"/>
  <c r="S43" i="46" s="1"/>
  <c r="T155" i="55"/>
  <c r="U268" i="55"/>
  <c r="D21" i="46" s="1"/>
  <c r="S155" i="55"/>
  <c r="S269" i="55" s="1"/>
  <c r="C41" i="56"/>
  <c r="D94" i="56" s="1"/>
  <c r="J94" i="56" s="1"/>
  <c r="D42" i="46"/>
  <c r="F41" i="56"/>
  <c r="G41" i="56" s="1"/>
  <c r="Q250" i="55"/>
  <c r="Q269" i="55" s="1"/>
  <c r="D22" i="56"/>
  <c r="H22" i="56" s="1"/>
  <c r="C70" i="56" s="1"/>
  <c r="H42" i="56"/>
  <c r="D70" i="56" s="1"/>
  <c r="I268" i="55"/>
  <c r="C42" i="46" s="1"/>
  <c r="L154" i="55"/>
  <c r="K98" i="55"/>
  <c r="K117" i="55" s="1"/>
  <c r="K250" i="55" s="1"/>
  <c r="J268" i="55"/>
  <c r="J173" i="27"/>
  <c r="G22" i="46" s="1"/>
  <c r="D22" i="48"/>
  <c r="H22" i="48" s="1"/>
  <c r="J98" i="55"/>
  <c r="J117" i="55" s="1"/>
  <c r="J155" i="55" s="1"/>
  <c r="L249" i="55"/>
  <c r="R250" i="55"/>
  <c r="R155" i="55"/>
  <c r="U155" i="55" s="1"/>
  <c r="I98" i="55"/>
  <c r="I117" i="55" s="1"/>
  <c r="H98" i="55"/>
  <c r="H117" i="55" s="1"/>
  <c r="T269" i="55"/>
  <c r="X21" i="46" l="1"/>
  <c r="P21" i="46"/>
  <c r="P42" i="46"/>
  <c r="X42" i="46"/>
  <c r="L268" i="55"/>
  <c r="C21" i="46" s="1"/>
  <c r="O42" i="46"/>
  <c r="W42" i="46"/>
  <c r="O21" i="46"/>
  <c r="W21" i="46"/>
  <c r="K155" i="55"/>
  <c r="K269" i="55" s="1"/>
  <c r="C21" i="56"/>
  <c r="C94" i="56" s="1"/>
  <c r="I94" i="56" s="1"/>
  <c r="C21" i="48"/>
  <c r="F21" i="48" s="1"/>
  <c r="G21" i="48" s="1"/>
  <c r="J250" i="55"/>
  <c r="J269" i="55" s="1"/>
  <c r="S22" i="46"/>
  <c r="R269" i="55"/>
  <c r="C42" i="56" s="1"/>
  <c r="D95" i="56" s="1"/>
  <c r="J95" i="56" s="1"/>
  <c r="U250" i="55"/>
  <c r="U269" i="55"/>
  <c r="D22" i="46" s="1"/>
  <c r="C42" i="48"/>
  <c r="F42" i="48" s="1"/>
  <c r="G42" i="48" s="1"/>
  <c r="H250" i="55"/>
  <c r="H155" i="55"/>
  <c r="I250" i="55"/>
  <c r="I155" i="55"/>
  <c r="X22" i="46" l="1"/>
  <c r="P22" i="46"/>
  <c r="D43" i="46"/>
  <c r="F42" i="56"/>
  <c r="G42" i="56" s="1"/>
  <c r="F21" i="56"/>
  <c r="G21" i="56" s="1"/>
  <c r="I269" i="55"/>
  <c r="H269" i="55"/>
  <c r="C43" i="46" s="1"/>
  <c r="L250" i="55"/>
  <c r="L155" i="55"/>
  <c r="X43" i="46" l="1"/>
  <c r="P43" i="46"/>
  <c r="O43" i="46"/>
  <c r="W43" i="46"/>
  <c r="C22" i="56"/>
  <c r="C95" i="56" s="1"/>
  <c r="I95" i="56" s="1"/>
  <c r="L269" i="55"/>
  <c r="C22" i="46" s="1"/>
  <c r="C22" i="48"/>
  <c r="F22" i="48" s="1"/>
  <c r="G22" i="48" s="1"/>
  <c r="W22" i="46" l="1"/>
  <c r="O22" i="46"/>
  <c r="F22" i="56"/>
  <c r="G22" i="5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Laishu Cheng</author>
  </authors>
  <commentList>
    <comment ref="E34" authorId="0" shapeId="0" xr:uid="{91F1DA22-6CE0-419D-9D08-9CB97EC7D9DB}">
      <text>
        <r>
          <rPr>
            <b/>
            <sz val="9"/>
            <color indexed="81"/>
            <rFont val="Tahoma"/>
            <family val="2"/>
          </rPr>
          <t>Laishu Cheng:</t>
        </r>
        <r>
          <rPr>
            <sz val="9"/>
            <color indexed="81"/>
            <rFont val="Tahoma"/>
            <family val="2"/>
          </rPr>
          <t xml:space="preserve">
Missing, calculated as average between the year before and after</t>
        </r>
      </text>
    </comment>
    <comment ref="C51" authorId="0" shapeId="0" xr:uid="{BDF830A9-FBAE-42E6-A1AC-E362F7175B50}">
      <text>
        <r>
          <rPr>
            <b/>
            <sz val="9"/>
            <color indexed="81"/>
            <rFont val="Tahoma"/>
            <family val="2"/>
          </rPr>
          <t>Laishu Cheng:</t>
        </r>
        <r>
          <rPr>
            <sz val="9"/>
            <color indexed="81"/>
            <rFont val="Tahoma"/>
            <family val="2"/>
          </rPr>
          <t xml:space="preserve">
Invalid data, re-calculated as average between the year before and after</t>
        </r>
      </text>
    </comment>
    <comment ref="F65" authorId="0" shapeId="0" xr:uid="{45CD825C-0DDA-43E9-8B24-845BC599D0AA}">
      <text>
        <r>
          <rPr>
            <b/>
            <sz val="9"/>
            <color indexed="81"/>
            <rFont val="Tahoma"/>
            <family val="2"/>
          </rPr>
          <t>Laishu Cheng:</t>
        </r>
        <r>
          <rPr>
            <sz val="9"/>
            <color indexed="81"/>
            <rFont val="Tahoma"/>
            <family val="2"/>
          </rPr>
          <t xml:space="preserve">
Missing, calculated as average between the year before and after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Laishu Cheng</author>
  </authors>
  <commentList>
    <comment ref="F43" authorId="0" shapeId="0" xr:uid="{FC6C8649-D25E-4D08-A3EC-BC2EFF42028F}">
      <text>
        <r>
          <rPr>
            <sz val="11"/>
            <color theme="1"/>
            <rFont val="Calibri"/>
            <family val="2"/>
            <scheme val="minor"/>
          </rPr>
          <t xml:space="preserve">Laishu Cheng:
Assume constant number of people per household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Laishu Cheng</author>
    <author>tc={8AB06A9E-98F2-46DF-A1A7-F5602358864E}</author>
  </authors>
  <commentList>
    <comment ref="F81" authorId="0" shapeId="0" xr:uid="{199C10E9-C3DA-4BCF-9E09-A674E8FB9280}">
      <text>
        <r>
          <rPr>
            <sz val="11"/>
            <color rgb="FF000000"/>
            <rFont val="Calibri"/>
            <family val="2"/>
          </rPr>
          <t xml:space="preserve">Laishu Cheng:
</t>
        </r>
        <r>
          <rPr>
            <sz val="11"/>
            <color rgb="FF000000"/>
            <rFont val="Calibri"/>
            <family val="2"/>
          </rPr>
          <t xml:space="preserve">Assume constant number of people per household
</t>
        </r>
      </text>
    </comment>
    <comment ref="F176" authorId="1" shapeId="0" xr:uid="{8AB06A9E-98F2-46DF-A1A7-F5602358864E}">
      <text>
        <t>[Threaded comment]
Your version of Excel allows you to read this threaded comment; however, any edits to it will get removed if the file is opened in a newer version of Excel. Learn more: https://go.microsoft.com/fwlink/?linkid=870924
Comment:
    @shaun @jin why is the formula to calculate permanent housing costs for ssp1 different to every other ssp</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Laishu Cheng</author>
    <author>tc={B32DFCB9-250A-4031-8914-C887B7E745B1}</author>
  </authors>
  <commentList>
    <comment ref="F43" authorId="0" shapeId="0" xr:uid="{B2CD2D07-9E36-445F-AC6F-3E03776E622F}">
      <text>
        <r>
          <rPr>
            <sz val="11"/>
            <color rgb="FF000000"/>
            <rFont val="Calibri"/>
            <family val="2"/>
          </rPr>
          <t xml:space="preserve">Laishu Cheng:
</t>
        </r>
        <r>
          <rPr>
            <sz val="11"/>
            <color rgb="FF000000"/>
            <rFont val="Calibri"/>
            <family val="2"/>
          </rPr>
          <t xml:space="preserve">Assume constant number of people per household
</t>
        </r>
      </text>
    </comment>
    <comment ref="F119" authorId="1" shapeId="0" xr:uid="{B32DFCB9-250A-4031-8914-C887B7E745B1}">
      <text>
        <t>[Threaded comment]
Your version of Excel allows you to read this threaded comment; however, any edits to it will get removed if the file is opened in a newer version of Excel. Learn more: https://go.microsoft.com/fwlink/?linkid=870924
Comment:
    @shaun @jin why is the formula to calculate permanent housing costs for ssp1 different to every other ssp</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tc={F962BC93-6ECD-4BD9-8D17-B054BA16A8FF}</author>
    <author>tc={B3C550E1-9E0F-476C-BDF9-C0DC7FEBD655}</author>
    <author>tc={69F23B23-FF78-4715-9448-F4D81B6A7FD4}</author>
    <author>tc={79C4A947-D851-4121-96D0-5D4C910CC1D8}</author>
    <author>tc={4AD79141-B6BC-4C39-A45A-F78675B79123}</author>
    <author>tc={9B5442E1-EC26-4DC6-A7E6-9E0F70923519}</author>
    <author>tc={E9E91488-8440-47CA-A761-537EF281B8DC}</author>
  </authors>
  <commentList>
    <comment ref="F4" authorId="0" shapeId="0" xr:uid="{F962BC93-6ECD-4BD9-8D17-B054BA16A8FF}">
      <text>
        <t>[Threaded comment]
Your version of Excel allows you to read this threaded comment; however, any edits to it will get removed if the file is opened in a newer version of Excel. Learn more: https://go.microsoft.com/fwlink/?linkid=870924
Comment:
    Positive means program cost is higher than without program cost</t>
      </text>
    </comment>
    <comment ref="L4" authorId="1" shapeId="0" xr:uid="{B3C550E1-9E0F-476C-BDF9-C0DC7FEBD655}">
      <text>
        <t>[Threaded comment]
Your version of Excel allows you to read this threaded comment; however, any edits to it will get removed if the file is opened in a newer version of Excel. Learn more: https://go.microsoft.com/fwlink/?linkid=870924
Comment:
    Positive means program cost is higher than without program cost</t>
      </text>
    </comment>
    <comment ref="L5" authorId="2" shapeId="0" xr:uid="{69F23B23-FF78-4715-9448-F4D81B6A7FD4}">
      <text>
        <t>[Threaded comment]
Your version of Excel allows you to read this threaded comment; however, any edits to it will get removed if the file is opened in a newer version of Excel. Learn more: https://go.microsoft.com/fwlink/?linkid=870924
Comment:
    whys this formula so long lmao
Reply:
    Lol</t>
      </text>
    </comment>
    <comment ref="F24" authorId="3" shapeId="0" xr:uid="{79C4A947-D851-4121-96D0-5D4C910CC1D8}">
      <text>
        <t>[Threaded comment]
Your version of Excel allows you to read this threaded comment; however, any edits to it will get removed if the file is opened in a newer version of Excel. Learn more: https://go.microsoft.com/fwlink/?linkid=870924
Comment:
    Positive means program cost is higher than without program cost</t>
      </text>
    </comment>
    <comment ref="L24" authorId="4" shapeId="0" xr:uid="{4AD79141-B6BC-4C39-A45A-F78675B79123}">
      <text>
        <t>[Threaded comment]
Your version of Excel allows you to read this threaded comment; however, any edits to it will get removed if the file is opened in a newer version of Excel. Learn more: https://go.microsoft.com/fwlink/?linkid=870924
Comment:
    Positive means program cost is higher than without program cost</t>
      </text>
    </comment>
    <comment ref="F25" authorId="5" shapeId="0" xr:uid="{9B5442E1-EC26-4DC6-A7E6-9E0F70923519}">
      <text>
        <t>[Threaded comment]
Your version of Excel allows you to read this threaded comment; however, any edits to it will get removed if the file is opened in a newer version of Excel. Learn more: https://go.microsoft.com/fwlink/?linkid=870924
Comment:
    whys this formula so long lmao
Reply:
    Lol</t>
      </text>
    </comment>
    <comment ref="L25" authorId="6" shapeId="0" xr:uid="{E9E91488-8440-47CA-A761-537EF281B8DC}">
      <text>
        <t>[Threaded comment]
Your version of Excel allows you to read this threaded comment; however, any edits to it will get removed if the file is opened in a newer version of Excel. Learn more: https://go.microsoft.com/fwlink/?linkid=870924
Comment:
    whys this formula so long lmao
Reply:
    Lol</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tc={68EDBCBA-1A21-4703-9B5A-7DA53B9C0393}</author>
    <author>tc={45A33A26-DA8B-41E2-A7BF-19016D3C488E}</author>
    <author>tc={6A3A08BF-E248-4882-9166-394F2A5D3793}</author>
    <author>tc={568EFDA3-98B1-444C-9D78-69271A3525C7}</author>
    <author>tc={A7A59D19-9394-4126-86DB-F9131510C69D}</author>
    <author>tc={D6304144-8A70-4A18-8918-B67478480CBA}</author>
    <author>tc={ED475B6A-41D5-492B-BC58-A7B241FAED6B}</author>
  </authors>
  <commentList>
    <comment ref="F4" authorId="0" shapeId="0" xr:uid="{68EDBCBA-1A21-4703-9B5A-7DA53B9C0393}">
      <text>
        <t>[Threaded comment]
Your version of Excel allows you to read this threaded comment; however, any edits to it will get removed if the file is opened in a newer version of Excel. Learn more: https://go.microsoft.com/fwlink/?linkid=870924
Comment:
    Positive means program cost is higher than without program cost</t>
      </text>
    </comment>
    <comment ref="L4" authorId="1" shapeId="0" xr:uid="{45A33A26-DA8B-41E2-A7BF-19016D3C488E}">
      <text>
        <t>[Threaded comment]
Your version of Excel allows you to read this threaded comment; however, any edits to it will get removed if the file is opened in a newer version of Excel. Learn more: https://go.microsoft.com/fwlink/?linkid=870924
Comment:
    Positive means program cost is higher than without program cost</t>
      </text>
    </comment>
    <comment ref="L5" authorId="2" shapeId="0" xr:uid="{6A3A08BF-E248-4882-9166-394F2A5D3793}">
      <text>
        <t>[Threaded comment]
Your version of Excel allows you to read this threaded comment; however, any edits to it will get removed if the file is opened in a newer version of Excel. Learn more: https://go.microsoft.com/fwlink/?linkid=870924
Comment:
    whys this formula so long lmao
Reply:
    Lol</t>
      </text>
    </comment>
    <comment ref="F24" authorId="3" shapeId="0" xr:uid="{568EFDA3-98B1-444C-9D78-69271A3525C7}">
      <text>
        <t>[Threaded comment]
Your version of Excel allows you to read this threaded comment; however, any edits to it will get removed if the file is opened in a newer version of Excel. Learn more: https://go.microsoft.com/fwlink/?linkid=870924
Comment:
    Positive means program cost is higher than without program cost</t>
      </text>
    </comment>
    <comment ref="L24" authorId="4" shapeId="0" xr:uid="{A7A59D19-9394-4126-86DB-F9131510C69D}">
      <text>
        <t>[Threaded comment]
Your version of Excel allows you to read this threaded comment; however, any edits to it will get removed if the file is opened in a newer version of Excel. Learn more: https://go.microsoft.com/fwlink/?linkid=870924
Comment:
    Positive means program cost is higher than without program cost</t>
      </text>
    </comment>
    <comment ref="F25" authorId="5" shapeId="0" xr:uid="{D6304144-8A70-4A18-8918-B67478480CBA}">
      <text>
        <t>[Threaded comment]
Your version of Excel allows you to read this threaded comment; however, any edits to it will get removed if the file is opened in a newer version of Excel. Learn more: https://go.microsoft.com/fwlink/?linkid=870924
Comment:
    whys this formula so long lmao
Reply:
    Lol</t>
      </text>
    </comment>
    <comment ref="L25" authorId="6" shapeId="0" xr:uid="{ED475B6A-41D5-492B-BC58-A7B241FAED6B}">
      <text>
        <t>[Threaded comment]
Your version of Excel allows you to read this threaded comment; however, any edits to it will get removed if the file is opened in a newer version of Excel. Learn more: https://go.microsoft.com/fwlink/?linkid=870924
Comment:
    whys this formula so long lmao
Reply:
    Lol</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tc={D4B818DC-F4D1-4357-BBAD-00DE5E144C8F}</author>
  </authors>
  <commentList>
    <comment ref="C29" authorId="0" shapeId="0" xr:uid="{D4B818DC-F4D1-4357-BBAD-00DE5E144C8F}">
      <text>
        <t>[Threaded comment]
Your version of Excel allows you to read this threaded comment; however, any edits to it will get removed if the file is opened in a newer version of Excel. Learn more: https://go.microsoft.com/fwlink/?linkid=870924
Comment:
    @daniel I think you should look at difference as a % rather than absolute difference since you wont be able to fit everything on the graph (due to large differences) and also the higher inflation will skew the absolute results since raw values will naturally be higher</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Laishu Cheng</author>
    <author>tc={64E97CF7-1C2C-43C3-9DD3-2A1EC8F81558}</author>
  </authors>
  <commentList>
    <comment ref="F81" authorId="0" shapeId="0" xr:uid="{7956427D-4AB6-444A-84D5-E21E5C2641A8}">
      <text>
        <r>
          <rPr>
            <sz val="11"/>
            <color rgb="FF000000"/>
            <rFont val="Calibri"/>
            <family val="2"/>
          </rPr>
          <t xml:space="preserve">Laishu Cheng:
</t>
        </r>
        <r>
          <rPr>
            <sz val="11"/>
            <color rgb="FF000000"/>
            <rFont val="Calibri"/>
            <family val="2"/>
          </rPr>
          <t xml:space="preserve">Assume constant number of people per household
</t>
        </r>
      </text>
    </comment>
    <comment ref="F176" authorId="1" shapeId="0" xr:uid="{64E97CF7-1C2C-43C3-9DD3-2A1EC8F81558}">
      <text>
        <t>[Threaded comment]
Your version of Excel allows you to read this threaded comment; however, any edits to it will get removed if the file is opened in a newer version of Excel. Learn more: https://go.microsoft.com/fwlink/?linkid=870924
Comment:
    @shaun @jin why is the formula to calculate permanent housing costs for ssp1 different to every other ssp</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Laishu Cheng</author>
  </authors>
  <commentList>
    <comment ref="F81" authorId="0" shapeId="0" xr:uid="{6093F0CD-9FE8-4432-B309-DF5797320AF6}">
      <text>
        <r>
          <rPr>
            <sz val="11"/>
            <color rgb="FF000000"/>
            <rFont val="Calibri"/>
            <family val="2"/>
          </rPr>
          <t xml:space="preserve">Laishu Cheng:
</t>
        </r>
        <r>
          <rPr>
            <sz val="11"/>
            <color rgb="FF000000"/>
            <rFont val="Calibri"/>
            <family val="2"/>
          </rPr>
          <t xml:space="preserve">Assume constant number of people per household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tc={94096BFE-D378-4497-8329-516BE4C63478}</author>
    <author>tc={7DBEE25B-BE58-405B-82CE-4791648AC2D9}</author>
  </authors>
  <commentList>
    <comment ref="C24" authorId="0" shapeId="0" xr:uid="{94096BFE-D378-4497-8329-516BE4C63478}">
      <text>
        <t>[Threaded comment]
Your version of Excel allows you to read this threaded comment; however, any edits to it will get removed if the file is opened in a newer version of Excel. Learn more: https://go.microsoft.com/fwlink/?linkid=870924
Comment:
    +ve number means total program cost is higher than total cost without the program</t>
      </text>
    </comment>
    <comment ref="F35" authorId="1" shapeId="0" xr:uid="{7DBEE25B-BE58-405B-82CE-4791648AC2D9}">
      <text>
        <t>[Threaded comment]
Your version of Excel allows you to read this threaded comment; however, any edits to it will get removed if the file is opened in a newer version of Excel. Learn more: https://go.microsoft.com/fwlink/?linkid=870924
Comment:
    In this analysis:
% relocation med = (% relocation high)/4</t>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Laishu Cheng</author>
  </authors>
  <commentList>
    <comment ref="I93" authorId="0" shapeId="0" xr:uid="{D4D7CC83-79FB-44B9-8597-F2B690ADD7A9}">
      <text>
        <r>
          <rPr>
            <b/>
            <sz val="9"/>
            <color indexed="81"/>
            <rFont val="Tahoma"/>
            <family val="2"/>
          </rPr>
          <t>Laishu Cheng:</t>
        </r>
        <r>
          <rPr>
            <sz val="9"/>
            <color indexed="81"/>
            <rFont val="Tahoma"/>
            <family val="2"/>
          </rPr>
          <t xml:space="preserve">
Cannot take-in more migrants if vacant housing unit is zero.</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Laishu Cheng</author>
  </authors>
  <commentList>
    <comment ref="F6" authorId="0" shapeId="0" xr:uid="{1FCDF106-8CD1-4000-91F8-7730E1321F50}">
      <text>
        <r>
          <rPr>
            <b/>
            <sz val="9"/>
            <color indexed="81"/>
            <rFont val="Tahoma"/>
            <family val="2"/>
          </rPr>
          <t>Laishu Cheng:</t>
        </r>
        <r>
          <rPr>
            <sz val="9"/>
            <color indexed="81"/>
            <rFont val="Tahoma"/>
            <family val="2"/>
          </rPr>
          <t xml:space="preserve">
Taking into account migration due to the program. Assuming the number of people migrating is uniform through the year</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tc={76656BA6-D4D0-4516-960B-03B30DFF2204}</author>
  </authors>
  <commentList>
    <comment ref="B4" authorId="0" shapeId="0" xr:uid="{76656BA6-D4D0-4516-960B-03B30DFF2204}">
      <text>
        <t>[Threaded comment]
Your version of Excel allows you to read this threaded comment; however, any edits to it will get removed if the file is opened in a newer version of Excel. Learn more: https://go.microsoft.com/fwlink/?linkid=870924
Comment:
    I made this the average of the 4 regions. Does this make sense or should we make it weighted avg based on some weight?</t>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Laishu Cheng</author>
  </authors>
  <commentList>
    <comment ref="B6" authorId="0" shapeId="0" xr:uid="{167B5CE2-012F-4A08-B3E0-5083105ACD0F}">
      <text>
        <r>
          <rPr>
            <b/>
            <sz val="9"/>
            <color rgb="FF000000"/>
            <rFont val="Tahoma"/>
            <family val="2"/>
          </rPr>
          <t>Laishu Cheng:</t>
        </r>
        <r>
          <rPr>
            <sz val="9"/>
            <color rgb="FF000000"/>
            <rFont val="Tahoma"/>
            <family val="2"/>
          </rPr>
          <t xml:space="preserve">
</t>
        </r>
        <r>
          <rPr>
            <sz val="9"/>
            <color rgb="FF000000"/>
            <rFont val="Tahoma"/>
            <family val="2"/>
          </rPr>
          <t>Total Housing Units - No. of Households.</t>
        </r>
      </text>
    </comment>
    <comment ref="I7" authorId="0" shapeId="0" xr:uid="{0E2AA351-026D-4890-9F24-54C4DC53F6AC}">
      <text>
        <r>
          <rPr>
            <b/>
            <sz val="9"/>
            <color indexed="81"/>
            <rFont val="Tahoma"/>
            <family val="2"/>
          </rPr>
          <t>Laishu Cheng:</t>
        </r>
        <r>
          <rPr>
            <sz val="9"/>
            <color indexed="81"/>
            <rFont val="Tahoma"/>
            <family val="2"/>
          </rPr>
          <t xml:space="preserve">
Assume that only Regions 4,5,6 are intaking migrants from high risk regions</t>
        </r>
      </text>
    </comment>
    <comment ref="C71" authorId="0" shapeId="0" xr:uid="{32FA53FC-B060-4C88-9C8F-9B3E37FB2123}">
      <text>
        <r>
          <rPr>
            <b/>
            <sz val="9"/>
            <color indexed="81"/>
            <rFont val="Tahoma"/>
            <family val="2"/>
          </rPr>
          <t>Laishu Cheng:</t>
        </r>
        <r>
          <rPr>
            <sz val="9"/>
            <color indexed="81"/>
            <rFont val="Tahoma"/>
            <family val="2"/>
          </rPr>
          <t xml:space="preserve">
The Assumption here is that the underlying GDP growth will converge to the national average in the long run (say 20 years). However, the population migration away from the region decreases the GDP growth</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Laishu Cheng</author>
  </authors>
  <commentList>
    <comment ref="B3" authorId="0" shapeId="0" xr:uid="{CE37C425-1ED3-406E-AED8-921544F19AEF}">
      <text>
        <r>
          <rPr>
            <b/>
            <sz val="9"/>
            <color indexed="81"/>
            <rFont val="Tahoma"/>
            <family val="2"/>
          </rPr>
          <t>Laishu Cheng:</t>
        </r>
        <r>
          <rPr>
            <sz val="9"/>
            <color indexed="81"/>
            <rFont val="Tahoma"/>
            <family val="2"/>
          </rPr>
          <t xml:space="preserve">
Assume that the change in inflation every year is normal distributed</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<sst xmlns="http://schemas.openxmlformats.org/spreadsheetml/2006/main" count="10810" uniqueCount="500">
  <si>
    <t>Copyright © 2023 by the Society of Actuaries Research Institute. All rights reserved.</t>
  </si>
  <si>
    <t>Historical Storslysia Census and Economic Data by Region</t>
  </si>
  <si>
    <t xml:space="preserve">Region 1 </t>
  </si>
  <si>
    <t>Region 2</t>
  </si>
  <si>
    <t xml:space="preserve">Region 3 </t>
  </si>
  <si>
    <t>Region 4</t>
  </si>
  <si>
    <t xml:space="preserve">Region 5 </t>
  </si>
  <si>
    <t xml:space="preserve">Region 6 </t>
  </si>
  <si>
    <t>Census, July 1, 2021</t>
  </si>
  <si>
    <t>Census, July 1, 2020</t>
  </si>
  <si>
    <t>Census, July 1, 2019</t>
  </si>
  <si>
    <t xml:space="preserve">Percent over age 18  </t>
  </si>
  <si>
    <t>Percent age 65 and older</t>
  </si>
  <si>
    <t>Housing Units</t>
  </si>
  <si>
    <t>(assume this is 2020 data)</t>
  </si>
  <si>
    <t>Owner-Occupied Housing Units</t>
  </si>
  <si>
    <t>Median Value of Owner-Occupied Housing Units</t>
  </si>
  <si>
    <t xml:space="preserve">Ꝕ 260,765 </t>
  </si>
  <si>
    <t xml:space="preserve"> Ꝕ 248,083 </t>
  </si>
  <si>
    <t xml:space="preserve"> Ꝕ 221,267 </t>
  </si>
  <si>
    <t xml:space="preserve"> Ꝕ 121,135 </t>
  </si>
  <si>
    <t xml:space="preserve"> Ꝕ 158,255 </t>
  </si>
  <si>
    <t xml:space="preserve"> Ꝕ 175,164 </t>
  </si>
  <si>
    <t>Median Monthly Homeowner Housing Costs</t>
  </si>
  <si>
    <t xml:space="preserve">Ꝕ 1,726 </t>
  </si>
  <si>
    <t xml:space="preserve"> Ꝕ 1,644 </t>
  </si>
  <si>
    <t xml:space="preserve"> Ꝕ 1,731 </t>
  </si>
  <si>
    <t xml:space="preserve"> Ꝕ 1,474 </t>
  </si>
  <si>
    <t xml:space="preserve"> Ꝕ 1,438 </t>
  </si>
  <si>
    <t xml:space="preserve"> Ꝕ 1,486 </t>
  </si>
  <si>
    <t>Median Rent (Ꝕ)</t>
  </si>
  <si>
    <t>Building Permits, 2021</t>
  </si>
  <si>
    <t>Growth in the Number of Housing Units</t>
  </si>
  <si>
    <t xml:space="preserve"> </t>
  </si>
  <si>
    <t>Building Permits/Housing Units +1</t>
  </si>
  <si>
    <t>Labor Force (percent over age 16 and older), 2016-2020</t>
  </si>
  <si>
    <t>Total accommodation and food services sales, 2017 (Ꝕ1,000)</t>
  </si>
  <si>
    <t>Total health care and social assistance receipts/revenue, 2017 (Ꝕ1,000)</t>
  </si>
  <si>
    <t>Total transportation and warehousing receipts/revenue, 2017 (Ꝕ1,000)</t>
  </si>
  <si>
    <t>&lt;- prediction for region 6 transportation cost in 2020</t>
  </si>
  <si>
    <t>Total retail sales, 2017 (Ꝕ1,000)</t>
  </si>
  <si>
    <t>Total retail sales per capita, 2017</t>
  </si>
  <si>
    <t xml:space="preserve">Ꝕ 19,811 </t>
  </si>
  <si>
    <t xml:space="preserve"> Ꝕ 26,171 </t>
  </si>
  <si>
    <t xml:space="preserve"> Ꝕ 17,558 </t>
  </si>
  <si>
    <t xml:space="preserve"> Ꝕ 15,350 </t>
  </si>
  <si>
    <t xml:space="preserve"> Ꝕ 13,758 </t>
  </si>
  <si>
    <t xml:space="preserve"> Ꝕ 6,959 </t>
  </si>
  <si>
    <t>Households, 2016-2020</t>
  </si>
  <si>
    <t>Vacant Housing Units</t>
  </si>
  <si>
    <t>Persons per Household, 2016-2020</t>
  </si>
  <si>
    <t>(assume that this stays constant throughout time)</t>
  </si>
  <si>
    <t>Median Household Income (Ꝕ)</t>
  </si>
  <si>
    <t>(assume yearly, assume it’s 2020)</t>
  </si>
  <si>
    <t>Prior Year Per Capita Income</t>
  </si>
  <si>
    <t xml:space="preserve">Ꝕ 45,482 </t>
  </si>
  <si>
    <t xml:space="preserve"> Ꝕ 38,381 </t>
  </si>
  <si>
    <t xml:space="preserve"> Ꝕ 40,937 </t>
  </si>
  <si>
    <t xml:space="preserve"> Ꝕ 28,186 </t>
  </si>
  <si>
    <t xml:space="preserve"> Ꝕ 32,418 </t>
  </si>
  <si>
    <t xml:space="preserve"> Ꝕ 35,948 </t>
  </si>
  <si>
    <t>Persons in poverty, percent</t>
  </si>
  <si>
    <t>Total Number of Employers, 2020</t>
  </si>
  <si>
    <t>Total Employment, 2020</t>
  </si>
  <si>
    <t>Total Annual Payroll (Ꝕ1,000)</t>
  </si>
  <si>
    <t>Population per hectare</t>
  </si>
  <si>
    <t>Land area in hectares</t>
  </si>
  <si>
    <t>GDP, 2020 (Ꝕ1,000 )</t>
  </si>
  <si>
    <t>Real GDP, 2020 (Ꝕ1,000 )</t>
  </si>
  <si>
    <t>GDP, 2019 (Ꝕ1,000 )</t>
  </si>
  <si>
    <t>Real GDP, 2019 (Ꝕ1,000 )</t>
  </si>
  <si>
    <t>Temporary housing cost with disaster (per person per month) (Ꝕ)</t>
  </si>
  <si>
    <t>Property Value distribution &lt;Ꝕ50K</t>
  </si>
  <si>
    <t>Property Value distribution Ꝕ50K-Ꝕ99K</t>
  </si>
  <si>
    <t>Property Value distribution Ꝕ100K-Ꝕ149K</t>
  </si>
  <si>
    <t>Property Value distribution Ꝕ150K-Ꝕ199K</t>
  </si>
  <si>
    <t>Property Value distribution Ꝕ200K-Ꝕ249K</t>
  </si>
  <si>
    <t>Property Value distribution Ꝕ250K-Ꝕ299K</t>
  </si>
  <si>
    <t>Property Value distribution Ꝕ300K-Ꝕ399K</t>
  </si>
  <si>
    <t>Property Value distribution Ꝕ400K-Ꝕ499K</t>
  </si>
  <si>
    <t>Property Value distribution Ꝕ500K-Ꝕ749K</t>
  </si>
  <si>
    <t>Property Value distribution Ꝕ750K-Ꝕ999K</t>
  </si>
  <si>
    <t>Property Value distribution Ꝕ1M-Ꝕ1.499K</t>
  </si>
  <si>
    <t>Property Value distribution Ꝕ1.5M-Ꝕ1.99M</t>
  </si>
  <si>
    <t>Property Value distribution &gt;=Ꝕ2M</t>
  </si>
  <si>
    <t>Weighted Average Property Value</t>
  </si>
  <si>
    <t>Historical Storslysia Inflation and Interest Rates</t>
  </si>
  <si>
    <t>Year</t>
  </si>
  <si>
    <t>Inflation</t>
  </si>
  <si>
    <t>delta_Inflation</t>
  </si>
  <si>
    <t>Government Overnight Bank Lending Rate</t>
  </si>
  <si>
    <t>1-yr risk free rate</t>
  </si>
  <si>
    <t>10-yr risk free rate</t>
  </si>
  <si>
    <t>Legend</t>
  </si>
  <si>
    <t>Average annual rate for the year</t>
  </si>
  <si>
    <t>Government overnight bank lending rate</t>
  </si>
  <si>
    <t>Average</t>
  </si>
  <si>
    <t>Std</t>
  </si>
  <si>
    <t>Four of the IPCC's SSP Scenarios for Future Atmospheric CO2 Concentrations, Worldwide Population, and GDP</t>
  </si>
  <si>
    <t>The scenarios produced by the Intergovernmental Panel on Climate Change (IPCC) are referred to as Shared Socioeconomic Pathways (SSPs). The SSPs reflect assumptions about population growth, economic growth, the use of sustainable energy sources versus fossil fuels, as well as other factors which, collectively, lead to a prediction for the trajectory of Green House Gas (GHG) emissions and the resulting atmospheric Carbon Dioxide (CO2) concentrations.</t>
  </si>
  <si>
    <t>https://ourworldindata.org/explorers/ipcc-scenarios</t>
  </si>
  <si>
    <t>Scenarios</t>
  </si>
  <si>
    <t>SSP1‒2.6</t>
  </si>
  <si>
    <t>Low Emissions</t>
  </si>
  <si>
    <t>SSP2‒3.4</t>
  </si>
  <si>
    <t>Medium Emissions</t>
  </si>
  <si>
    <t>SSP3‒6.0</t>
  </si>
  <si>
    <t>High Emissions</t>
  </si>
  <si>
    <t>SSP5‒Baseline</t>
  </si>
  <si>
    <t>Very High Emissions</t>
  </si>
  <si>
    <t>Atmospheric CO2 in Parts per Million</t>
  </si>
  <si>
    <t>World Population (Billions)</t>
  </si>
  <si>
    <t>Worldwide GDP (Trillions $US)</t>
  </si>
  <si>
    <t>GDP Per Capita ($US)</t>
  </si>
  <si>
    <t>SSP1‒
2.6</t>
  </si>
  <si>
    <t>SSP2‒
3.4</t>
  </si>
  <si>
    <t>SSP3‒
6.0</t>
  </si>
  <si>
    <t>SSP5‒ Baseline</t>
  </si>
  <si>
    <t>Note: The IPCC's SSP dataset shows projections through 2100. The amounts for 2110 through 2150 were developed by the Society of Actuaries Research Institute solely for the 2023 Student Research Case Study Challenge.</t>
  </si>
  <si>
    <t>For your information, the explanations below have been copied from the website https://ourworldindata.org/explorers/ipcc-scenarios</t>
  </si>
  <si>
    <t>What are the Shared Socioeconomic Pathways (SSPs)?</t>
  </si>
  <si>
    <t>The Shared Socioeconomic Pathways are a set of scenarios which are central to the work of the UN climate reports produced by the Intergovernmental Panel on Climate Change (IPCC).</t>
  </si>
  <si>
    <t>Why are these scenarios so important for the IPCC report?</t>
  </si>
  <si>
    <t>• How much greenhouse gas emissions the world emits in the coming decades is unknown. It is up to us. It will depend on what people around the world will do now and in the future.</t>
  </si>
  <si>
    <t>• In this situation, it’s helpful to create scenarios that cover a range of possible futures. This is what the ‘Shared Socioeconomic Pathways’ (SSPs) are. SSPs are the possible futures that climate</t>
  </si>
  <si>
    <t xml:space="preserve">   researchers in the IPCC consider in their models.</t>
  </si>
  <si>
    <r>
      <rPr>
        <sz val="11"/>
        <color rgb="FF000000"/>
        <rFont val="Calibri Light"/>
        <family val="2"/>
      </rPr>
      <t>• SSPs </t>
    </r>
    <r>
      <rPr>
        <i/>
        <sz val="11"/>
        <color rgb="FF000000"/>
        <rFont val="Calibri Light"/>
        <family val="2"/>
      </rPr>
      <t>do not</t>
    </r>
    <r>
      <rPr>
        <sz val="11"/>
        <color rgb="FF000000"/>
        <rFont val="Calibri Light"/>
        <family val="2"/>
      </rPr>
      <t> tell us what the world </t>
    </r>
    <r>
      <rPr>
        <i/>
        <sz val="11"/>
        <color rgb="FF000000"/>
        <rFont val="Calibri Light"/>
        <family val="2"/>
      </rPr>
      <t>will</t>
    </r>
    <r>
      <rPr>
        <sz val="11"/>
        <color rgb="FF000000"/>
        <rFont val="Calibri Light"/>
        <family val="2"/>
      </rPr>
      <t> look like. Instead, they tell us what the world </t>
    </r>
    <r>
      <rPr>
        <i/>
        <sz val="11"/>
        <color rgb="FF000000"/>
        <rFont val="Calibri Light"/>
        <family val="2"/>
      </rPr>
      <t>could</t>
    </r>
    <r>
      <rPr>
        <sz val="11"/>
        <color rgb="FF000000"/>
        <rFont val="Calibri Light"/>
        <family val="2"/>
      </rPr>
      <t> look like.</t>
    </r>
  </si>
  <si>
    <t>• The key aspect of these scenarios is the emissions of greenhouse gases that result. This is the key aspect because that what will determine the future of the climate.</t>
  </si>
  <si>
    <t>• To understand how our emissions might evolve we need to know how the world might change from a socioeconomic and technological perspective. These scenarios therefore differ in their</t>
  </si>
  <si>
    <t xml:space="preserve">    assumptions about socioeconomic and technological development in the coming decades.</t>
  </si>
  <si>
    <t>• The socioeconomic and technological factors that the SSPs include are: population growth, economic growth, urbanization, trade, energy, and agricultural systems. You find all them in the</t>
  </si>
  <si>
    <t xml:space="preserve">    Data Explorer above.</t>
  </si>
  <si>
    <t>• For more details on how SSPs are constructed, Zeke Hausfather has written (https://www.carbonbrief.org/explainer-how-shared-socioeconomic-pathways-explore-future-climate-change/)</t>
  </si>
  <si>
    <t>   an excellent explainer for Carbon Brief on this topic.</t>
  </si>
  <si>
    <t>Summaries of the five Shared Socioeconomic Pathways</t>
  </si>
  <si>
    <r>
      <rPr>
        <sz val="11"/>
        <color rgb="FF000000"/>
        <rFont val="Calibri Light"/>
        <family val="2"/>
      </rPr>
      <t>There are five key SSPs that are used in the research, and adopted by the IPCC. Below we provide the full description – as given by the IPCC – of these futures. In summary, </t>
    </r>
    <r>
      <rPr>
        <b/>
        <sz val="11"/>
        <color rgb="FF000000"/>
        <rFont val="Calibri Light"/>
        <family val="2"/>
      </rPr>
      <t>SSP1</t>
    </r>
    <r>
      <rPr>
        <sz val="11"/>
        <color rgb="FF000000"/>
        <rFont val="Calibri Light"/>
        <family val="2"/>
      </rPr>
      <t> provides the most positive scenario for both human development and environmental action. We continue to see improvements in education (https://ourworldindata.org/children-not-in-school) and health (https://ourworldindata.org/life-expectancy-globally) across the world; large reductions in poverty; and a shrinking in global inequalities. This is a scenario in which the researchers at the same time envision that the world is moving into a much more sustainable direction. </t>
    </r>
    <r>
      <rPr>
        <b/>
        <sz val="11"/>
        <color rgb="FF000000"/>
        <rFont val="Calibri Light"/>
        <family val="2"/>
      </rPr>
      <t>SSP5</t>
    </r>
    <r>
      <rPr>
        <sz val="11"/>
        <color rgb="FF000000"/>
        <rFont val="Calibri Light"/>
        <family val="2"/>
      </rPr>
      <t xml:space="preserve"> is similarly optimistic in terms of human development, but achieves this through a large growth in fossil fuels. This is therefore leading to continued large negative effects on the environment. </t>
    </r>
    <r>
      <rPr>
        <b/>
        <sz val="11"/>
        <color rgb="FF000000"/>
        <rFont val="Calibri Light"/>
        <family val="2"/>
      </rPr>
      <t>SSP3</t>
    </r>
    <r>
      <rPr>
        <sz val="11"/>
        <color rgb="FF000000"/>
        <rFont val="Calibri Light"/>
        <family val="2"/>
      </rPr>
      <t> and </t>
    </r>
    <r>
      <rPr>
        <b/>
        <sz val="11"/>
        <color rgb="FF000000"/>
        <rFont val="Calibri Light"/>
        <family val="2"/>
      </rPr>
      <t>SSP4</t>
    </r>
    <r>
      <rPr>
        <sz val="11"/>
        <color rgb="FF000000"/>
        <rFont val="Calibri Light"/>
        <family val="2"/>
      </rPr>
      <t> are pessimistic about development: they envision a divided future with high levels of nationalism and large persistent global inequalities as a result. </t>
    </r>
    <r>
      <rPr>
        <b/>
        <sz val="11"/>
        <color rgb="FF000000"/>
        <rFont val="Calibri Light"/>
        <family val="2"/>
      </rPr>
      <t>SSP2</t>
    </r>
    <r>
      <rPr>
        <sz val="11"/>
        <color rgb="FF000000"/>
        <rFont val="Calibri Light"/>
        <family val="2"/>
      </rPr>
      <t> sits in the middle of these scenarios: development is not as slow or divided as in SSP3 and SSP4, but progress is slow and unequal.</t>
    </r>
  </si>
  <si>
    <t>Complete descriptions of the five Shared Socioeconomic Pathways</t>
  </si>
  <si>
    <t>These are the full descriptions of the SSP narratives, as described by the IPCC:</t>
  </si>
  <si>
    <t>SSP1: Sustainability – Taking the Green Road (Low challenges to mitigation and adaptation)</t>
  </si>
  <si>
    <t>“The world shifts gradually, but pervasively, toward a more sustainable path, emphasizing more inclusive development that respects perceived environmental boundaries. Management of the global commons slowly improves, educational and health investments accelerate the demographic transition, and the emphasis on economic growth shifts toward a broader emphasis on human well-being. Driven by an increasing commitment to achieving development goals, inequality is reduced both across and within countries. Consumption is oriented toward low material growth and lower resource and energy intensity.”</t>
  </si>
  <si>
    <t>SSP2: Middle of the Road (Medium challenges to mitigation and adaptation)</t>
  </si>
  <si>
    <t>“The world follows a path in which social, economic, and technological trends do not shift markedly from historical patterns. Development and income growth proceeds unevenly, with some countries making relatively good progress while others fall short of expectations. Global and national institutions work toward but make slow progress in achieving sustainable development goals. Environmental systems experience degradation, although there are some improvements and overall the intensity of resource and energy use declines. Global population growth is moderate and levels off in the second half of the century. Income inequality persists or improves only slowly and challenges to reducing vulnerability to societal and environmental changes remain.”</t>
  </si>
  <si>
    <t>SSP3: Regional Rivalry – A Rocky Road (High challenges to mitigation and adaptation)</t>
  </si>
  <si>
    <t>“A resurgent nationalism, concerns about competitiveness and security, and regional conflicts push countries to increasingly focus on domestic or, at most, regional issues. Policies shift over time to become increasingly oriented toward national and regional security issues. Countries focus on achieving energy and food security goals within their own regions at the expense of broader-based development. Investments in education and technological development decline. Economic development is slow, consumption is material-intensive, and inequalities persist or worsen over time. Population growth is low in industrialized and high in developing countries. A low international priority for addressing environmental concerns leads to strong environmental degradation in some regions.”</t>
  </si>
  <si>
    <t>SSP4 Inequality – A Road Divided (Low challenges to mitigation, high challenges to adaptation)</t>
  </si>
  <si>
    <t>“Highly unequal investments in human capital, combined with increasing disparities in economic opportunity and political power, lead to increasing inequalities and stratification both across and within countries. Over time, a gap widens between an internationally-connected society that contributes to knowledge- and capital-intensive sectors of the global economy, and a fragmented collection of lower-income, poorly educated societies that work in a labor-intensive, low-tech economy. Social cohesion degrades and conflict and unrest become increasingly common. Technology development is high in the high-tech economy and sectors. The globally connected energy sector diversifies, with investments in both carbon-intensive fuels like coal and unconventional oil, but also low-carbon energy sources. Environmental policies focus on local issues around middle and high-income areas.”</t>
  </si>
  <si>
    <t>SSP5 Fossil-Fueled Development – Taking the Highway (High challenges to mitigation, low challenges to adaptation)</t>
  </si>
  <si>
    <t>“This world places increasing faith in competitive markets, innovation and participatory societies to produce rapid technological progress and development of human capital as the path to sustainable development. Global markets are increasingly integrated. There are also strong investments in health, education, and institutions to enhance human and social capital. At the same time, the push for economic and social development is coupled with the exploitation of abundant fossil fuel resources and the adoption of resource and energy-intensive lifestyles around the world. All these factors lead to rapid growth of the global economy, while global population peaks and declines in the 21st century. Local environmental problems like air pollution are successfully managed. There is faith in the ability to effectively manage social and ecological systems, including by geo-engineering if necessary.”</t>
  </si>
  <si>
    <t>How are SSPs modeled to fit specific climate scenario outcomes?</t>
  </si>
  <si>
    <t>• Each of the five SSPs also have variations of each scenario that would deliver a particular climate target. These variations correspond to the level of radiative forcing that they would lead to. </t>
  </si>
  <si>
    <t>• Let’s take “SSP1 – 2.6” as an example.  You can do this for yourself by selecting “SSP1 – 2.6” in our explorer, and changing the metrics.</t>
  </si>
  <si>
    <t>• It is a scenario with the socioeconomic development pathway of SSP1 (the same scenario in terms of population and economic growth) that would lead to a forcing of 2.6 watts per meter squared. </t>
  </si>
  <si>
    <t>• To achieve that under these socioeconomic conditions would mean that something else would have to change to reduce emissions. For example, it lays out a future in which the world implements</t>
  </si>
  <si>
    <t xml:space="preserve">   a carbon price globally; or total energy consumption is lower because we improve efficiency; or we have more nuclear energy; or we have much more carbon capture and storage.</t>
  </si>
  <si>
    <t>• For some SSPs, the changes would have to be extreme to meet these climate pathways. For example, in SSP5 – the fossil-fuel-heavy development path – we would need a very high carbon price,</t>
  </si>
  <si>
    <t xml:space="preserve">    and lots of carbon capture and storage.</t>
  </si>
  <si>
    <t>What is the source of this data?</t>
  </si>
  <si>
    <t>• The data presented is sourced from the work of  Keywan Riahi et a. (2017), which brings together the results of independent researchers that have mapped out a range of socioeconomic scenarios</t>
  </si>
  <si>
    <t xml:space="preserve">   for how the world could change in the coming decades. Full citation below.</t>
  </si>
  <si>
    <t>• The underlying data from these scenarios – that we presented in our Explorer – is accessible from the SSP Database (https://tntcat.iiasa.ac.at/SspDb/dsd?Action=htmlpage&amp;page=welcome),</t>
  </si>
  <si>
    <t xml:space="preserve">   published and maintained by the International Institute for Applied Systems Analysis (IIASA).</t>
  </si>
  <si>
    <r>
      <rPr>
        <b/>
        <sz val="10"/>
        <color rgb="FF000000"/>
        <rFont val="Calibri Light"/>
        <family val="2"/>
      </rPr>
      <t>Full citation:</t>
    </r>
    <r>
      <rPr>
        <sz val="10"/>
        <color rgb="FF000000"/>
        <rFont val="Calibri Light"/>
        <family val="2"/>
      </rPr>
      <t xml:space="preserve"> Keywan Riahi, Detlef P. van Vuuren, Elmar Kriegler, Jae Edmonds, Brian C. O’Neill, Shinichiro Fujimori, Nico Bauer, Katherine Calvin, Rob Dellink, Oliver Fricko, Wolfgang Lutz, Alexander Popp, Jesus Crespo Cuaresma, Samir KC, Marian Leimbach, Leiwen Jiang, Tom Kram, Shilpa Rao, Johannes Emmerling, Kristie Ebi, Tomoko Hasegawa, Petr Havlík, Florian Humpenöder, Lara Aleluia Da Silva, Steve Smith, Elke Stehfest, Valentina Bosetti, Jiyong Eom, David Gernaat, Toshihiko Masui, Joeri Rogelj, Jessica Strefler, Laurent Drouet, Volker Krey, Gunnar Luderer, Mathijs Harmsen, Kiyoshi Takahashi, Lavinia Baumstark, Jonathan C. Doelman, Mikiko Kainuma, Zbigniew Klimont, Giacomo Marangoni, Hermann Lotze-Campen, Michael Obersteiner, Andrzej Tabeau, Massimo Tavoni. </t>
    </r>
    <r>
      <rPr>
        <i/>
        <sz val="10"/>
        <color rgb="FF000000"/>
        <rFont val="Calibri Light"/>
        <family val="2"/>
      </rPr>
      <t>The Shared Socioeconomic Pathways and Their Energy, Land Use, and Greenhouse Gas Emissions Implications: An overview, Global Environmental Change</t>
    </r>
    <r>
      <rPr>
        <sz val="10"/>
        <color rgb="FF000000"/>
        <rFont val="Calibri Light"/>
        <family val="2"/>
      </rPr>
      <t>, Volume 42, Pages 153-168 (2017). (https://www.sciencedirect.com/science/article/pii/S0959378016300681)</t>
    </r>
  </si>
  <si>
    <t>Frequency Projection Model of Minor, Medium, and Major Hazard Events Per Year, as a Function of SSP Scenario</t>
  </si>
  <si>
    <t>Illustrative Example</t>
  </si>
  <si>
    <t>One can view the values below either as the expected number of events per year, or as 1 divided by the "return period". An expectation of 0.25 implies a return period of 4 years (on average, an event occurs every 4 years).</t>
  </si>
  <si>
    <t>The purpose of this example is a simplified demonstration</t>
  </si>
  <si>
    <t>An expected value that exceeds 1.00 indicates a return period of less than one year. For example, an expectation of 3 events per year equates to a return period of 4 months.</t>
  </si>
  <si>
    <t>of how the projected number of future hazard events might</t>
  </si>
  <si>
    <r>
      <t xml:space="preserve">be developed from historical hazard event data. </t>
    </r>
    <r>
      <rPr>
        <i/>
        <sz val="11"/>
        <rFont val="Calibri Light"/>
        <family val="2"/>
      </rPr>
      <t>This example</t>
    </r>
  </si>
  <si>
    <t>INPUT</t>
  </si>
  <si>
    <t>is NOT PRESCRIPTIVE and is purposely very simple. Each team</t>
  </si>
  <si>
    <t>Enter the Expected Number</t>
  </si>
  <si>
    <t>may consider or use other approaches, methods, and/or</t>
  </si>
  <si>
    <t>Hazard Events in 2020</t>
  </si>
  <si>
    <t>assumptions.</t>
  </si>
  <si>
    <t>Minor</t>
  </si>
  <si>
    <t>The risk amplification factor (RAF) ties the change in risk</t>
  </si>
  <si>
    <t>Medium</t>
  </si>
  <si>
    <t>to the change in atmospheric CO2. The RAF is equal to</t>
  </si>
  <si>
    <t>Using the Historical Hazard Data, a user can define</t>
  </si>
  <si>
    <t>Major</t>
  </si>
  <si>
    <t>the square of A / B, where "A" is the projected future level</t>
  </si>
  <si>
    <t>breakpoints for Minor/Medium/Major hazard events.</t>
  </si>
  <si>
    <t>of CO2 and "B" is the level of CO2 in 2020.</t>
  </si>
  <si>
    <t>The following illustrative example projects an expected</t>
  </si>
  <si>
    <t>SSP1‒ 2.6</t>
  </si>
  <si>
    <t>number of hazard events in 2020 for Region 1 using:</t>
  </si>
  <si>
    <t>Risk Amplification Factor (RAF)</t>
  </si>
  <si>
    <t>• Per-event property damage cost breakpoints of</t>
  </si>
  <si>
    <t xml:space="preserve">   500,000 and 5,000,000</t>
  </si>
  <si>
    <t>• Simple average between 1990 and 2020</t>
  </si>
  <si>
    <t>• Ignores duration, fatalities, injuries and type of hazard event</t>
  </si>
  <si>
    <t>The result is a simple approximation that may be entered as</t>
  </si>
  <si>
    <t>starting inputs in model to the left.</t>
  </si>
  <si>
    <t>Rounded</t>
  </si>
  <si>
    <t>Historical Hazard Data</t>
  </si>
  <si>
    <t>Source of SSP scenarios for 2020 through 2100: Keywan Riahi, Detlef P. van Vuuren, Elmar Kriegler, Jae Edmonds, Brian C. O’Neill, Shinichiro Fujimori, Nico Bauer, Katherine Calvin, Rob Dellink, Oliver Fricko, Wolfgang Lutz, Alexander Popp, Jesus Crespo Cuaresma, Samir KC, Marian Leimbach, Leiwen Jiang, Tom Kram, Shilpa Rao, Johannes Emmerling, Kristie Ebi, Tomoko Hasegawa, Petr Havlík, Florian Humpenöder, Lara Aleluia Da Silva, Steve Smith, Elke Stehfest, Valentina Bosetti, Jiyong Eom, David Gernaat, Toshihiko Masui, Joeri Rogelj, Jessica Strefler, Laurent Drouet, Volker Krey, Gunnar Luderer, Mathijs Harmsen, Kiyoshi Takahashi, Lavinia Baumstark, Jonathan C. Doelman, Mikiko Kainuma, Zbigniew Klimont, Giacomo Marangoni, Hermann Lotze-Campen, Michael Obersteiner, Andrzej Tabeau, Massimo Tavoni. The Shared Socioeconomic Pathways and their energy, land use, and greenhouse gas emissions implications: An overview, Global Environmental Change, Volume 42, Pages 153-168 (2017).</t>
  </si>
  <si>
    <t>SSP scenarios for 2110 through 2150 were developed by the Society of Actuaries Research Institute solely for the 2023 Student Research Case Study Challenge.</t>
  </si>
  <si>
    <t>Census Projections using 2020 as base value of 1</t>
  </si>
  <si>
    <t>GDP Projections using 2020 as base value of 1</t>
  </si>
  <si>
    <t>GDP per capita projections using 2020 as base value of 1</t>
  </si>
  <si>
    <t>SSP1</t>
  </si>
  <si>
    <t>SSP2</t>
  </si>
  <si>
    <t>SSP3</t>
  </si>
  <si>
    <t>SSP5</t>
  </si>
  <si>
    <t>Data is based off the SSP Scenarios</t>
  </si>
  <si>
    <t>Expected Damage of Minor Hazards for 2020</t>
  </si>
  <si>
    <t>Expected damage of Medium Hazards for 2020</t>
  </si>
  <si>
    <t>Expected damage of Major Hazards for 2020</t>
  </si>
  <si>
    <t>Expected Property Damages for 2020</t>
  </si>
  <si>
    <t>Region</t>
  </si>
  <si>
    <t xml:space="preserve">Lower </t>
  </si>
  <si>
    <t>Upper</t>
  </si>
  <si>
    <t>Lower</t>
  </si>
  <si>
    <t>Expected Frequency of Minor Hazards for 2020</t>
  </si>
  <si>
    <t>Expected Frequency of Medium Hazards for 2020</t>
  </si>
  <si>
    <t>Expected Frequency of Major Hazards for 2020</t>
  </si>
  <si>
    <t xml:space="preserve">Region </t>
  </si>
  <si>
    <t xml:space="preserve">Upper </t>
  </si>
  <si>
    <t>Expected Severity of Minor Hazards for 2020</t>
  </si>
  <si>
    <t>Expected Severity of Medium Hazards for 2020</t>
  </si>
  <si>
    <t>Expected Severity of Major Hazards for 2020</t>
  </si>
  <si>
    <t>% of Damage for each hazard severity</t>
  </si>
  <si>
    <t xml:space="preserve">Medium </t>
  </si>
  <si>
    <t>Expected Minor Hazard Damages for 2020</t>
  </si>
  <si>
    <t>Expected Medium Hazard Damages for 2020</t>
  </si>
  <si>
    <t>Expected Major Hazard Damages for 2020</t>
  </si>
  <si>
    <t>=('Demographic-Economic'!C$22+'Demographic-Economic'!C$23+'Demographic-Economic'!C$24)*1000*(1+'Inflation-Interest'!$B$65)*(1+'Inflation-Interest'!$B$66)*(1+'Inflation-Interest'!$B$67)* ('Prediction Results (Transposed)'!K$3*($B$8/12)*$B$5+ 'Prediction Results (Transposed)'!K$4*($B$9/12)*$B$6+ 'Prediction Results (Transposed)'!K$5*($B$10/12)*$B$7)*E4/E42*(1+'Inflation-'Prediction Results (Transposed)'!K4Interest'!$B$63)^($C99-$C$99)*1/$B$14</t>
  </si>
  <si>
    <t>Input Table</t>
  </si>
  <si>
    <t>% of voluntary relocation every year - high</t>
  </si>
  <si>
    <t>Region 1</t>
  </si>
  <si>
    <t>Region 3</t>
  </si>
  <si>
    <t>Region 5</t>
  </si>
  <si>
    <t>Region 6</t>
  </si>
  <si>
    <t>% of voluntary relocation every year - med</t>
  </si>
  <si>
    <t>Census</t>
  </si>
  <si>
    <t>Proportion of Lump Sum Components</t>
  </si>
  <si>
    <t>Assumed Constant Inflation</t>
  </si>
  <si>
    <t>% Permanent Housing Cost Covered</t>
  </si>
  <si>
    <t>Housing Units Projection</t>
  </si>
  <si>
    <t>-</t>
  </si>
  <si>
    <t>Number of Households</t>
  </si>
  <si>
    <t>Population Migrating</t>
  </si>
  <si>
    <t>Permanent Housing Costs</t>
  </si>
  <si>
    <t>Total Relocation Cost</t>
  </si>
  <si>
    <t>Health Care Costs</t>
  </si>
  <si>
    <t>Food Services and Accommodation Costs</t>
  </si>
  <si>
    <t>Transportation Costs</t>
  </si>
  <si>
    <t>Total Income Stream</t>
  </si>
  <si>
    <t>Total Lump Sum</t>
  </si>
  <si>
    <t>Total Costs for Voluntary Movement</t>
  </si>
  <si>
    <t>GDP Projection (Per 1000)</t>
  </si>
  <si>
    <t>Expected Property Damage</t>
  </si>
  <si>
    <t>lower, upper or average</t>
  </si>
  <si>
    <t>upper</t>
  </si>
  <si>
    <t xml:space="preserve">Minor event price surge </t>
  </si>
  <si>
    <t>Medium event price surge</t>
  </si>
  <si>
    <t>Major event price surge</t>
  </si>
  <si>
    <t>Housing duration for minor hazard</t>
  </si>
  <si>
    <t>Housing duration for medium hazard</t>
  </si>
  <si>
    <t>Housing duration for major hazard</t>
  </si>
  <si>
    <t>% cost of covering household goods minor</t>
  </si>
  <si>
    <t>% cost of covering household goods medium</t>
  </si>
  <si>
    <t>% cost of covering household goods major</t>
  </si>
  <si>
    <t>% of house damages required to be eligible</t>
  </si>
  <si>
    <t>Inflation Rate</t>
  </si>
  <si>
    <t>Estimated Total Occupied Housing Units Value</t>
  </si>
  <si>
    <t>Temporary Housing Costs (per person per month)</t>
  </si>
  <si>
    <t>Temporary Involuntary Relocation Costs</t>
  </si>
  <si>
    <t>Food Service + health care + transportation</t>
  </si>
  <si>
    <t>Covering Household Goods</t>
  </si>
  <si>
    <t>GDP (per 1000)</t>
  </si>
  <si>
    <t>Total Costs</t>
  </si>
  <si>
    <t>% of GDP</t>
  </si>
  <si>
    <t>% of voluntary relocation every year - high (up to 2040)</t>
  </si>
  <si>
    <t>% of voluntary relocation every year - med (up to 2040)</t>
  </si>
  <si>
    <t>Proportion of Lump Sum Components - Adults</t>
  </si>
  <si>
    <t>% Permanent Housing Cost Covered - Adults</t>
  </si>
  <si>
    <t>% Permanent Housing Cost Covered - Child</t>
  </si>
  <si>
    <t>Proportion of Lump Sum Components - Child</t>
  </si>
  <si>
    <t>% of voluntary relocation every year - high (2050 onwards)</t>
  </si>
  <si>
    <t>% of voluntary relocation every year - med (2050 onwards)</t>
  </si>
  <si>
    <t>Adult Population</t>
  </si>
  <si>
    <t>Child Population</t>
  </si>
  <si>
    <t>Total Population Migrating</t>
  </si>
  <si>
    <t>Number of Adults Migrating</t>
  </si>
  <si>
    <t>Number of Children Migrating</t>
  </si>
  <si>
    <t>Health Care Costs - Per Adult</t>
  </si>
  <si>
    <t>Health Care Costs - Adult</t>
  </si>
  <si>
    <t>Health Care Costs - Per  Child</t>
  </si>
  <si>
    <t>Health Care Costs - Per Child</t>
  </si>
  <si>
    <t>Health Care Costs - Child</t>
  </si>
  <si>
    <t>Food Services and Accommodation Costs - Adult</t>
  </si>
  <si>
    <t>Food Services and Accommodation Costs - Child</t>
  </si>
  <si>
    <t>Transportation Costs - Adult</t>
  </si>
  <si>
    <t>Transportation Costs - Child</t>
  </si>
  <si>
    <t>Total Income Stream - Adults</t>
  </si>
  <si>
    <t>Total Income Stream - Adult</t>
  </si>
  <si>
    <t>Total Income Stream - Children</t>
  </si>
  <si>
    <t>Total Income Stream - Child</t>
  </si>
  <si>
    <t>% of voluntary relocation every year - high (up to 2030)</t>
  </si>
  <si>
    <t>% of voluntary relocation every year - med (up to 2030)</t>
  </si>
  <si>
    <t>Proportion of Lump Sum Components - Per Household</t>
  </si>
  <si>
    <t>% Permanent Housing Cost Covered - Per Household</t>
  </si>
  <si>
    <t>% of voluntary relocation every year - high (2031 onwards)</t>
  </si>
  <si>
    <t>% of voluntary relocation every year - med (2031 onwards)</t>
  </si>
  <si>
    <t>Average Households Migrating</t>
  </si>
  <si>
    <t>Health Care Costs - Per Household</t>
  </si>
  <si>
    <t>Food Services and Accommodation Costs - Per Household</t>
  </si>
  <si>
    <t>Transportation Costs - Per Household</t>
  </si>
  <si>
    <t>Total Income Stream - Per Household</t>
  </si>
  <si>
    <t>Done by Brandon, Feel free to remove if you dont think its necessary</t>
  </si>
  <si>
    <t>With Program Voluntary</t>
  </si>
  <si>
    <t>With Program Involuntary</t>
  </si>
  <si>
    <t>No Program (only involuntary)</t>
  </si>
  <si>
    <t>Program Costing Difference</t>
  </si>
  <si>
    <t>Involuntary Costing Difference</t>
  </si>
  <si>
    <t>Total Program Cost</t>
  </si>
  <si>
    <t>SSP1_P</t>
  </si>
  <si>
    <t>SSP2_P</t>
  </si>
  <si>
    <t>SSP3_P</t>
  </si>
  <si>
    <t>SSP5_P</t>
  </si>
  <si>
    <t>Ꝕ</t>
  </si>
  <si>
    <t>Differences in Cost Between Programs (Ꝕ bil)</t>
  </si>
  <si>
    <t>Voluntary Cost</t>
  </si>
  <si>
    <t>Involuntary Cost</t>
  </si>
  <si>
    <t>Without Program Cost</t>
  </si>
  <si>
    <t>Difference ($bil)</t>
  </si>
  <si>
    <t>Relative % Difference</t>
  </si>
  <si>
    <t>Involuntary costing relative % difference</t>
  </si>
  <si>
    <t>capital need ($bil)</t>
  </si>
  <si>
    <t>Capital need over % of GDP</t>
  </si>
  <si>
    <t>Under SSP1</t>
  </si>
  <si>
    <t> </t>
  </si>
  <si>
    <t>Difference</t>
  </si>
  <si>
    <t>of GDP</t>
  </si>
  <si>
    <t>sum of diffs</t>
  </si>
  <si>
    <t>Under SSP5</t>
  </si>
  <si>
    <t>Testing Program Differences at different levels of inflation</t>
  </si>
  <si>
    <t>Testing Program at different levels of relocation</t>
  </si>
  <si>
    <t>Absolute Difference</t>
  </si>
  <si>
    <t>Involuntary Costing % Difference</t>
  </si>
  <si>
    <t>Relative % Program Difference</t>
  </si>
  <si>
    <t>Relative % Involuntary Difference</t>
  </si>
  <si>
    <t>0.005%</t>
  </si>
  <si>
    <t>0.05%</t>
  </si>
  <si>
    <t>0.50%</t>
  </si>
  <si>
    <t>1.00%</t>
  </si>
  <si>
    <t>2.00%</t>
  </si>
  <si>
    <t>Sum of Differences</t>
  </si>
  <si>
    <t>Testing Total Program Cost % of GDP at different levels of inflation</t>
  </si>
  <si>
    <t>% of voluntary relocation every year - high (2040 onwards)</t>
  </si>
  <si>
    <t>% of voluntary relocation every year - med (2040 onwards)</t>
  </si>
  <si>
    <t>Covering Housing Cost Limit</t>
  </si>
  <si>
    <t>% med</t>
  </si>
  <si>
    <t>Cost as % of GDP in last year (SSP1)</t>
  </si>
  <si>
    <t>% high</t>
  </si>
  <si>
    <t>% relocation med</t>
  </si>
  <si>
    <t>% relocation high</t>
  </si>
  <si>
    <t>Difference in program cost and without program cost across all years (SSP1)</t>
  </si>
  <si>
    <t>% Perm Hous Cost cov.</t>
  </si>
  <si>
    <t>Cost Difference ($ bil)</t>
  </si>
  <si>
    <t>Current values</t>
  </si>
  <si>
    <t>Total Health Care Costs</t>
  </si>
  <si>
    <t>Total Food Services and Accommodation Costs</t>
  </si>
  <si>
    <t>Low risk</t>
  </si>
  <si>
    <t>3,4,5,6</t>
  </si>
  <si>
    <t>Medium risk</t>
  </si>
  <si>
    <t>High risk</t>
  </si>
  <si>
    <t>&lt;- assume constant household per person</t>
  </si>
  <si>
    <t>&lt;- Come back to after figuring out lump sums</t>
  </si>
  <si>
    <t xml:space="preserve">&lt;- qualitatively mention potential changes in subsidising health care costs across different regions to incentivise ppl to move to certain regions in the far future </t>
  </si>
  <si>
    <t>&lt;- link it to the temporary housing duration 3/12 months</t>
  </si>
  <si>
    <t>Severity</t>
  </si>
  <si>
    <t>Avg Exp Property Damage</t>
  </si>
  <si>
    <t>Low Risk (3,4,5,6)</t>
  </si>
  <si>
    <t>Medium Risk (reg1)</t>
  </si>
  <si>
    <t>High Risk (reg2)</t>
  </si>
  <si>
    <t>73335. 33</t>
  </si>
  <si>
    <t>74719. 34</t>
  </si>
  <si>
    <t>Frequency (avg)</t>
  </si>
  <si>
    <t>Minor Event</t>
  </si>
  <si>
    <t>Medium Event</t>
  </si>
  <si>
    <t>Major Event</t>
  </si>
  <si>
    <r>
      <t xml:space="preserve">be developed from historical hazard event data. </t>
    </r>
    <r>
      <rPr>
        <i/>
        <sz val="11"/>
        <color theme="1"/>
        <rFont val="Calibri Light"/>
        <family val="2"/>
      </rPr>
      <t>This example</t>
    </r>
  </si>
  <si>
    <t>500,000 and 5,000,000</t>
  </si>
  <si>
    <t>Med Risk (reg1)</t>
  </si>
  <si>
    <t>GDP Projections</t>
  </si>
  <si>
    <t>GDP (Ꝕ1,000 )</t>
  </si>
  <si>
    <t>Values</t>
  </si>
  <si>
    <t>Lower Confidence Bound</t>
  </si>
  <si>
    <t>Upper Confidence Bound</t>
  </si>
  <si>
    <t>Forecasts</t>
  </si>
  <si>
    <t>Region 3 Forecast</t>
  </si>
  <si>
    <t>Inputs</t>
  </si>
  <si>
    <t>Short Term Timeframe (Years)</t>
  </si>
  <si>
    <t>Long Term Timeframe (Years)</t>
  </si>
  <si>
    <t>Regions</t>
  </si>
  <si>
    <t>Risk Level</t>
  </si>
  <si>
    <t>High</t>
  </si>
  <si>
    <t>Low</t>
  </si>
  <si>
    <t>%population to relocate in the next 10 yrs</t>
  </si>
  <si>
    <t>Average Property Damage</t>
  </si>
  <si>
    <t>%population to retreat temporily (per year)</t>
  </si>
  <si>
    <t>Period of Temporary Relocation (months)</t>
  </si>
  <si>
    <t>Cost Model (Jin's Attempt)</t>
  </si>
  <si>
    <t>Short Term and Long Term Cost Models</t>
  </si>
  <si>
    <t>Parameter Inputs Table</t>
  </si>
  <si>
    <t>% Voluntary Relocation from High Risk over 3 yrs</t>
  </si>
  <si>
    <t>% Voluntary Relocation from Medium Risk over 3 yrs</t>
  </si>
  <si>
    <t>% Voluntary Relocation from Low Risk over 3 yrs</t>
  </si>
  <si>
    <t>% Involuntary Relocation from High Risk over 3 yrs</t>
  </si>
  <si>
    <t>% Involuntary Relocation from Medium Risk over 3 yrs</t>
  </si>
  <si>
    <t xml:space="preserve">High Risk </t>
  </si>
  <si>
    <t>% Involuntary Relocation from Low Risk over 3 yrs</t>
  </si>
  <si>
    <t>Medium Risk</t>
  </si>
  <si>
    <t>% Voluntary Relocation from High Risk over 10 yrs</t>
  </si>
  <si>
    <t>Low Risk</t>
  </si>
  <si>
    <t>% Voluntary Relocation from Medium Risk over 10 yrs</t>
  </si>
  <si>
    <t>% Voluntary Relocation from Low Risk over 10 yrs</t>
  </si>
  <si>
    <t>% Involuntary Relocation from High Risk over 10 yrs</t>
  </si>
  <si>
    <t>% Involuntary Relocation from Medium Risk over 10 yrs</t>
  </si>
  <si>
    <t>% Involuntary Relocation from Low Risk over 10 yrs</t>
  </si>
  <si>
    <t>Adjustment to Involuntary Relocation Cost - Minor Event</t>
  </si>
  <si>
    <t>Adjustment to Involuntary Relocation Cost - Medium Event</t>
  </si>
  <si>
    <t>Adjustment to Involuntary Relocation Cost -  Major Event</t>
  </si>
  <si>
    <t>Lump Sum Given to Incentivise Voluntary Relocation/Mth - Low</t>
  </si>
  <si>
    <t>Lump Sum Given to Incentivise Voluntary Relocation/Mth - Med</t>
  </si>
  <si>
    <t>Lump Sum Given to Incentivise Voluntary Relocation/Mth - High</t>
  </si>
  <si>
    <t>Number of Months of Temporary Housing for Each Person</t>
  </si>
  <si>
    <t>Long Term Cost Model - 10 yrs</t>
  </si>
  <si>
    <t>Low Cost</t>
  </si>
  <si>
    <t>Medium Cost</t>
  </si>
  <si>
    <t>High Cost</t>
  </si>
  <si>
    <t>High Ppl Volume</t>
  </si>
  <si>
    <t>Medium Ppl Volume</t>
  </si>
  <si>
    <t>Low Ppl Volume</t>
  </si>
  <si>
    <t xml:space="preserve">Number of People Voluntary Relocating </t>
  </si>
  <si>
    <t xml:space="preserve">               High Risk</t>
  </si>
  <si>
    <t xml:space="preserve">               Medium Risk </t>
  </si>
  <si>
    <t xml:space="preserve">               Low Risk</t>
  </si>
  <si>
    <t>Cost per Person to Voluntarily Relocate</t>
  </si>
  <si>
    <t>Total Cost from Voluntary Relocation</t>
  </si>
  <si>
    <t>Total Lump Sum Cost Provided</t>
  </si>
  <si>
    <t xml:space="preserve">               Medium Risk</t>
  </si>
  <si>
    <t xml:space="preserve">               Total</t>
  </si>
  <si>
    <t>Find Cost from Involuntary Location</t>
  </si>
  <si>
    <t>Include Lump Sump Payments we want to give for Voluntary Relocation</t>
  </si>
  <si>
    <t>Final Cost</t>
  </si>
  <si>
    <t>Will do a comparison between vacant households and people relocating to check there are enough houses and see if it is within 10% of GDP (sense check)</t>
  </si>
  <si>
    <t>Total</t>
  </si>
  <si>
    <t>Population to relocate (%/year)</t>
  </si>
  <si>
    <t>Population to relocate permanently per year</t>
  </si>
  <si>
    <t>Population to retreat temporary per year</t>
  </si>
  <si>
    <t>Permanent Intake per year</t>
  </si>
  <si>
    <t>(as % of 2020 population)</t>
  </si>
  <si>
    <t>Temporary Intake per year</t>
  </si>
  <si>
    <t>Temporary Relocation</t>
  </si>
  <si>
    <t>Temp Rental cost p/person p/month (Ꝕ)</t>
  </si>
  <si>
    <t>2020 (Actual)</t>
  </si>
  <si>
    <t>% of National GDP</t>
  </si>
  <si>
    <t>Temporary Rental Cost per Year (Ꝕ)</t>
  </si>
  <si>
    <t>Permanent Relocation</t>
  </si>
  <si>
    <t>Housing Cost (Ꝕ)</t>
  </si>
  <si>
    <t>2020 GDP (Ꝕ 1, 000)</t>
  </si>
  <si>
    <t>Real GDP Growth Rate</t>
  </si>
  <si>
    <t>GDP Forecasts</t>
  </si>
  <si>
    <t>Inflation and Interst</t>
  </si>
  <si>
    <t>Mean (Change in Inflation Rate)</t>
  </si>
  <si>
    <t>Std (Change in Inflatino Rate)</t>
  </si>
  <si>
    <t>Mean (GOBL Rate - Inflation)</t>
  </si>
  <si>
    <t>Std(GOBL Rate - Inflation)</t>
  </si>
  <si>
    <t>Mean (1 Yr Rf - GOBL Rate)</t>
  </si>
  <si>
    <t>Std (1 Yr Rf - GOBL Rate)</t>
  </si>
  <si>
    <t>Mean (10 Yr Rf - 1 Yr Rf)</t>
  </si>
  <si>
    <t>Std (10 Yr Rf - 1 Yr Rf)</t>
  </si>
  <si>
    <t>2021 (Actual)</t>
  </si>
  <si>
    <t>Change in inflation Rate</t>
  </si>
  <si>
    <t>Min</t>
  </si>
  <si>
    <t>Median</t>
  </si>
  <si>
    <t>Max</t>
  </si>
  <si>
    <t>GOBL Rate</t>
  </si>
  <si>
    <t>GOBL Rate - Inflation Rate</t>
  </si>
  <si>
    <t>1 Yr Risk Free Rate</t>
  </si>
  <si>
    <t>1 Yr Rf Rate - GOBL Rate</t>
  </si>
  <si>
    <t>10 Yr Risk Free Rate</t>
  </si>
  <si>
    <t>10 Yr Rf Rate - 1 Yr Rf Rate</t>
  </si>
  <si>
    <t>Census Projections</t>
  </si>
  <si>
    <t>Regions 4,5,6</t>
  </si>
  <si>
    <t>Region 4 Projections</t>
  </si>
  <si>
    <t>Region 1 Projections</t>
  </si>
  <si>
    <t>Region 5 Projections</t>
  </si>
  <si>
    <t>Region 2 Projections</t>
  </si>
  <si>
    <t>Region 6 Projections</t>
  </si>
  <si>
    <t>Region 3 Projections</t>
  </si>
  <si>
    <t>Temporary Housing Cost Predictions</t>
  </si>
  <si>
    <t>From 2020 to 2030</t>
  </si>
  <si>
    <t>Temp cost p/person p/month (Ꝕ)</t>
  </si>
  <si>
    <t>Inflation Forecast</t>
  </si>
  <si>
    <t>Forecast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</si>
</sst>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_-&quot;$&quot;* #,##0.00_-;\-&quot;$&quot;* #,##0.00_-;_-&quot;$&quot;* &quot;-&quot;??_-;_-@_-"/>
    <numFmt numFmtId="165" formatCode="0.000"/>
    <numFmt numFmtId="166" formatCode="0.0%"/>
    <numFmt numFmtId="167" formatCode="0.000%"/>
    <numFmt numFmtId="168" formatCode="_(* #,##0_);_(* \(#,##0\);_(* &quot;-&quot;??_);_(@_)"/>
    <numFmt numFmtId="169" formatCode="0.0000%"/>
    <numFmt numFmtId="170" formatCode="0.00000"/>
    <numFmt numFmtId="171" formatCode="#,##0.0000"/>
    <numFmt numFmtId="172" formatCode="0.00000%"/>
    <numFmt numFmtId="173" formatCode="0E+00"/>
    <numFmt numFmtId="174" formatCode="0.000000%"/>
    <numFmt numFmtId="175" formatCode="_-&quot;$&quot;* #,##0_-;\-&quot;$&quot;* #,##0_-;_-&quot;$&quot;* &quot;-&quot;??_-;_-@_-"/>
    <numFmt numFmtId="176" formatCode="0.0000000000"/>
    <numFmt numFmtId="177" formatCode="0.0000"/>
  </numFmts>
  <fonts count="78">
    <font>
      <sz val="11"/>
      <color theme="1"/>
      <name val="Calibri"/>
      <family val="2"/>
      <scheme val="minor"/>
    </font>
    <font>
      <b/>
      <sz val="11"/>
      <color theme="1"/>
      <name val="Calibri"/>
      <family val="2"/>
      <scheme val="minor"/>
    </font>
    <font>
      <sz val="10"/>
      <color theme="1"/>
      <name val="Calibri"/>
      <family val="2"/>
    </font>
    <font>
      <b/>
      <sz val="14"/>
      <color rgb="FF024D7C"/>
      <name val="Calibri"/>
      <family val="2"/>
    </font>
    <font>
      <sz val="11"/>
      <color theme="1"/>
      <name val="Calibri"/>
      <family val="2"/>
    </font>
    <font>
      <i/>
      <sz val="11"/>
      <color theme="1"/>
      <name val="Calibri Light"/>
      <family val="2"/>
    </font>
    <font>
      <b/>
      <sz val="11"/>
      <color rgb="FF0070C0"/>
      <name val="Calibri"/>
      <family val="2"/>
    </font>
    <font>
      <i/>
      <sz val="11"/>
      <color theme="1"/>
      <name val="Calibri"/>
      <family val="2"/>
    </font>
    <font>
      <b/>
      <sz val="11"/>
      <color theme="1"/>
      <name val="Calibri"/>
      <family val="2"/>
    </font>
    <font>
      <b/>
      <sz val="11"/>
      <color rgb="FFFFFFFF"/>
      <name val="Calibri"/>
      <family val="2"/>
    </font>
    <font>
      <b/>
      <sz val="11"/>
      <color rgb="FF024D7C"/>
      <name val="Calibri"/>
      <family val="2"/>
    </font>
    <font>
      <u/>
      <sz val="11"/>
      <color theme="1"/>
      <name val="Calibri"/>
      <family val="2"/>
      <scheme val="minor"/>
    </font>
    <font>
      <sz val="11"/>
      <color theme="1"/>
      <name val="Calibri"/>
      <family val="2"/>
      <scheme val="minor"/>
    </font>
    <font>
      <sz val="10"/>
      <color theme="1"/>
      <name val="Calibri Light"/>
      <family val="2"/>
    </font>
    <font>
      <sz val="11"/>
      <color rgb="FF000000"/>
      <name val="Calibri Light"/>
      <family val="2"/>
    </font>
    <font>
      <sz val="8"/>
      <color theme="1" tint="0.499984740745262"/>
      <name val="Calibri Light"/>
      <family val="2"/>
    </font>
    <font>
      <sz val="11"/>
      <color theme="1"/>
      <name val="Calibri Light"/>
      <family val="2"/>
    </font>
    <font>
      <b/>
      <sz val="14"/>
      <color theme="4"/>
      <name val="Calibri Light"/>
      <family val="2"/>
    </font>
    <font>
      <b/>
      <sz val="11"/>
      <color rgb="FF000000"/>
      <name val="Calibri Light"/>
      <family val="2"/>
    </font>
    <font>
      <b/>
      <sz val="11"/>
      <color theme="0"/>
      <name val="Calibri"/>
      <family val="2"/>
    </font>
    <font>
      <sz val="11"/>
      <color theme="0"/>
      <name val="Calibri"/>
      <family val="2"/>
    </font>
    <font>
      <sz val="9"/>
      <color indexed="81"/>
      <name val="Tahoma"/>
      <family val="2"/>
    </font>
    <font>
      <b/>
      <sz val="9"/>
      <color indexed="81"/>
      <name val="Tahoma"/>
      <family val="2"/>
    </font>
    <font>
      <sz val="11"/>
      <color rgb="FF000000"/>
      <name val="Calibri"/>
      <family val="2"/>
    </font>
    <font>
      <b/>
      <sz val="11"/>
      <color theme="0"/>
      <name val="Calibri"/>
      <family val="2"/>
      <scheme val="minor"/>
    </font>
    <font>
      <b/>
      <sz val="20"/>
      <color theme="0"/>
      <name val="Calibri"/>
      <family val="2"/>
      <scheme val="minor"/>
    </font>
    <font>
      <sz val="15"/>
      <color theme="0"/>
      <name val="Calibri"/>
      <family val="2"/>
      <scheme val="minor"/>
    </font>
    <font>
      <b/>
      <sz val="11"/>
      <color rgb="FF000000"/>
      <name val="Calibri"/>
      <family val="2"/>
    </font>
    <font>
      <b/>
      <sz val="9"/>
      <color rgb="FF000000"/>
      <name val="Tahoma"/>
      <family val="2"/>
    </font>
    <font>
      <sz val="9"/>
      <color rgb="FF000000"/>
      <name val="Tahoma"/>
      <family val="2"/>
    </font>
    <font>
      <b/>
      <u/>
      <sz val="11"/>
      <color theme="1"/>
      <name val="Calibri"/>
      <family val="2"/>
      <scheme val="minor"/>
    </font>
    <font>
      <b/>
      <sz val="11"/>
      <color rgb="FFFF0000"/>
      <name val="Calibri"/>
      <family val="2"/>
      <scheme val="minor"/>
    </font>
    <font>
      <i/>
      <sz val="11"/>
      <color theme="1"/>
      <name val="Calibri"/>
      <family val="2"/>
      <scheme val="minor"/>
    </font>
    <font>
      <sz val="11"/>
      <color rgb="FF3F3F76"/>
      <name val="Calibri"/>
      <family val="2"/>
      <scheme val="minor"/>
    </font>
    <font>
      <b/>
      <sz val="11"/>
      <color rgb="FF3F3F3F"/>
      <name val="Calibri"/>
      <family val="2"/>
      <scheme val="minor"/>
    </font>
    <font>
      <sz val="11"/>
      <color rgb="FF000000"/>
      <name val="Calibri"/>
      <family val="2"/>
      <scheme val="minor"/>
    </font>
    <font>
      <b/>
      <sz val="11"/>
      <color rgb="FF000000"/>
      <name val="Calibri"/>
      <family val="2"/>
      <scheme val="minor"/>
    </font>
    <font>
      <sz val="10"/>
      <color rgb="FF000000"/>
      <name val="Lucida Console"/>
      <family val="3"/>
      <charset val="1"/>
    </font>
    <font>
      <sz val="11"/>
      <color rgb="FF444444"/>
      <name val="Calibri"/>
      <family val="2"/>
    </font>
    <font>
      <sz val="10"/>
      <color rgb="FFC5C8C6"/>
      <name val="Lucida Console"/>
      <family val="3"/>
      <charset val="1"/>
    </font>
    <font>
      <sz val="11"/>
      <name val="Calibri"/>
      <family val="2"/>
      <scheme val="minor"/>
    </font>
    <font>
      <b/>
      <sz val="11"/>
      <name val="Calibri"/>
      <family val="2"/>
      <scheme val="minor"/>
    </font>
    <font>
      <b/>
      <sz val="10"/>
      <color rgb="FF000000"/>
      <name val="Calibri Light"/>
      <family val="2"/>
    </font>
    <font>
      <sz val="10"/>
      <color rgb="FF000000"/>
      <name val="Calibri Light"/>
      <family val="2"/>
    </font>
    <font>
      <i/>
      <sz val="10"/>
      <color rgb="FF000000"/>
      <name val="Calibri Light"/>
      <family val="2"/>
    </font>
    <font>
      <b/>
      <sz val="12"/>
      <color theme="4"/>
      <name val="Calibri"/>
      <family val="2"/>
    </font>
    <font>
      <i/>
      <sz val="11"/>
      <color rgb="FF000000"/>
      <name val="Calibri Light"/>
      <family val="2"/>
    </font>
    <font>
      <b/>
      <sz val="11"/>
      <color rgb="FFC00000"/>
      <name val="Calibri Light"/>
      <family val="2"/>
    </font>
    <font>
      <sz val="8"/>
      <color rgb="FF000000"/>
      <name val="Calibri Light"/>
      <family val="2"/>
    </font>
    <font>
      <sz val="11"/>
      <name val="Calibri Light"/>
      <family val="2"/>
    </font>
    <font>
      <b/>
      <sz val="11"/>
      <color theme="4"/>
      <name val="Calibri"/>
      <family val="2"/>
    </font>
    <font>
      <u/>
      <sz val="10"/>
      <color theme="10"/>
      <name val="Calibri Light"/>
      <family val="2"/>
    </font>
    <font>
      <u/>
      <sz val="11"/>
      <color theme="10"/>
      <name val="Calibri Light"/>
      <family val="2"/>
    </font>
    <font>
      <sz val="10"/>
      <name val="Calibri Light"/>
      <family val="2"/>
    </font>
    <font>
      <b/>
      <sz val="14"/>
      <color theme="1"/>
      <name val="Calibri Light"/>
      <family val="2"/>
    </font>
    <font>
      <i/>
      <sz val="11"/>
      <name val="Calibri Light"/>
      <family val="2"/>
    </font>
    <font>
      <b/>
      <sz val="11"/>
      <color rgb="FF0070C0"/>
      <name val="Calibri Light"/>
      <family val="2"/>
    </font>
    <font>
      <b/>
      <sz val="11"/>
      <name val="Calibri"/>
      <family val="2"/>
    </font>
    <font>
      <b/>
      <sz val="11"/>
      <name val="Calibri Light"/>
      <family val="2"/>
    </font>
    <font>
      <sz val="11"/>
      <color theme="0"/>
      <name val="Calibri Light"/>
      <family val="2"/>
    </font>
    <font>
      <b/>
      <sz val="11"/>
      <color theme="4"/>
      <name val="Calibri Light"/>
      <family val="2"/>
    </font>
    <font>
      <b/>
      <sz val="11"/>
      <color rgb="FFFFFFFF"/>
      <name val="Calibri"/>
      <family val="2"/>
      <scheme val="minor"/>
    </font>
    <font>
      <sz val="8"/>
      <name val="Calibri"/>
      <family val="2"/>
      <scheme val="minor"/>
    </font>
    <font>
      <sz val="11"/>
      <color rgb="FFFFFFFF"/>
      <name val="Calibri"/>
      <family val="2"/>
      <scheme val="minor"/>
    </font>
    <font>
      <sz val="11"/>
      <color rgb="FF000000"/>
      <name val="Calibri"/>
      <family val="2"/>
      <charset val="1"/>
    </font>
    <font>
      <sz val="11"/>
      <color rgb="FF444444"/>
      <name val="Calibri"/>
      <family val="2"/>
      <charset val="1"/>
    </font>
    <font>
      <sz val="11"/>
      <color rgb="FF9C5700"/>
      <name val="Calibri"/>
      <family val="2"/>
      <scheme val="minor"/>
    </font>
    <font>
      <sz val="11"/>
      <color rgb="FFFF0000"/>
      <name val="Calibri"/>
      <family val="2"/>
      <scheme val="minor"/>
    </font>
    <font>
      <b/>
      <sz val="10"/>
      <color rgb="FF000000"/>
      <name val="Calibri"/>
      <family val="2"/>
    </font>
    <font>
      <sz val="10"/>
      <color rgb="FF000000"/>
      <name val="Calibri"/>
      <family val="2"/>
    </font>
    <font>
      <b/>
      <sz val="11"/>
      <color rgb="FF000000"/>
      <name val="Calibri"/>
      <family val="2"/>
      <charset val="1"/>
    </font>
    <font>
      <sz val="11"/>
      <color theme="0"/>
      <name val="Calibri"/>
      <family val="2"/>
      <scheme val="minor"/>
    </font>
    <font>
      <sz val="11"/>
      <color rgb="FFFFFFFF"/>
      <name val="Calibri"/>
      <family val="2"/>
    </font>
    <font>
      <b/>
      <sz val="15"/>
      <color theme="3"/>
      <name val="Calibri"/>
      <family val="2"/>
      <scheme val="minor"/>
    </font>
    <font>
      <b/>
      <sz val="11"/>
      <color theme="1"/>
      <name val="Calibri Light"/>
      <family val="2"/>
    </font>
    <font>
      <sz val="11"/>
      <color rgb="FF006100"/>
      <name val="Calibri"/>
      <family val="2"/>
      <scheme val="minor"/>
    </font>
    <font>
      <sz val="11"/>
      <color rgb="FF006100"/>
      <name val="Calibri"/>
      <family val="2"/>
    </font>
    <font>
      <sz val="11"/>
      <color rgb="FF9C0006"/>
      <name val="Calibri"/>
      <family val="2"/>
    </font>
  </fonts>
  <fills count="42">
    <fill>
      <patternFill patternType="none"/>
    </fill>
    <fill>
      <patternFill patternType="gray125"/>
    </fill>
    <fill>
      <patternFill patternType="solid">
        <fgColor rgb="FFFFFFFF"/>
        <bgColor indexed="64"/>
      </patternFill>
    </fill>
    <fill>
      <patternFill patternType="solid">
        <fgColor rgb="FFF2F2F2"/>
        <bgColor indexed="64"/>
      </patternFill>
    </fill>
    <fill>
      <patternFill patternType="solid">
        <fgColor rgb="FFFEEB9B"/>
        <bgColor indexed="64"/>
      </patternFill>
    </fill>
    <fill>
      <patternFill patternType="solid">
        <fgColor rgb="FFC8E7EE"/>
        <bgColor indexed="64"/>
      </patternFill>
    </fill>
    <fill>
      <patternFill patternType="solid">
        <fgColor rgb="FF024D7C"/>
        <bgColor indexed="64"/>
      </patternFill>
    </fill>
    <fill>
      <patternFill patternType="solid">
        <fgColor theme="0"/>
        <bgColor indexed="64"/>
      </patternFill>
    </fill>
    <fill>
      <patternFill patternType="solid">
        <fgColor theme="4"/>
        <bgColor indexed="64"/>
      </patternFill>
    </fill>
    <fill>
      <patternFill patternType="solid">
        <fgColor rgb="FFFFFF00"/>
        <bgColor indexed="64"/>
      </patternFill>
    </fill>
    <fill>
      <patternFill patternType="solid">
        <fgColor theme="1"/>
        <bgColor indexed="64"/>
      </patternFill>
    </fill>
    <fill>
      <patternFill patternType="solid">
        <fgColor theme="6" tint="0.59999389629810485"/>
        <bgColor indexed="64"/>
      </patternFill>
    </fill>
    <fill>
      <patternFill patternType="solid">
        <fgColor theme="0"/>
        <bgColor rgb="FFD9E1F2"/>
      </patternFill>
    </fill>
    <fill>
      <patternFill patternType="solid">
        <fgColor theme="6" tint="0.59999389629810485"/>
        <bgColor rgb="FF4472C4"/>
      </patternFill>
    </fill>
    <fill>
      <patternFill patternType="solid">
        <fgColor theme="8" tint="0.79998168889431442"/>
        <bgColor indexed="64"/>
      </patternFill>
    </fill>
    <fill>
      <patternFill patternType="solid">
        <fgColor theme="8" tint="0.79998168889431442"/>
        <bgColor rgb="FFD9E1F2"/>
      </patternFill>
    </fill>
    <fill>
      <patternFill patternType="solid">
        <fgColor rgb="FFFFCC99"/>
      </patternFill>
    </fill>
    <fill>
      <patternFill patternType="solid">
        <fgColor rgb="FFF2F2F2"/>
      </patternFill>
    </fill>
    <fill>
      <patternFill patternType="solid">
        <fgColor theme="0" tint="-4.9989318521683403E-2"/>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4" tint="0.59999389629810485"/>
        <bgColor indexed="64"/>
      </patternFill>
    </fill>
    <fill>
      <patternFill patternType="solid">
        <fgColor theme="0" tint="-0.14999847407452621"/>
        <bgColor theme="0" tint="-0.14999847407452621"/>
      </patternFill>
    </fill>
    <fill>
      <patternFill patternType="solid">
        <fgColor theme="2"/>
        <bgColor indexed="64"/>
      </patternFill>
    </fill>
    <fill>
      <patternFill patternType="solid">
        <fgColor theme="0" tint="-4.9989318521683403E-2"/>
        <bgColor rgb="FF000000"/>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bgColor rgb="FF000000"/>
      </patternFill>
    </fill>
    <fill>
      <patternFill patternType="solid">
        <fgColor rgb="FF4472C4"/>
        <bgColor indexed="64"/>
      </patternFill>
    </fill>
    <fill>
      <patternFill patternType="solid">
        <fgColor rgb="FFE7E6E6"/>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rgb="FFFFEB9C"/>
      </patternFill>
    </fill>
    <fill>
      <patternFill patternType="solid">
        <fgColor theme="6"/>
      </patternFill>
    </fill>
    <fill>
      <patternFill patternType="solid">
        <fgColor rgb="FFA5A5A5"/>
        <bgColor rgb="FF000000"/>
      </patternFill>
    </fill>
    <fill>
      <patternFill patternType="solid">
        <fgColor theme="4"/>
      </patternFill>
    </fill>
    <fill>
      <patternFill patternType="solid">
        <fgColor theme="0" tint="-0.14999847407452621"/>
        <bgColor indexed="64"/>
      </patternFill>
    </fill>
    <fill>
      <patternFill patternType="solid">
        <fgColor rgb="FFC6EFCE"/>
      </patternFill>
    </fill>
    <fill>
      <patternFill patternType="solid">
        <fgColor rgb="FF4472C4"/>
        <bgColor rgb="FF000000"/>
      </patternFill>
    </fill>
    <fill>
      <patternFill patternType="solid">
        <fgColor rgb="FFC6EFCE"/>
        <bgColor rgb="FF000000"/>
      </patternFill>
    </fill>
    <fill>
      <patternFill patternType="solid">
        <fgColor rgb="FFFFC7CE"/>
        <bgColor rgb="FF000000"/>
      </patternFill>
    </fill>
  </fills>
  <borders count="105">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CCCCCC"/>
      </right>
      <top style="thin">
        <color rgb="FF000000"/>
      </top>
      <bottom style="thin">
        <color rgb="FFCCCCCC"/>
      </bottom>
      <diagonal/>
    </border>
    <border>
      <left style="thin">
        <color rgb="FFCCCCCC"/>
      </left>
      <right style="thin">
        <color rgb="FFCCCCCC"/>
      </right>
      <top style="thin">
        <color rgb="FF000000"/>
      </top>
      <bottom style="thin">
        <color rgb="FFCCCCCC"/>
      </bottom>
      <diagonal/>
    </border>
    <border>
      <left style="thin">
        <color rgb="FFCCCCCC"/>
      </left>
      <right style="thin">
        <color rgb="FF000000"/>
      </right>
      <top style="thin">
        <color rgb="FF000000"/>
      </top>
      <bottom style="thin">
        <color rgb="FFCCCCCC"/>
      </bottom>
      <diagonal/>
    </border>
    <border>
      <left style="thin">
        <color rgb="FF000000"/>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000000"/>
      </right>
      <top style="thin">
        <color rgb="FFCCCCCC"/>
      </top>
      <bottom style="thin">
        <color rgb="FFCCCCCC"/>
      </bottom>
      <diagonal/>
    </border>
    <border>
      <left style="thin">
        <color rgb="FFCCCCCC"/>
      </left>
      <right style="thin">
        <color rgb="FFCCCCCC"/>
      </right>
      <top style="thin">
        <color rgb="FFCCCCCC"/>
      </top>
      <bottom style="thick">
        <color rgb="FF000000"/>
      </bottom>
      <diagonal/>
    </border>
    <border>
      <left style="thin">
        <color rgb="FFCCCCCC"/>
      </left>
      <right style="thick">
        <color rgb="FF000000"/>
      </right>
      <top style="thin">
        <color rgb="FFCCCCCC"/>
      </top>
      <bottom style="thin">
        <color rgb="FFCCCCCC"/>
      </bottom>
      <diagonal/>
    </border>
    <border>
      <left style="thin">
        <color rgb="FFCCCCCC"/>
      </left>
      <right style="thin">
        <color rgb="FFCCCCCC"/>
      </right>
      <top style="thin">
        <color rgb="FFCCCCCC"/>
      </top>
      <bottom style="thin">
        <color rgb="FF000000"/>
      </bottom>
      <diagonal/>
    </border>
    <border>
      <left style="thin">
        <color rgb="FFCCCCCC"/>
      </left>
      <right style="thin">
        <color rgb="FFCCCCCC"/>
      </right>
      <top style="thin">
        <color rgb="FFCCCCCC"/>
      </top>
      <bottom style="dotted">
        <color rgb="FF0070C0"/>
      </bottom>
      <diagonal/>
    </border>
    <border>
      <left style="thin">
        <color rgb="FFCCCCCC"/>
      </left>
      <right style="thick">
        <color rgb="FF000000"/>
      </right>
      <top style="thin">
        <color rgb="FFCCCCCC"/>
      </top>
      <bottom style="thick">
        <color rgb="FF000000"/>
      </bottom>
      <diagonal/>
    </border>
    <border>
      <left style="thin">
        <color rgb="FFCCCCCC"/>
      </left>
      <right/>
      <top style="thin">
        <color rgb="FFCCCCCC"/>
      </top>
      <bottom/>
      <diagonal/>
    </border>
    <border>
      <left/>
      <right/>
      <top style="thin">
        <color rgb="FFCCCCCC"/>
      </top>
      <bottom/>
      <diagonal/>
    </border>
    <border>
      <left style="thin">
        <color rgb="FFCCCCCC"/>
      </left>
      <right/>
      <top style="thin">
        <color rgb="FFCCCCCC"/>
      </top>
      <bottom style="thin">
        <color rgb="FFCCCCCC"/>
      </bottom>
      <diagonal/>
    </border>
    <border>
      <left/>
      <right/>
      <top style="thin">
        <color rgb="FFCCCCCC"/>
      </top>
      <bottom style="thin">
        <color rgb="FFCCCCCC"/>
      </bottom>
      <diagonal/>
    </border>
    <border>
      <left/>
      <right style="thin">
        <color rgb="FFCCCCCC"/>
      </right>
      <top style="thin">
        <color rgb="FFCCCCCC"/>
      </top>
      <bottom style="thin">
        <color rgb="FFCCCCCC"/>
      </bottom>
      <diagonal/>
    </border>
    <border>
      <left style="thin">
        <color rgb="FFCCCCCC"/>
      </left>
      <right/>
      <top style="thin">
        <color rgb="FFCCCCCC"/>
      </top>
      <bottom style="dotted">
        <color rgb="FF000000"/>
      </bottom>
      <diagonal/>
    </border>
    <border>
      <left/>
      <right/>
      <top style="thin">
        <color rgb="FFCCCCCC"/>
      </top>
      <bottom style="dotted">
        <color rgb="FF000000"/>
      </bottom>
      <diagonal/>
    </border>
    <border>
      <left/>
      <right style="thin">
        <color rgb="FFCCCCCC"/>
      </right>
      <top style="thin">
        <color rgb="FFCCCCCC"/>
      </top>
      <bottom style="dotted">
        <color rgb="FF000000"/>
      </bottom>
      <diagonal/>
    </border>
    <border>
      <left style="thin">
        <color rgb="FFCCCCCC"/>
      </left>
      <right style="thin">
        <color rgb="FF000000"/>
      </right>
      <top style="thin">
        <color rgb="FFCCCCCC"/>
      </top>
      <bottom style="thin">
        <color rgb="FF000000"/>
      </bottom>
      <diagonal/>
    </border>
    <border>
      <left/>
      <right style="thin">
        <color rgb="FFCCCCCC"/>
      </right>
      <top style="thin">
        <color rgb="FFCCCCCC"/>
      </top>
      <bottom/>
      <diagonal/>
    </border>
    <border>
      <left style="thin">
        <color rgb="FFCCCCCC"/>
      </left>
      <right/>
      <top/>
      <bottom/>
      <diagonal/>
    </border>
    <border>
      <left/>
      <right style="thin">
        <color rgb="FFCCCCCC"/>
      </right>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thin">
        <color indexed="64"/>
      </bottom>
      <diagonal/>
    </border>
    <border>
      <left/>
      <right style="medium">
        <color indexed="64"/>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right style="medium">
        <color indexed="64"/>
      </right>
      <top style="thin">
        <color indexed="64"/>
      </top>
      <bottom style="medium">
        <color indexed="64"/>
      </bottom>
      <diagonal/>
    </border>
    <border>
      <left/>
      <right/>
      <top style="double">
        <color auto="1"/>
      </top>
      <bottom style="double">
        <color auto="1"/>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style="thin">
        <color indexed="64"/>
      </left>
      <right/>
      <top style="thin">
        <color indexed="64"/>
      </top>
      <bottom/>
      <diagonal/>
    </border>
    <border>
      <left/>
      <right/>
      <top/>
      <bottom style="thin">
        <color theme="1"/>
      </bottom>
      <diagonal/>
    </border>
    <border>
      <left/>
      <right/>
      <top style="thin">
        <color theme="1"/>
      </top>
      <bottom/>
      <diagonal/>
    </border>
    <border>
      <left/>
      <right/>
      <top/>
      <bottom style="dashed">
        <color theme="0" tint="-0.24994659260841701"/>
      </bottom>
      <diagonal/>
    </border>
    <border>
      <left/>
      <right/>
      <top style="thin">
        <color indexed="64"/>
      </top>
      <bottom/>
      <diagonal/>
    </border>
    <border>
      <left/>
      <right style="thin">
        <color indexed="64"/>
      </right>
      <top style="thin">
        <color indexed="64"/>
      </top>
      <bottom/>
      <diagonal/>
    </border>
    <border>
      <left style="hair">
        <color rgb="FF0070C0"/>
      </left>
      <right style="hair">
        <color rgb="FF0070C0"/>
      </right>
      <top style="hair">
        <color rgb="FF0070C0"/>
      </top>
      <bottom style="hair">
        <color rgb="FF0070C0"/>
      </bottom>
      <diagonal/>
    </border>
    <border>
      <left style="thin">
        <color indexed="64"/>
      </left>
      <right/>
      <top/>
      <bottom/>
      <diagonal/>
    </border>
    <border>
      <left/>
      <right style="thin">
        <color indexed="64"/>
      </right>
      <top/>
      <bottom/>
      <diagonal/>
    </border>
    <border>
      <left/>
      <right/>
      <top/>
      <bottom style="hair">
        <color indexed="64"/>
      </bottom>
      <diagonal/>
    </border>
    <border>
      <left/>
      <right/>
      <top style="hair">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thick">
        <color theme="4"/>
      </bottom>
      <diagonal/>
    </border>
    <border>
      <left/>
      <right/>
      <top/>
      <bottom style="medium">
        <color rgb="FF000000"/>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style="thin">
        <color indexed="64"/>
      </top>
      <bottom style="thin">
        <color rgb="FF000000"/>
      </bottom>
      <diagonal/>
    </border>
    <border>
      <left style="thin">
        <color rgb="FF000000"/>
      </left>
      <right style="thin">
        <color indexed="64"/>
      </right>
      <top style="thin">
        <color indexed="64"/>
      </top>
      <bottom style="thin">
        <color rgb="FF000000"/>
      </bottom>
      <diagonal/>
    </border>
    <border>
      <left/>
      <right style="thin">
        <color indexed="64"/>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000000"/>
      </right>
      <top style="thin">
        <color indexed="64"/>
      </top>
      <bottom style="thin">
        <color indexed="64"/>
      </bottom>
      <diagonal/>
    </border>
    <border>
      <left style="thin">
        <color indexed="64"/>
      </left>
      <right style="thin">
        <color rgb="FF000000"/>
      </right>
      <top/>
      <bottom/>
      <diagonal/>
    </border>
  </borders>
  <cellStyleXfs count="14">
    <xf numFmtId="0" fontId="0" fillId="0" borderId="0"/>
    <xf numFmtId="9" fontId="12" fillId="0" borderId="0" applyFont="0" applyFill="0" applyBorder="0" applyAlignment="0" applyProtection="0"/>
    <xf numFmtId="0" fontId="13" fillId="0" borderId="0"/>
    <xf numFmtId="43" fontId="12" fillId="0" borderId="0" applyFont="0" applyFill="0" applyBorder="0" applyAlignment="0" applyProtection="0"/>
    <xf numFmtId="164" fontId="12" fillId="0" borderId="0" applyFont="0" applyFill="0" applyBorder="0" applyAlignment="0" applyProtection="0"/>
    <xf numFmtId="0" fontId="33" fillId="16" borderId="58" applyNumberFormat="0" applyAlignment="0" applyProtection="0"/>
    <xf numFmtId="0" fontId="34" fillId="17" borderId="59" applyNumberFormat="0" applyAlignment="0" applyProtection="0"/>
    <xf numFmtId="0" fontId="51" fillId="0" borderId="0" applyNumberFormat="0" applyFill="0" applyBorder="0" applyAlignment="0" applyProtection="0"/>
    <xf numFmtId="9" fontId="13" fillId="0" borderId="0" applyFont="0" applyFill="0" applyBorder="0" applyAlignment="0" applyProtection="0"/>
    <xf numFmtId="0" fontId="66" fillId="33" borderId="0" applyNumberFormat="0" applyBorder="0" applyAlignment="0" applyProtection="0"/>
    <xf numFmtId="0" fontId="71" fillId="34" borderId="0" applyNumberFormat="0" applyBorder="0" applyAlignment="0" applyProtection="0"/>
    <xf numFmtId="0" fontId="73" fillId="0" borderId="92" applyNumberFormat="0" applyFill="0" applyAlignment="0" applyProtection="0"/>
    <xf numFmtId="0" fontId="71" fillId="36" borderId="0" applyNumberFormat="0" applyBorder="0" applyAlignment="0" applyProtection="0"/>
    <xf numFmtId="0" fontId="75" fillId="38" borderId="0" applyNumberFormat="0" applyBorder="0" applyAlignment="0" applyProtection="0"/>
  </cellStyleXfs>
  <cellXfs count="668">
    <xf numFmtId="0" fontId="0" fillId="0" borderId="0" xfId="0"/>
    <xf numFmtId="0" fontId="1" fillId="0" borderId="0" xfId="0" applyFont="1"/>
    <xf numFmtId="0" fontId="0" fillId="0" borderId="1" xfId="0" applyBorder="1"/>
    <xf numFmtId="0" fontId="0" fillId="0" borderId="2" xfId="0" applyBorder="1"/>
    <xf numFmtId="0" fontId="2" fillId="2" borderId="8" xfId="0" applyFont="1" applyFill="1" applyBorder="1" applyAlignment="1">
      <alignment readingOrder="1"/>
    </xf>
    <xf numFmtId="0" fontId="2" fillId="2" borderId="9" xfId="0" applyFont="1" applyFill="1" applyBorder="1" applyAlignment="1">
      <alignment readingOrder="1"/>
    </xf>
    <xf numFmtId="0" fontId="3" fillId="2" borderId="8" xfId="0" applyFont="1" applyFill="1" applyBorder="1" applyAlignment="1">
      <alignment readingOrder="1"/>
    </xf>
    <xf numFmtId="0" fontId="2" fillId="3" borderId="8" xfId="0" applyFont="1" applyFill="1" applyBorder="1" applyAlignment="1">
      <alignment readingOrder="1"/>
    </xf>
    <xf numFmtId="0" fontId="3" fillId="3" borderId="8" xfId="0" applyFont="1" applyFill="1" applyBorder="1" applyAlignment="1">
      <alignment readingOrder="1"/>
    </xf>
    <xf numFmtId="0" fontId="4" fillId="2" borderId="8" xfId="0" applyFont="1" applyFill="1" applyBorder="1" applyAlignment="1">
      <alignment readingOrder="1"/>
    </xf>
    <xf numFmtId="0" fontId="4" fillId="3" borderId="8" xfId="0" applyFont="1" applyFill="1" applyBorder="1" applyAlignment="1">
      <alignment readingOrder="1"/>
    </xf>
    <xf numFmtId="0" fontId="2" fillId="2" borderId="10" xfId="0" applyFont="1" applyFill="1" applyBorder="1" applyAlignment="1">
      <alignment readingOrder="1"/>
    </xf>
    <xf numFmtId="0" fontId="6" fillId="4" borderId="8" xfId="0" applyFont="1" applyFill="1" applyBorder="1" applyAlignment="1">
      <alignment readingOrder="1"/>
    </xf>
    <xf numFmtId="0" fontId="2" fillId="4" borderId="8" xfId="0" applyFont="1" applyFill="1" applyBorder="1" applyAlignment="1">
      <alignment readingOrder="1"/>
    </xf>
    <xf numFmtId="0" fontId="2" fillId="4" borderId="11" xfId="0" applyFont="1" applyFill="1" applyBorder="1" applyAlignment="1">
      <alignment readingOrder="1"/>
    </xf>
    <xf numFmtId="0" fontId="7" fillId="3" borderId="8" xfId="0" applyFont="1" applyFill="1" applyBorder="1" applyAlignment="1">
      <alignment readingOrder="1"/>
    </xf>
    <xf numFmtId="0" fontId="8" fillId="4" borderId="8" xfId="0" applyFont="1" applyFill="1" applyBorder="1" applyAlignment="1">
      <alignment readingOrder="1"/>
    </xf>
    <xf numFmtId="0" fontId="2" fillId="2" borderId="12" xfId="0" applyFont="1" applyFill="1" applyBorder="1" applyAlignment="1">
      <alignment readingOrder="1"/>
    </xf>
    <xf numFmtId="0" fontId="2" fillId="5" borderId="8" xfId="0" applyFont="1" applyFill="1" applyBorder="1" applyAlignment="1">
      <alignment readingOrder="1"/>
    </xf>
    <xf numFmtId="0" fontId="2" fillId="5" borderId="9" xfId="0" applyFont="1" applyFill="1" applyBorder="1" applyAlignment="1">
      <alignment readingOrder="1"/>
    </xf>
    <xf numFmtId="0" fontId="4" fillId="4" borderId="8" xfId="0" applyFont="1" applyFill="1" applyBorder="1" applyAlignment="1">
      <alignment readingOrder="1"/>
    </xf>
    <xf numFmtId="0" fontId="6" fillId="4" borderId="13" xfId="0" applyFont="1" applyFill="1" applyBorder="1" applyAlignment="1">
      <alignment readingOrder="1"/>
    </xf>
    <xf numFmtId="0" fontId="2" fillId="4" borderId="10" xfId="0" applyFont="1" applyFill="1" applyBorder="1" applyAlignment="1">
      <alignment readingOrder="1"/>
    </xf>
    <xf numFmtId="0" fontId="2" fillId="4" borderId="14" xfId="0" applyFont="1" applyFill="1" applyBorder="1" applyAlignment="1">
      <alignment readingOrder="1"/>
    </xf>
    <xf numFmtId="0" fontId="2" fillId="6" borderId="8" xfId="0" applyFont="1" applyFill="1" applyBorder="1" applyAlignment="1">
      <alignment readingOrder="1"/>
    </xf>
    <xf numFmtId="0" fontId="9" fillId="6" borderId="8" xfId="0" applyFont="1" applyFill="1" applyBorder="1" applyAlignment="1">
      <alignment readingOrder="1"/>
    </xf>
    <xf numFmtId="0" fontId="9" fillId="6" borderId="9" xfId="0" applyFont="1" applyFill="1" applyBorder="1" applyAlignment="1">
      <alignment readingOrder="1"/>
    </xf>
    <xf numFmtId="0" fontId="4" fillId="2" borderId="9" xfId="0" applyFont="1" applyFill="1" applyBorder="1" applyAlignment="1">
      <alignment readingOrder="1"/>
    </xf>
    <xf numFmtId="0" fontId="4" fillId="5" borderId="8" xfId="0" applyFont="1" applyFill="1" applyBorder="1" applyAlignment="1">
      <alignment readingOrder="1"/>
    </xf>
    <xf numFmtId="0" fontId="10" fillId="3" borderId="8" xfId="0" applyFont="1" applyFill="1" applyBorder="1" applyAlignment="1">
      <alignment readingOrder="1"/>
    </xf>
    <xf numFmtId="0" fontId="2" fillId="5" borderId="12" xfId="0" applyFont="1" applyFill="1" applyBorder="1" applyAlignment="1">
      <alignment readingOrder="1"/>
    </xf>
    <xf numFmtId="0" fontId="2" fillId="5" borderId="23" xfId="0" applyFont="1" applyFill="1" applyBorder="1" applyAlignment="1">
      <alignment readingOrder="1"/>
    </xf>
    <xf numFmtId="0" fontId="2" fillId="0" borderId="8" xfId="0" applyFont="1" applyBorder="1" applyAlignment="1">
      <alignment readingOrder="1"/>
    </xf>
    <xf numFmtId="0" fontId="4" fillId="2" borderId="4" xfId="0" applyFont="1" applyFill="1" applyBorder="1" applyAlignment="1">
      <alignment readingOrder="1"/>
    </xf>
    <xf numFmtId="0" fontId="4" fillId="2" borderId="5" xfId="0" applyFont="1" applyFill="1" applyBorder="1" applyAlignment="1">
      <alignment readingOrder="1"/>
    </xf>
    <xf numFmtId="0" fontId="4" fillId="2" borderId="6" xfId="0" applyFont="1" applyFill="1" applyBorder="1" applyAlignment="1">
      <alignment readingOrder="1"/>
    </xf>
    <xf numFmtId="0" fontId="4" fillId="3" borderId="7" xfId="0" applyFont="1" applyFill="1" applyBorder="1" applyAlignment="1">
      <alignment readingOrder="1"/>
    </xf>
    <xf numFmtId="0" fontId="0" fillId="0" borderId="3" xfId="0" applyBorder="1"/>
    <xf numFmtId="0" fontId="0" fillId="0" borderId="30" xfId="0" applyBorder="1"/>
    <xf numFmtId="0" fontId="0" fillId="0" borderId="31" xfId="0" applyBorder="1"/>
    <xf numFmtId="165" fontId="0" fillId="0" borderId="0" xfId="0" applyNumberFormat="1"/>
    <xf numFmtId="165" fontId="0" fillId="0" borderId="2" xfId="0" applyNumberFormat="1" applyBorder="1"/>
    <xf numFmtId="0" fontId="11" fillId="0" borderId="0" xfId="0" applyFont="1"/>
    <xf numFmtId="0" fontId="14" fillId="7" borderId="0" xfId="2" applyFont="1" applyFill="1" applyAlignment="1">
      <alignment horizontal="left" vertical="top"/>
    </xf>
    <xf numFmtId="0" fontId="15" fillId="7" borderId="0" xfId="2" applyFont="1" applyFill="1"/>
    <xf numFmtId="0" fontId="14" fillId="7" borderId="0" xfId="2" applyFont="1" applyFill="1" applyAlignment="1">
      <alignment horizontal="right" vertical="top"/>
    </xf>
    <xf numFmtId="0" fontId="16" fillId="7" borderId="0" xfId="2" applyFont="1" applyFill="1"/>
    <xf numFmtId="0" fontId="15" fillId="7" borderId="0" xfId="2" applyFont="1" applyFill="1" applyAlignment="1">
      <alignment horizontal="left"/>
    </xf>
    <xf numFmtId="0" fontId="15" fillId="7" borderId="0" xfId="2" applyFont="1" applyFill="1" applyAlignment="1">
      <alignment horizontal="right"/>
    </xf>
    <xf numFmtId="0" fontId="17" fillId="7" borderId="0" xfId="2" applyFont="1" applyFill="1" applyAlignment="1">
      <alignment horizontal="left" vertical="top"/>
    </xf>
    <xf numFmtId="0" fontId="18" fillId="7" borderId="0" xfId="2" applyFont="1" applyFill="1" applyAlignment="1">
      <alignment horizontal="left" vertical="top"/>
    </xf>
    <xf numFmtId="0" fontId="19" fillId="8" borderId="0" xfId="2" applyFont="1" applyFill="1" applyAlignment="1">
      <alignment horizontal="left"/>
    </xf>
    <xf numFmtId="0" fontId="20" fillId="8" borderId="0" xfId="2" applyFont="1" applyFill="1" applyAlignment="1">
      <alignment horizontal="right"/>
    </xf>
    <xf numFmtId="3" fontId="14" fillId="7" borderId="0" xfId="2" applyNumberFormat="1" applyFont="1" applyFill="1" applyAlignment="1">
      <alignment horizontal="right" vertical="top"/>
    </xf>
    <xf numFmtId="166" fontId="14" fillId="7" borderId="0" xfId="2" applyNumberFormat="1" applyFont="1" applyFill="1" applyAlignment="1">
      <alignment horizontal="right" vertical="top"/>
    </xf>
    <xf numFmtId="0" fontId="14" fillId="9" borderId="0" xfId="2" applyFont="1" applyFill="1" applyAlignment="1">
      <alignment horizontal="right" vertical="top"/>
    </xf>
    <xf numFmtId="2" fontId="14" fillId="7" borderId="0" xfId="2" applyNumberFormat="1" applyFont="1" applyFill="1" applyAlignment="1">
      <alignment horizontal="right" vertical="top"/>
    </xf>
    <xf numFmtId="10" fontId="14" fillId="7" borderId="0" xfId="2" applyNumberFormat="1" applyFont="1" applyFill="1" applyAlignment="1">
      <alignment horizontal="right" vertical="top"/>
    </xf>
    <xf numFmtId="0" fontId="14" fillId="0" borderId="0" xfId="2" applyFont="1" applyAlignment="1">
      <alignment horizontal="right" vertical="top"/>
    </xf>
    <xf numFmtId="166" fontId="0" fillId="0" borderId="0" xfId="1" applyNumberFormat="1" applyFont="1"/>
    <xf numFmtId="0" fontId="0" fillId="0" borderId="0" xfId="0" applyAlignment="1">
      <alignment horizontal="right"/>
    </xf>
    <xf numFmtId="3" fontId="0" fillId="0" borderId="0" xfId="0" applyNumberFormat="1"/>
    <xf numFmtId="2" fontId="0" fillId="0" borderId="0" xfId="0" applyNumberFormat="1"/>
    <xf numFmtId="4" fontId="0" fillId="0" borderId="0" xfId="0" applyNumberFormat="1"/>
    <xf numFmtId="167" fontId="0" fillId="0" borderId="0" xfId="0" applyNumberFormat="1"/>
    <xf numFmtId="0" fontId="23" fillId="0" borderId="0" xfId="0" applyFont="1"/>
    <xf numFmtId="0" fontId="0" fillId="0" borderId="32" xfId="0" applyBorder="1"/>
    <xf numFmtId="9" fontId="0" fillId="0" borderId="32" xfId="1" applyFont="1" applyBorder="1"/>
    <xf numFmtId="0" fontId="0" fillId="0" borderId="33" xfId="0" applyBorder="1"/>
    <xf numFmtId="0" fontId="0" fillId="0" borderId="34" xfId="0" applyBorder="1"/>
    <xf numFmtId="0" fontId="0" fillId="0" borderId="35" xfId="0" applyBorder="1"/>
    <xf numFmtId="0" fontId="0" fillId="0" borderId="36" xfId="0" applyBorder="1"/>
    <xf numFmtId="0" fontId="0" fillId="0" borderId="37" xfId="0" applyBorder="1"/>
    <xf numFmtId="0" fontId="0" fillId="0" borderId="38" xfId="0" applyBorder="1"/>
    <xf numFmtId="0" fontId="0" fillId="0" borderId="39" xfId="0" applyBorder="1"/>
    <xf numFmtId="9" fontId="0" fillId="0" borderId="39" xfId="1" applyFont="1" applyBorder="1"/>
    <xf numFmtId="0" fontId="0" fillId="0" borderId="40" xfId="0" applyBorder="1"/>
    <xf numFmtId="0" fontId="0" fillId="10" borderId="0" xfId="0" applyFill="1"/>
    <xf numFmtId="0" fontId="24" fillId="10" borderId="0" xfId="0" applyFont="1" applyFill="1"/>
    <xf numFmtId="0" fontId="25" fillId="10" borderId="0" xfId="0" applyFont="1" applyFill="1"/>
    <xf numFmtId="0" fontId="4" fillId="0" borderId="42" xfId="0" applyFont="1" applyBorder="1"/>
    <xf numFmtId="0" fontId="4" fillId="0" borderId="43" xfId="0" applyFont="1" applyBorder="1"/>
    <xf numFmtId="0" fontId="4" fillId="0" borderId="41" xfId="0" applyFont="1" applyBorder="1" applyAlignment="1">
      <alignment horizontal="center" vertical="center"/>
    </xf>
    <xf numFmtId="0" fontId="4" fillId="0" borderId="38" xfId="0" applyFont="1" applyBorder="1" applyAlignment="1">
      <alignment horizontal="center" vertical="center"/>
    </xf>
    <xf numFmtId="0" fontId="4" fillId="0" borderId="35" xfId="0" applyFont="1" applyBorder="1" applyAlignment="1">
      <alignment horizontal="center" vertical="center"/>
    </xf>
    <xf numFmtId="0" fontId="26" fillId="10" borderId="0" xfId="0" applyFont="1" applyFill="1"/>
    <xf numFmtId="0" fontId="8" fillId="11" borderId="45" xfId="0" applyFont="1" applyFill="1" applyBorder="1"/>
    <xf numFmtId="0" fontId="8" fillId="11" borderId="46" xfId="0" applyFont="1" applyFill="1" applyBorder="1"/>
    <xf numFmtId="0" fontId="8" fillId="11" borderId="44" xfId="0" applyFont="1" applyFill="1" applyBorder="1" applyAlignment="1">
      <alignment horizontal="center"/>
    </xf>
    <xf numFmtId="0" fontId="8" fillId="11" borderId="44" xfId="0" applyFont="1" applyFill="1" applyBorder="1" applyAlignment="1">
      <alignment horizontal="center" vertical="center"/>
    </xf>
    <xf numFmtId="0" fontId="4" fillId="12" borderId="32" xfId="0" applyFont="1" applyFill="1" applyBorder="1"/>
    <xf numFmtId="0" fontId="4" fillId="7" borderId="32" xfId="0" applyFont="1" applyFill="1" applyBorder="1"/>
    <xf numFmtId="0" fontId="4" fillId="12" borderId="39" xfId="0" applyFont="1" applyFill="1" applyBorder="1"/>
    <xf numFmtId="0" fontId="4" fillId="7" borderId="39" xfId="0" applyFont="1" applyFill="1" applyBorder="1"/>
    <xf numFmtId="0" fontId="4" fillId="12" borderId="42" xfId="0" applyFont="1" applyFill="1" applyBorder="1"/>
    <xf numFmtId="0" fontId="4" fillId="12" borderId="43" xfId="0" applyFont="1" applyFill="1" applyBorder="1"/>
    <xf numFmtId="0" fontId="4" fillId="12" borderId="41" xfId="0" applyFont="1" applyFill="1" applyBorder="1" applyAlignment="1">
      <alignment horizontal="center"/>
    </xf>
    <xf numFmtId="0" fontId="4" fillId="7" borderId="38" xfId="0" applyFont="1" applyFill="1" applyBorder="1" applyAlignment="1">
      <alignment horizontal="center"/>
    </xf>
    <xf numFmtId="0" fontId="4" fillId="12" borderId="38" xfId="0" applyFont="1" applyFill="1" applyBorder="1" applyAlignment="1">
      <alignment horizontal="center"/>
    </xf>
    <xf numFmtId="0" fontId="4" fillId="12" borderId="41" xfId="0" applyFont="1" applyFill="1" applyBorder="1" applyAlignment="1">
      <alignment horizontal="center" vertical="center"/>
    </xf>
    <xf numFmtId="0" fontId="4" fillId="7" borderId="38" xfId="0" applyFont="1" applyFill="1" applyBorder="1" applyAlignment="1">
      <alignment horizontal="center" vertical="center"/>
    </xf>
    <xf numFmtId="0" fontId="4" fillId="12" borderId="38" xfId="0" applyFont="1" applyFill="1" applyBorder="1" applyAlignment="1">
      <alignment horizontal="center" vertical="center"/>
    </xf>
    <xf numFmtId="0" fontId="4" fillId="7" borderId="35" xfId="0" applyFont="1" applyFill="1" applyBorder="1" applyAlignment="1">
      <alignment horizontal="center" vertical="center"/>
    </xf>
    <xf numFmtId="0" fontId="8" fillId="13" borderId="44" xfId="0" applyFont="1" applyFill="1" applyBorder="1" applyAlignment="1">
      <alignment horizontal="center" vertical="center"/>
    </xf>
    <xf numFmtId="0" fontId="8" fillId="13" borderId="45" xfId="0" applyFont="1" applyFill="1" applyBorder="1"/>
    <xf numFmtId="0" fontId="8" fillId="13" borderId="46" xfId="0" applyFont="1" applyFill="1" applyBorder="1"/>
    <xf numFmtId="168" fontId="4" fillId="0" borderId="42" xfId="3" applyNumberFormat="1" applyFont="1" applyFill="1" applyBorder="1"/>
    <xf numFmtId="168" fontId="4" fillId="0" borderId="43" xfId="3" applyNumberFormat="1" applyFont="1" applyFill="1" applyBorder="1"/>
    <xf numFmtId="168" fontId="4" fillId="0" borderId="32" xfId="3" applyNumberFormat="1" applyFont="1" applyFill="1" applyBorder="1"/>
    <xf numFmtId="168" fontId="4" fillId="0" borderId="39" xfId="3" applyNumberFormat="1" applyFont="1" applyFill="1" applyBorder="1"/>
    <xf numFmtId="168" fontId="4" fillId="0" borderId="40" xfId="3" applyNumberFormat="1" applyFont="1" applyFill="1" applyBorder="1"/>
    <xf numFmtId="168" fontId="4" fillId="0" borderId="36" xfId="3" applyNumberFormat="1" applyFont="1" applyFill="1" applyBorder="1"/>
    <xf numFmtId="168" fontId="4" fillId="12" borderId="42" xfId="3" applyNumberFormat="1" applyFont="1" applyFill="1" applyBorder="1"/>
    <xf numFmtId="168" fontId="4" fillId="12" borderId="43" xfId="3" applyNumberFormat="1" applyFont="1" applyFill="1" applyBorder="1"/>
    <xf numFmtId="168" fontId="4" fillId="7" borderId="32" xfId="3" applyNumberFormat="1" applyFont="1" applyFill="1" applyBorder="1"/>
    <xf numFmtId="168" fontId="4" fillId="7" borderId="39" xfId="3" applyNumberFormat="1" applyFont="1" applyFill="1" applyBorder="1"/>
    <xf numFmtId="168" fontId="4" fillId="12" borderId="32" xfId="3" applyNumberFormat="1" applyFont="1" applyFill="1" applyBorder="1"/>
    <xf numFmtId="168" fontId="4" fillId="12" borderId="39" xfId="3" applyNumberFormat="1" applyFont="1" applyFill="1" applyBorder="1"/>
    <xf numFmtId="168" fontId="4" fillId="7" borderId="40" xfId="3" applyNumberFormat="1" applyFont="1" applyFill="1" applyBorder="1"/>
    <xf numFmtId="168" fontId="4" fillId="7" borderId="36" xfId="3" applyNumberFormat="1" applyFont="1" applyFill="1" applyBorder="1"/>
    <xf numFmtId="0" fontId="23" fillId="0" borderId="41" xfId="0" applyFont="1" applyBorder="1" applyAlignment="1">
      <alignment horizontal="center"/>
    </xf>
    <xf numFmtId="0" fontId="23" fillId="0" borderId="38" xfId="0" applyFont="1" applyBorder="1" applyAlignment="1">
      <alignment horizontal="center"/>
    </xf>
    <xf numFmtId="0" fontId="23" fillId="0" borderId="35" xfId="0" applyFont="1" applyBorder="1" applyAlignment="1">
      <alignment horizontal="center"/>
    </xf>
    <xf numFmtId="0" fontId="27" fillId="11" borderId="44" xfId="0" applyFont="1" applyFill="1" applyBorder="1"/>
    <xf numFmtId="0" fontId="27" fillId="11" borderId="45" xfId="0" applyFont="1" applyFill="1" applyBorder="1"/>
    <xf numFmtId="0" fontId="27" fillId="11" borderId="46" xfId="0" applyFont="1" applyFill="1" applyBorder="1"/>
    <xf numFmtId="168" fontId="23" fillId="0" borderId="42" xfId="3" applyNumberFormat="1" applyFont="1" applyBorder="1"/>
    <xf numFmtId="168" fontId="23" fillId="0" borderId="43" xfId="3" applyNumberFormat="1" applyFont="1" applyBorder="1"/>
    <xf numFmtId="168" fontId="23" fillId="0" borderId="32" xfId="3" applyNumberFormat="1" applyFont="1" applyBorder="1"/>
    <xf numFmtId="168" fontId="23" fillId="0" borderId="39" xfId="3" applyNumberFormat="1" applyFont="1" applyBorder="1"/>
    <xf numFmtId="168" fontId="23" fillId="0" borderId="40" xfId="3" applyNumberFormat="1" applyFont="1" applyBorder="1"/>
    <xf numFmtId="168" fontId="23" fillId="0" borderId="36" xfId="3" applyNumberFormat="1" applyFont="1" applyBorder="1"/>
    <xf numFmtId="10" fontId="4" fillId="12" borderId="32" xfId="0" applyNumberFormat="1" applyFont="1" applyFill="1" applyBorder="1"/>
    <xf numFmtId="10" fontId="4" fillId="7" borderId="32" xfId="0" applyNumberFormat="1" applyFont="1" applyFill="1" applyBorder="1"/>
    <xf numFmtId="10" fontId="4" fillId="7" borderId="39" xfId="0" applyNumberFormat="1" applyFont="1" applyFill="1" applyBorder="1"/>
    <xf numFmtId="10" fontId="4" fillId="12" borderId="39" xfId="0" applyNumberFormat="1" applyFont="1" applyFill="1" applyBorder="1"/>
    <xf numFmtId="0" fontId="4" fillId="12" borderId="40" xfId="0" applyFont="1" applyFill="1" applyBorder="1"/>
    <xf numFmtId="10" fontId="4" fillId="12" borderId="40" xfId="0" applyNumberFormat="1" applyFont="1" applyFill="1" applyBorder="1"/>
    <xf numFmtId="10" fontId="4" fillId="12" borderId="36" xfId="0" applyNumberFormat="1" applyFont="1" applyFill="1" applyBorder="1"/>
    <xf numFmtId="10" fontId="4" fillId="12" borderId="42" xfId="0" applyNumberFormat="1" applyFont="1" applyFill="1" applyBorder="1"/>
    <xf numFmtId="0" fontId="4" fillId="12" borderId="35" xfId="0" applyFont="1" applyFill="1" applyBorder="1" applyAlignment="1">
      <alignment horizontal="center"/>
    </xf>
    <xf numFmtId="0" fontId="8" fillId="13" borderId="44" xfId="0" applyFont="1" applyFill="1" applyBorder="1"/>
    <xf numFmtId="0" fontId="14" fillId="0" borderId="35" xfId="0" applyFont="1" applyBorder="1"/>
    <xf numFmtId="3" fontId="14" fillId="0" borderId="40" xfId="0" applyNumberFormat="1" applyFont="1" applyBorder="1"/>
    <xf numFmtId="3" fontId="14" fillId="0" borderId="36" xfId="0" applyNumberFormat="1" applyFont="1" applyBorder="1"/>
    <xf numFmtId="0" fontId="14" fillId="0" borderId="41" xfId="0" applyFont="1" applyBorder="1"/>
    <xf numFmtId="3" fontId="14" fillId="0" borderId="42" xfId="0" applyNumberFormat="1" applyFont="1" applyBorder="1"/>
    <xf numFmtId="3" fontId="14" fillId="0" borderId="43" xfId="0" applyNumberFormat="1" applyFont="1" applyBorder="1"/>
    <xf numFmtId="3" fontId="4" fillId="0" borderId="32" xfId="0" applyNumberFormat="1" applyFont="1" applyBorder="1"/>
    <xf numFmtId="3" fontId="4" fillId="0" borderId="39" xfId="0" applyNumberFormat="1" applyFont="1" applyBorder="1"/>
    <xf numFmtId="3" fontId="4" fillId="0" borderId="40" xfId="0" applyNumberFormat="1" applyFont="1" applyBorder="1"/>
    <xf numFmtId="3" fontId="4" fillId="0" borderId="36" xfId="0" applyNumberFormat="1" applyFont="1" applyBorder="1"/>
    <xf numFmtId="3" fontId="4" fillId="0" borderId="42" xfId="0" applyNumberFormat="1" applyFont="1" applyBorder="1"/>
    <xf numFmtId="0" fontId="4" fillId="0" borderId="41" xfId="0" applyFont="1" applyBorder="1" applyAlignment="1">
      <alignment horizontal="center"/>
    </xf>
    <xf numFmtId="0" fontId="4" fillId="0" borderId="38" xfId="0" applyFont="1" applyBorder="1" applyAlignment="1">
      <alignment horizontal="center"/>
    </xf>
    <xf numFmtId="0" fontId="4" fillId="0" borderId="35" xfId="0" applyFont="1" applyBorder="1" applyAlignment="1">
      <alignment horizontal="center"/>
    </xf>
    <xf numFmtId="0" fontId="30" fillId="0" borderId="0" xfId="0" applyFont="1"/>
    <xf numFmtId="0" fontId="4" fillId="0" borderId="0" xfId="0" applyFont="1" applyAlignment="1">
      <alignment horizontal="center"/>
    </xf>
    <xf numFmtId="0" fontId="4" fillId="0" borderId="0" xfId="0" applyFont="1"/>
    <xf numFmtId="3" fontId="4" fillId="0" borderId="0" xfId="0" applyNumberFormat="1" applyFont="1"/>
    <xf numFmtId="0" fontId="30" fillId="0" borderId="0" xfId="0" applyFont="1" applyAlignment="1">
      <alignment horizontal="left"/>
    </xf>
    <xf numFmtId="0" fontId="0" fillId="0" borderId="51" xfId="0" applyBorder="1"/>
    <xf numFmtId="0" fontId="0" fillId="0" borderId="52" xfId="0" applyBorder="1"/>
    <xf numFmtId="0" fontId="0" fillId="0" borderId="41" xfId="0" applyBorder="1"/>
    <xf numFmtId="0" fontId="0" fillId="0" borderId="53" xfId="0" applyBorder="1"/>
    <xf numFmtId="0" fontId="0" fillId="0" borderId="47" xfId="0" applyBorder="1" applyAlignment="1">
      <alignment horizontal="center"/>
    </xf>
    <xf numFmtId="0" fontId="0" fillId="0" borderId="48" xfId="0" applyBorder="1" applyAlignment="1">
      <alignment horizontal="center"/>
    </xf>
    <xf numFmtId="0" fontId="0" fillId="0" borderId="49" xfId="0" applyBorder="1" applyAlignment="1">
      <alignment horizontal="center"/>
    </xf>
    <xf numFmtId="0" fontId="0" fillId="0" borderId="50" xfId="0" applyBorder="1" applyAlignment="1">
      <alignment horizontal="center"/>
    </xf>
    <xf numFmtId="0" fontId="0" fillId="0" borderId="54" xfId="0" applyBorder="1" applyAlignment="1">
      <alignment horizontal="center"/>
    </xf>
    <xf numFmtId="43" fontId="0" fillId="0" borderId="0" xfId="3" applyFont="1"/>
    <xf numFmtId="0" fontId="31" fillId="0" borderId="0" xfId="0" applyFont="1"/>
    <xf numFmtId="43" fontId="0" fillId="0" borderId="0" xfId="0" applyNumberFormat="1"/>
    <xf numFmtId="0" fontId="32" fillId="0" borderId="0" xfId="0" applyFont="1"/>
    <xf numFmtId="43" fontId="0" fillId="0" borderId="55" xfId="0" applyNumberFormat="1" applyBorder="1"/>
    <xf numFmtId="168" fontId="4" fillId="14" borderId="32" xfId="3" applyNumberFormat="1" applyFont="1" applyFill="1" applyBorder="1"/>
    <xf numFmtId="168" fontId="4" fillId="14" borderId="40" xfId="3" applyNumberFormat="1" applyFont="1" applyFill="1" applyBorder="1"/>
    <xf numFmtId="168" fontId="4" fillId="15" borderId="32" xfId="3" applyNumberFormat="1" applyFont="1" applyFill="1" applyBorder="1"/>
    <xf numFmtId="0" fontId="23" fillId="14" borderId="56" xfId="0" applyFont="1" applyFill="1" applyBorder="1"/>
    <xf numFmtId="168" fontId="0" fillId="0" borderId="0" xfId="3" applyNumberFormat="1" applyFont="1"/>
    <xf numFmtId="10" fontId="0" fillId="0" borderId="0" xfId="0" applyNumberFormat="1"/>
    <xf numFmtId="169" fontId="0" fillId="0" borderId="0" xfId="0" applyNumberFormat="1"/>
    <xf numFmtId="3" fontId="4" fillId="14" borderId="32" xfId="0" applyNumberFormat="1" applyFont="1" applyFill="1" applyBorder="1"/>
    <xf numFmtId="3" fontId="4" fillId="14" borderId="40" xfId="0" applyNumberFormat="1" applyFont="1" applyFill="1" applyBorder="1"/>
    <xf numFmtId="9" fontId="0" fillId="0" borderId="0" xfId="1" applyFont="1"/>
    <xf numFmtId="0" fontId="1" fillId="0" borderId="0" xfId="0" applyFont="1" applyAlignment="1">
      <alignment horizontal="center"/>
    </xf>
    <xf numFmtId="0" fontId="14" fillId="7" borderId="0" xfId="2" applyFont="1" applyFill="1" applyAlignment="1">
      <alignment horizontal="center" vertical="top"/>
    </xf>
    <xf numFmtId="0" fontId="14" fillId="7" borderId="0" xfId="2" applyFont="1" applyFill="1" applyAlignment="1">
      <alignment vertical="top"/>
    </xf>
    <xf numFmtId="0" fontId="17" fillId="7" borderId="0" xfId="2" applyFont="1" applyFill="1" applyAlignment="1">
      <alignment vertical="top"/>
    </xf>
    <xf numFmtId="0" fontId="19" fillId="8" borderId="0" xfId="2" applyFont="1" applyFill="1" applyAlignment="1">
      <alignment horizontal="center" wrapText="1"/>
    </xf>
    <xf numFmtId="0" fontId="13" fillId="0" borderId="0" xfId="2" applyAlignment="1">
      <alignment horizontal="left" vertical="top"/>
    </xf>
    <xf numFmtId="0" fontId="18" fillId="7" borderId="0" xfId="2" applyFont="1" applyFill="1" applyAlignment="1">
      <alignment horizontal="left"/>
    </xf>
    <xf numFmtId="10" fontId="14" fillId="7" borderId="0" xfId="2" applyNumberFormat="1" applyFont="1" applyFill="1" applyAlignment="1">
      <alignment horizontal="center" vertical="top"/>
    </xf>
    <xf numFmtId="9" fontId="0" fillId="0" borderId="0" xfId="0" applyNumberFormat="1" applyAlignment="1">
      <alignment horizontal="right"/>
    </xf>
    <xf numFmtId="10" fontId="0" fillId="0" borderId="0" xfId="1" applyNumberFormat="1" applyFont="1"/>
    <xf numFmtId="167" fontId="0" fillId="0" borderId="0" xfId="1" applyNumberFormat="1" applyFont="1"/>
    <xf numFmtId="0" fontId="14" fillId="19" borderId="0" xfId="2" applyFont="1" applyFill="1" applyAlignment="1">
      <alignment horizontal="left" vertical="top"/>
    </xf>
    <xf numFmtId="0" fontId="35" fillId="0" borderId="0" xfId="0" applyFont="1"/>
    <xf numFmtId="0" fontId="37" fillId="0" borderId="0" xfId="0" applyFont="1"/>
    <xf numFmtId="0" fontId="38" fillId="0" borderId="0" xfId="0" applyFont="1"/>
    <xf numFmtId="0" fontId="39" fillId="0" borderId="0" xfId="0" applyFont="1"/>
    <xf numFmtId="0" fontId="23" fillId="0" borderId="0" xfId="0" applyFont="1" applyAlignment="1">
      <alignment horizontal="right" vertical="center"/>
    </xf>
    <xf numFmtId="0" fontId="35" fillId="0" borderId="0" xfId="0" applyFont="1" applyAlignment="1">
      <alignment horizontal="right" vertical="center"/>
    </xf>
    <xf numFmtId="168" fontId="0" fillId="0" borderId="48" xfId="3" applyNumberFormat="1" applyFont="1" applyBorder="1" applyAlignment="1">
      <alignment horizontal="center"/>
    </xf>
    <xf numFmtId="4" fontId="34" fillId="17" borderId="59" xfId="6" applyNumberFormat="1"/>
    <xf numFmtId="0" fontId="0" fillId="20" borderId="0" xfId="0" applyFill="1" applyAlignment="1">
      <alignment horizontal="right"/>
    </xf>
    <xf numFmtId="0" fontId="0" fillId="20" borderId="0" xfId="0" applyFill="1"/>
    <xf numFmtId="0" fontId="0" fillId="20" borderId="0" xfId="0" applyFill="1" applyAlignment="1">
      <alignment horizontal="left" indent="2"/>
    </xf>
    <xf numFmtId="0" fontId="40" fillId="20" borderId="0" xfId="0" applyFont="1" applyFill="1"/>
    <xf numFmtId="0" fontId="0" fillId="21" borderId="0" xfId="0" applyFill="1"/>
    <xf numFmtId="2" fontId="0" fillId="21" borderId="0" xfId="4" applyNumberFormat="1" applyFont="1" applyFill="1"/>
    <xf numFmtId="3" fontId="0" fillId="21" borderId="0" xfId="0" applyNumberFormat="1" applyFill="1"/>
    <xf numFmtId="166" fontId="0" fillId="21" borderId="0" xfId="1" applyNumberFormat="1" applyFont="1" applyFill="1"/>
    <xf numFmtId="0" fontId="1" fillId="21" borderId="67" xfId="0" applyFont="1" applyFill="1" applyBorder="1" applyAlignment="1">
      <alignment horizontal="center"/>
    </xf>
    <xf numFmtId="0" fontId="1" fillId="20" borderId="60" xfId="0" applyFont="1" applyFill="1" applyBorder="1" applyAlignment="1">
      <alignment horizontal="center"/>
    </xf>
    <xf numFmtId="0" fontId="41" fillId="0" borderId="60" xfId="0" applyFont="1" applyBorder="1" applyAlignment="1">
      <alignment horizontal="center"/>
    </xf>
    <xf numFmtId="0" fontId="33" fillId="16" borderId="58" xfId="5" applyAlignment="1">
      <alignment horizontal="right"/>
    </xf>
    <xf numFmtId="2" fontId="33" fillId="16" borderId="58" xfId="5" applyNumberFormat="1"/>
    <xf numFmtId="3" fontId="33" fillId="16" borderId="58" xfId="5" applyNumberFormat="1"/>
    <xf numFmtId="0" fontId="0" fillId="22" borderId="0" xfId="0" applyFill="1"/>
    <xf numFmtId="0" fontId="1" fillId="0" borderId="70" xfId="0" applyFont="1" applyBorder="1"/>
    <xf numFmtId="0" fontId="0" fillId="23" borderId="70" xfId="0" applyFill="1" applyBorder="1"/>
    <xf numFmtId="0" fontId="0" fillId="23" borderId="0" xfId="0" applyFill="1"/>
    <xf numFmtId="0" fontId="0" fillId="0" borderId="69" xfId="0" applyBorder="1"/>
    <xf numFmtId="0" fontId="36" fillId="0" borderId="70" xfId="0" applyFont="1" applyBorder="1"/>
    <xf numFmtId="0" fontId="35" fillId="23" borderId="70" xfId="0" applyFont="1" applyFill="1" applyBorder="1"/>
    <xf numFmtId="0" fontId="35" fillId="23" borderId="0" xfId="0" applyFont="1" applyFill="1"/>
    <xf numFmtId="0" fontId="35" fillId="0" borderId="69" xfId="0" applyFont="1" applyBorder="1"/>
    <xf numFmtId="0" fontId="35" fillId="23" borderId="0" xfId="0" applyFont="1" applyFill="1" applyAlignment="1">
      <alignment horizontal="right" vertical="center"/>
    </xf>
    <xf numFmtId="0" fontId="37" fillId="23" borderId="70" xfId="0" applyFont="1" applyFill="1" applyBorder="1"/>
    <xf numFmtId="0" fontId="37" fillId="23" borderId="0" xfId="0" applyFont="1" applyFill="1"/>
    <xf numFmtId="0" fontId="37" fillId="0" borderId="69" xfId="0" applyFont="1" applyBorder="1"/>
    <xf numFmtId="0" fontId="42" fillId="7" borderId="0" xfId="2" applyFont="1" applyFill="1" applyAlignment="1">
      <alignment vertical="top" wrapText="1"/>
    </xf>
    <xf numFmtId="0" fontId="45" fillId="7" borderId="0" xfId="2" applyFont="1" applyFill="1" applyAlignment="1">
      <alignment vertical="top"/>
    </xf>
    <xf numFmtId="0" fontId="14" fillId="7" borderId="0" xfId="2" applyFont="1" applyFill="1" applyAlignment="1">
      <alignment vertical="top" wrapText="1"/>
    </xf>
    <xf numFmtId="0" fontId="14" fillId="7" borderId="0" xfId="2" applyFont="1" applyFill="1" applyAlignment="1">
      <alignment horizontal="left" vertical="top" wrapText="1"/>
    </xf>
    <xf numFmtId="0" fontId="18" fillId="7" borderId="0" xfId="2" applyFont="1" applyFill="1" applyAlignment="1">
      <alignment vertical="top"/>
    </xf>
    <xf numFmtId="0" fontId="46" fillId="7" borderId="0" xfId="2" applyFont="1" applyFill="1" applyAlignment="1">
      <alignment vertical="top"/>
    </xf>
    <xf numFmtId="0" fontId="47" fillId="7" borderId="0" xfId="2" applyFont="1" applyFill="1" applyAlignment="1">
      <alignment vertical="top"/>
    </xf>
    <xf numFmtId="0" fontId="14" fillId="7" borderId="0" xfId="2" applyFont="1" applyFill="1"/>
    <xf numFmtId="0" fontId="48" fillId="7" borderId="0" xfId="2" applyFont="1" applyFill="1" applyAlignment="1">
      <alignment horizontal="left"/>
    </xf>
    <xf numFmtId="4" fontId="14" fillId="7" borderId="0" xfId="2" applyNumberFormat="1" applyFont="1" applyFill="1" applyAlignment="1">
      <alignment horizontal="right"/>
    </xf>
    <xf numFmtId="4" fontId="14" fillId="7" borderId="0" xfId="2" applyNumberFormat="1" applyFont="1" applyFill="1"/>
    <xf numFmtId="0" fontId="18" fillId="7" borderId="0" xfId="2" applyFont="1" applyFill="1" applyAlignment="1">
      <alignment horizontal="center"/>
    </xf>
    <xf numFmtId="4" fontId="14" fillId="24" borderId="0" xfId="2" applyNumberFormat="1" applyFont="1" applyFill="1" applyAlignment="1">
      <alignment horizontal="right"/>
    </xf>
    <xf numFmtId="0" fontId="18" fillId="24" borderId="0" xfId="2" applyFont="1" applyFill="1" applyAlignment="1">
      <alignment horizontal="center"/>
    </xf>
    <xf numFmtId="3" fontId="49" fillId="7" borderId="0" xfId="2" applyNumberFormat="1" applyFont="1" applyFill="1" applyAlignment="1">
      <alignment horizontal="right"/>
    </xf>
    <xf numFmtId="4" fontId="49" fillId="7" borderId="0" xfId="2" applyNumberFormat="1" applyFont="1" applyFill="1" applyAlignment="1">
      <alignment horizontal="right"/>
    </xf>
    <xf numFmtId="3" fontId="49" fillId="24" borderId="0" xfId="2" applyNumberFormat="1" applyFont="1" applyFill="1" applyAlignment="1">
      <alignment horizontal="right"/>
    </xf>
    <xf numFmtId="4" fontId="49" fillId="24" borderId="0" xfId="2" applyNumberFormat="1" applyFont="1" applyFill="1" applyAlignment="1">
      <alignment horizontal="right"/>
    </xf>
    <xf numFmtId="0" fontId="14" fillId="7" borderId="0" xfId="2" applyFont="1" applyFill="1" applyAlignment="1">
      <alignment horizontal="right"/>
    </xf>
    <xf numFmtId="0" fontId="19" fillId="8" borderId="0" xfId="2" applyFont="1" applyFill="1" applyAlignment="1">
      <alignment horizontal="right" wrapText="1"/>
    </xf>
    <xf numFmtId="0" fontId="19" fillId="8" borderId="0" xfId="2" applyFont="1" applyFill="1" applyAlignment="1">
      <alignment horizontal="right" vertical="top" wrapText="1"/>
    </xf>
    <xf numFmtId="0" fontId="19" fillId="8" borderId="0" xfId="2" applyFont="1" applyFill="1" applyAlignment="1">
      <alignment vertical="top" wrapText="1"/>
    </xf>
    <xf numFmtId="0" fontId="19" fillId="8" borderId="0" xfId="2" applyFont="1" applyFill="1"/>
    <xf numFmtId="0" fontId="49" fillId="7" borderId="0" xfId="2" applyFont="1" applyFill="1"/>
    <xf numFmtId="0" fontId="49" fillId="7" borderId="0" xfId="2" applyFont="1" applyFill="1" applyAlignment="1">
      <alignment vertical="top" wrapText="1"/>
    </xf>
    <xf numFmtId="0" fontId="49" fillId="7" borderId="0" xfId="2" applyFont="1" applyFill="1" applyAlignment="1">
      <alignment vertical="top"/>
    </xf>
    <xf numFmtId="0" fontId="50" fillId="7" borderId="0" xfId="2" applyFont="1" applyFill="1" applyAlignment="1">
      <alignment vertical="top"/>
    </xf>
    <xf numFmtId="0" fontId="13" fillId="7" borderId="0" xfId="2" applyFill="1"/>
    <xf numFmtId="0" fontId="52" fillId="7" borderId="0" xfId="7" applyFont="1" applyFill="1" applyAlignment="1">
      <alignment vertical="top" wrapText="1"/>
    </xf>
    <xf numFmtId="0" fontId="18" fillId="22" borderId="0" xfId="2" applyFont="1" applyFill="1" applyAlignment="1">
      <alignment horizontal="center"/>
    </xf>
    <xf numFmtId="4" fontId="49" fillId="22" borderId="0" xfId="2" applyNumberFormat="1" applyFont="1" applyFill="1" applyAlignment="1">
      <alignment horizontal="right"/>
    </xf>
    <xf numFmtId="3" fontId="49" fillId="22" borderId="0" xfId="2" applyNumberFormat="1" applyFont="1" applyFill="1" applyAlignment="1">
      <alignment horizontal="right"/>
    </xf>
    <xf numFmtId="0" fontId="49" fillId="0" borderId="0" xfId="2" applyFont="1"/>
    <xf numFmtId="0" fontId="53" fillId="7" borderId="0" xfId="2" applyFont="1" applyFill="1"/>
    <xf numFmtId="0" fontId="49" fillId="18" borderId="0" xfId="2" applyFont="1" applyFill="1"/>
    <xf numFmtId="0" fontId="17" fillId="18" borderId="0" xfId="2" applyFont="1" applyFill="1"/>
    <xf numFmtId="0" fontId="54" fillId="18" borderId="0" xfId="2" applyFont="1" applyFill="1"/>
    <xf numFmtId="0" fontId="49" fillId="25" borderId="0" xfId="2" applyFont="1" applyFill="1"/>
    <xf numFmtId="0" fontId="49" fillId="18" borderId="0" xfId="2" applyFont="1" applyFill="1" applyAlignment="1">
      <alignment vertical="top"/>
    </xf>
    <xf numFmtId="0" fontId="56" fillId="26" borderId="61" xfId="2" applyFont="1" applyFill="1" applyBorder="1"/>
    <xf numFmtId="0" fontId="49" fillId="26" borderId="62" xfId="2" applyFont="1" applyFill="1" applyBorder="1"/>
    <xf numFmtId="0" fontId="49" fillId="26" borderId="47" xfId="2" applyFont="1" applyFill="1" applyBorder="1"/>
    <xf numFmtId="0" fontId="55" fillId="18" borderId="0" xfId="2" quotePrefix="1" applyFont="1" applyFill="1" applyAlignment="1">
      <alignment vertical="top"/>
    </xf>
    <xf numFmtId="0" fontId="55" fillId="18" borderId="0" xfId="2" applyFont="1" applyFill="1" applyAlignment="1">
      <alignment vertical="top"/>
    </xf>
    <xf numFmtId="0" fontId="57" fillId="26" borderId="63" xfId="2" applyFont="1" applyFill="1" applyBorder="1" applyAlignment="1">
      <alignment horizontal="left" indent="1"/>
    </xf>
    <xf numFmtId="0" fontId="58" fillId="26" borderId="0" xfId="2" applyFont="1" applyFill="1"/>
    <xf numFmtId="0" fontId="49" fillId="26" borderId="0" xfId="2" applyFont="1" applyFill="1"/>
    <xf numFmtId="0" fontId="49" fillId="26" borderId="48" xfId="2" applyFont="1" applyFill="1" applyBorder="1"/>
    <xf numFmtId="0" fontId="49" fillId="27" borderId="68" xfId="2" applyFont="1" applyFill="1" applyBorder="1"/>
    <xf numFmtId="0" fontId="53" fillId="27" borderId="72" xfId="2" applyFont="1" applyFill="1" applyBorder="1"/>
    <xf numFmtId="0" fontId="49" fillId="27" borderId="73" xfId="2" applyFont="1" applyFill="1" applyBorder="1"/>
    <xf numFmtId="0" fontId="49" fillId="26" borderId="63" xfId="2" applyFont="1" applyFill="1" applyBorder="1" applyAlignment="1">
      <alignment horizontal="left" indent="1"/>
    </xf>
    <xf numFmtId="165" fontId="56" fillId="26" borderId="74" xfId="2" applyNumberFormat="1" applyFont="1" applyFill="1" applyBorder="1" applyAlignment="1" applyProtection="1">
      <alignment horizontal="center"/>
      <protection locked="0"/>
    </xf>
    <xf numFmtId="0" fontId="49" fillId="27" borderId="75" xfId="2" applyFont="1" applyFill="1" applyBorder="1"/>
    <xf numFmtId="0" fontId="53" fillId="27" borderId="0" xfId="2" applyFont="1" applyFill="1"/>
    <xf numFmtId="0" fontId="49" fillId="27" borderId="76" xfId="2" applyFont="1" applyFill="1" applyBorder="1"/>
    <xf numFmtId="0" fontId="55" fillId="25" borderId="0" xfId="2" applyFont="1" applyFill="1" applyAlignment="1">
      <alignment vertical="top" wrapText="1"/>
    </xf>
    <xf numFmtId="0" fontId="16" fillId="18" borderId="0" xfId="2" applyFont="1" applyFill="1"/>
    <xf numFmtId="0" fontId="49" fillId="26" borderId="64" xfId="2" applyFont="1" applyFill="1" applyBorder="1"/>
    <xf numFmtId="0" fontId="49" fillId="26" borderId="65" xfId="2" applyFont="1" applyFill="1" applyBorder="1"/>
    <xf numFmtId="0" fontId="49" fillId="26" borderId="66" xfId="2" applyFont="1" applyFill="1" applyBorder="1"/>
    <xf numFmtId="0" fontId="49" fillId="27" borderId="0" xfId="2" applyFont="1" applyFill="1"/>
    <xf numFmtId="0" fontId="49" fillId="25" borderId="0" xfId="2" applyFont="1" applyFill="1" applyAlignment="1">
      <alignment horizontal="left" vertical="top"/>
    </xf>
    <xf numFmtId="0" fontId="59" fillId="8" borderId="0" xfId="2" applyFont="1" applyFill="1"/>
    <xf numFmtId="0" fontId="19" fillId="8" borderId="0" xfId="2" applyFont="1" applyFill="1" applyAlignment="1">
      <alignment horizontal="center"/>
    </xf>
    <xf numFmtId="0" fontId="57" fillId="27" borderId="75" xfId="2" applyFont="1" applyFill="1" applyBorder="1"/>
    <xf numFmtId="0" fontId="57" fillId="8" borderId="0" xfId="2" applyFont="1" applyFill="1"/>
    <xf numFmtId="0" fontId="19" fillId="8" borderId="78" xfId="2" applyFont="1" applyFill="1" applyBorder="1" applyAlignment="1">
      <alignment horizontal="center"/>
    </xf>
    <xf numFmtId="0" fontId="57" fillId="27" borderId="75" xfId="2" applyFont="1" applyFill="1" applyBorder="1" applyAlignment="1">
      <alignment horizontal="center"/>
    </xf>
    <xf numFmtId="165" fontId="49" fillId="7" borderId="0" xfId="8" applyNumberFormat="1" applyFont="1" applyFill="1" applyAlignment="1">
      <alignment horizontal="center"/>
    </xf>
    <xf numFmtId="165" fontId="49" fillId="7" borderId="0" xfId="2" applyNumberFormat="1" applyFont="1" applyFill="1" applyAlignment="1">
      <alignment horizontal="center"/>
    </xf>
    <xf numFmtId="170" fontId="49" fillId="27" borderId="0" xfId="2" applyNumberFormat="1" applyFont="1" applyFill="1" applyAlignment="1">
      <alignment horizontal="center"/>
    </xf>
    <xf numFmtId="165" fontId="49" fillId="18" borderId="0" xfId="8" applyNumberFormat="1" applyFont="1" applyFill="1" applyAlignment="1">
      <alignment horizontal="center"/>
    </xf>
    <xf numFmtId="165" fontId="49" fillId="18" borderId="0" xfId="2" applyNumberFormat="1" applyFont="1" applyFill="1" applyAlignment="1">
      <alignment horizontal="center"/>
    </xf>
    <xf numFmtId="170" fontId="49" fillId="7" borderId="0" xfId="2" applyNumberFormat="1" applyFont="1" applyFill="1" applyAlignment="1">
      <alignment horizontal="center"/>
    </xf>
    <xf numFmtId="0" fontId="19" fillId="28" borderId="0" xfId="2" applyFont="1" applyFill="1" applyAlignment="1">
      <alignment horizontal="center"/>
    </xf>
    <xf numFmtId="0" fontId="49" fillId="25" borderId="0" xfId="2" applyFont="1" applyFill="1" applyAlignment="1">
      <alignment horizontal="right"/>
    </xf>
    <xf numFmtId="165" fontId="49" fillId="25" borderId="0" xfId="2" applyNumberFormat="1" applyFont="1" applyFill="1" applyAlignment="1">
      <alignment horizontal="center"/>
    </xf>
    <xf numFmtId="2" fontId="49" fillId="25" borderId="0" xfId="2" applyNumberFormat="1" applyFont="1" applyFill="1" applyAlignment="1">
      <alignment horizontal="center"/>
    </xf>
    <xf numFmtId="0" fontId="58" fillId="25" borderId="0" xfId="2" applyFont="1" applyFill="1"/>
    <xf numFmtId="0" fontId="49" fillId="25" borderId="0" xfId="2" applyFont="1" applyFill="1" applyAlignment="1">
      <alignment horizontal="center"/>
    </xf>
    <xf numFmtId="0" fontId="60" fillId="25" borderId="0" xfId="2" applyFont="1" applyFill="1" applyAlignment="1">
      <alignment vertical="center"/>
    </xf>
    <xf numFmtId="0" fontId="49" fillId="25" borderId="0" xfId="2" applyFont="1" applyFill="1" applyAlignment="1">
      <alignment vertical="center"/>
    </xf>
    <xf numFmtId="0" fontId="49" fillId="27" borderId="79" xfId="2" applyFont="1" applyFill="1" applyBorder="1" applyAlignment="1">
      <alignment horizontal="center"/>
    </xf>
    <xf numFmtId="2" fontId="49" fillId="27" borderId="80" xfId="2" applyNumberFormat="1" applyFont="1" applyFill="1" applyBorder="1" applyAlignment="1">
      <alignment horizontal="center"/>
    </xf>
    <xf numFmtId="0" fontId="49" fillId="27" borderId="81" xfId="2" applyFont="1" applyFill="1" applyBorder="1"/>
    <xf numFmtId="0" fontId="53" fillId="7" borderId="0" xfId="2" applyFont="1" applyFill="1" applyAlignment="1">
      <alignment vertical="top" wrapText="1"/>
    </xf>
    <xf numFmtId="10" fontId="16" fillId="7" borderId="0" xfId="2" applyNumberFormat="1" applyFont="1" applyFill="1"/>
    <xf numFmtId="0" fontId="0" fillId="0" borderId="0" xfId="0" applyAlignment="1">
      <alignment horizontal="center"/>
    </xf>
    <xf numFmtId="0" fontId="63" fillId="0" borderId="0" xfId="0" applyFont="1"/>
    <xf numFmtId="3" fontId="0" fillId="0" borderId="0" xfId="0" applyNumberFormat="1" applyAlignment="1">
      <alignment horizontal="center"/>
    </xf>
    <xf numFmtId="0" fontId="16" fillId="22" borderId="0" xfId="2" applyFont="1" applyFill="1"/>
    <xf numFmtId="3" fontId="14" fillId="22" borderId="0" xfId="2" applyNumberFormat="1" applyFont="1" applyFill="1" applyAlignment="1">
      <alignment horizontal="right" vertical="top"/>
    </xf>
    <xf numFmtId="0" fontId="16" fillId="31" borderId="0" xfId="2" applyFont="1" applyFill="1"/>
    <xf numFmtId="3" fontId="14" fillId="31" borderId="0" xfId="2" applyNumberFormat="1" applyFont="1" applyFill="1" applyAlignment="1">
      <alignment horizontal="right" vertical="top"/>
    </xf>
    <xf numFmtId="171" fontId="14" fillId="31" borderId="0" xfId="2" applyNumberFormat="1" applyFont="1" applyFill="1" applyAlignment="1">
      <alignment horizontal="right" vertical="top"/>
    </xf>
    <xf numFmtId="0" fontId="0" fillId="9" borderId="0" xfId="0" applyFill="1"/>
    <xf numFmtId="2" fontId="0" fillId="0" borderId="0" xfId="1" applyNumberFormat="1" applyFont="1"/>
    <xf numFmtId="168" fontId="0" fillId="0" borderId="0" xfId="0" applyNumberFormat="1"/>
    <xf numFmtId="0" fontId="27" fillId="0" borderId="57" xfId="0" applyFont="1" applyBorder="1"/>
    <xf numFmtId="168" fontId="4" fillId="0" borderId="42" xfId="3" applyNumberFormat="1" applyFont="1" applyBorder="1"/>
    <xf numFmtId="168" fontId="4" fillId="0" borderId="43" xfId="3" applyNumberFormat="1" applyFont="1" applyBorder="1"/>
    <xf numFmtId="168" fontId="4" fillId="0" borderId="32" xfId="3" applyNumberFormat="1" applyFont="1" applyBorder="1"/>
    <xf numFmtId="168" fontId="4" fillId="0" borderId="39" xfId="3" applyNumberFormat="1" applyFont="1" applyBorder="1"/>
    <xf numFmtId="168" fontId="4" fillId="0" borderId="40" xfId="3" applyNumberFormat="1" applyFont="1" applyBorder="1"/>
    <xf numFmtId="168" fontId="4" fillId="0" borderId="36" xfId="3" applyNumberFormat="1" applyFont="1" applyBorder="1"/>
    <xf numFmtId="0" fontId="0" fillId="32" borderId="0" xfId="0" applyFill="1"/>
    <xf numFmtId="3" fontId="0" fillId="32" borderId="0" xfId="0" applyNumberFormat="1" applyFill="1"/>
    <xf numFmtId="3" fontId="0" fillId="32" borderId="0" xfId="0" applyNumberFormat="1" applyFill="1" applyAlignment="1">
      <alignment horizontal="center"/>
    </xf>
    <xf numFmtId="0" fontId="0" fillId="32" borderId="0" xfId="0" applyFill="1" applyAlignment="1">
      <alignment horizontal="center"/>
    </xf>
    <xf numFmtId="1" fontId="0" fillId="23" borderId="70" xfId="0" applyNumberFormat="1" applyFill="1" applyBorder="1"/>
    <xf numFmtId="2" fontId="35" fillId="0" borderId="0" xfId="0" applyNumberFormat="1" applyFont="1"/>
    <xf numFmtId="2" fontId="37" fillId="0" borderId="0" xfId="0" applyNumberFormat="1" applyFont="1"/>
    <xf numFmtId="1" fontId="35" fillId="23" borderId="70" xfId="0" applyNumberFormat="1" applyFont="1" applyFill="1" applyBorder="1"/>
    <xf numFmtId="2" fontId="64" fillId="23" borderId="70" xfId="0" applyNumberFormat="1" applyFont="1" applyFill="1" applyBorder="1"/>
    <xf numFmtId="1" fontId="0" fillId="0" borderId="0" xfId="0" applyNumberFormat="1"/>
    <xf numFmtId="1" fontId="35" fillId="0" borderId="0" xfId="0" applyNumberFormat="1" applyFont="1"/>
    <xf numFmtId="2" fontId="64" fillId="0" borderId="0" xfId="0" applyNumberFormat="1" applyFont="1"/>
    <xf numFmtId="1" fontId="0" fillId="23" borderId="0" xfId="0" applyNumberFormat="1" applyFill="1"/>
    <xf numFmtId="2" fontId="39" fillId="0" borderId="0" xfId="0" applyNumberFormat="1" applyFont="1"/>
    <xf numFmtId="2" fontId="0" fillId="23" borderId="0" xfId="0" applyNumberFormat="1" applyFill="1"/>
    <xf numFmtId="1" fontId="35" fillId="23" borderId="0" xfId="0" applyNumberFormat="1" applyFont="1" applyFill="1"/>
    <xf numFmtId="2" fontId="64" fillId="23" borderId="0" xfId="0" applyNumberFormat="1" applyFont="1" applyFill="1"/>
    <xf numFmtId="1" fontId="0" fillId="0" borderId="69" xfId="0" applyNumberFormat="1" applyBorder="1"/>
    <xf numFmtId="2" fontId="65" fillId="0" borderId="69" xfId="0" applyNumberFormat="1" applyFont="1" applyBorder="1"/>
    <xf numFmtId="1" fontId="35" fillId="0" borderId="69" xfId="0" applyNumberFormat="1" applyFont="1" applyBorder="1"/>
    <xf numFmtId="2" fontId="64" fillId="0" borderId="69" xfId="0" applyNumberFormat="1" applyFont="1" applyBorder="1"/>
    <xf numFmtId="2" fontId="36" fillId="0" borderId="70" xfId="0" applyNumberFormat="1" applyFont="1" applyBorder="1"/>
    <xf numFmtId="0" fontId="65" fillId="23" borderId="70" xfId="0" applyFont="1" applyFill="1" applyBorder="1"/>
    <xf numFmtId="0" fontId="65" fillId="0" borderId="0" xfId="0" applyFont="1"/>
    <xf numFmtId="0" fontId="65" fillId="23" borderId="0" xfId="0" applyFont="1" applyFill="1"/>
    <xf numFmtId="0" fontId="65" fillId="0" borderId="69" xfId="0" applyFont="1" applyBorder="1"/>
    <xf numFmtId="2" fontId="27" fillId="0" borderId="70" xfId="0" applyNumberFormat="1" applyFont="1" applyBorder="1"/>
    <xf numFmtId="0" fontId="27" fillId="0" borderId="70" xfId="0" applyFont="1" applyBorder="1"/>
    <xf numFmtId="0" fontId="38" fillId="23" borderId="70" xfId="0" applyFont="1" applyFill="1" applyBorder="1"/>
    <xf numFmtId="0" fontId="23" fillId="23" borderId="70" xfId="0" applyFont="1" applyFill="1" applyBorder="1"/>
    <xf numFmtId="0" fontId="38" fillId="23" borderId="0" xfId="0" applyFont="1" applyFill="1"/>
    <xf numFmtId="0" fontId="23" fillId="23" borderId="0" xfId="0" applyFont="1" applyFill="1"/>
    <xf numFmtId="0" fontId="38" fillId="0" borderId="69" xfId="0" applyFont="1" applyBorder="1"/>
    <xf numFmtId="0" fontId="23" fillId="0" borderId="69" xfId="0" applyFont="1" applyBorder="1"/>
    <xf numFmtId="0" fontId="23" fillId="23" borderId="70" xfId="0" applyFont="1" applyFill="1" applyBorder="1" applyAlignment="1">
      <alignment horizontal="right" vertical="center"/>
    </xf>
    <xf numFmtId="0" fontId="23" fillId="0" borderId="69" xfId="0" applyFont="1" applyBorder="1" applyAlignment="1">
      <alignment horizontal="right" vertical="center"/>
    </xf>
    <xf numFmtId="168" fontId="14" fillId="7" borderId="0" xfId="3" applyNumberFormat="1" applyFont="1" applyFill="1" applyAlignment="1">
      <alignment horizontal="right" vertical="top"/>
    </xf>
    <xf numFmtId="0" fontId="0" fillId="0" borderId="82" xfId="0" applyBorder="1"/>
    <xf numFmtId="0" fontId="1" fillId="0" borderId="82" xfId="0" applyFont="1" applyBorder="1"/>
    <xf numFmtId="0" fontId="0" fillId="0" borderId="83" xfId="0" applyBorder="1"/>
    <xf numFmtId="0" fontId="1" fillId="0" borderId="83" xfId="0" applyFont="1" applyBorder="1"/>
    <xf numFmtId="0" fontId="1" fillId="0" borderId="31" xfId="0" applyFont="1" applyBorder="1"/>
    <xf numFmtId="0" fontId="1" fillId="0" borderId="30" xfId="0" applyFont="1" applyBorder="1"/>
    <xf numFmtId="4" fontId="0" fillId="0" borderId="1" xfId="0" applyNumberFormat="1" applyBorder="1"/>
    <xf numFmtId="10" fontId="0" fillId="0" borderId="2" xfId="0" applyNumberFormat="1" applyBorder="1"/>
    <xf numFmtId="0" fontId="67" fillId="0" borderId="0" xfId="0" applyFont="1"/>
    <xf numFmtId="4" fontId="0" fillId="0" borderId="2" xfId="0" applyNumberFormat="1" applyBorder="1"/>
    <xf numFmtId="4" fontId="0" fillId="0" borderId="3" xfId="0" applyNumberFormat="1" applyBorder="1"/>
    <xf numFmtId="0" fontId="1" fillId="0" borderId="84" xfId="0" applyFont="1" applyBorder="1"/>
    <xf numFmtId="0" fontId="36" fillId="0" borderId="82" xfId="0" applyFont="1" applyBorder="1"/>
    <xf numFmtId="0" fontId="1" fillId="0" borderId="85" xfId="0" applyFont="1" applyBorder="1"/>
    <xf numFmtId="172" fontId="0" fillId="0" borderId="89" xfId="0" applyNumberFormat="1" applyBorder="1"/>
    <xf numFmtId="0" fontId="35" fillId="0" borderId="30" xfId="0" applyFont="1" applyBorder="1"/>
    <xf numFmtId="4" fontId="35" fillId="0" borderId="0" xfId="0" applyNumberFormat="1" applyFont="1"/>
    <xf numFmtId="172" fontId="0" fillId="0" borderId="1" xfId="0" applyNumberFormat="1" applyBorder="1"/>
    <xf numFmtId="172" fontId="0" fillId="0" borderId="90" xfId="0" applyNumberFormat="1" applyBorder="1"/>
    <xf numFmtId="0" fontId="35" fillId="0" borderId="31" xfId="0" applyFont="1" applyBorder="1"/>
    <xf numFmtId="172" fontId="0" fillId="0" borderId="3" xfId="0" applyNumberFormat="1" applyBorder="1"/>
    <xf numFmtId="0" fontId="64" fillId="0" borderId="82" xfId="0" applyFont="1" applyBorder="1"/>
    <xf numFmtId="0" fontId="35" fillId="0" borderId="82" xfId="0" applyFont="1" applyBorder="1"/>
    <xf numFmtId="0" fontId="68" fillId="0" borderId="82" xfId="0" applyFont="1" applyBorder="1"/>
    <xf numFmtId="0" fontId="69" fillId="0" borderId="82" xfId="0" applyFont="1" applyBorder="1"/>
    <xf numFmtId="0" fontId="64" fillId="0" borderId="0" xfId="0" applyFont="1"/>
    <xf numFmtId="0" fontId="70" fillId="0" borderId="82" xfId="0" applyFont="1" applyBorder="1"/>
    <xf numFmtId="0" fontId="64" fillId="0" borderId="0" xfId="0" applyFont="1" applyAlignment="1">
      <alignment vertical="center"/>
    </xf>
    <xf numFmtId="0" fontId="36" fillId="0" borderId="82" xfId="0" applyFont="1" applyBorder="1" applyAlignment="1">
      <alignment vertical="center"/>
    </xf>
    <xf numFmtId="0" fontId="35" fillId="0" borderId="82" xfId="0" applyFont="1" applyBorder="1" applyAlignment="1">
      <alignment vertical="center"/>
    </xf>
    <xf numFmtId="0" fontId="64" fillId="0" borderId="82" xfId="0" applyFont="1" applyBorder="1" applyAlignment="1">
      <alignment vertical="center"/>
    </xf>
    <xf numFmtId="0" fontId="35" fillId="0" borderId="0" xfId="0" applyFont="1" applyAlignment="1">
      <alignment vertical="center"/>
    </xf>
    <xf numFmtId="173" fontId="0" fillId="0" borderId="0" xfId="0" applyNumberFormat="1"/>
    <xf numFmtId="1" fontId="23" fillId="23" borderId="70" xfId="0" applyNumberFormat="1" applyFont="1" applyFill="1" applyBorder="1"/>
    <xf numFmtId="1" fontId="23" fillId="0" borderId="0" xfId="0" applyNumberFormat="1" applyFont="1"/>
    <xf numFmtId="1" fontId="23" fillId="23" borderId="0" xfId="0" applyNumberFormat="1" applyFont="1" applyFill="1"/>
    <xf numFmtId="1" fontId="23" fillId="0" borderId="69" xfId="0" applyNumberFormat="1" applyFont="1" applyBorder="1"/>
    <xf numFmtId="2" fontId="4" fillId="0" borderId="0" xfId="0" applyNumberFormat="1" applyFont="1"/>
    <xf numFmtId="0" fontId="27" fillId="0" borderId="82" xfId="0" applyFont="1" applyBorder="1"/>
    <xf numFmtId="0" fontId="27" fillId="0" borderId="84" xfId="0" applyFont="1" applyBorder="1"/>
    <xf numFmtId="0" fontId="27" fillId="0" borderId="83" xfId="0" applyFont="1" applyBorder="1"/>
    <xf numFmtId="0" fontId="66" fillId="33" borderId="0" xfId="9" applyBorder="1"/>
    <xf numFmtId="9" fontId="0" fillId="0" borderId="0" xfId="0" applyNumberFormat="1"/>
    <xf numFmtId="166" fontId="0" fillId="0" borderId="0" xfId="0" applyNumberFormat="1"/>
    <xf numFmtId="0" fontId="27" fillId="0" borderId="0" xfId="0" applyFont="1"/>
    <xf numFmtId="10" fontId="23" fillId="0" borderId="81" xfId="0" applyNumberFormat="1" applyFont="1" applyBorder="1"/>
    <xf numFmtId="0" fontId="23" fillId="0" borderId="80" xfId="0" applyFont="1" applyBorder="1"/>
    <xf numFmtId="10" fontId="23" fillId="0" borderId="80" xfId="0" applyNumberFormat="1" applyFont="1" applyBorder="1"/>
    <xf numFmtId="9" fontId="23" fillId="0" borderId="80" xfId="0" applyNumberFormat="1" applyFont="1" applyBorder="1"/>
    <xf numFmtId="10" fontId="23" fillId="0" borderId="76" xfId="0" applyNumberFormat="1" applyFont="1" applyBorder="1"/>
    <xf numFmtId="10" fontId="23" fillId="0" borderId="0" xfId="0" applyNumberFormat="1" applyFont="1"/>
    <xf numFmtId="0" fontId="1" fillId="30" borderId="0" xfId="0" applyFont="1" applyFill="1" applyAlignment="1">
      <alignment horizontal="center"/>
    </xf>
    <xf numFmtId="10" fontId="0" fillId="0" borderId="86" xfId="0" applyNumberFormat="1" applyBorder="1"/>
    <xf numFmtId="10" fontId="0" fillId="0" borderId="87" xfId="0" applyNumberFormat="1" applyBorder="1"/>
    <xf numFmtId="10" fontId="0" fillId="0" borderId="1" xfId="0" applyNumberFormat="1" applyBorder="1"/>
    <xf numFmtId="10" fontId="0" fillId="0" borderId="3" xfId="0" applyNumberFormat="1" applyBorder="1"/>
    <xf numFmtId="3" fontId="0" fillId="0" borderId="0" xfId="0" applyNumberFormat="1" applyAlignment="1">
      <alignment horizontal="right"/>
    </xf>
    <xf numFmtId="0" fontId="0" fillId="0" borderId="0" xfId="0" applyAlignment="1">
      <alignment horizontal="left"/>
    </xf>
    <xf numFmtId="169" fontId="0" fillId="0" borderId="0" xfId="1" applyNumberFormat="1" applyFont="1"/>
    <xf numFmtId="167" fontId="0" fillId="0" borderId="68" xfId="0" applyNumberFormat="1" applyBorder="1"/>
    <xf numFmtId="167" fontId="0" fillId="0" borderId="72" xfId="0" applyNumberFormat="1" applyBorder="1"/>
    <xf numFmtId="167" fontId="0" fillId="0" borderId="75" xfId="0" applyNumberFormat="1" applyBorder="1"/>
    <xf numFmtId="167" fontId="0" fillId="0" borderId="79" xfId="0" applyNumberFormat="1" applyBorder="1"/>
    <xf numFmtId="167" fontId="0" fillId="0" borderId="80" xfId="0" applyNumberFormat="1" applyBorder="1"/>
    <xf numFmtId="170" fontId="0" fillId="0" borderId="0" xfId="0" applyNumberFormat="1"/>
    <xf numFmtId="10" fontId="35" fillId="0" borderId="3" xfId="0" applyNumberFormat="1" applyFont="1" applyBorder="1" applyAlignment="1">
      <alignment vertical="center" wrapText="1"/>
    </xf>
    <xf numFmtId="0" fontId="36" fillId="0" borderId="3" xfId="0" applyFont="1" applyBorder="1" applyAlignment="1">
      <alignment vertical="center" wrapText="1"/>
    </xf>
    <xf numFmtId="10" fontId="0" fillId="0" borderId="89" xfId="0" applyNumberFormat="1" applyBorder="1"/>
    <xf numFmtId="10" fontId="0" fillId="0" borderId="91" xfId="0" applyNumberFormat="1" applyBorder="1"/>
    <xf numFmtId="10" fontId="0" fillId="0" borderId="90" xfId="0" applyNumberFormat="1" applyBorder="1"/>
    <xf numFmtId="0" fontId="0" fillId="0" borderId="93" xfId="0" applyBorder="1"/>
    <xf numFmtId="0" fontId="71" fillId="36" borderId="0" xfId="12"/>
    <xf numFmtId="0" fontId="73" fillId="0" borderId="92" xfId="11"/>
    <xf numFmtId="10" fontId="0" fillId="0" borderId="85" xfId="0" applyNumberFormat="1" applyBorder="1"/>
    <xf numFmtId="0" fontId="1" fillId="0" borderId="0" xfId="0" applyFont="1" applyAlignment="1">
      <alignment horizontal="center" vertical="center" wrapText="1"/>
    </xf>
    <xf numFmtId="0" fontId="63" fillId="29" borderId="0" xfId="0" applyFont="1" applyFill="1"/>
    <xf numFmtId="0" fontId="74" fillId="7" borderId="0" xfId="2" applyFont="1" applyFill="1"/>
    <xf numFmtId="0" fontId="16" fillId="7" borderId="0" xfId="2" applyFont="1" applyFill="1" applyAlignment="1">
      <alignment horizontal="center"/>
    </xf>
    <xf numFmtId="166" fontId="16" fillId="7" borderId="0" xfId="2" applyNumberFormat="1" applyFont="1" applyFill="1"/>
    <xf numFmtId="167" fontId="16" fillId="7" borderId="0" xfId="2" applyNumberFormat="1" applyFont="1" applyFill="1"/>
    <xf numFmtId="0" fontId="74" fillId="7" borderId="0" xfId="2" applyFont="1" applyFill="1" applyAlignment="1">
      <alignment horizontal="center" vertical="center"/>
    </xf>
    <xf numFmtId="170" fontId="0" fillId="0" borderId="1" xfId="0" applyNumberFormat="1" applyBorder="1"/>
    <xf numFmtId="0" fontId="0" fillId="0" borderId="84" xfId="0" applyBorder="1"/>
    <xf numFmtId="0" fontId="0" fillId="0" borderId="89" xfId="0" applyBorder="1"/>
    <xf numFmtId="0" fontId="0" fillId="0" borderId="90" xfId="0" applyBorder="1"/>
    <xf numFmtId="0" fontId="0" fillId="0" borderId="94" xfId="0" applyBorder="1"/>
    <xf numFmtId="0" fontId="0" fillId="0" borderId="95" xfId="0" applyBorder="1"/>
    <xf numFmtId="0" fontId="0" fillId="0" borderId="95" xfId="0" applyBorder="1" applyAlignment="1">
      <alignment wrapText="1"/>
    </xf>
    <xf numFmtId="0" fontId="0" fillId="0" borderId="96" xfId="0" applyBorder="1" applyAlignment="1">
      <alignment wrapText="1"/>
    </xf>
    <xf numFmtId="0" fontId="0" fillId="0" borderId="97" xfId="0" applyBorder="1" applyAlignment="1">
      <alignment wrapText="1"/>
    </xf>
    <xf numFmtId="10" fontId="0" fillId="0" borderId="76" xfId="0" applyNumberFormat="1" applyBorder="1"/>
    <xf numFmtId="165" fontId="0" fillId="0" borderId="80" xfId="0" applyNumberFormat="1" applyBorder="1"/>
    <xf numFmtId="10" fontId="0" fillId="0" borderId="80" xfId="0" applyNumberFormat="1" applyBorder="1"/>
    <xf numFmtId="10" fontId="0" fillId="0" borderId="81" xfId="0" applyNumberFormat="1" applyBorder="1"/>
    <xf numFmtId="165" fontId="4" fillId="0" borderId="75" xfId="0" applyNumberFormat="1" applyFont="1" applyBorder="1"/>
    <xf numFmtId="10" fontId="0" fillId="0" borderId="98" xfId="0" applyNumberFormat="1" applyBorder="1"/>
    <xf numFmtId="165" fontId="4" fillId="0" borderId="0" xfId="0" applyNumberFormat="1" applyFont="1"/>
    <xf numFmtId="9" fontId="23" fillId="0" borderId="88" xfId="0" applyNumberFormat="1" applyFont="1" applyBorder="1"/>
    <xf numFmtId="10" fontId="23" fillId="0" borderId="88" xfId="0" applyNumberFormat="1" applyFont="1" applyBorder="1"/>
    <xf numFmtId="174" fontId="0" fillId="0" borderId="0" xfId="0" applyNumberFormat="1"/>
    <xf numFmtId="0" fontId="1" fillId="37" borderId="0" xfId="0" applyFont="1" applyFill="1"/>
    <xf numFmtId="0" fontId="0" fillId="0" borderId="0" xfId="0" applyAlignment="1">
      <alignment wrapText="1"/>
    </xf>
    <xf numFmtId="175" fontId="0" fillId="0" borderId="0" xfId="4" applyNumberFormat="1" applyFont="1"/>
    <xf numFmtId="10" fontId="23" fillId="0" borderId="82" xfId="0" applyNumberFormat="1" applyFont="1" applyBorder="1"/>
    <xf numFmtId="9" fontId="23" fillId="0" borderId="82" xfId="0" applyNumberFormat="1" applyFont="1" applyBorder="1"/>
    <xf numFmtId="0" fontId="73" fillId="36" borderId="92" xfId="11" applyFill="1"/>
    <xf numFmtId="0" fontId="23" fillId="0" borderId="83" xfId="0" applyFont="1" applyBorder="1"/>
    <xf numFmtId="0" fontId="23" fillId="0" borderId="31" xfId="0" applyFont="1" applyBorder="1"/>
    <xf numFmtId="0" fontId="23" fillId="0" borderId="30" xfId="0" applyFont="1" applyBorder="1"/>
    <xf numFmtId="176" fontId="0" fillId="0" borderId="0" xfId="0" applyNumberFormat="1"/>
    <xf numFmtId="176" fontId="0" fillId="0" borderId="80" xfId="0" applyNumberFormat="1" applyBorder="1"/>
    <xf numFmtId="0" fontId="36" fillId="0" borderId="84" xfId="0" applyFont="1" applyBorder="1"/>
    <xf numFmtId="0" fontId="36" fillId="0" borderId="88" xfId="0" applyFont="1" applyBorder="1"/>
    <xf numFmtId="0" fontId="1" fillId="0" borderId="90" xfId="0" applyFont="1" applyBorder="1"/>
    <xf numFmtId="0" fontId="1" fillId="0" borderId="2" xfId="0" applyFont="1" applyBorder="1"/>
    <xf numFmtId="10" fontId="23" fillId="0" borderId="84" xfId="0" applyNumberFormat="1" applyFont="1" applyBorder="1"/>
    <xf numFmtId="9" fontId="23" fillId="0" borderId="0" xfId="0" applyNumberFormat="1" applyFont="1"/>
    <xf numFmtId="0" fontId="36" fillId="0" borderId="32" xfId="0" applyFont="1" applyBorder="1"/>
    <xf numFmtId="167" fontId="0" fillId="0" borderId="32" xfId="0" applyNumberFormat="1" applyBorder="1"/>
    <xf numFmtId="10" fontId="0" fillId="0" borderId="32" xfId="0" applyNumberFormat="1" applyBorder="1"/>
    <xf numFmtId="177" fontId="0" fillId="0" borderId="0" xfId="0" applyNumberFormat="1"/>
    <xf numFmtId="9" fontId="0" fillId="0" borderId="32" xfId="0" applyNumberFormat="1" applyBorder="1"/>
    <xf numFmtId="0" fontId="36" fillId="0" borderId="99" xfId="0" applyFont="1" applyBorder="1"/>
    <xf numFmtId="0" fontId="0" fillId="0" borderId="99" xfId="0" applyBorder="1"/>
    <xf numFmtId="0" fontId="1" fillId="0" borderId="68" xfId="0" applyFont="1" applyBorder="1"/>
    <xf numFmtId="167" fontId="1" fillId="0" borderId="68" xfId="0" applyNumberFormat="1" applyFont="1" applyBorder="1"/>
    <xf numFmtId="10" fontId="1" fillId="0" borderId="68" xfId="0" applyNumberFormat="1" applyFont="1" applyBorder="1"/>
    <xf numFmtId="10" fontId="1" fillId="0" borderId="102" xfId="0" applyNumberFormat="1" applyFont="1" applyBorder="1"/>
    <xf numFmtId="0" fontId="0" fillId="23" borderId="72" xfId="0" applyFill="1" applyBorder="1"/>
    <xf numFmtId="10" fontId="0" fillId="23" borderId="72" xfId="0" applyNumberFormat="1" applyFill="1" applyBorder="1"/>
    <xf numFmtId="10" fontId="0" fillId="23" borderId="0" xfId="0" applyNumberFormat="1" applyFill="1"/>
    <xf numFmtId="10" fontId="0" fillId="0" borderId="69" xfId="0" applyNumberFormat="1" applyBorder="1"/>
    <xf numFmtId="0" fontId="0" fillId="0" borderId="91" xfId="0" applyBorder="1"/>
    <xf numFmtId="3" fontId="0" fillId="0" borderId="68" xfId="4" applyNumberFormat="1" applyFont="1" applyBorder="1"/>
    <xf numFmtId="3" fontId="0" fillId="0" borderId="72" xfId="4" applyNumberFormat="1" applyFont="1" applyBorder="1"/>
    <xf numFmtId="3" fontId="0" fillId="0" borderId="75" xfId="4" applyNumberFormat="1" applyFont="1" applyBorder="1"/>
    <xf numFmtId="3" fontId="0" fillId="0" borderId="0" xfId="4" applyNumberFormat="1" applyFont="1" applyBorder="1"/>
    <xf numFmtId="3" fontId="0" fillId="0" borderId="79" xfId="4" applyNumberFormat="1" applyFont="1" applyBorder="1"/>
    <xf numFmtId="3" fontId="0" fillId="0" borderId="80" xfId="4" applyNumberFormat="1" applyFont="1" applyBorder="1"/>
    <xf numFmtId="10" fontId="0" fillId="0" borderId="68" xfId="0" applyNumberFormat="1" applyBorder="1"/>
    <xf numFmtId="10" fontId="0" fillId="0" borderId="72" xfId="0" applyNumberFormat="1" applyBorder="1"/>
    <xf numFmtId="10" fontId="0" fillId="0" borderId="73" xfId="0" applyNumberFormat="1" applyBorder="1"/>
    <xf numFmtId="10" fontId="0" fillId="0" borderId="75" xfId="0" applyNumberFormat="1" applyBorder="1"/>
    <xf numFmtId="10" fontId="0" fillId="0" borderId="79" xfId="0" applyNumberFormat="1" applyBorder="1"/>
    <xf numFmtId="3" fontId="75" fillId="38" borderId="68" xfId="13" applyNumberFormat="1" applyBorder="1"/>
    <xf numFmtId="3" fontId="75" fillId="38" borderId="72" xfId="13" applyNumberFormat="1" applyBorder="1"/>
    <xf numFmtId="3" fontId="75" fillId="38" borderId="75" xfId="13" applyNumberFormat="1" applyBorder="1"/>
    <xf numFmtId="3" fontId="75" fillId="38" borderId="0" xfId="13" applyNumberFormat="1" applyBorder="1"/>
    <xf numFmtId="3" fontId="75" fillId="38" borderId="79" xfId="13" applyNumberFormat="1" applyBorder="1"/>
    <xf numFmtId="3" fontId="75" fillId="38" borderId="80" xfId="13" applyNumberFormat="1" applyBorder="1"/>
    <xf numFmtId="1" fontId="75" fillId="38" borderId="68" xfId="13" applyNumberFormat="1" applyBorder="1"/>
    <xf numFmtId="1" fontId="75" fillId="38" borderId="72" xfId="13" applyNumberFormat="1" applyBorder="1"/>
    <xf numFmtId="1" fontId="75" fillId="38" borderId="79" xfId="13" applyNumberFormat="1" applyBorder="1"/>
    <xf numFmtId="1" fontId="75" fillId="38" borderId="80" xfId="13" applyNumberFormat="1" applyBorder="1"/>
    <xf numFmtId="3" fontId="75" fillId="38" borderId="73" xfId="13" applyNumberFormat="1" applyBorder="1"/>
    <xf numFmtId="3" fontId="75" fillId="38" borderId="76" xfId="13" applyNumberFormat="1" applyBorder="1"/>
    <xf numFmtId="3" fontId="75" fillId="38" borderId="81" xfId="13" applyNumberFormat="1" applyBorder="1"/>
    <xf numFmtId="0" fontId="27" fillId="0" borderId="87" xfId="0" applyFont="1" applyBorder="1"/>
    <xf numFmtId="0" fontId="27" fillId="0" borderId="1" xfId="0" applyFont="1" applyBorder="1"/>
    <xf numFmtId="10" fontId="76" fillId="40" borderId="68" xfId="0" applyNumberFormat="1" applyFont="1" applyFill="1" applyBorder="1"/>
    <xf numFmtId="10" fontId="76" fillId="40" borderId="72" xfId="0" applyNumberFormat="1" applyFont="1" applyFill="1" applyBorder="1"/>
    <xf numFmtId="10" fontId="76" fillId="40" borderId="73" xfId="0" applyNumberFormat="1" applyFont="1" applyFill="1" applyBorder="1"/>
    <xf numFmtId="10" fontId="76" fillId="40" borderId="86" xfId="0" applyNumberFormat="1" applyFont="1" applyFill="1" applyBorder="1"/>
    <xf numFmtId="10" fontId="76" fillId="40" borderId="87" xfId="0" applyNumberFormat="1" applyFont="1" applyFill="1" applyBorder="1"/>
    <xf numFmtId="10" fontId="76" fillId="40" borderId="91" xfId="0" applyNumberFormat="1" applyFont="1" applyFill="1" applyBorder="1"/>
    <xf numFmtId="10" fontId="76" fillId="40" borderId="75" xfId="0" applyNumberFormat="1" applyFont="1" applyFill="1" applyBorder="1"/>
    <xf numFmtId="10" fontId="76" fillId="40" borderId="0" xfId="0" applyNumberFormat="1" applyFont="1" applyFill="1"/>
    <xf numFmtId="10" fontId="76" fillId="40" borderId="76" xfId="0" applyNumberFormat="1" applyFont="1" applyFill="1" applyBorder="1"/>
    <xf numFmtId="10" fontId="76" fillId="40" borderId="1" xfId="0" applyNumberFormat="1" applyFont="1" applyFill="1" applyBorder="1"/>
    <xf numFmtId="10" fontId="76" fillId="40" borderId="89" xfId="0" applyNumberFormat="1" applyFont="1" applyFill="1" applyBorder="1"/>
    <xf numFmtId="10" fontId="77" fillId="41" borderId="0" xfId="0" applyNumberFormat="1" applyFont="1" applyFill="1"/>
    <xf numFmtId="10" fontId="77" fillId="41" borderId="1" xfId="0" applyNumberFormat="1" applyFont="1" applyFill="1" applyBorder="1"/>
    <xf numFmtId="10" fontId="76" fillId="40" borderId="79" xfId="0" applyNumberFormat="1" applyFont="1" applyFill="1" applyBorder="1"/>
    <xf numFmtId="10" fontId="76" fillId="40" borderId="80" xfId="0" applyNumberFormat="1" applyFont="1" applyFill="1" applyBorder="1"/>
    <xf numFmtId="10" fontId="76" fillId="40" borderId="81" xfId="0" applyNumberFormat="1" applyFont="1" applyFill="1" applyBorder="1"/>
    <xf numFmtId="10" fontId="76" fillId="40" borderId="2" xfId="0" applyNumberFormat="1" applyFont="1" applyFill="1" applyBorder="1"/>
    <xf numFmtId="10" fontId="76" fillId="40" borderId="3" xfId="0" applyNumberFormat="1" applyFont="1" applyFill="1" applyBorder="1"/>
    <xf numFmtId="10" fontId="76" fillId="40" borderId="90" xfId="0" applyNumberFormat="1" applyFont="1" applyFill="1" applyBorder="1"/>
    <xf numFmtId="10" fontId="77" fillId="41" borderId="2" xfId="0" applyNumberFormat="1" applyFont="1" applyFill="1" applyBorder="1"/>
    <xf numFmtId="10" fontId="77" fillId="41" borderId="3" xfId="0" applyNumberFormat="1" applyFont="1" applyFill="1" applyBorder="1"/>
    <xf numFmtId="0" fontId="23" fillId="0" borderId="82" xfId="0" applyFont="1" applyBorder="1"/>
    <xf numFmtId="10" fontId="27" fillId="0" borderId="1" xfId="0" applyNumberFormat="1" applyFont="1" applyBorder="1"/>
    <xf numFmtId="9" fontId="27" fillId="0" borderId="1" xfId="0" applyNumberFormat="1" applyFont="1" applyBorder="1"/>
    <xf numFmtId="10" fontId="27" fillId="0" borderId="0" xfId="0" applyNumberFormat="1" applyFont="1"/>
    <xf numFmtId="10" fontId="27" fillId="0" borderId="104" xfId="0" applyNumberFormat="1" applyFont="1" applyBorder="1"/>
    <xf numFmtId="10" fontId="27" fillId="0" borderId="76" xfId="0" applyNumberFormat="1" applyFont="1" applyBorder="1"/>
    <xf numFmtId="10" fontId="76" fillId="40" borderId="98" xfId="0" applyNumberFormat="1" applyFont="1" applyFill="1" applyBorder="1"/>
    <xf numFmtId="10" fontId="77" fillId="41" borderId="76" xfId="0" applyNumberFormat="1" applyFont="1" applyFill="1" applyBorder="1"/>
    <xf numFmtId="10" fontId="77" fillId="41" borderId="80" xfId="0" applyNumberFormat="1" applyFont="1" applyFill="1" applyBorder="1"/>
    <xf numFmtId="10" fontId="77" fillId="41" borderId="81" xfId="0" applyNumberFormat="1" applyFont="1" applyFill="1" applyBorder="1"/>
    <xf numFmtId="0" fontId="51" fillId="7" borderId="0" xfId="7" applyFill="1" applyAlignment="1">
      <alignment horizontal="left" vertical="top" wrapText="1"/>
    </xf>
    <xf numFmtId="0" fontId="49" fillId="7" borderId="0" xfId="2" applyFont="1" applyFill="1" applyAlignment="1">
      <alignment horizontal="left" vertical="top" wrapText="1"/>
    </xf>
    <xf numFmtId="0" fontId="42" fillId="7" borderId="0" xfId="2" applyFont="1" applyFill="1" applyAlignment="1">
      <alignment horizontal="left" vertical="top" wrapText="1"/>
    </xf>
    <xf numFmtId="0" fontId="19" fillId="8" borderId="71" xfId="2" applyFont="1" applyFill="1" applyBorder="1" applyAlignment="1">
      <alignment horizontal="center"/>
    </xf>
    <xf numFmtId="0" fontId="14" fillId="7" borderId="0" xfId="2" applyFont="1" applyFill="1" applyAlignment="1">
      <alignment horizontal="left" vertical="top" wrapText="1"/>
    </xf>
    <xf numFmtId="0" fontId="19" fillId="8" borderId="77" xfId="2" applyFont="1" applyFill="1" applyBorder="1" applyAlignment="1">
      <alignment horizontal="center"/>
    </xf>
    <xf numFmtId="0" fontId="53" fillId="7" borderId="0" xfId="2" applyFont="1" applyFill="1" applyAlignment="1">
      <alignment horizontal="left" vertical="top" wrapText="1"/>
    </xf>
    <xf numFmtId="0" fontId="53" fillId="7" borderId="0" xfId="2" applyFont="1" applyFill="1" applyAlignment="1">
      <alignment horizontal="left" vertical="top"/>
    </xf>
    <xf numFmtId="0" fontId="19" fillId="8" borderId="0" xfId="2" applyFont="1" applyFill="1" applyAlignment="1">
      <alignment horizontal="center"/>
    </xf>
    <xf numFmtId="0" fontId="61" fillId="29" borderId="0" xfId="0" applyFont="1" applyFill="1" applyAlignment="1">
      <alignment horizontal="center"/>
    </xf>
    <xf numFmtId="0" fontId="35" fillId="30" borderId="0" xfId="0" applyFont="1" applyFill="1" applyAlignment="1">
      <alignment horizontal="center"/>
    </xf>
    <xf numFmtId="0" fontId="36" fillId="0" borderId="0" xfId="0" applyFont="1" applyAlignment="1">
      <alignment horizontal="center"/>
    </xf>
    <xf numFmtId="2" fontId="36" fillId="0" borderId="0" xfId="0" applyNumberFormat="1" applyFont="1" applyAlignment="1">
      <alignment horizontal="center"/>
    </xf>
    <xf numFmtId="0" fontId="1" fillId="0" borderId="0" xfId="0" applyFont="1" applyAlignment="1">
      <alignment horizontal="center"/>
    </xf>
    <xf numFmtId="0" fontId="27" fillId="0" borderId="0" xfId="0" applyFont="1" applyAlignment="1">
      <alignment horizontal="center"/>
    </xf>
    <xf numFmtId="0" fontId="36" fillId="0" borderId="82" xfId="0" applyFont="1" applyBorder="1" applyAlignment="1">
      <alignment horizontal="center"/>
    </xf>
    <xf numFmtId="0" fontId="1" fillId="30" borderId="0" xfId="0" applyFont="1" applyFill="1" applyAlignment="1">
      <alignment horizontal="center"/>
    </xf>
    <xf numFmtId="0" fontId="63" fillId="29" borderId="0" xfId="0" applyFont="1" applyFill="1" applyAlignment="1">
      <alignment horizontal="center"/>
    </xf>
    <xf numFmtId="0" fontId="61" fillId="29" borderId="82" xfId="0" applyFont="1" applyFill="1" applyBorder="1" applyAlignment="1">
      <alignment horizontal="center"/>
    </xf>
    <xf numFmtId="0" fontId="61" fillId="29" borderId="84" xfId="0" applyFont="1" applyFill="1" applyBorder="1" applyAlignment="1">
      <alignment horizontal="center"/>
    </xf>
    <xf numFmtId="0" fontId="27" fillId="30" borderId="3" xfId="0" applyFont="1" applyFill="1" applyBorder="1" applyAlignment="1">
      <alignment horizontal="center"/>
    </xf>
    <xf numFmtId="0" fontId="27" fillId="30" borderId="31" xfId="0" applyFont="1" applyFill="1" applyBorder="1" applyAlignment="1">
      <alignment horizontal="center"/>
    </xf>
    <xf numFmtId="0" fontId="27" fillId="30" borderId="85" xfId="0" applyFont="1" applyFill="1" applyBorder="1" applyAlignment="1">
      <alignment horizontal="center"/>
    </xf>
    <xf numFmtId="0" fontId="27" fillId="30" borderId="82" xfId="0" applyFont="1" applyFill="1" applyBorder="1" applyAlignment="1">
      <alignment horizontal="center"/>
    </xf>
    <xf numFmtId="0" fontId="67" fillId="0" borderId="0" xfId="0" applyFont="1" applyAlignment="1">
      <alignment horizontal="center" vertical="center" wrapText="1"/>
    </xf>
    <xf numFmtId="0" fontId="67" fillId="0" borderId="1" xfId="0" applyFont="1" applyBorder="1" applyAlignment="1">
      <alignment horizontal="center" vertical="center" wrapText="1"/>
    </xf>
    <xf numFmtId="169" fontId="67" fillId="0" borderId="0" xfId="0" applyNumberFormat="1" applyFont="1" applyAlignment="1">
      <alignment horizontal="center"/>
    </xf>
    <xf numFmtId="169" fontId="67" fillId="0" borderId="1" xfId="0" applyNumberFormat="1" applyFont="1" applyBorder="1" applyAlignment="1">
      <alignment horizontal="center"/>
    </xf>
    <xf numFmtId="4" fontId="1" fillId="30" borderId="85" xfId="0" applyNumberFormat="1" applyFont="1" applyFill="1" applyBorder="1" applyAlignment="1">
      <alignment horizontal="center"/>
    </xf>
    <xf numFmtId="4" fontId="1" fillId="30" borderId="82" xfId="0" applyNumberFormat="1" applyFont="1" applyFill="1" applyBorder="1" applyAlignment="1">
      <alignment horizontal="center"/>
    </xf>
    <xf numFmtId="4" fontId="1" fillId="30" borderId="88" xfId="0" applyNumberFormat="1" applyFont="1" applyFill="1" applyBorder="1" applyAlignment="1">
      <alignment horizontal="center"/>
    </xf>
    <xf numFmtId="0" fontId="61" fillId="29" borderId="83" xfId="0" applyFont="1" applyFill="1" applyBorder="1" applyAlignment="1">
      <alignment horizontal="center"/>
    </xf>
    <xf numFmtId="0" fontId="1" fillId="30" borderId="88" xfId="0" applyFont="1" applyFill="1" applyBorder="1" applyAlignment="1">
      <alignment horizontal="center"/>
    </xf>
    <xf numFmtId="0" fontId="1" fillId="30" borderId="85" xfId="0" applyFont="1" applyFill="1" applyBorder="1" applyAlignment="1">
      <alignment horizontal="center"/>
    </xf>
    <xf numFmtId="4" fontId="67" fillId="0" borderId="0" xfId="0" applyNumberFormat="1" applyFont="1" applyAlignment="1">
      <alignment horizontal="center" vertical="center" wrapText="1"/>
    </xf>
    <xf numFmtId="4" fontId="67" fillId="0" borderId="1" xfId="0" applyNumberFormat="1" applyFont="1" applyBorder="1" applyAlignment="1">
      <alignment horizontal="center" vertical="center" wrapText="1"/>
    </xf>
    <xf numFmtId="0" fontId="1" fillId="30" borderId="82" xfId="0" applyFont="1" applyFill="1" applyBorder="1" applyAlignment="1">
      <alignment horizontal="center"/>
    </xf>
    <xf numFmtId="0" fontId="0" fillId="0" borderId="0" xfId="0" applyAlignment="1">
      <alignment horizontal="center" vertical="center" wrapText="1"/>
    </xf>
    <xf numFmtId="0" fontId="0" fillId="0" borderId="1" xfId="0" applyBorder="1" applyAlignment="1">
      <alignment horizontal="center" vertical="center" wrapText="1"/>
    </xf>
    <xf numFmtId="0" fontId="36" fillId="30" borderId="88" xfId="0" applyFont="1" applyFill="1" applyBorder="1" applyAlignment="1">
      <alignment horizontal="center"/>
    </xf>
    <xf numFmtId="0" fontId="1" fillId="30" borderId="2" xfId="0" applyFont="1" applyFill="1" applyBorder="1" applyAlignment="1">
      <alignment horizontal="center"/>
    </xf>
    <xf numFmtId="0" fontId="61" fillId="29" borderId="88" xfId="0" applyFont="1" applyFill="1" applyBorder="1" applyAlignment="1">
      <alignment horizontal="center"/>
    </xf>
    <xf numFmtId="0" fontId="1" fillId="0" borderId="82" xfId="0" applyFont="1" applyBorder="1" applyAlignment="1">
      <alignment horizontal="center"/>
    </xf>
    <xf numFmtId="0" fontId="1" fillId="0" borderId="90" xfId="0" applyFont="1" applyBorder="1" applyAlignment="1">
      <alignment horizontal="center"/>
    </xf>
    <xf numFmtId="0" fontId="1" fillId="0" borderId="2" xfId="0" applyFont="1" applyBorder="1" applyAlignment="1">
      <alignment horizontal="center"/>
    </xf>
    <xf numFmtId="0" fontId="1" fillId="0" borderId="84" xfId="0" applyFont="1" applyBorder="1" applyAlignment="1">
      <alignment horizontal="center"/>
    </xf>
    <xf numFmtId="0" fontId="1" fillId="0" borderId="88" xfId="0" applyFont="1" applyBorder="1" applyAlignment="1">
      <alignment horizontal="center"/>
    </xf>
    <xf numFmtId="0" fontId="1" fillId="0" borderId="85" xfId="0" applyFont="1" applyBorder="1" applyAlignment="1">
      <alignment horizontal="center"/>
    </xf>
    <xf numFmtId="0" fontId="61" fillId="29" borderId="90" xfId="0" applyFont="1" applyFill="1" applyBorder="1" applyAlignment="1">
      <alignment horizontal="center"/>
    </xf>
    <xf numFmtId="0" fontId="61" fillId="29" borderId="2" xfId="0" applyFont="1" applyFill="1" applyBorder="1" applyAlignment="1">
      <alignment horizontal="center"/>
    </xf>
    <xf numFmtId="0" fontId="61" fillId="29" borderId="1" xfId="0" applyFont="1" applyFill="1" applyBorder="1" applyAlignment="1">
      <alignment horizontal="center"/>
    </xf>
    <xf numFmtId="0" fontId="61" fillId="29" borderId="85" xfId="0" applyFont="1" applyFill="1" applyBorder="1" applyAlignment="1">
      <alignment horizontal="center"/>
    </xf>
    <xf numFmtId="0" fontId="67" fillId="0" borderId="0" xfId="0" applyFont="1" applyAlignment="1">
      <alignment horizontal="center"/>
    </xf>
    <xf numFmtId="0" fontId="61" fillId="29" borderId="89" xfId="0" applyFont="1" applyFill="1" applyBorder="1" applyAlignment="1">
      <alignment horizontal="center"/>
    </xf>
    <xf numFmtId="0" fontId="1" fillId="37" borderId="91" xfId="0" applyFont="1" applyFill="1" applyBorder="1" applyAlignment="1">
      <alignment horizontal="center"/>
    </xf>
    <xf numFmtId="0" fontId="1" fillId="37" borderId="86" xfId="0" applyFont="1" applyFill="1" applyBorder="1" applyAlignment="1">
      <alignment horizontal="center"/>
    </xf>
    <xf numFmtId="0" fontId="1" fillId="37" borderId="87" xfId="0" applyFont="1" applyFill="1" applyBorder="1" applyAlignment="1">
      <alignment horizontal="center"/>
    </xf>
    <xf numFmtId="0" fontId="0" fillId="0" borderId="0" xfId="0" applyAlignment="1">
      <alignment horizontal="center"/>
    </xf>
    <xf numFmtId="0" fontId="0" fillId="0" borderId="99" xfId="0" applyBorder="1" applyAlignment="1">
      <alignment horizontal="center"/>
    </xf>
    <xf numFmtId="0" fontId="0" fillId="0" borderId="100" xfId="0" applyBorder="1" applyAlignment="1">
      <alignment horizontal="center"/>
    </xf>
    <xf numFmtId="0" fontId="0" fillId="0" borderId="101" xfId="0" applyBorder="1" applyAlignment="1">
      <alignment horizontal="center"/>
    </xf>
    <xf numFmtId="0" fontId="0" fillId="0" borderId="32" xfId="0" applyBorder="1" applyAlignment="1">
      <alignment horizontal="center"/>
    </xf>
    <xf numFmtId="0" fontId="24" fillId="8" borderId="32" xfId="0" applyFont="1" applyFill="1" applyBorder="1" applyAlignment="1">
      <alignment horizontal="center"/>
    </xf>
    <xf numFmtId="0" fontId="72" fillId="35" borderId="0" xfId="0" applyFont="1" applyFill="1" applyAlignment="1">
      <alignment horizontal="center" wrapText="1"/>
    </xf>
    <xf numFmtId="0" fontId="27" fillId="0" borderId="0" xfId="0" applyFont="1" applyAlignment="1">
      <alignment wrapText="1"/>
    </xf>
    <xf numFmtId="0" fontId="71" fillId="34" borderId="0" xfId="10" applyBorder="1" applyAlignment="1">
      <alignment horizontal="center" wrapText="1"/>
    </xf>
    <xf numFmtId="0" fontId="9" fillId="6" borderId="20" xfId="0" applyFont="1" applyFill="1" applyBorder="1" applyAlignment="1">
      <alignment readingOrder="1"/>
    </xf>
    <xf numFmtId="0" fontId="9" fillId="6" borderId="21" xfId="0" applyFont="1" applyFill="1" applyBorder="1" applyAlignment="1">
      <alignment readingOrder="1"/>
    </xf>
    <xf numFmtId="0" fontId="9" fillId="6" borderId="22" xfId="0" applyFont="1" applyFill="1" applyBorder="1" applyAlignment="1">
      <alignment readingOrder="1"/>
    </xf>
    <xf numFmtId="0" fontId="2" fillId="2" borderId="15" xfId="0" applyFont="1" applyFill="1" applyBorder="1" applyAlignment="1">
      <alignment wrapText="1" readingOrder="1"/>
    </xf>
    <xf numFmtId="0" fontId="2" fillId="2" borderId="16" xfId="0" applyFont="1" applyFill="1" applyBorder="1" applyAlignment="1">
      <alignment wrapText="1" readingOrder="1"/>
    </xf>
    <xf numFmtId="0" fontId="2" fillId="2" borderId="24" xfId="0" applyFont="1" applyFill="1" applyBorder="1" applyAlignment="1">
      <alignment wrapText="1" readingOrder="1"/>
    </xf>
    <xf numFmtId="0" fontId="2" fillId="2" borderId="25" xfId="0" applyFont="1" applyFill="1" applyBorder="1" applyAlignment="1">
      <alignment wrapText="1" readingOrder="1"/>
    </xf>
    <xf numFmtId="0" fontId="2" fillId="2" borderId="0" xfId="0" applyFont="1" applyFill="1" applyAlignment="1">
      <alignment wrapText="1" readingOrder="1"/>
    </xf>
    <xf numFmtId="0" fontId="2" fillId="2" borderId="26" xfId="0" applyFont="1" applyFill="1" applyBorder="1" applyAlignment="1">
      <alignment wrapText="1" readingOrder="1"/>
    </xf>
    <xf numFmtId="0" fontId="2" fillId="2" borderId="27" xfId="0" applyFont="1" applyFill="1" applyBorder="1" applyAlignment="1">
      <alignment wrapText="1" readingOrder="1"/>
    </xf>
    <xf numFmtId="0" fontId="2" fillId="2" borderId="28" xfId="0" applyFont="1" applyFill="1" applyBorder="1" applyAlignment="1">
      <alignment wrapText="1" readingOrder="1"/>
    </xf>
    <xf numFmtId="0" fontId="2" fillId="2" borderId="29" xfId="0" applyFont="1" applyFill="1" applyBorder="1" applyAlignment="1">
      <alignment wrapText="1" readingOrder="1"/>
    </xf>
    <xf numFmtId="0" fontId="2" fillId="2" borderId="17" xfId="0" applyFont="1" applyFill="1" applyBorder="1" applyAlignment="1">
      <alignment readingOrder="1"/>
    </xf>
    <xf numFmtId="0" fontId="2" fillId="2" borderId="18" xfId="0" applyFont="1" applyFill="1" applyBorder="1" applyAlignment="1">
      <alignment readingOrder="1"/>
    </xf>
    <xf numFmtId="0" fontId="2" fillId="2" borderId="19" xfId="0" applyFont="1" applyFill="1" applyBorder="1" applyAlignment="1">
      <alignment readingOrder="1"/>
    </xf>
    <xf numFmtId="0" fontId="9" fillId="6" borderId="17" xfId="0" applyFont="1" applyFill="1" applyBorder="1" applyAlignment="1">
      <alignment readingOrder="1"/>
    </xf>
    <xf numFmtId="0" fontId="9" fillId="6" borderId="18" xfId="0" applyFont="1" applyFill="1" applyBorder="1" applyAlignment="1">
      <alignment readingOrder="1"/>
    </xf>
    <xf numFmtId="0" fontId="9" fillId="6" borderId="19" xfId="0" applyFont="1" applyFill="1" applyBorder="1" applyAlignment="1">
      <alignment readingOrder="1"/>
    </xf>
    <xf numFmtId="0" fontId="0" fillId="0" borderId="0" xfId="0" applyAlignment="1">
      <alignment horizontal="center" wrapText="1"/>
    </xf>
    <xf numFmtId="0" fontId="14" fillId="7" borderId="0" xfId="2" applyFont="1" applyFill="1" applyAlignment="1"/>
    <xf numFmtId="0" fontId="49" fillId="7" borderId="0" xfId="2" applyFont="1" applyFill="1" applyAlignment="1"/>
    <xf numFmtId="0" fontId="9" fillId="39" borderId="0" xfId="0" applyFont="1" applyFill="1" applyAlignment="1"/>
    <xf numFmtId="10" fontId="23" fillId="0" borderId="86" xfId="0" applyNumberFormat="1" applyFont="1" applyBorder="1" applyAlignment="1"/>
    <xf numFmtId="0" fontId="23" fillId="0" borderId="86" xfId="0" applyFont="1" applyBorder="1" applyAlignment="1"/>
    <xf numFmtId="0" fontId="23" fillId="0" borderId="87" xfId="0" applyFont="1" applyBorder="1" applyAlignment="1"/>
    <xf numFmtId="10" fontId="23" fillId="0" borderId="0" xfId="0" applyNumberFormat="1" applyFont="1" applyAlignment="1"/>
    <xf numFmtId="0" fontId="23" fillId="0" borderId="0" xfId="0" applyFont="1" applyAlignment="1"/>
    <xf numFmtId="0" fontId="23" fillId="0" borderId="1" xfId="0" applyFont="1" applyBorder="1" applyAlignment="1"/>
    <xf numFmtId="9" fontId="23" fillId="0" borderId="0" xfId="0" applyNumberFormat="1" applyFont="1" applyAlignment="1"/>
    <xf numFmtId="10" fontId="23" fillId="0" borderId="2" xfId="0" applyNumberFormat="1" applyFont="1" applyBorder="1" applyAlignment="1"/>
    <xf numFmtId="0" fontId="23" fillId="0" borderId="2" xfId="0" applyFont="1" applyBorder="1" applyAlignment="1"/>
    <xf numFmtId="0" fontId="23" fillId="0" borderId="3" xfId="0" applyFont="1" applyBorder="1" applyAlignment="1"/>
    <xf numFmtId="0" fontId="23" fillId="0" borderId="84" xfId="0" applyFont="1" applyBorder="1" applyAlignment="1"/>
    <xf numFmtId="0" fontId="23" fillId="0" borderId="88" xfId="0" applyFont="1" applyBorder="1" applyAlignment="1"/>
    <xf numFmtId="0" fontId="23" fillId="0" borderId="99" xfId="0" applyFont="1" applyBorder="1" applyAlignment="1"/>
    <xf numFmtId="0" fontId="23" fillId="0" borderId="100" xfId="0" applyFont="1" applyBorder="1" applyAlignment="1"/>
    <xf numFmtId="0" fontId="23" fillId="0" borderId="103" xfId="0" applyFont="1" applyBorder="1" applyAlignment="1"/>
  </cellXfs>
  <cellStyles count="14">
    <cellStyle name="Accent1" xfId="12" builtinId="29"/>
    <cellStyle name="Accent3" xfId="10" builtinId="37"/>
    <cellStyle name="Comma" xfId="3" builtinId="3"/>
    <cellStyle name="Currency" xfId="4" builtinId="4"/>
    <cellStyle name="Good" xfId="13" builtinId="26"/>
    <cellStyle name="Heading 1" xfId="11" builtinId="16"/>
    <cellStyle name="Hyperlink 2" xfId="7" xr:uid="{4CDD7DD3-6BFB-446C-AFA4-FC615E388DBE}"/>
    <cellStyle name="Input" xfId="5" builtinId="20"/>
    <cellStyle name="Neutral" xfId="9" builtinId="28"/>
    <cellStyle name="Normal" xfId="0" builtinId="0"/>
    <cellStyle name="Normal 2" xfId="2" xr:uid="{869DF465-4619-4FAA-B41F-6F0D60C35DD1}"/>
    <cellStyle name="Output" xfId="6" builtinId="21"/>
    <cellStyle name="Percent" xfId="1" builtinId="5"/>
    <cellStyle name="Percent 2" xfId="8" xr:uid="{813C5665-FF8C-4EC6-8003-D0D859BB5379}"/>
  </cellStyles>
  <dxfs count="90">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92D05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ill>
        <patternFill>
          <bgColor theme="0" tint="-4.9989318521683403E-2"/>
        </patternFill>
      </fill>
    </dxf>
    <dxf>
      <fill>
        <patternFill>
          <bgColor theme="0" tint="-4.9989318521683403E-2"/>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50" Type="http://schemas.microsoft.com/office/2017/06/relationships/rdRichValueStructure" Target="richData/rdrichvaluestructure.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heetMetadata" Target="metadata.xml"/><Relationship Id="rId8" Type="http://schemas.openxmlformats.org/officeDocument/2006/relationships/worksheet" Target="worksheets/sheet8.xml"/><Relationship Id="rId51" Type="http://schemas.microsoft.com/office/2017/06/relationships/rdRichValueTypes" Target="richData/rdRichValueTyp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'Program Cost Differences'!$C$52</c:f>
              <c:strCache>
                <c:ptCount val="1"/>
                <c:pt idx="0">
                  <c:v>SSP1</c:v>
                </c:pt>
              </c:strCache>
            </c:strRef>
          </c:tx>
          <c:spPr>
            <a:ln w="28575" cap="rnd">
              <a:solidFill>
                <a:schemeClr val="accent2"/>
              </a:solidFill>
              <a:round/>
            </a:ln>
            <a:effectLst/>
          </c:spPr>
          <c:marker>
            <c:symbol val="none"/>
          </c:marker>
          <c:cat>
            <c:numRef>
              <c:f>'Program Cost Differences'!$B$53:$B$70</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'Program Cost Differences'!$C$53:$C$70</c:f>
              <c:numCache>
                <c:formatCode>General</c:formatCode>
                <c:ptCount val="18"/>
                <c:pt idx="0">
                  <c:v>0</c:v>
                </c:pt>
                <c:pt idx="1">
                  <c:v>1.3054898631476525E-3</c:v>
                </c:pt>
                <c:pt idx="2">
                  <c:v>2.5054958146046458E-3</c:v>
                </c:pt>
                <c:pt idx="3">
                  <c:v>3.584391828180765E-3</c:v>
                </c:pt>
                <c:pt idx="4">
                  <c:v>4.5463472968641479E-3</c:v>
                </c:pt>
                <c:pt idx="5">
                  <c:v>5.4142158768114342E-3</c:v>
                </c:pt>
                <c:pt idx="6">
                  <c:v>6.1724994337382872E-3</c:v>
                </c:pt>
                <c:pt idx="7">
                  <c:v>6.8433027770773269E-3</c:v>
                </c:pt>
                <c:pt idx="8">
                  <c:v>7.4112394045248824E-3</c:v>
                </c:pt>
                <c:pt idx="9">
                  <c:v>7.8796453983104413E-3</c:v>
                </c:pt>
                <c:pt idx="10">
                  <c:v>8.2695975293065882E-3</c:v>
                </c:pt>
                <c:pt idx="11">
                  <c:v>9.2725227510083615E-3</c:v>
                </c:pt>
                <c:pt idx="12">
                  <c:v>9.3489629739634036E-3</c:v>
                </c:pt>
                <c:pt idx="13">
                  <c:v>9.327252764686678E-3</c:v>
                </c:pt>
                <c:pt idx="14">
                  <c:v>9.2227029328626146E-3</c:v>
                </c:pt>
                <c:pt idx="15">
                  <c:v>9.0353230406673788E-3</c:v>
                </c:pt>
                <c:pt idx="16">
                  <c:v>8.7610990772067389E-3</c:v>
                </c:pt>
                <c:pt idx="17">
                  <c:v>8.4115627274372936E-3</c:v>
                </c:pt>
              </c:numCache>
            </c:numRef>
          </c:val>
          <c:smooth val="0"/>
          <c:extLst>
            <c:ext xmlns:c16="http://schemas.microsoft.com/office/drawing/2014/chart" uri="{C3380CC4-5D6E-409C-BE32-E72D297353CC}">
              <c16:uniqueId val="{00000001-F76E-9743-9863-6406CFB175D6}"/>
            </c:ext>
          </c:extLst>
        </c:ser>
        <c:ser>
          <c:idx val="2"/>
          <c:order val="1"/>
          <c:tx>
            <c:strRef>
              <c:f>'Program Cost Differences'!$D$52</c:f>
              <c:strCache>
                <c:ptCount val="1"/>
                <c:pt idx="0">
                  <c:v>SSP2</c:v>
                </c:pt>
              </c:strCache>
            </c:strRef>
          </c:tx>
          <c:spPr>
            <a:ln w="28575" cap="rnd">
              <a:solidFill>
                <a:schemeClr val="accent3"/>
              </a:solidFill>
              <a:round/>
            </a:ln>
            <a:effectLst/>
          </c:spPr>
          <c:marker>
            <c:symbol val="none"/>
          </c:marker>
          <c:cat>
            <c:numRef>
              <c:f>'Program Cost Differences'!$B$53:$B$70</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'Program Cost Differences'!$D$53:$D$70</c:f>
              <c:numCache>
                <c:formatCode>General</c:formatCode>
                <c:ptCount val="18"/>
                <c:pt idx="0">
                  <c:v>0</c:v>
                </c:pt>
                <c:pt idx="1">
                  <c:v>1.4556890351688284E-3</c:v>
                </c:pt>
                <c:pt idx="2">
                  <c:v>2.7442500295202566E-3</c:v>
                </c:pt>
                <c:pt idx="3">
                  <c:v>3.8914546373216919E-3</c:v>
                </c:pt>
                <c:pt idx="4">
                  <c:v>4.9217532282001594E-3</c:v>
                </c:pt>
                <c:pt idx="5">
                  <c:v>5.8021344889360458E-3</c:v>
                </c:pt>
                <c:pt idx="6">
                  <c:v>6.5382312222509054E-3</c:v>
                </c:pt>
                <c:pt idx="7">
                  <c:v>7.171968425480511E-3</c:v>
                </c:pt>
                <c:pt idx="8">
                  <c:v>7.6709718035484781E-3</c:v>
                </c:pt>
                <c:pt idx="9">
                  <c:v>8.0579602181338472E-3</c:v>
                </c:pt>
                <c:pt idx="10">
                  <c:v>8.3545881543179643E-3</c:v>
                </c:pt>
                <c:pt idx="11">
                  <c:v>9.4676387335846466E-3</c:v>
                </c:pt>
                <c:pt idx="12">
                  <c:v>9.6628527243561146E-3</c:v>
                </c:pt>
                <c:pt idx="13">
                  <c:v>9.7671465749340491E-3</c:v>
                </c:pt>
                <c:pt idx="14">
                  <c:v>9.8062310564657664E-3</c:v>
                </c:pt>
                <c:pt idx="15">
                  <c:v>9.7818444911795463E-3</c:v>
                </c:pt>
                <c:pt idx="16">
                  <c:v>9.7028769851924095E-3</c:v>
                </c:pt>
                <c:pt idx="17">
                  <c:v>9.5919242584556908E-3</c:v>
                </c:pt>
              </c:numCache>
            </c:numRef>
          </c:val>
          <c:smooth val="0"/>
          <c:extLst>
            <c:ext xmlns:c16="http://schemas.microsoft.com/office/drawing/2014/chart" uri="{C3380CC4-5D6E-409C-BE32-E72D297353CC}">
              <c16:uniqueId val="{00000002-F76E-9743-9863-6406CFB175D6}"/>
            </c:ext>
          </c:extLst>
        </c:ser>
        <c:ser>
          <c:idx val="3"/>
          <c:order val="2"/>
          <c:tx>
            <c:strRef>
              <c:f>'Program Cost Differences'!$E$52</c:f>
              <c:strCache>
                <c:ptCount val="1"/>
                <c:pt idx="0">
                  <c:v>SSP3</c:v>
                </c:pt>
              </c:strCache>
            </c:strRef>
          </c:tx>
          <c:spPr>
            <a:ln w="28575" cap="rnd">
              <a:solidFill>
                <a:schemeClr val="accent4"/>
              </a:solidFill>
              <a:round/>
            </a:ln>
            <a:effectLst/>
          </c:spPr>
          <c:marker>
            <c:symbol val="none"/>
          </c:marker>
          <c:cat>
            <c:numRef>
              <c:f>'Program Cost Differences'!$B$53:$B$70</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'Program Cost Differences'!$E$53:$E$70</c:f>
              <c:numCache>
                <c:formatCode>General</c:formatCode>
                <c:ptCount val="18"/>
                <c:pt idx="0">
                  <c:v>0</c:v>
                </c:pt>
                <c:pt idx="1">
                  <c:v>1.8261295500896994E-3</c:v>
                </c:pt>
                <c:pt idx="2">
                  <c:v>3.3942466115643756E-3</c:v>
                </c:pt>
                <c:pt idx="3">
                  <c:v>4.7359532697924004E-3</c:v>
                </c:pt>
                <c:pt idx="4">
                  <c:v>5.8620914756962288E-3</c:v>
                </c:pt>
                <c:pt idx="5">
                  <c:v>6.7643577724127175E-3</c:v>
                </c:pt>
                <c:pt idx="6">
                  <c:v>7.4530857332960653E-3</c:v>
                </c:pt>
                <c:pt idx="7">
                  <c:v>7.9737562576443592E-3</c:v>
                </c:pt>
                <c:pt idx="8">
                  <c:v>8.298613710078789E-3</c:v>
                </c:pt>
                <c:pt idx="9">
                  <c:v>8.4362362211727153E-3</c:v>
                </c:pt>
                <c:pt idx="10">
                  <c:v>8.4289763439889306E-3</c:v>
                </c:pt>
                <c:pt idx="11">
                  <c:v>1.7465124478386884E-2</c:v>
                </c:pt>
                <c:pt idx="12">
                  <c:v>1.8071525572307311E-2</c:v>
                </c:pt>
                <c:pt idx="13">
                  <c:v>1.8563585441006298E-2</c:v>
                </c:pt>
                <c:pt idx="14">
                  <c:v>1.8980962688737224E-2</c:v>
                </c:pt>
                <c:pt idx="15">
                  <c:v>1.9347565675055443E-2</c:v>
                </c:pt>
                <c:pt idx="16">
                  <c:v>1.9689350653183817E-2</c:v>
                </c:pt>
                <c:pt idx="17">
                  <c:v>2.0008569942765637E-2</c:v>
                </c:pt>
              </c:numCache>
            </c:numRef>
          </c:val>
          <c:smooth val="0"/>
          <c:extLst>
            <c:ext xmlns:c16="http://schemas.microsoft.com/office/drawing/2014/chart" uri="{C3380CC4-5D6E-409C-BE32-E72D297353CC}">
              <c16:uniqueId val="{00000003-F76E-9743-9863-6406CFB175D6}"/>
            </c:ext>
          </c:extLst>
        </c:ser>
        <c:ser>
          <c:idx val="4"/>
          <c:order val="3"/>
          <c:tx>
            <c:strRef>
              <c:f>'Program Cost Differences'!$F$52</c:f>
              <c:strCache>
                <c:ptCount val="1"/>
                <c:pt idx="0">
                  <c:v>SSP5</c:v>
                </c:pt>
              </c:strCache>
            </c:strRef>
          </c:tx>
          <c:spPr>
            <a:ln w="28575" cap="rnd">
              <a:solidFill>
                <a:schemeClr val="accent5"/>
              </a:solidFill>
              <a:round/>
            </a:ln>
            <a:effectLst/>
          </c:spPr>
          <c:marker>
            <c:symbol val="none"/>
          </c:marker>
          <c:cat>
            <c:numRef>
              <c:f>'Program Cost Differences'!$B$53:$B$70</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'Program Cost Differences'!$F$53:$F$70</c:f>
              <c:numCache>
                <c:formatCode>General</c:formatCode>
                <c:ptCount val="18"/>
                <c:pt idx="0">
                  <c:v>0</c:v>
                </c:pt>
                <c:pt idx="1">
                  <c:v>2.0873440409499267E-3</c:v>
                </c:pt>
                <c:pt idx="2">
                  <c:v>3.862351198021995E-3</c:v>
                </c:pt>
                <c:pt idx="3">
                  <c:v>5.3230761661449419E-3</c:v>
                </c:pt>
                <c:pt idx="4">
                  <c:v>6.504815762393798E-3</c:v>
                </c:pt>
                <c:pt idx="5">
                  <c:v>7.4038439894449021E-3</c:v>
                </c:pt>
                <c:pt idx="6">
                  <c:v>8.05254001142491E-3</c:v>
                </c:pt>
                <c:pt idx="7">
                  <c:v>8.4457622860254333E-3</c:v>
                </c:pt>
                <c:pt idx="8">
                  <c:v>8.6134006828655508E-3</c:v>
                </c:pt>
                <c:pt idx="9">
                  <c:v>8.5491872758535412E-3</c:v>
                </c:pt>
                <c:pt idx="10">
                  <c:v>8.2808727873086106E-3</c:v>
                </c:pt>
                <c:pt idx="11">
                  <c:v>1.6823434385449049E-2</c:v>
                </c:pt>
                <c:pt idx="12">
                  <c:v>1.7000651209298747E-2</c:v>
                </c:pt>
                <c:pt idx="13">
                  <c:v>1.701038580840647E-2</c:v>
                </c:pt>
                <c:pt idx="14">
                  <c:v>1.6882929714925481E-2</c:v>
                </c:pt>
                <c:pt idx="15">
                  <c:v>1.6621990840217586E-2</c:v>
                </c:pt>
                <c:pt idx="16">
                  <c:v>1.6236147561375817E-2</c:v>
                </c:pt>
                <c:pt idx="17">
                  <c:v>1.5742331474274202E-2</c:v>
                </c:pt>
              </c:numCache>
            </c:numRef>
          </c:val>
          <c:smooth val="0"/>
          <c:extLst>
            <c:ext xmlns:c16="http://schemas.microsoft.com/office/drawing/2014/chart" uri="{C3380CC4-5D6E-409C-BE32-E72D297353CC}">
              <c16:uniqueId val="{00000004-F76E-9743-9863-6406CFB175D6}"/>
            </c:ext>
          </c:extLst>
        </c:ser>
        <c:dLbls>
          <c:showLegendKey val="0"/>
          <c:showVal val="0"/>
          <c:showCatName val="0"/>
          <c:showSerName val="0"/>
          <c:showPercent val="0"/>
          <c:showBubbleSize val="0"/>
        </c:dLbls>
        <c:smooth val="0"/>
        <c:axId val="1906340912"/>
        <c:axId val="520512751"/>
      </c:lineChart>
      <c:catAx>
        <c:axId val="19063409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0512751"/>
        <c:crosses val="autoZero"/>
        <c:auto val="1"/>
        <c:lblAlgn val="ctr"/>
        <c:lblOffset val="100"/>
        <c:noMultiLvlLbl val="0"/>
      </c:catAx>
      <c:valAx>
        <c:axId val="52051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63409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ltLang="zh-CN"/>
              <a:t>Capital</a:t>
            </a:r>
            <a:r>
              <a:rPr lang="zh-CN" altLang="en-US"/>
              <a:t> </a:t>
            </a:r>
            <a:r>
              <a:rPr lang="en-US" altLang="zh-CN"/>
              <a:t>needs</a:t>
            </a:r>
            <a:r>
              <a:rPr lang="zh-CN" altLang="en-US"/>
              <a:t> </a:t>
            </a:r>
            <a:r>
              <a:rPr lang="en-US" altLang="zh-CN"/>
              <a:t>(($bil))</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0"/>
          <c:tx>
            <c:strRef>
              <c:f>'Program Cost Differences'!$C$77</c:f>
              <c:strCache>
                <c:ptCount val="1"/>
                <c:pt idx="0">
                  <c:v>SSP1</c:v>
                </c:pt>
              </c:strCache>
            </c:strRef>
          </c:tx>
          <c:spPr>
            <a:ln w="28575" cap="rnd">
              <a:solidFill>
                <a:schemeClr val="accent2"/>
              </a:solidFill>
              <a:round/>
            </a:ln>
            <a:effectLst/>
          </c:spPr>
          <c:marker>
            <c:symbol val="none"/>
          </c:marker>
          <c:cat>
            <c:numRef>
              <c:f>'Program Cost Differences'!$B$78:$B$95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'Program Cost Differences'!$C$78:$C$95</c:f>
              <c:numCache>
                <c:formatCode>0.000</c:formatCode>
                <c:ptCount val="18"/>
                <c:pt idx="0">
                  <c:v>1.7044081894208847</c:v>
                </c:pt>
                <c:pt idx="1">
                  <c:v>1.7930525343908934</c:v>
                </c:pt>
                <c:pt idx="2">
                  <c:v>1.8859701714803707</c:v>
                </c:pt>
                <c:pt idx="3">
                  <c:v>1.9834123033141884</c:v>
                </c:pt>
                <c:pt idx="4">
                  <c:v>2.08562561376774</c:v>
                </c:pt>
                <c:pt idx="5">
                  <c:v>2.1928491919502644</c:v>
                </c:pt>
                <c:pt idx="6">
                  <c:v>2.3053677017822571</c:v>
                </c:pt>
                <c:pt idx="7">
                  <c:v>2.4234416800720475</c:v>
                </c:pt>
                <c:pt idx="8">
                  <c:v>2.5473824601101192</c:v>
                </c:pt>
                <c:pt idx="9">
                  <c:v>2.6774971346845486</c:v>
                </c:pt>
                <c:pt idx="10">
                  <c:v>2.8140843808815545</c:v>
                </c:pt>
                <c:pt idx="11">
                  <c:v>2.1719609775959738</c:v>
                </c:pt>
                <c:pt idx="12">
                  <c:v>3.4076523440380391</c:v>
                </c:pt>
                <c:pt idx="13">
                  <c:v>5.0094912437731134</c:v>
                </c:pt>
                <c:pt idx="14">
                  <c:v>7.0217440664403981</c:v>
                </c:pt>
                <c:pt idx="15">
                  <c:v>9.3779401502589401</c:v>
                </c:pt>
                <c:pt idx="16">
                  <c:v>11.970739906676243</c:v>
                </c:pt>
                <c:pt idx="17">
                  <c:v>15.122318207138497</c:v>
                </c:pt>
              </c:numCache>
            </c:numRef>
          </c:val>
          <c:smooth val="0"/>
          <c:extLst>
            <c:ext xmlns:c16="http://schemas.microsoft.com/office/drawing/2014/chart" uri="{C3380CC4-5D6E-409C-BE32-E72D297353CC}">
              <c16:uniqueId val="{00000001-27F7-1A4B-A8B0-63B6108D0C86}"/>
            </c:ext>
          </c:extLst>
        </c:ser>
        <c:ser>
          <c:idx val="2"/>
          <c:order val="1"/>
          <c:tx>
            <c:strRef>
              <c:f>'Program Cost Differences'!$D$77</c:f>
              <c:strCache>
                <c:ptCount val="1"/>
                <c:pt idx="0">
                  <c:v>SSP2</c:v>
                </c:pt>
              </c:strCache>
            </c:strRef>
          </c:tx>
          <c:spPr>
            <a:ln w="28575" cap="rnd">
              <a:solidFill>
                <a:schemeClr val="accent3"/>
              </a:solidFill>
              <a:round/>
            </a:ln>
            <a:effectLst/>
          </c:spPr>
          <c:marker>
            <c:symbol val="none"/>
          </c:marker>
          <c:cat>
            <c:numRef>
              <c:f>'Program Cost Differences'!$B$78:$B$95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'Program Cost Differences'!$D$78:$D$95</c:f>
              <c:numCache>
                <c:formatCode>0.0000</c:formatCode>
                <c:ptCount val="18"/>
                <c:pt idx="0">
                  <c:v>1.7044081894208847</c:v>
                </c:pt>
                <c:pt idx="1">
                  <c:v>1.7979813540838456</c:v>
                </c:pt>
                <c:pt idx="2">
                  <c:v>1.8964503715849275</c:v>
                </c:pt>
                <c:pt idx="3">
                  <c:v>2.0000593738502181</c:v>
                </c:pt>
                <c:pt idx="4">
                  <c:v>2.109063321776897</c:v>
                </c:pt>
                <c:pt idx="5">
                  <c:v>2.2237830420989724</c:v>
                </c:pt>
                <c:pt idx="6">
                  <c:v>2.3445238367004984</c:v>
                </c:pt>
                <c:pt idx="7">
                  <c:v>2.4715670457399521</c:v>
                </c:pt>
                <c:pt idx="8">
                  <c:v>2.6052880749799603</c:v>
                </c:pt>
                <c:pt idx="9">
                  <c:v>2.7460215876316836</c:v>
                </c:pt>
                <c:pt idx="10">
                  <c:v>2.8941166728222241</c:v>
                </c:pt>
                <c:pt idx="11">
                  <c:v>2.4404155578992239</c:v>
                </c:pt>
                <c:pt idx="12">
                  <c:v>4.276390319987927</c:v>
                </c:pt>
                <c:pt idx="13">
                  <c:v>7.0264572320765115</c:v>
                </c:pt>
                <c:pt idx="14">
                  <c:v>10.771263333870559</c:v>
                </c:pt>
                <c:pt idx="15">
                  <c:v>15.589252662886963</c:v>
                </c:pt>
                <c:pt idx="16">
                  <c:v>21.622770557462797</c:v>
                </c:pt>
                <c:pt idx="17">
                  <c:v>29.284635594124243</c:v>
                </c:pt>
              </c:numCache>
            </c:numRef>
          </c:val>
          <c:smooth val="0"/>
          <c:extLst>
            <c:ext xmlns:c16="http://schemas.microsoft.com/office/drawing/2014/chart" uri="{C3380CC4-5D6E-409C-BE32-E72D297353CC}">
              <c16:uniqueId val="{00000002-27F7-1A4B-A8B0-63B6108D0C86}"/>
            </c:ext>
          </c:extLst>
        </c:ser>
        <c:ser>
          <c:idx val="3"/>
          <c:order val="2"/>
          <c:tx>
            <c:strRef>
              <c:f>'Program Cost Differences'!$E$77</c:f>
              <c:strCache>
                <c:ptCount val="1"/>
                <c:pt idx="0">
                  <c:v>SSP3</c:v>
                </c:pt>
              </c:strCache>
            </c:strRef>
          </c:tx>
          <c:spPr>
            <a:ln w="28575" cap="rnd">
              <a:solidFill>
                <a:schemeClr val="accent4"/>
              </a:solidFill>
              <a:round/>
            </a:ln>
            <a:effectLst/>
          </c:spPr>
          <c:marker>
            <c:symbol val="none"/>
          </c:marker>
          <c:cat>
            <c:numRef>
              <c:f>'Program Cost Differences'!$B$78:$B$95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'Program Cost Differences'!$E$78:$E$95</c:f>
              <c:numCache>
                <c:formatCode>0.000</c:formatCode>
                <c:ptCount val="18"/>
                <c:pt idx="0">
                  <c:v>1.7044081894208847</c:v>
                </c:pt>
                <c:pt idx="1">
                  <c:v>1.8052145504391015</c:v>
                </c:pt>
                <c:pt idx="2">
                  <c:v>1.9118209608973944</c:v>
                </c:pt>
                <c:pt idx="3">
                  <c:v>2.0245349764962985</c:v>
                </c:pt>
                <c:pt idx="4">
                  <c:v>2.1436968907822251</c:v>
                </c:pt>
                <c:pt idx="5">
                  <c:v>2.2696854033203517</c:v>
                </c:pt>
                <c:pt idx="6">
                  <c:v>2.4028847354700082</c:v>
                </c:pt>
                <c:pt idx="7">
                  <c:v>2.5436600459406606</c:v>
                </c:pt>
                <c:pt idx="8">
                  <c:v>2.6924788421116035</c:v>
                </c:pt>
                <c:pt idx="9">
                  <c:v>2.8497965874109541</c:v>
                </c:pt>
                <c:pt idx="10">
                  <c:v>3.0160463200909242</c:v>
                </c:pt>
                <c:pt idx="11">
                  <c:v>2.7973796397435593</c:v>
                </c:pt>
                <c:pt idx="12">
                  <c:v>5.3858608183787995</c:v>
                </c:pt>
                <c:pt idx="13">
                  <c:v>10.212245189343028</c:v>
                </c:pt>
                <c:pt idx="14">
                  <c:v>18.899472122760379</c:v>
                </c:pt>
                <c:pt idx="15">
                  <c:v>33.558299628785569</c:v>
                </c:pt>
                <c:pt idx="16">
                  <c:v>57.843014418028275</c:v>
                </c:pt>
                <c:pt idx="17">
                  <c:v>98.278024300943301</c:v>
                </c:pt>
              </c:numCache>
            </c:numRef>
          </c:val>
          <c:smooth val="0"/>
          <c:extLst>
            <c:ext xmlns:c16="http://schemas.microsoft.com/office/drawing/2014/chart" uri="{C3380CC4-5D6E-409C-BE32-E72D297353CC}">
              <c16:uniqueId val="{00000003-27F7-1A4B-A8B0-63B6108D0C86}"/>
            </c:ext>
          </c:extLst>
        </c:ser>
        <c:ser>
          <c:idx val="4"/>
          <c:order val="3"/>
          <c:tx>
            <c:strRef>
              <c:f>'Program Cost Differences'!$F$77</c:f>
              <c:strCache>
                <c:ptCount val="1"/>
                <c:pt idx="0">
                  <c:v>SSP5</c:v>
                </c:pt>
              </c:strCache>
            </c:strRef>
          </c:tx>
          <c:spPr>
            <a:ln w="28575" cap="rnd">
              <a:solidFill>
                <a:schemeClr val="accent5"/>
              </a:solidFill>
              <a:round/>
            </a:ln>
            <a:effectLst/>
          </c:spPr>
          <c:marker>
            <c:symbol val="none"/>
          </c:marker>
          <c:cat>
            <c:numRef>
              <c:f>'Program Cost Differences'!$B$78:$B$95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'Program Cost Differences'!$F$78:$F$95</c:f>
              <c:numCache>
                <c:formatCode>0.000</c:formatCode>
                <c:ptCount val="18"/>
                <c:pt idx="0">
                  <c:v>1.7044081894208847</c:v>
                </c:pt>
                <c:pt idx="1">
                  <c:v>1.8030286970048621</c:v>
                </c:pt>
                <c:pt idx="2">
                  <c:v>1.9071529985242277</c:v>
                </c:pt>
                <c:pt idx="3">
                  <c:v>2.0171365847224725</c:v>
                </c:pt>
                <c:pt idx="4">
                  <c:v>2.133321313667278</c:v>
                </c:pt>
                <c:pt idx="5">
                  <c:v>2.256101677630669</c:v>
                </c:pt>
                <c:pt idx="6">
                  <c:v>2.3858574669366366</c:v>
                </c:pt>
                <c:pt idx="7">
                  <c:v>2.5230277555792529</c:v>
                </c:pt>
                <c:pt idx="8">
                  <c:v>2.668035586158465</c:v>
                </c:pt>
                <c:pt idx="9">
                  <c:v>2.8213705620293417</c:v>
                </c:pt>
                <c:pt idx="10">
                  <c:v>2.9835046876765019</c:v>
                </c:pt>
                <c:pt idx="11">
                  <c:v>3.1367586470093625</c:v>
                </c:pt>
                <c:pt idx="12">
                  <c:v>7.2132167395401909</c:v>
                </c:pt>
                <c:pt idx="13">
                  <c:v>17.37353167825038</c:v>
                </c:pt>
                <c:pt idx="14">
                  <c:v>43.325380537397628</c:v>
                </c:pt>
                <c:pt idx="15">
                  <c:v>108.89435768410191</c:v>
                </c:pt>
                <c:pt idx="16">
                  <c:v>264.9301570148391</c:v>
                </c:pt>
                <c:pt idx="17">
                  <c:v>606.94013185506265</c:v>
                </c:pt>
              </c:numCache>
            </c:numRef>
          </c:val>
          <c:smooth val="0"/>
          <c:extLst>
            <c:ext xmlns:c16="http://schemas.microsoft.com/office/drawing/2014/chart" uri="{C3380CC4-5D6E-409C-BE32-E72D297353CC}">
              <c16:uniqueId val="{00000004-27F7-1A4B-A8B0-63B6108D0C86}"/>
            </c:ext>
          </c:extLst>
        </c:ser>
        <c:dLbls>
          <c:showLegendKey val="0"/>
          <c:showVal val="0"/>
          <c:showCatName val="0"/>
          <c:showSerName val="0"/>
          <c:showPercent val="0"/>
          <c:showBubbleSize val="0"/>
        </c:dLbls>
        <c:smooth val="0"/>
        <c:axId val="1969945984"/>
        <c:axId val="1091313759"/>
      </c:lineChart>
      <c:catAx>
        <c:axId val="1969945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1313759"/>
        <c:crosses val="autoZero"/>
        <c:auto val="1"/>
        <c:lblAlgn val="ctr"/>
        <c:lblOffset val="100"/>
        <c:noMultiLvlLbl val="0"/>
      </c:catAx>
      <c:valAx>
        <c:axId val="1091313759"/>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45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'Program Cost Differences'!$I$77</c:f>
              <c:strCache>
                <c:ptCount val="1"/>
                <c:pt idx="0">
                  <c:v>SSP1</c:v>
                </c:pt>
              </c:strCache>
            </c:strRef>
          </c:tx>
          <c:spPr>
            <a:ln w="28575" cap="rnd">
              <a:solidFill>
                <a:schemeClr val="accent2"/>
              </a:solidFill>
              <a:round/>
            </a:ln>
            <a:effectLst/>
          </c:spPr>
          <c:marker>
            <c:symbol val="none"/>
          </c:marker>
          <c:cat>
            <c:numRef>
              <c:f>'Program Cost Differences'!$H$78:$H$95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'Program Cost Differences'!$I$78:$I$95</c:f>
              <c:numCache>
                <c:formatCode>General</c:formatCode>
                <c:ptCount val="18"/>
                <c:pt idx="0">
                  <c:v>1.3141776844760964E-3</c:v>
                </c:pt>
                <c:pt idx="1">
                  <c:v>1.3128606412768742E-3</c:v>
                </c:pt>
                <c:pt idx="2">
                  <c:v>1.3146487365004534E-3</c:v>
                </c:pt>
                <c:pt idx="3">
                  <c:v>1.3192826288943539E-3</c:v>
                </c:pt>
                <c:pt idx="4">
                  <c:v>1.3265455117631515E-3</c:v>
                </c:pt>
                <c:pt idx="5">
                  <c:v>1.3362523196065455E-3</c:v>
                </c:pt>
                <c:pt idx="6">
                  <c:v>1.3482744360670434E-3</c:v>
                </c:pt>
                <c:pt idx="7">
                  <c:v>1.3624895859541528E-3</c:v>
                </c:pt>
                <c:pt idx="8">
                  <c:v>1.3788212080570671E-3</c:v>
                </c:pt>
                <c:pt idx="9">
                  <c:v>1.3972015265032692E-3</c:v>
                </c:pt>
                <c:pt idx="10">
                  <c:v>1.4175679246936465E-3</c:v>
                </c:pt>
                <c:pt idx="11">
                  <c:v>7.6396136633849975E-4</c:v>
                </c:pt>
                <c:pt idx="12">
                  <c:v>9.1839257705094541E-4</c:v>
                </c:pt>
                <c:pt idx="13">
                  <c:v>1.1038334674864708E-3</c:v>
                </c:pt>
                <c:pt idx="14">
                  <c:v>1.314752665771075E-3</c:v>
                </c:pt>
                <c:pt idx="15">
                  <c:v>1.5486154146370096E-3</c:v>
                </c:pt>
                <c:pt idx="16">
                  <c:v>1.7905008801898025E-3</c:v>
                </c:pt>
                <c:pt idx="17">
                  <c:v>2.0998284629139491E-3</c:v>
                </c:pt>
              </c:numCache>
            </c:numRef>
          </c:val>
          <c:smooth val="0"/>
          <c:extLst>
            <c:ext xmlns:c16="http://schemas.microsoft.com/office/drawing/2014/chart" uri="{C3380CC4-5D6E-409C-BE32-E72D297353CC}">
              <c16:uniqueId val="{00000001-F0E6-1941-B117-31495C984C9B}"/>
            </c:ext>
          </c:extLst>
        </c:ser>
        <c:ser>
          <c:idx val="2"/>
          <c:order val="1"/>
          <c:tx>
            <c:strRef>
              <c:f>'Program Cost Differences'!$J$77</c:f>
              <c:strCache>
                <c:ptCount val="1"/>
                <c:pt idx="0">
                  <c:v>SSP2</c:v>
                </c:pt>
              </c:strCache>
            </c:strRef>
          </c:tx>
          <c:spPr>
            <a:ln w="28575" cap="rnd">
              <a:solidFill>
                <a:schemeClr val="accent3"/>
              </a:solidFill>
              <a:round/>
            </a:ln>
            <a:effectLst/>
          </c:spPr>
          <c:marker>
            <c:symbol val="none"/>
          </c:marker>
          <c:cat>
            <c:numRef>
              <c:f>'Program Cost Differences'!$H$78:$H$95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'Program Cost Differences'!$J$78:$J$95</c:f>
              <c:numCache>
                <c:formatCode>General</c:formatCode>
                <c:ptCount val="18"/>
                <c:pt idx="0">
                  <c:v>1.3141776844760964E-3</c:v>
                </c:pt>
                <c:pt idx="1">
                  <c:v>1.3314045193330293E-3</c:v>
                </c:pt>
                <c:pt idx="2">
                  <c:v>1.3508056340665157E-3</c:v>
                </c:pt>
                <c:pt idx="3">
                  <c:v>1.3723090914481764E-3</c:v>
                </c:pt>
                <c:pt idx="4">
                  <c:v>1.3958603101336389E-3</c:v>
                </c:pt>
                <c:pt idx="5">
                  <c:v>1.4214542768531536E-3</c:v>
                </c:pt>
                <c:pt idx="6">
                  <c:v>1.449077046008384E-3</c:v>
                </c:pt>
                <c:pt idx="7">
                  <c:v>1.4787021215731104E-3</c:v>
                </c:pt>
                <c:pt idx="8">
                  <c:v>1.5103608272615228E-3</c:v>
                </c:pt>
                <c:pt idx="9">
                  <c:v>1.544057808474225E-3</c:v>
                </c:pt>
                <c:pt idx="10">
                  <c:v>1.5798050425921476E-3</c:v>
                </c:pt>
                <c:pt idx="11">
                  <c:v>1.0267548838977011E-3</c:v>
                </c:pt>
                <c:pt idx="12">
                  <c:v>1.4490393578318714E-3</c:v>
                </c:pt>
                <c:pt idx="13">
                  <c:v>1.9670410173357618E-3</c:v>
                </c:pt>
                <c:pt idx="14">
                  <c:v>2.5139838881554476E-3</c:v>
                </c:pt>
                <c:pt idx="15">
                  <c:v>3.0824043093445686E-3</c:v>
                </c:pt>
                <c:pt idx="16">
                  <c:v>3.6672222180807448E-3</c:v>
                </c:pt>
                <c:pt idx="17">
                  <c:v>4.2941245456961166E-3</c:v>
                </c:pt>
              </c:numCache>
            </c:numRef>
          </c:val>
          <c:smooth val="0"/>
          <c:extLst>
            <c:ext xmlns:c16="http://schemas.microsoft.com/office/drawing/2014/chart" uri="{C3380CC4-5D6E-409C-BE32-E72D297353CC}">
              <c16:uniqueId val="{00000002-F0E6-1941-B117-31495C984C9B}"/>
            </c:ext>
          </c:extLst>
        </c:ser>
        <c:ser>
          <c:idx val="3"/>
          <c:order val="2"/>
          <c:tx>
            <c:strRef>
              <c:f>'Program Cost Differences'!$K$77</c:f>
              <c:strCache>
                <c:ptCount val="1"/>
                <c:pt idx="0">
                  <c:v>SSP3</c:v>
                </c:pt>
              </c:strCache>
            </c:strRef>
          </c:tx>
          <c:spPr>
            <a:ln w="28575" cap="rnd">
              <a:solidFill>
                <a:schemeClr val="accent4"/>
              </a:solidFill>
              <a:round/>
            </a:ln>
            <a:effectLst/>
          </c:spPr>
          <c:marker>
            <c:symbol val="none"/>
          </c:marker>
          <c:cat>
            <c:numRef>
              <c:f>'Program Cost Differences'!$H$78:$H$95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'Program Cost Differences'!$K$78:$K$95</c:f>
              <c:numCache>
                <c:formatCode>General</c:formatCode>
                <c:ptCount val="18"/>
                <c:pt idx="0">
                  <c:v>1.3141776844760964E-3</c:v>
                </c:pt>
                <c:pt idx="1">
                  <c:v>1.3465178371133105E-3</c:v>
                </c:pt>
                <c:pt idx="2">
                  <c:v>1.381005208698998E-3</c:v>
                </c:pt>
                <c:pt idx="3">
                  <c:v>1.4176579760635242E-3</c:v>
                </c:pt>
                <c:pt idx="4">
                  <c:v>1.4565143999155476E-3</c:v>
                </c:pt>
                <c:pt idx="5">
                  <c:v>1.4976336683374105E-3</c:v>
                </c:pt>
                <c:pt idx="6">
                  <c:v>1.5410718731020579E-3</c:v>
                </c:pt>
                <c:pt idx="7">
                  <c:v>1.5868670948302951E-3</c:v>
                </c:pt>
                <c:pt idx="8">
                  <c:v>1.6351155256504892E-3</c:v>
                </c:pt>
                <c:pt idx="9">
                  <c:v>1.6858962821026647E-3</c:v>
                </c:pt>
                <c:pt idx="10">
                  <c:v>1.7392675708968546E-3</c:v>
                </c:pt>
                <c:pt idx="11">
                  <c:v>1.3697787515352894E-3</c:v>
                </c:pt>
                <c:pt idx="12">
                  <c:v>2.3584704257985502E-3</c:v>
                </c:pt>
                <c:pt idx="13">
                  <c:v>4.0923041652658268E-3</c:v>
                </c:pt>
                <c:pt idx="14">
                  <c:v>6.9548643136352903E-3</c:v>
                </c:pt>
                <c:pt idx="15">
                  <c:v>1.1385703081790979E-2</c:v>
                </c:pt>
                <c:pt idx="16">
                  <c:v>1.8093237290816064E-2</c:v>
                </c:pt>
                <c:pt idx="17">
                  <c:v>2.8220046872417973E-2</c:v>
                </c:pt>
              </c:numCache>
            </c:numRef>
          </c:val>
          <c:smooth val="0"/>
          <c:extLst>
            <c:ext xmlns:c16="http://schemas.microsoft.com/office/drawing/2014/chart" uri="{C3380CC4-5D6E-409C-BE32-E72D297353CC}">
              <c16:uniqueId val="{00000003-F0E6-1941-B117-31495C984C9B}"/>
            </c:ext>
          </c:extLst>
        </c:ser>
        <c:ser>
          <c:idx val="4"/>
          <c:order val="3"/>
          <c:tx>
            <c:strRef>
              <c:f>'Program Cost Differences'!$L$77</c:f>
              <c:strCache>
                <c:ptCount val="1"/>
                <c:pt idx="0">
                  <c:v>SSP5</c:v>
                </c:pt>
              </c:strCache>
            </c:strRef>
          </c:tx>
          <c:spPr>
            <a:ln w="28575" cap="rnd">
              <a:solidFill>
                <a:schemeClr val="accent5"/>
              </a:solidFill>
              <a:round/>
            </a:ln>
            <a:effectLst/>
          </c:spPr>
          <c:marker>
            <c:symbol val="none"/>
          </c:marker>
          <c:cat>
            <c:numRef>
              <c:f>'Program Cost Differences'!$H$78:$H$95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cat>
          <c:val>
            <c:numRef>
              <c:f>'Program Cost Differences'!$L$78:$L$95</c:f>
              <c:numCache>
                <c:formatCode>General</c:formatCode>
                <c:ptCount val="18"/>
                <c:pt idx="0">
                  <c:v>1.3141776844760964E-3</c:v>
                </c:pt>
                <c:pt idx="1">
                  <c:v>1.3081843382135429E-3</c:v>
                </c:pt>
                <c:pt idx="2">
                  <c:v>1.3066296558039811E-3</c:v>
                </c:pt>
                <c:pt idx="3">
                  <c:v>1.3090415267910079E-3</c:v>
                </c:pt>
                <c:pt idx="4">
                  <c:v>1.315034111148863E-3</c:v>
                </c:pt>
                <c:pt idx="5">
                  <c:v>1.3243261450233425E-3</c:v>
                </c:pt>
                <c:pt idx="6">
                  <c:v>1.336679390641416E-3</c:v>
                </c:pt>
                <c:pt idx="7">
                  <c:v>1.3519289052787359E-3</c:v>
                </c:pt>
                <c:pt idx="8">
                  <c:v>1.3699290662702169E-3</c:v>
                </c:pt>
                <c:pt idx="9">
                  <c:v>1.3905904065786862E-3</c:v>
                </c:pt>
                <c:pt idx="10">
                  <c:v>1.4138289117657822E-3</c:v>
                </c:pt>
                <c:pt idx="11">
                  <c:v>9.4717117265216135E-4</c:v>
                </c:pt>
                <c:pt idx="12">
                  <c:v>1.5539887794195114E-3</c:v>
                </c:pt>
                <c:pt idx="13">
                  <c:v>2.8539239081395726E-3</c:v>
                </c:pt>
                <c:pt idx="14">
                  <c:v>5.6191131448436547E-3</c:v>
                </c:pt>
                <c:pt idx="15">
                  <c:v>1.1552509383040902E-2</c:v>
                </c:pt>
                <c:pt idx="16">
                  <c:v>2.3592272603039536E-2</c:v>
                </c:pt>
                <c:pt idx="17">
                  <c:v>4.625320692013854E-2</c:v>
                </c:pt>
              </c:numCache>
            </c:numRef>
          </c:val>
          <c:smooth val="0"/>
          <c:extLst>
            <c:ext xmlns:c16="http://schemas.microsoft.com/office/drawing/2014/chart" uri="{C3380CC4-5D6E-409C-BE32-E72D297353CC}">
              <c16:uniqueId val="{00000004-F0E6-1941-B117-31495C984C9B}"/>
            </c:ext>
          </c:extLst>
        </c:ser>
        <c:dLbls>
          <c:showLegendKey val="0"/>
          <c:showVal val="0"/>
          <c:showCatName val="0"/>
          <c:showSerName val="0"/>
          <c:showPercent val="0"/>
          <c:showBubbleSize val="0"/>
        </c:dLbls>
        <c:smooth val="0"/>
        <c:axId val="21431087"/>
        <c:axId val="21838943"/>
      </c:lineChart>
      <c:catAx>
        <c:axId val="2143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38943"/>
        <c:crosses val="autoZero"/>
        <c:auto val="1"/>
        <c:lblAlgn val="ctr"/>
        <c:lblOffset val="100"/>
        <c:noMultiLvlLbl val="0"/>
      </c:catAx>
      <c:valAx>
        <c:axId val="2183894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3108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Difference in Program and Without Program Cost (SSP5)</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scatterChart>
        <c:scatterStyle val="smoothMarker"/>
        <c:varyColors val="0"/>
        <c:ser>
          <c:idx val="0"/>
          <c:order val="0"/>
          <c:tx>
            <c:strRef>
              <c:f>'Sensitivity Analysis (1)'!$D$29</c:f>
              <c:strCache>
                <c:ptCount val="1"/>
                <c:pt idx="0">
                  <c:v>0%</c:v>
                </c:pt>
              </c:strCache>
            </c:strRef>
          </c:tx>
          <c:spPr>
            <a:ln w="9525" cap="rnd">
              <a:solidFill>
                <a:schemeClr val="accent1"/>
              </a:solidFill>
              <a:round/>
            </a:ln>
            <a:effectLst/>
          </c:spPr>
          <c:marker>
            <c:symbol val="none"/>
          </c:marker>
          <c:xVal>
            <c:strRef>
              <c:f>'Sensitivity Analysis (1)'!$C$30:$C$48</c:f>
              <c:strCache>
                <c:ptCount val="19"/>
                <c:pt idx="0">
                  <c:v>Year</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strCache>
            </c:strRef>
          </c:xVal>
          <c:yVal>
            <c:numRef>
              <c:f>'Sensitivity Analysis (1)'!$D$30:$D$48</c:f>
              <c:numCache>
                <c:formatCode>0.000</c:formatCode>
                <c:ptCount val="19"/>
                <c:pt idx="0" formatCode="0%">
                  <c:v>0</c:v>
                </c:pt>
                <c:pt idx="1">
                  <c:v>-8.2127557829819921E-3</c:v>
                </c:pt>
                <c:pt idx="2">
                  <c:v>-8.459323917567492E-3</c:v>
                </c:pt>
                <c:pt idx="3">
                  <c:v>-9.2404321232004167E-3</c:v>
                </c:pt>
                <c:pt idx="4">
                  <c:v>-1.0553101290768266E-2</c:v>
                </c:pt>
                <c:pt idx="5">
                  <c:v>-1.2395441274805904E-2</c:v>
                </c:pt>
                <c:pt idx="6">
                  <c:v>-1.4766405211797595E-2</c:v>
                </c:pt>
                <c:pt idx="7">
                  <c:v>-1.7665605892916204E-2</c:v>
                </c:pt>
                <c:pt idx="8">
                  <c:v>-2.109317656721282E-2</c:v>
                </c:pt>
                <c:pt idx="9">
                  <c:v>-2.5049664044463515E-2</c:v>
                </c:pt>
                <c:pt idx="10">
                  <c:v>-2.9535945606009008E-2</c:v>
                </c:pt>
                <c:pt idx="11">
                  <c:v>-3.4553163687139156E-2</c:v>
                </c:pt>
                <c:pt idx="12">
                  <c:v>-9.9183428108385804E-2</c:v>
                </c:pt>
                <c:pt idx="13">
                  <c:v>-0.23889597876432705</c:v>
                </c:pt>
                <c:pt idx="14">
                  <c:v>-0.47358026048833751</c:v>
                </c:pt>
                <c:pt idx="15">
                  <c:v>-0.93335257097454738</c:v>
                </c:pt>
                <c:pt idx="16">
                  <c:v>-1.7993122486477051</c:v>
                </c:pt>
                <c:pt idx="17">
                  <c:v>-3.2817680181782474</c:v>
                </c:pt>
                <c:pt idx="18">
                  <c:v>-5.537335739081036</c:v>
                </c:pt>
              </c:numCache>
            </c:numRef>
          </c:yVal>
          <c:smooth val="1"/>
          <c:extLst>
            <c:ext xmlns:c16="http://schemas.microsoft.com/office/drawing/2014/chart" uri="{C3380CC4-5D6E-409C-BE32-E72D297353CC}">
              <c16:uniqueId val="{00000001-4CE5-4056-B950-13CA4DD0BA23}"/>
            </c:ext>
          </c:extLst>
        </c:ser>
        <c:ser>
          <c:idx val="1"/>
          <c:order val="1"/>
          <c:tx>
            <c:strRef>
              <c:f>'Sensitivity Analysis (1)'!$F$29</c:f>
              <c:strCache>
                <c:ptCount val="1"/>
                <c:pt idx="0">
                  <c:v>1.25%</c:v>
                </c:pt>
              </c:strCache>
            </c:strRef>
          </c:tx>
          <c:spPr>
            <a:ln w="9525" cap="rnd">
              <a:solidFill>
                <a:schemeClr val="accent2"/>
              </a:solidFill>
              <a:round/>
            </a:ln>
            <a:effectLst/>
          </c:spPr>
          <c:marker>
            <c:symbol val="none"/>
          </c:marker>
          <c:xVal>
            <c:strRef>
              <c:f>'Sensitivity Analysis (1)'!$C$30:$C$48</c:f>
              <c:strCache>
                <c:ptCount val="19"/>
                <c:pt idx="0">
                  <c:v>Year</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strCache>
            </c:strRef>
          </c:xVal>
          <c:yVal>
            <c:numRef>
              <c:f>'Sensitivity Analysis (1)'!$F$30:$F$48</c:f>
              <c:numCache>
                <c:formatCode>0.000</c:formatCode>
                <c:ptCount val="19"/>
                <c:pt idx="0" formatCode="0%">
                  <c:v>0</c:v>
                </c:pt>
                <c:pt idx="1">
                  <c:v>-8.2127557829819921E-3</c:v>
                </c:pt>
                <c:pt idx="2">
                  <c:v>-5.6377987094651458E-3</c:v>
                </c:pt>
                <c:pt idx="3">
                  <c:v>-4.2625580799192193E-3</c:v>
                </c:pt>
                <c:pt idx="4">
                  <c:v>-4.1166195819267032E-3</c:v>
                </c:pt>
                <c:pt idx="5">
                  <c:v>-5.2312995728996991E-3</c:v>
                </c:pt>
                <c:pt idx="6">
                  <c:v>-7.6394663802684549E-3</c:v>
                </c:pt>
                <c:pt idx="7">
                  <c:v>-1.1375411800530314E-2</c:v>
                </c:pt>
                <c:pt idx="8">
                  <c:v>-1.6474758652196764E-2</c:v>
                </c:pt>
                <c:pt idx="9">
                  <c:v>-2.2974394648670911E-2</c:v>
                </c:pt>
                <c:pt idx="10">
                  <c:v>-3.0912425779307605E-2</c:v>
                </c:pt>
                <c:pt idx="11">
                  <c:v>-4.0328144358545426E-2</c:v>
                </c:pt>
                <c:pt idx="12">
                  <c:v>-0.12909381223118305</c:v>
                </c:pt>
                <c:pt idx="13">
                  <c:v>-0.35136362346651506</c:v>
                </c:pt>
                <c:pt idx="14">
                  <c:v>-0.78782974009091189</c:v>
                </c:pt>
                <c:pt idx="15">
                  <c:v>-1.7549759733417587</c:v>
                </c:pt>
                <c:pt idx="16">
                  <c:v>-3.8238810291880836</c:v>
                </c:pt>
                <c:pt idx="17">
                  <c:v>-7.8859552896725544</c:v>
                </c:pt>
                <c:pt idx="18">
                  <c:v>-15.05267269009674</c:v>
                </c:pt>
              </c:numCache>
            </c:numRef>
          </c:yVal>
          <c:smooth val="1"/>
          <c:extLst>
            <c:ext xmlns:c16="http://schemas.microsoft.com/office/drawing/2014/chart" uri="{C3380CC4-5D6E-409C-BE32-E72D297353CC}">
              <c16:uniqueId val="{00000154-B89A-4E1D-B868-37146E16EB9F}"/>
            </c:ext>
          </c:extLst>
        </c:ser>
        <c:ser>
          <c:idx val="2"/>
          <c:order val="2"/>
          <c:tx>
            <c:strRef>
              <c:f>'Sensitivity Analysis (1)'!$H$29</c:f>
              <c:strCache>
                <c:ptCount val="1"/>
                <c:pt idx="0">
                  <c:v>2.50%</c:v>
                </c:pt>
              </c:strCache>
            </c:strRef>
          </c:tx>
          <c:spPr>
            <a:ln w="9525" cap="rnd">
              <a:solidFill>
                <a:schemeClr val="accent3"/>
              </a:solidFill>
              <a:round/>
            </a:ln>
            <a:effectLst/>
          </c:spPr>
          <c:marker>
            <c:symbol val="none"/>
          </c:marker>
          <c:xVal>
            <c:strRef>
              <c:f>'Sensitivity Analysis (1)'!$C$30:$C$48</c:f>
              <c:strCache>
                <c:ptCount val="19"/>
                <c:pt idx="0">
                  <c:v>Year</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strCache>
            </c:strRef>
          </c:xVal>
          <c:yVal>
            <c:numRef>
              <c:f>'Sensitivity Analysis (1)'!$H$30:$H$48</c:f>
              <c:numCache>
                <c:formatCode>0.000</c:formatCode>
                <c:ptCount val="19"/>
                <c:pt idx="0" formatCode="0%">
                  <c:v>0</c:v>
                </c:pt>
                <c:pt idx="1">
                  <c:v>-8.2127557829819921E-3</c:v>
                </c:pt>
                <c:pt idx="2">
                  <c:v>-1.6373499788810014E-3</c:v>
                </c:pt>
                <c:pt idx="3">
                  <c:v>2.8857401795091631E-3</c:v>
                </c:pt>
                <c:pt idx="4">
                  <c:v>5.2651222234607938E-3</c:v>
                </c:pt>
                <c:pt idx="5">
                  <c:v>5.4046714537135361E-3</c:v>
                </c:pt>
                <c:pt idx="6">
                  <c:v>3.203532837005973E-3</c:v>
                </c:pt>
                <c:pt idx="7">
                  <c:v>-1.4439229901727438E-3</c:v>
                </c:pt>
                <c:pt idx="8">
                  <c:v>-8.6481784194279918E-3</c:v>
                </c:pt>
                <c:pt idx="9">
                  <c:v>-1.8524674636924268E-2</c:v>
                </c:pt>
                <c:pt idx="10">
                  <c:v>-3.1193939185328961E-2</c:v>
                </c:pt>
                <c:pt idx="11">
                  <c:v>-4.6781731642744302E-2</c:v>
                </c:pt>
                <c:pt idx="12">
                  <c:v>-0.16690946172637153</c:v>
                </c:pt>
                <c:pt idx="13">
                  <c:v>-0.51222899202783589</c:v>
                </c:pt>
                <c:pt idx="14">
                  <c:v>-1.2963186398441506</c:v>
                </c:pt>
                <c:pt idx="15">
                  <c:v>-3.2589431940244369</c:v>
                </c:pt>
                <c:pt idx="16">
                  <c:v>-8.0160970642568508</c:v>
                </c:pt>
                <c:pt idx="17">
                  <c:v>-18.670374293844237</c:v>
                </c:pt>
                <c:pt idx="18">
                  <c:v>-40.263549692785276</c:v>
                </c:pt>
              </c:numCache>
            </c:numRef>
          </c:yVal>
          <c:smooth val="1"/>
          <c:extLst>
            <c:ext xmlns:c16="http://schemas.microsoft.com/office/drawing/2014/chart" uri="{C3380CC4-5D6E-409C-BE32-E72D297353CC}">
              <c16:uniqueId val="{00000155-B89A-4E1D-B868-37146E16EB9F}"/>
            </c:ext>
          </c:extLst>
        </c:ser>
        <c:ser>
          <c:idx val="3"/>
          <c:order val="3"/>
          <c:tx>
            <c:strRef>
              <c:f>'Sensitivity Analysis (1)'!$J$29</c:f>
              <c:strCache>
                <c:ptCount val="1"/>
                <c:pt idx="0">
                  <c:v>3.75%</c:v>
                </c:pt>
              </c:strCache>
            </c:strRef>
          </c:tx>
          <c:spPr>
            <a:ln w="9525" cap="rnd">
              <a:solidFill>
                <a:schemeClr val="accent4"/>
              </a:solidFill>
              <a:round/>
            </a:ln>
            <a:effectLst/>
          </c:spPr>
          <c:marker>
            <c:symbol val="none"/>
          </c:marker>
          <c:xVal>
            <c:strRef>
              <c:f>'Sensitivity Analysis (1)'!$C$30:$C$48</c:f>
              <c:strCache>
                <c:ptCount val="19"/>
                <c:pt idx="0">
                  <c:v>Year</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strCache>
            </c:strRef>
          </c:xVal>
          <c:yVal>
            <c:numRef>
              <c:f>'Sensitivity Analysis (1)'!$J$30:$J$48</c:f>
              <c:numCache>
                <c:formatCode>0.000</c:formatCode>
                <c:ptCount val="19"/>
                <c:pt idx="0" formatCode="0%">
                  <c:v>0</c:v>
                </c:pt>
                <c:pt idx="1">
                  <c:v>-8.2127557829819921E-3</c:v>
                </c:pt>
                <c:pt idx="2">
                  <c:v>3.6635941380759479E-3</c:v>
                </c:pt>
                <c:pt idx="3">
                  <c:v>1.2447606382865309E-2</c:v>
                </c:pt>
                <c:pt idx="4">
                  <c:v>1.7949537118659972E-2</c:v>
                </c:pt>
                <c:pt idx="5">
                  <c:v>1.9967857750693322E-2</c:v>
                </c:pt>
                <c:pt idx="6">
                  <c:v>1.8288768391133071E-2</c:v>
                </c:pt>
                <c:pt idx="7">
                  <c:v>1.2685646704346418E-2</c:v>
                </c:pt>
                <c:pt idx="8">
                  <c:v>2.9184396943423749E-3</c:v>
                </c:pt>
                <c:pt idx="9">
                  <c:v>-1.1266996946859956E-2</c:v>
                </c:pt>
                <c:pt idx="10">
                  <c:v>-3.013960929458356E-2</c:v>
                </c:pt>
                <c:pt idx="11">
                  <c:v>-5.3983904184824467E-2</c:v>
                </c:pt>
                <c:pt idx="12">
                  <c:v>-0.21458324249171687</c:v>
                </c:pt>
                <c:pt idx="13">
                  <c:v>-0.74131746570967005</c:v>
                </c:pt>
                <c:pt idx="14">
                  <c:v>-2.1142970755907307</c:v>
                </c:pt>
                <c:pt idx="15">
                  <c:v>-5.9917292163216702</c:v>
                </c:pt>
                <c:pt idx="16">
                  <c:v>-16.620190971836319</c:v>
                </c:pt>
                <c:pt idx="17">
                  <c:v>-43.67037520637485</c:v>
                </c:pt>
                <c:pt idx="18">
                  <c:v>-106.27219189882275</c:v>
                </c:pt>
              </c:numCache>
            </c:numRef>
          </c:yVal>
          <c:smooth val="1"/>
          <c:extLst>
            <c:ext xmlns:c16="http://schemas.microsoft.com/office/drawing/2014/chart" uri="{C3380CC4-5D6E-409C-BE32-E72D297353CC}">
              <c16:uniqueId val="{00000156-B89A-4E1D-B868-37146E16EB9F}"/>
            </c:ext>
          </c:extLst>
        </c:ser>
        <c:ser>
          <c:idx val="4"/>
          <c:order val="4"/>
          <c:tx>
            <c:strRef>
              <c:f>'Sensitivity Analysis (1)'!$L$29</c:f>
              <c:strCache>
                <c:ptCount val="1"/>
                <c:pt idx="0">
                  <c:v>5%</c:v>
                </c:pt>
              </c:strCache>
            </c:strRef>
          </c:tx>
          <c:spPr>
            <a:ln w="9525" cap="rnd">
              <a:solidFill>
                <a:schemeClr val="accent5"/>
              </a:solidFill>
              <a:round/>
            </a:ln>
            <a:effectLst/>
          </c:spPr>
          <c:marker>
            <c:symbol val="none"/>
          </c:marker>
          <c:xVal>
            <c:strRef>
              <c:f>'Sensitivity Analysis (1)'!$C$30:$C$48</c:f>
              <c:strCache>
                <c:ptCount val="19"/>
                <c:pt idx="0">
                  <c:v>Year</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strCache>
            </c:strRef>
          </c:xVal>
          <c:yVal>
            <c:numRef>
              <c:f>'Sensitivity Analysis (1)'!$L$30:$L$48</c:f>
              <c:numCache>
                <c:formatCode>0.000</c:formatCode>
                <c:ptCount val="19"/>
                <c:pt idx="0" formatCode="0%">
                  <c:v>0</c:v>
                </c:pt>
                <c:pt idx="1">
                  <c:v>-8.2127557829819921E-3</c:v>
                </c:pt>
                <c:pt idx="2">
                  <c:v>1.039743705633688E-2</c:v>
                </c:pt>
                <c:pt idx="3">
                  <c:v>2.4687847360014201E-2</c:v>
                </c:pt>
                <c:pt idx="4">
                  <c:v>3.4326532750061034E-2</c:v>
                </c:pt>
                <c:pt idx="5">
                  <c:v>3.8956592308233735E-2</c:v>
                </c:pt>
                <c:pt idx="6">
                  <c:v>3.8194557266948939E-2</c:v>
                </c:pt>
                <c:pt idx="7">
                  <c:v>3.1628639916562201E-2</c:v>
                </c:pt>
                <c:pt idx="8">
                  <c:v>1.8816840598212242E-2</c:v>
                </c:pt>
                <c:pt idx="9">
                  <c:v>-7.1509015356850626E-4</c:v>
                </c:pt>
                <c:pt idx="10">
                  <c:v>-2.7475839306630372E-2</c:v>
                </c:pt>
                <c:pt idx="11">
                  <c:v>-6.2010875438172103E-2</c:v>
                </c:pt>
                <c:pt idx="12">
                  <c:v>-0.27451761760753823</c:v>
                </c:pt>
                <c:pt idx="13">
                  <c:v>-1.0661767190056619</c:v>
                </c:pt>
                <c:pt idx="14">
                  <c:v>-3.4226261133083153</c:v>
                </c:pt>
                <c:pt idx="15">
                  <c:v>-10.921781315517524</c:v>
                </c:pt>
                <c:pt idx="16">
                  <c:v>-34.127103829648377</c:v>
                </c:pt>
                <c:pt idx="17">
                  <c:v>-101.04118546303155</c:v>
                </c:pt>
                <c:pt idx="18">
                  <c:v>-277.11098503233461</c:v>
                </c:pt>
              </c:numCache>
            </c:numRef>
          </c:yVal>
          <c:smooth val="1"/>
          <c:extLst>
            <c:ext xmlns:c16="http://schemas.microsoft.com/office/drawing/2014/chart" uri="{C3380CC4-5D6E-409C-BE32-E72D297353CC}">
              <c16:uniqueId val="{00000157-B89A-4E1D-B868-37146E16EB9F}"/>
            </c:ext>
          </c:extLst>
        </c:ser>
        <c:ser>
          <c:idx val="5"/>
          <c:order val="5"/>
          <c:tx>
            <c:strRef>
              <c:f>'Sensitivity Analysis (1)'!$N$29</c:f>
              <c:strCache>
                <c:ptCount val="1"/>
                <c:pt idx="0">
                  <c:v>6.25%</c:v>
                </c:pt>
              </c:strCache>
            </c:strRef>
          </c:tx>
          <c:spPr>
            <a:ln w="9525" cap="rnd">
              <a:solidFill>
                <a:schemeClr val="accent6"/>
              </a:solidFill>
              <a:round/>
            </a:ln>
            <a:effectLst/>
          </c:spPr>
          <c:marker>
            <c:symbol val="none"/>
          </c:marker>
          <c:xVal>
            <c:strRef>
              <c:f>'Sensitivity Analysis (1)'!$C$30:$C$48</c:f>
              <c:strCache>
                <c:ptCount val="19"/>
                <c:pt idx="0">
                  <c:v>Year</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strCache>
            </c:strRef>
          </c:xVal>
          <c:yVal>
            <c:numRef>
              <c:f>'Sensitivity Analysis (1)'!$N$30:$N$48</c:f>
              <c:numCache>
                <c:formatCode>0.000</c:formatCode>
                <c:ptCount val="19"/>
                <c:pt idx="0" formatCode="0%">
                  <c:v>0</c:v>
                </c:pt>
                <c:pt idx="1">
                  <c:v>-8.2127557829819921E-3</c:v>
                </c:pt>
                <c:pt idx="2">
                  <c:v>1.8708230646720527E-2</c:v>
                </c:pt>
                <c:pt idx="3">
                  <c:v>3.9894566852590442E-2</c:v>
                </c:pt>
                <c:pt idx="4">
                  <c:v>5.4820962131710532E-2</c:v>
                </c:pt>
                <c:pt idx="5">
                  <c:v>6.2915422780439142E-2</c:v>
                </c:pt>
                <c:pt idx="6">
                  <c:v>6.3555417413076049E-2</c:v>
                </c:pt>
                <c:pt idx="7">
                  <c:v>5.6063699329032539E-2</c:v>
                </c:pt>
                <c:pt idx="8">
                  <c:v>3.9703766202165126E-2</c:v>
                </c:pt>
                <c:pt idx="9">
                  <c:v>1.3674933461320638E-2</c:v>
                </c:pt>
                <c:pt idx="10">
                  <c:v>-2.2893005694141388E-2</c:v>
                </c:pt>
                <c:pt idx="11">
                  <c:v>-7.0945563887541058E-2</c:v>
                </c:pt>
                <c:pt idx="12">
                  <c:v>-0.34966079501777364</c:v>
                </c:pt>
                <c:pt idx="13">
                  <c:v>-1.5249335469309062</c:v>
                </c:pt>
                <c:pt idx="14">
                  <c:v>-5.5035967372130283</c:v>
                </c:pt>
                <c:pt idx="15">
                  <c:v>-19.753601327495193</c:v>
                </c:pt>
                <c:pt idx="16">
                  <c:v>-69.449179419187317</c:v>
                </c:pt>
                <c:pt idx="17">
                  <c:v>-231.40407168906543</c:v>
                </c:pt>
                <c:pt idx="18">
                  <c:v>-714.29514605317672</c:v>
                </c:pt>
              </c:numCache>
            </c:numRef>
          </c:yVal>
          <c:smooth val="1"/>
          <c:extLst>
            <c:ext xmlns:c16="http://schemas.microsoft.com/office/drawing/2014/chart" uri="{C3380CC4-5D6E-409C-BE32-E72D297353CC}">
              <c16:uniqueId val="{00000158-B89A-4E1D-B868-37146E16EB9F}"/>
            </c:ext>
          </c:extLst>
        </c:ser>
        <c:ser>
          <c:idx val="6"/>
          <c:order val="6"/>
          <c:tx>
            <c:strRef>
              <c:f>'Sensitivity Analysis (1)'!$P$29</c:f>
              <c:strCache>
                <c:ptCount val="1"/>
                <c:pt idx="0">
                  <c:v>7.50%</c:v>
                </c:pt>
              </c:strCache>
            </c:strRef>
          </c:tx>
          <c:spPr>
            <a:ln w="9525" cap="rnd">
              <a:solidFill>
                <a:schemeClr val="accent1">
                  <a:lumMod val="60000"/>
                </a:schemeClr>
              </a:solidFill>
              <a:round/>
            </a:ln>
            <a:effectLst/>
          </c:spPr>
          <c:marker>
            <c:symbol val="none"/>
          </c:marker>
          <c:xVal>
            <c:strRef>
              <c:f>'Sensitivity Analysis (1)'!$C$30:$C$48</c:f>
              <c:strCache>
                <c:ptCount val="19"/>
                <c:pt idx="0">
                  <c:v>Year</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strCache>
            </c:strRef>
          </c:xVal>
          <c:yVal>
            <c:numRef>
              <c:f>'Sensitivity Analysis (1)'!$P$30:$P$48</c:f>
              <c:numCache>
                <c:formatCode>0.000</c:formatCode>
                <c:ptCount val="19"/>
                <c:pt idx="0" formatCode="0%">
                  <c:v>0</c:v>
                </c:pt>
                <c:pt idx="1">
                  <c:v>-8.2127557829819921E-3</c:v>
                </c:pt>
                <c:pt idx="2">
                  <c:v>2.8752542852380634E-2</c:v>
                </c:pt>
                <c:pt idx="3">
                  <c:v>5.8380900746903421E-2</c:v>
                </c:pt>
                <c:pt idx="4">
                  <c:v>7.9895226494667168E-2</c:v>
                </c:pt>
                <c:pt idx="5">
                  <c:v>9.2438581951133247E-2</c:v>
                </c:pt>
                <c:pt idx="6">
                  <c:v>9.5066381230017899E-2</c:v>
                </c:pt>
                <c:pt idx="7">
                  <c:v>8.673781361136651E-2</c:v>
                </c:pt>
                <c:pt idx="8">
                  <c:v>6.6306423647974497E-2</c:v>
                </c:pt>
                <c:pt idx="9">
                  <c:v>3.2509773584908488E-2</c:v>
                </c:pt>
                <c:pt idx="10">
                  <c:v>-1.6041895055278779E-2</c:v>
                </c:pt>
                <c:pt idx="11">
                  <c:v>-8.0878092462491516E-2</c:v>
                </c:pt>
                <c:pt idx="12">
                  <c:v>-0.44362190310439775</c:v>
                </c:pt>
                <c:pt idx="13">
                  <c:v>-2.1701531604839839</c:v>
                </c:pt>
                <c:pt idx="14">
                  <c:v>-8.795490224900826</c:v>
                </c:pt>
                <c:pt idx="15">
                  <c:v>-35.467115198038208</c:v>
                </c:pt>
                <c:pt idx="16">
                  <c:v>-140.12993959159974</c:v>
                </c:pt>
                <c:pt idx="17">
                  <c:v>-524.78348850111399</c:v>
                </c:pt>
                <c:pt idx="18">
                  <c:v>-1820.7909044794199</c:v>
                </c:pt>
              </c:numCache>
            </c:numRef>
          </c:yVal>
          <c:smooth val="1"/>
          <c:extLst>
            <c:ext xmlns:c16="http://schemas.microsoft.com/office/drawing/2014/chart" uri="{C3380CC4-5D6E-409C-BE32-E72D297353CC}">
              <c16:uniqueId val="{00000159-B89A-4E1D-B868-37146E16EB9F}"/>
            </c:ext>
          </c:extLst>
        </c:ser>
        <c:dLbls>
          <c:showLegendKey val="0"/>
          <c:showVal val="0"/>
          <c:showCatName val="0"/>
          <c:showSerName val="0"/>
          <c:showPercent val="0"/>
          <c:showBubbleSize val="0"/>
        </c:dLbls>
        <c:axId val="1687780535"/>
        <c:axId val="1175489575"/>
      </c:scatterChart>
      <c:valAx>
        <c:axId val="1687780535"/>
        <c:scaling>
          <c:orientation val="minMax"/>
        </c:scaling>
        <c:delete val="0"/>
        <c:axPos val="b"/>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75489575"/>
        <c:crosses val="autoZero"/>
        <c:crossBetween val="midCat"/>
      </c:valAx>
      <c:valAx>
        <c:axId val="1175489575"/>
        <c:scaling>
          <c:orientation val="minMax"/>
          <c:max val="0.25"/>
          <c:min val="-1"/>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Difference (Ꝕ bil)</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00" sourceLinked="0"/>
        <c:majorTickMark val="none"/>
        <c:minorTickMark val="none"/>
        <c:tickLblPos val="nextTo"/>
        <c:spPr>
          <a:noFill/>
          <a:ln>
            <a:solidFill>
              <a:schemeClr val="tx2">
                <a:lumMod val="40000"/>
                <a:lumOff val="60000"/>
              </a:schemeClr>
            </a:solid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68778053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'Sensitivity Analysis (1)'!$D$4</c:f>
              <c:strCache>
                <c:ptCount val="1"/>
                <c:pt idx="0">
                  <c:v>0%</c:v>
                </c:pt>
              </c:strCache>
            </c:strRef>
          </c:tx>
          <c:spPr>
            <a:solidFill>
              <a:schemeClr val="accent1"/>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(1)'!$D$5:$D$23,'Sensitivity Analysis (1)'!$D$29:$D$48)</c:f>
              <c:numCache>
                <c:formatCode>0.000</c:formatCode>
                <c:ptCount val="39"/>
                <c:pt idx="0" formatCode="0%">
                  <c:v>0</c:v>
                </c:pt>
                <c:pt idx="1">
                  <c:v>2.2122109867809416E-2</c:v>
                </c:pt>
                <c:pt idx="2">
                  <c:v>1.9804120904324412E-2</c:v>
                </c:pt>
                <c:pt idx="3">
                  <c:v>1.7434928474644423E-2</c:v>
                </c:pt>
                <c:pt idx="4">
                  <c:v>1.5031538165994049E-2</c:v>
                </c:pt>
                <c:pt idx="5">
                  <c:v>1.2598610579920769E-2</c:v>
                </c:pt>
                <c:pt idx="6">
                  <c:v>1.0127792406434535E-2</c:v>
                </c:pt>
                <c:pt idx="7">
                  <c:v>7.6351674816676381E-3</c:v>
                </c:pt>
                <c:pt idx="8">
                  <c:v>5.1114317215830091E-3</c:v>
                </c:pt>
                <c:pt idx="9">
                  <c:v>2.5725297759708167E-3</c:v>
                </c:pt>
                <c:pt idx="10">
                  <c:v>2.1692497546434403E-5</c:v>
                </c:pt>
                <c:pt idx="11">
                  <c:v>-2.5513795142338277E-3</c:v>
                </c:pt>
                <c:pt idx="12">
                  <c:v>-8.1834744158624059E-2</c:v>
                </c:pt>
                <c:pt idx="13">
                  <c:v>-0.22888216395912528</c:v>
                </c:pt>
                <c:pt idx="14">
                  <c:v>-0.37576439800517414</c:v>
                </c:pt>
                <c:pt idx="15">
                  <c:v>-0.48736394129253624</c:v>
                </c:pt>
                <c:pt idx="16">
                  <c:v>-0.56092069965875913</c:v>
                </c:pt>
                <c:pt idx="17">
                  <c:v>-0.60459515477643311</c:v>
                </c:pt>
                <c:pt idx="18">
                  <c:v>-0.61469040437452693</c:v>
                </c:pt>
                <c:pt idx="19" formatCode="0%">
                  <c:v>0</c:v>
                </c:pt>
                <c:pt idx="20" formatCode="0%">
                  <c:v>0</c:v>
                </c:pt>
                <c:pt idx="21">
                  <c:v>-8.2127557829819921E-3</c:v>
                </c:pt>
                <c:pt idx="22">
                  <c:v>-8.459323917567492E-3</c:v>
                </c:pt>
                <c:pt idx="23">
                  <c:v>-9.2404321232004167E-3</c:v>
                </c:pt>
                <c:pt idx="24">
                  <c:v>-1.0553101290768266E-2</c:v>
                </c:pt>
                <c:pt idx="25">
                  <c:v>-1.2395441274805904E-2</c:v>
                </c:pt>
                <c:pt idx="26">
                  <c:v>-1.4766405211797595E-2</c:v>
                </c:pt>
                <c:pt idx="27">
                  <c:v>-1.7665605892916204E-2</c:v>
                </c:pt>
                <c:pt idx="28">
                  <c:v>-2.109317656721282E-2</c:v>
                </c:pt>
                <c:pt idx="29">
                  <c:v>-2.5049664044463515E-2</c:v>
                </c:pt>
                <c:pt idx="30">
                  <c:v>-2.9535945606009008E-2</c:v>
                </c:pt>
                <c:pt idx="31">
                  <c:v>-3.4553163687139156E-2</c:v>
                </c:pt>
                <c:pt idx="32">
                  <c:v>-9.9183428108385804E-2</c:v>
                </c:pt>
                <c:pt idx="33">
                  <c:v>-0.23889597876432705</c:v>
                </c:pt>
                <c:pt idx="34">
                  <c:v>-0.47358026048833751</c:v>
                </c:pt>
                <c:pt idx="35">
                  <c:v>-0.93335257097454738</c:v>
                </c:pt>
                <c:pt idx="36">
                  <c:v>-1.7993122486477051</c:v>
                </c:pt>
                <c:pt idx="37">
                  <c:v>-3.2817680181782474</c:v>
                </c:pt>
                <c:pt idx="38">
                  <c:v>-5.537335739081036</c:v>
                </c:pt>
              </c:numCache>
            </c:numRef>
          </c:val>
          <c:extLst>
            <c:ext xmlns:c16="http://schemas.microsoft.com/office/drawing/2014/chart" uri="{C3380CC4-5D6E-409C-BE32-E72D297353CC}">
              <c16:uniqueId val="{00000001-237A-4492-8FB5-C93BCCC89122}"/>
            </c:ext>
          </c:extLst>
        </c:ser>
        <c:ser>
          <c:idx val="1"/>
          <c:order val="1"/>
          <c:tx>
            <c:strRef>
              <c:f>'Sensitivity Analysis (1)'!$E$4</c:f>
              <c:strCache>
                <c:ptCount val="1"/>
                <c:pt idx="0">
                  <c:v>0%</c:v>
                </c:pt>
              </c:strCache>
            </c:strRef>
          </c:tx>
          <c:spPr>
            <a:solidFill>
              <a:schemeClr val="accent2"/>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(1)'!$E$5:$E$23,'Sensitivity Analysis (1)'!$E$29:$E$48)</c:f>
              <c:numCache>
                <c:formatCode>0.00%</c:formatCode>
                <c:ptCount val="39"/>
                <c:pt idx="0">
                  <c:v>0</c:v>
                </c:pt>
                <c:pt idx="1">
                  <c:v>4.6972832260695145E-4</c:v>
                </c:pt>
                <c:pt idx="2">
                  <c:v>4.5683384958585042E-4</c:v>
                </c:pt>
                <c:pt idx="3">
                  <c:v>4.4534938174942493E-4</c:v>
                </c:pt>
                <c:pt idx="4">
                  <c:v>4.350940469771622E-4</c:v>
                </c:pt>
                <c:pt idx="5">
                  <c:v>4.2591079054519641E-4</c:v>
                </c:pt>
                <c:pt idx="6">
                  <c:v>4.1766097331034127E-4</c:v>
                </c:pt>
                <c:pt idx="7">
                  <c:v>4.1024256855738363E-4</c:v>
                </c:pt>
                <c:pt idx="8">
                  <c:v>4.0355506666219312E-4</c:v>
                </c:pt>
                <c:pt idx="9">
                  <c:v>3.9752660061954996E-4</c:v>
                </c:pt>
                <c:pt idx="10">
                  <c:v>3.9208899280141765E-4</c:v>
                </c:pt>
                <c:pt idx="11">
                  <c:v>3.8717670415927856E-4</c:v>
                </c:pt>
                <c:pt idx="12">
                  <c:v>3.1679134447984284E-4</c:v>
                </c:pt>
                <c:pt idx="13">
                  <c:v>2.5934827721077605E-4</c:v>
                </c:pt>
                <c:pt idx="14">
                  <c:v>2.1556583002139398E-4</c:v>
                </c:pt>
                <c:pt idx="15">
                  <c:v>1.7761397750241915E-4</c:v>
                </c:pt>
                <c:pt idx="16">
                  <c:v>1.4477221716301317E-4</c:v>
                </c:pt>
                <c:pt idx="17">
                  <c:v>1.1587066306615993E-4</c:v>
                </c:pt>
                <c:pt idx="18">
                  <c:v>9.405771266316623E-5</c:v>
                </c:pt>
                <c:pt idx="19" formatCode="0%">
                  <c:v>0</c:v>
                </c:pt>
                <c:pt idx="20">
                  <c:v>0</c:v>
                </c:pt>
                <c:pt idx="21">
                  <c:v>4.4633873568329565E-4</c:v>
                </c:pt>
                <c:pt idx="22">
                  <c:v>4.3647016872544822E-4</c:v>
                </c:pt>
                <c:pt idx="23">
                  <c:v>4.276810986303198E-4</c:v>
                </c:pt>
                <c:pt idx="24">
                  <c:v>4.1980480577313069E-4</c:v>
                </c:pt>
                <c:pt idx="25">
                  <c:v>4.127073321339028E-4</c:v>
                </c:pt>
                <c:pt idx="26">
                  <c:v>4.0627980531572204E-4</c:v>
                </c:pt>
                <c:pt idx="27">
                  <c:v>4.0043282632188889E-4</c:v>
                </c:pt>
                <c:pt idx="28">
                  <c:v>3.9509230097857241E-4</c:v>
                </c:pt>
                <c:pt idx="29">
                  <c:v>3.9019629923279863E-4</c:v>
                </c:pt>
                <c:pt idx="30">
                  <c:v>3.8569265809218148E-4</c:v>
                </c:pt>
                <c:pt idx="31">
                  <c:v>3.8153713044515543E-4</c:v>
                </c:pt>
                <c:pt idx="32">
                  <c:v>3.5422270994424327E-4</c:v>
                </c:pt>
                <c:pt idx="33">
                  <c:v>3.8462541255376061E-4</c:v>
                </c:pt>
                <c:pt idx="34">
                  <c:v>4.7623431485464005E-4</c:v>
                </c:pt>
                <c:pt idx="35">
                  <c:v>6.3344310055689834E-4</c:v>
                </c:pt>
                <c:pt idx="36">
                  <c:v>8.8187747173989171E-4</c:v>
                </c:pt>
                <c:pt idx="37">
                  <c:v>1.2226510117342739E-3</c:v>
                </c:pt>
                <c:pt idx="38">
                  <c:v>1.6315013460224458E-3</c:v>
                </c:pt>
              </c:numCache>
            </c:numRef>
          </c:val>
          <c:extLst>
            <c:ext xmlns:c16="http://schemas.microsoft.com/office/drawing/2014/chart" uri="{C3380CC4-5D6E-409C-BE32-E72D297353CC}">
              <c16:uniqueId val="{00000003-237A-4492-8FB5-C93BCCC89122}"/>
            </c:ext>
          </c:extLst>
        </c:ser>
        <c:ser>
          <c:idx val="2"/>
          <c:order val="2"/>
          <c:tx>
            <c:strRef>
              <c:f>'Sensitivity Analysis (1)'!$F$4</c:f>
              <c:strCache>
                <c:ptCount val="1"/>
                <c:pt idx="0">
                  <c:v>1.25%</c:v>
                </c:pt>
              </c:strCache>
            </c:strRef>
          </c:tx>
          <c:spPr>
            <a:solidFill>
              <a:schemeClr val="accent3"/>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(1)'!$F$5:$F$23,'Sensitivity Analysis (1)'!$F$29:$F$48)</c:f>
              <c:numCache>
                <c:formatCode>0.000</c:formatCode>
                <c:ptCount val="39"/>
                <c:pt idx="0" formatCode="0%">
                  <c:v>0</c:v>
                </c:pt>
                <c:pt idx="1">
                  <c:v>2.2122109867809416E-2</c:v>
                </c:pt>
                <c:pt idx="2">
                  <c:v>2.0051672415628434E-2</c:v>
                </c:pt>
                <c:pt idx="3">
                  <c:v>1.7873525894084571E-2</c:v>
                </c:pt>
                <c:pt idx="4">
                  <c:v>1.5602296239207268E-2</c:v>
                </c:pt>
                <c:pt idx="5">
                  <c:v>1.3240451040563822E-2</c:v>
                </c:pt>
                <c:pt idx="6">
                  <c:v>1.077680315531063E-2</c:v>
                </c:pt>
                <c:pt idx="7">
                  <c:v>8.2260010253989695E-3</c:v>
                </c:pt>
                <c:pt idx="8">
                  <c:v>5.5758076974084378E-3</c:v>
                </c:pt>
                <c:pt idx="9">
                  <c:v>2.8413233824350834E-3</c:v>
                </c:pt>
                <c:pt idx="10">
                  <c:v>2.4258550315737723E-5</c:v>
                </c:pt>
                <c:pt idx="11">
                  <c:v>-2.8888525993700028E-3</c:v>
                </c:pt>
                <c:pt idx="12">
                  <c:v>-0.10491518885870266</c:v>
                </c:pt>
                <c:pt idx="13">
                  <c:v>-0.33224840707041242</c:v>
                </c:pt>
                <c:pt idx="14">
                  <c:v>-0.61761367824678393</c:v>
                </c:pt>
                <c:pt idx="15">
                  <c:v>-0.90699519881898549</c:v>
                </c:pt>
                <c:pt idx="16">
                  <c:v>-1.1819616354397748</c:v>
                </c:pt>
                <c:pt idx="17">
                  <c:v>-1.4425035628315832</c:v>
                </c:pt>
                <c:pt idx="18">
                  <c:v>-1.6605768706433628</c:v>
                </c:pt>
                <c:pt idx="19" formatCode="0.00%">
                  <c:v>1.2500000000000001E-2</c:v>
                </c:pt>
                <c:pt idx="20" formatCode="0%">
                  <c:v>0</c:v>
                </c:pt>
                <c:pt idx="21">
                  <c:v>-8.2127557829819921E-3</c:v>
                </c:pt>
                <c:pt idx="22">
                  <c:v>-5.6377987094651458E-3</c:v>
                </c:pt>
                <c:pt idx="23">
                  <c:v>-4.2625580799192193E-3</c:v>
                </c:pt>
                <c:pt idx="24">
                  <c:v>-4.1166195819267032E-3</c:v>
                </c:pt>
                <c:pt idx="25">
                  <c:v>-5.2312995728996991E-3</c:v>
                </c:pt>
                <c:pt idx="26">
                  <c:v>-7.6394663802684549E-3</c:v>
                </c:pt>
                <c:pt idx="27">
                  <c:v>-1.1375411800530314E-2</c:v>
                </c:pt>
                <c:pt idx="28">
                  <c:v>-1.6474758652196764E-2</c:v>
                </c:pt>
                <c:pt idx="29">
                  <c:v>-2.2974394648670911E-2</c:v>
                </c:pt>
                <c:pt idx="30">
                  <c:v>-3.0912425779307605E-2</c:v>
                </c:pt>
                <c:pt idx="31">
                  <c:v>-4.0328144358545426E-2</c:v>
                </c:pt>
                <c:pt idx="32">
                  <c:v>-0.12909381223118305</c:v>
                </c:pt>
                <c:pt idx="33">
                  <c:v>-0.35136362346651506</c:v>
                </c:pt>
                <c:pt idx="34">
                  <c:v>-0.78782974009091189</c:v>
                </c:pt>
                <c:pt idx="35">
                  <c:v>-1.7549759733417587</c:v>
                </c:pt>
                <c:pt idx="36">
                  <c:v>-3.8238810291880836</c:v>
                </c:pt>
                <c:pt idx="37">
                  <c:v>-7.8859552896725544</c:v>
                </c:pt>
                <c:pt idx="38">
                  <c:v>-15.05267269009674</c:v>
                </c:pt>
              </c:numCache>
            </c:numRef>
          </c:val>
          <c:extLst>
            <c:ext xmlns:c16="http://schemas.microsoft.com/office/drawing/2014/chart" uri="{C3380CC4-5D6E-409C-BE32-E72D297353CC}">
              <c16:uniqueId val="{00000005-237A-4492-8FB5-C93BCCC89122}"/>
            </c:ext>
          </c:extLst>
        </c:ser>
        <c:ser>
          <c:idx val="3"/>
          <c:order val="3"/>
          <c:tx>
            <c:strRef>
              <c:f>'Sensitivity Analysis (1)'!$G$4</c:f>
              <c:strCache>
                <c:ptCount val="1"/>
                <c:pt idx="0">
                  <c:v>1.25%</c:v>
                </c:pt>
              </c:strCache>
            </c:strRef>
          </c:tx>
          <c:spPr>
            <a:solidFill>
              <a:schemeClr val="accent4"/>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(1)'!$G$5:$G$23,'Sensitivity Analysis (1)'!$G$29:$G$48)</c:f>
              <c:numCache>
                <c:formatCode>0.00%</c:formatCode>
                <c:ptCount val="39"/>
                <c:pt idx="0">
                  <c:v>0</c:v>
                </c:pt>
                <c:pt idx="1">
                  <c:v>4.6972832260695145E-4</c:v>
                </c:pt>
                <c:pt idx="2">
                  <c:v>4.6254427270567359E-4</c:v>
                </c:pt>
                <c:pt idx="3">
                  <c:v>4.5655270213405889E-4</c:v>
                </c:pt>
                <c:pt idx="4">
                  <c:v>4.5161487386638673E-4</c:v>
                </c:pt>
                <c:pt idx="5">
                  <c:v>4.4760895926485608E-4</c:v>
                </c:pt>
                <c:pt idx="6">
                  <c:v>4.444255879653855E-4</c:v>
                </c:pt>
                <c:pt idx="7">
                  <c:v>4.4198844330763516E-4</c:v>
                </c:pt>
                <c:pt idx="8">
                  <c:v>4.402182342614622E-4</c:v>
                </c:pt>
                <c:pt idx="9">
                  <c:v>4.390626052341872E-4</c:v>
                </c:pt>
                <c:pt idx="10">
                  <c:v>4.3847005351257707E-4</c:v>
                </c:pt>
                <c:pt idx="11">
                  <c:v>4.3838888804509894E-4</c:v>
                </c:pt>
                <c:pt idx="12">
                  <c:v>4.0613829830617849E-4</c:v>
                </c:pt>
                <c:pt idx="13">
                  <c:v>3.7647342409399977E-4</c:v>
                </c:pt>
                <c:pt idx="14">
                  <c:v>3.5430819388589612E-4</c:v>
                </c:pt>
                <c:pt idx="15">
                  <c:v>3.3054358599160635E-4</c:v>
                </c:pt>
                <c:pt idx="16">
                  <c:v>3.0506131556267535E-4</c:v>
                </c:pt>
                <c:pt idx="17">
                  <c:v>2.7645581176117802E-4</c:v>
                </c:pt>
                <c:pt idx="18">
                  <c:v>2.5409549432124775E-4</c:v>
                </c:pt>
                <c:pt idx="19">
                  <c:v>1.2500000000000001E-2</c:v>
                </c:pt>
                <c:pt idx="20">
                  <c:v>0</c:v>
                </c:pt>
                <c:pt idx="21">
                  <c:v>4.4633873568329565E-4</c:v>
                </c:pt>
                <c:pt idx="22">
                  <c:v>4.4404991914376313E-4</c:v>
                </c:pt>
                <c:pt idx="23">
                  <c:v>4.4200965435604899E-4</c:v>
                </c:pt>
                <c:pt idx="24">
                  <c:v>4.4018215442371525E-4</c:v>
                </c:pt>
                <c:pt idx="25">
                  <c:v>4.3853827400204038E-4</c:v>
                </c:pt>
                <c:pt idx="26">
                  <c:v>4.3705403989441062E-4</c:v>
                </c:pt>
                <c:pt idx="27">
                  <c:v>4.3570955545360222E-4</c:v>
                </c:pt>
                <c:pt idx="28">
                  <c:v>4.3448817234062156E-4</c:v>
                </c:pt>
                <c:pt idx="29">
                  <c:v>4.3337585649024429E-4</c:v>
                </c:pt>
                <c:pt idx="30">
                  <c:v>4.3236069715036886E-4</c:v>
                </c:pt>
                <c:pt idx="31">
                  <c:v>4.3143252269349649E-4</c:v>
                </c:pt>
                <c:pt idx="32">
                  <c:v>4.5354181938549735E-4</c:v>
                </c:pt>
                <c:pt idx="33">
                  <c:v>5.5734089835302785E-4</c:v>
                </c:pt>
                <c:pt idx="34">
                  <c:v>7.8119663634907766E-4</c:v>
                </c:pt>
                <c:pt idx="35">
                  <c:v>1.17651908232846E-3</c:v>
                </c:pt>
                <c:pt idx="36">
                  <c:v>1.8548380650053879E-3</c:v>
                </c:pt>
                <c:pt idx="37">
                  <c:v>2.9121374932298346E-3</c:v>
                </c:pt>
                <c:pt idx="38">
                  <c:v>4.4003400023083436E-3</c:v>
                </c:pt>
              </c:numCache>
            </c:numRef>
          </c:val>
          <c:extLst>
            <c:ext xmlns:c16="http://schemas.microsoft.com/office/drawing/2014/chart" uri="{C3380CC4-5D6E-409C-BE32-E72D297353CC}">
              <c16:uniqueId val="{00000007-237A-4492-8FB5-C93BCCC89122}"/>
            </c:ext>
          </c:extLst>
        </c:ser>
        <c:ser>
          <c:idx val="4"/>
          <c:order val="4"/>
          <c:tx>
            <c:strRef>
              <c:f>'Sensitivity Analysis (1)'!$H$4</c:f>
              <c:strCache>
                <c:ptCount val="1"/>
                <c:pt idx="0">
                  <c:v>2.50%</c:v>
                </c:pt>
              </c:strCache>
            </c:strRef>
          </c:tx>
          <c:spPr>
            <a:solidFill>
              <a:schemeClr val="accent5"/>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(1)'!$H$5:$H$23,'Sensitivity Analysis (1)'!$H$29:$H$48)</c:f>
              <c:numCache>
                <c:formatCode>0.000</c:formatCode>
                <c:ptCount val="39"/>
                <c:pt idx="0" formatCode="0%">
                  <c:v>0</c:v>
                </c:pt>
                <c:pt idx="1">
                  <c:v>2.2122109867809416E-2</c:v>
                </c:pt>
                <c:pt idx="2">
                  <c:v>2.0299223926932574E-2</c:v>
                </c:pt>
                <c:pt idx="3">
                  <c:v>1.8317571728672981E-2</c:v>
                </c:pt>
                <c:pt idx="4">
                  <c:v>1.6187322530288817E-2</c:v>
                </c:pt>
                <c:pt idx="5">
                  <c:v>1.3906508762081146E-2</c:v>
                </c:pt>
                <c:pt idx="6">
                  <c:v>1.1458667507091165E-2</c:v>
                </c:pt>
                <c:pt idx="7">
                  <c:v>8.8544534754430061E-3</c:v>
                </c:pt>
                <c:pt idx="8">
                  <c:v>6.0758860682933328E-3</c:v>
                </c:pt>
                <c:pt idx="9">
                  <c:v>3.1343777329735758E-3</c:v>
                </c:pt>
                <c:pt idx="10">
                  <c:v>2.7090956911206245E-5</c:v>
                </c:pt>
                <c:pt idx="11">
                  <c:v>-3.2659814825500249E-3</c:v>
                </c:pt>
                <c:pt idx="12">
                  <c:v>-0.13409575716527963</c:v>
                </c:pt>
                <c:pt idx="13">
                  <c:v>-0.48009580655074308</c:v>
                </c:pt>
                <c:pt idx="14">
                  <c:v>-1.0089513968380686</c:v>
                </c:pt>
                <c:pt idx="15">
                  <c:v>-1.6751228522856616</c:v>
                </c:pt>
                <c:pt idx="16">
                  <c:v>-2.4679331442567642</c:v>
                </c:pt>
                <c:pt idx="17">
                  <c:v>-3.4051420974393234</c:v>
                </c:pt>
                <c:pt idx="18">
                  <c:v>-4.4316521563236693</c:v>
                </c:pt>
                <c:pt idx="19" formatCode="0.00%">
                  <c:v>2.5000000000000001E-2</c:v>
                </c:pt>
                <c:pt idx="20" formatCode="0%">
                  <c:v>0</c:v>
                </c:pt>
                <c:pt idx="21">
                  <c:v>-8.2127557829819921E-3</c:v>
                </c:pt>
                <c:pt idx="22">
                  <c:v>-1.6373499788810014E-3</c:v>
                </c:pt>
                <c:pt idx="23">
                  <c:v>2.8857401795091631E-3</c:v>
                </c:pt>
                <c:pt idx="24">
                  <c:v>5.2651222234607938E-3</c:v>
                </c:pt>
                <c:pt idx="25">
                  <c:v>5.4046714537135361E-3</c:v>
                </c:pt>
                <c:pt idx="26">
                  <c:v>3.203532837005973E-3</c:v>
                </c:pt>
                <c:pt idx="27">
                  <c:v>-1.4439229901727438E-3</c:v>
                </c:pt>
                <c:pt idx="28">
                  <c:v>-8.6481784194279918E-3</c:v>
                </c:pt>
                <c:pt idx="29">
                  <c:v>-1.8524674636924268E-2</c:v>
                </c:pt>
                <c:pt idx="30">
                  <c:v>-3.1193939185328961E-2</c:v>
                </c:pt>
                <c:pt idx="31">
                  <c:v>-4.6781731642744302E-2</c:v>
                </c:pt>
                <c:pt idx="32">
                  <c:v>-0.16690946172637153</c:v>
                </c:pt>
                <c:pt idx="33">
                  <c:v>-0.51222899202783589</c:v>
                </c:pt>
                <c:pt idx="34">
                  <c:v>-1.2963186398441506</c:v>
                </c:pt>
                <c:pt idx="35">
                  <c:v>-3.2589431940244369</c:v>
                </c:pt>
                <c:pt idx="36">
                  <c:v>-8.0160970642568508</c:v>
                </c:pt>
                <c:pt idx="37">
                  <c:v>-18.670374293844237</c:v>
                </c:pt>
                <c:pt idx="38">
                  <c:v>-40.263549692785276</c:v>
                </c:pt>
              </c:numCache>
            </c:numRef>
          </c:val>
          <c:extLst>
            <c:ext xmlns:c16="http://schemas.microsoft.com/office/drawing/2014/chart" uri="{C3380CC4-5D6E-409C-BE32-E72D297353CC}">
              <c16:uniqueId val="{00000009-237A-4492-8FB5-C93BCCC89122}"/>
            </c:ext>
          </c:extLst>
        </c:ser>
        <c:ser>
          <c:idx val="5"/>
          <c:order val="5"/>
          <c:tx>
            <c:strRef>
              <c:f>'Sensitivity Analysis (1)'!$I$4</c:f>
              <c:strCache>
                <c:ptCount val="1"/>
                <c:pt idx="0">
                  <c:v>2.50%</c:v>
                </c:pt>
              </c:strCache>
            </c:strRef>
          </c:tx>
          <c:spPr>
            <a:solidFill>
              <a:schemeClr val="accent6"/>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(1)'!$I$5:$I$23,'Sensitivity Analysis (1)'!$I$29:$I$48)</c:f>
              <c:numCache>
                <c:formatCode>0.00%</c:formatCode>
                <c:ptCount val="39"/>
                <c:pt idx="0">
                  <c:v>0</c:v>
                </c:pt>
                <c:pt idx="1">
                  <c:v>4.6972832260695145E-4</c:v>
                </c:pt>
                <c:pt idx="2">
                  <c:v>4.6825469582549681E-4</c:v>
                </c:pt>
                <c:pt idx="3">
                  <c:v>4.6789519420048953E-4</c:v>
                </c:pt>
                <c:pt idx="4">
                  <c:v>4.6854870018301557E-4</c:v>
                </c:pt>
                <c:pt idx="5">
                  <c:v>4.7012582086007214E-4</c:v>
                </c:pt>
                <c:pt idx="6">
                  <c:v>4.7254505540721218E-4</c:v>
                </c:pt>
                <c:pt idx="7">
                  <c:v>4.7575560662674809E-4</c:v>
                </c:pt>
                <c:pt idx="8">
                  <c:v>4.7970015856197464E-4</c:v>
                </c:pt>
                <c:pt idx="9">
                  <c:v>4.8434756203212759E-4</c:v>
                </c:pt>
                <c:pt idx="10">
                  <c:v>4.8966542403376711E-4</c:v>
                </c:pt>
                <c:pt idx="11">
                  <c:v>4.9561891486717786E-4</c:v>
                </c:pt>
                <c:pt idx="12">
                  <c:v>5.1909950520636868E-4</c:v>
                </c:pt>
                <c:pt idx="13">
                  <c:v>5.4400053796804001E-4</c:v>
                </c:pt>
                <c:pt idx="14">
                  <c:v>5.7880801498296321E-4</c:v>
                </c:pt>
                <c:pt idx="15">
                  <c:v>6.1047855081479375E-4</c:v>
                </c:pt>
                <c:pt idx="16">
                  <c:v>6.3696731698704946E-4</c:v>
                </c:pt>
                <c:pt idx="17">
                  <c:v>6.5259549228555711E-4</c:v>
                </c:pt>
                <c:pt idx="18">
                  <c:v>6.7811545808452178E-4</c:v>
                </c:pt>
                <c:pt idx="19">
                  <c:v>2.5000000000000001E-2</c:v>
                </c:pt>
                <c:pt idx="20">
                  <c:v>0</c:v>
                </c:pt>
                <c:pt idx="21">
                  <c:v>4.4633873568329565E-4</c:v>
                </c:pt>
                <c:pt idx="22">
                  <c:v>4.5248503547534616E-4</c:v>
                </c:pt>
                <c:pt idx="23">
                  <c:v>4.5796084097268411E-4</c:v>
                </c:pt>
                <c:pt idx="24">
                  <c:v>4.6287584725599043E-4</c:v>
                </c:pt>
                <c:pt idx="25">
                  <c:v>4.6731734110817868E-4</c:v>
                </c:pt>
                <c:pt idx="26">
                  <c:v>4.7135564381340977E-4</c:v>
                </c:pt>
                <c:pt idx="27">
                  <c:v>4.7504804350029223E-4</c:v>
                </c:pt>
                <c:pt idx="28">
                  <c:v>4.7844168390517161E-4</c:v>
                </c:pt>
                <c:pt idx="29">
                  <c:v>4.8157571863688929E-4</c:v>
                </c:pt>
                <c:pt idx="30">
                  <c:v>4.844829397478144E-4</c:v>
                </c:pt>
                <c:pt idx="31">
                  <c:v>4.8719102428439095E-4</c:v>
                </c:pt>
                <c:pt idx="32">
                  <c:v>5.79110806242542E-4</c:v>
                </c:pt>
                <c:pt idx="33">
                  <c:v>8.0438030557914949E-4</c:v>
                </c:pt>
                <c:pt idx="34">
                  <c:v>1.2746579318745779E-3</c:v>
                </c:pt>
                <c:pt idx="35">
                  <c:v>2.1706101373924576E-3</c:v>
                </c:pt>
                <c:pt idx="36">
                  <c:v>3.8695194330984678E-3</c:v>
                </c:pt>
                <c:pt idx="37">
                  <c:v>6.8694331121846195E-3</c:v>
                </c:pt>
                <c:pt idx="38">
                  <c:v>1.1736375621778657E-2</c:v>
                </c:pt>
              </c:numCache>
            </c:numRef>
          </c:val>
          <c:extLst>
            <c:ext xmlns:c16="http://schemas.microsoft.com/office/drawing/2014/chart" uri="{C3380CC4-5D6E-409C-BE32-E72D297353CC}">
              <c16:uniqueId val="{0000000B-237A-4492-8FB5-C93BCCC89122}"/>
            </c:ext>
          </c:extLst>
        </c:ser>
        <c:ser>
          <c:idx val="6"/>
          <c:order val="6"/>
          <c:tx>
            <c:strRef>
              <c:f>'Sensitivity Analysis (1)'!$J$4</c:f>
              <c:strCache>
                <c:ptCount val="1"/>
                <c:pt idx="0">
                  <c:v>3.75%</c:v>
                </c:pt>
              </c:strCache>
            </c:strRef>
          </c:tx>
          <c:spPr>
            <a:solidFill>
              <a:schemeClr val="accent1">
                <a:lumMod val="60000"/>
              </a:schemeClr>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(1)'!$J$5:$J$23,'Sensitivity Analysis (1)'!$J$29:$J$48)</c:f>
              <c:numCache>
                <c:formatCode>0.000</c:formatCode>
                <c:ptCount val="39"/>
                <c:pt idx="0" formatCode="0%">
                  <c:v>0</c:v>
                </c:pt>
                <c:pt idx="1">
                  <c:v>2.2122109867809416E-2</c:v>
                </c:pt>
                <c:pt idx="2">
                  <c:v>2.0546775438236593E-2</c:v>
                </c:pt>
                <c:pt idx="3">
                  <c:v>1.8767065978410245E-2</c:v>
                </c:pt>
                <c:pt idx="4">
                  <c:v>1.6786793190076709E-2</c:v>
                </c:pt>
                <c:pt idx="5">
                  <c:v>1.4597385377340675E-2</c:v>
                </c:pt>
                <c:pt idx="6">
                  <c:v>1.217461728296256E-2</c:v>
                </c:pt>
                <c:pt idx="7">
                  <c:v>9.5224170959136486E-3</c:v>
                </c:pt>
                <c:pt idx="8">
                  <c:v>6.6139255441129211E-3</c:v>
                </c:pt>
                <c:pt idx="9">
                  <c:v>3.4535460659056902E-3</c:v>
                </c:pt>
                <c:pt idx="10">
                  <c:v>3.0213602101445199E-5</c:v>
                </c:pt>
                <c:pt idx="11">
                  <c:v>-3.6868555123958585E-3</c:v>
                </c:pt>
                <c:pt idx="12">
                  <c:v>-0.17088338436795211</c:v>
                </c:pt>
                <c:pt idx="13">
                  <c:v>-0.69064538218464377</c:v>
                </c:pt>
                <c:pt idx="14">
                  <c:v>-1.6384750994346742</c:v>
                </c:pt>
                <c:pt idx="15">
                  <c:v>-3.0708504225852749</c:v>
                </c:pt>
                <c:pt idx="16">
                  <c:v>-5.1072579146825117</c:v>
                </c:pt>
                <c:pt idx="17">
                  <c:v>-7.9548508149122998</c:v>
                </c:pt>
                <c:pt idx="18">
                  <c:v>-11.687048985198674</c:v>
                </c:pt>
                <c:pt idx="19" formatCode="0.00%">
                  <c:v>3.7499999999999999E-2</c:v>
                </c:pt>
                <c:pt idx="20" formatCode="0%">
                  <c:v>0</c:v>
                </c:pt>
                <c:pt idx="21">
                  <c:v>-8.2127557829819921E-3</c:v>
                </c:pt>
                <c:pt idx="22">
                  <c:v>3.6635941380759479E-3</c:v>
                </c:pt>
                <c:pt idx="23">
                  <c:v>1.2447606382865309E-2</c:v>
                </c:pt>
                <c:pt idx="24">
                  <c:v>1.7949537118659972E-2</c:v>
                </c:pt>
                <c:pt idx="25">
                  <c:v>1.9967857750693322E-2</c:v>
                </c:pt>
                <c:pt idx="26">
                  <c:v>1.8288768391133071E-2</c:v>
                </c:pt>
                <c:pt idx="27">
                  <c:v>1.2685646704346418E-2</c:v>
                </c:pt>
                <c:pt idx="28">
                  <c:v>2.9184396943423749E-3</c:v>
                </c:pt>
                <c:pt idx="29">
                  <c:v>-1.1266996946859956E-2</c:v>
                </c:pt>
                <c:pt idx="30">
                  <c:v>-3.013960929458356E-2</c:v>
                </c:pt>
                <c:pt idx="31">
                  <c:v>-5.3983904184824467E-2</c:v>
                </c:pt>
                <c:pt idx="32">
                  <c:v>-0.21458324249171687</c:v>
                </c:pt>
                <c:pt idx="33">
                  <c:v>-0.74131746570967005</c:v>
                </c:pt>
                <c:pt idx="34">
                  <c:v>-2.1142970755907307</c:v>
                </c:pt>
                <c:pt idx="35">
                  <c:v>-5.9917292163216702</c:v>
                </c:pt>
                <c:pt idx="36">
                  <c:v>-16.620190971836319</c:v>
                </c:pt>
                <c:pt idx="37">
                  <c:v>-43.67037520637485</c:v>
                </c:pt>
                <c:pt idx="38">
                  <c:v>-106.27219189882275</c:v>
                </c:pt>
              </c:numCache>
            </c:numRef>
          </c:val>
          <c:extLst>
            <c:ext xmlns:c16="http://schemas.microsoft.com/office/drawing/2014/chart" uri="{C3380CC4-5D6E-409C-BE32-E72D297353CC}">
              <c16:uniqueId val="{0000000D-237A-4492-8FB5-C93BCCC89122}"/>
            </c:ext>
          </c:extLst>
        </c:ser>
        <c:ser>
          <c:idx val="7"/>
          <c:order val="7"/>
          <c:tx>
            <c:strRef>
              <c:f>'Sensitivity Analysis (1)'!$K$4</c:f>
              <c:strCache>
                <c:ptCount val="1"/>
                <c:pt idx="0">
                  <c:v>3.75%</c:v>
                </c:pt>
              </c:strCache>
            </c:strRef>
          </c:tx>
          <c:spPr>
            <a:solidFill>
              <a:schemeClr val="accent2">
                <a:lumMod val="60000"/>
              </a:schemeClr>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(1)'!$K$5:$K$23,'Sensitivity Analysis (1)'!$K$29:$K$48)</c:f>
              <c:numCache>
                <c:formatCode>0.00%</c:formatCode>
                <c:ptCount val="39"/>
                <c:pt idx="0">
                  <c:v>0</c:v>
                </c:pt>
                <c:pt idx="1">
                  <c:v>4.6972832260695145E-4</c:v>
                </c:pt>
                <c:pt idx="2">
                  <c:v>4.7396511894531998E-4</c:v>
                </c:pt>
                <c:pt idx="3">
                  <c:v>4.7937685794871717E-4</c:v>
                </c:pt>
                <c:pt idx="4">
                  <c:v>4.8590062468541146E-4</c:v>
                </c:pt>
                <c:pt idx="5">
                  <c:v>4.934817142348073E-4</c:v>
                </c:pt>
                <c:pt idx="6">
                  <c:v>5.0207017482433282E-4</c:v>
                </c:pt>
                <c:pt idx="7">
                  <c:v>5.1164573110965212E-4</c:v>
                </c:pt>
                <c:pt idx="8">
                  <c:v>5.2217916803682328E-4</c:v>
                </c:pt>
                <c:pt idx="9">
                  <c:v>5.3366784730199119E-4</c:v>
                </c:pt>
                <c:pt idx="10">
                  <c:v>5.461068183324479E-4</c:v>
                </c:pt>
                <c:pt idx="11">
                  <c:v>5.5948735107313736E-4</c:v>
                </c:pt>
                <c:pt idx="12">
                  <c:v>6.6150847833358162E-4</c:v>
                </c:pt>
                <c:pt idx="13">
                  <c:v>7.8257600738672122E-4</c:v>
                </c:pt>
                <c:pt idx="14">
                  <c:v>9.3994866638259344E-4</c:v>
                </c:pt>
                <c:pt idx="15">
                  <c:v>1.1191348223749055E-3</c:v>
                </c:pt>
                <c:pt idx="16">
                  <c:v>1.3181703802012446E-3</c:v>
                </c:pt>
                <c:pt idx="17">
                  <c:v>1.5245471804303655E-3</c:v>
                </c:pt>
                <c:pt idx="18">
                  <c:v>1.788310159890498E-3</c:v>
                </c:pt>
                <c:pt idx="19">
                  <c:v>3.7499999999999999E-2</c:v>
                </c:pt>
                <c:pt idx="20">
                  <c:v>0</c:v>
                </c:pt>
                <c:pt idx="21">
                  <c:v>4.4633873568329565E-4</c:v>
                </c:pt>
                <c:pt idx="22">
                  <c:v>4.6186372397480303E-4</c:v>
                </c:pt>
                <c:pt idx="23">
                  <c:v>4.7570124123765868E-4</c:v>
                </c:pt>
                <c:pt idx="24">
                  <c:v>4.8812283095078378E-4</c:v>
                </c:pt>
                <c:pt idx="25">
                  <c:v>4.9934531832699052E-4</c:v>
                </c:pt>
                <c:pt idx="26">
                  <c:v>5.0954395023683496E-4</c:v>
                </c:pt>
                <c:pt idx="27">
                  <c:v>5.188619248162272E-4</c:v>
                </c:pt>
                <c:pt idx="28">
                  <c:v>5.2741741703133446E-4</c:v>
                </c:pt>
                <c:pt idx="29">
                  <c:v>5.3530883542533348E-4</c:v>
                </c:pt>
                <c:pt idx="30">
                  <c:v>5.4261880856202942E-4</c:v>
                </c:pt>
                <c:pt idx="31">
                  <c:v>5.494172453705576E-4</c:v>
                </c:pt>
                <c:pt idx="32">
                  <c:v>7.3741427134925311E-4</c:v>
                </c:pt>
                <c:pt idx="33">
                  <c:v>1.15618928253197E-3</c:v>
                </c:pt>
                <c:pt idx="34">
                  <c:v>2.0684622780683878E-3</c:v>
                </c:pt>
                <c:pt idx="35">
                  <c:v>3.9769248647416825E-3</c:v>
                </c:pt>
                <c:pt idx="36">
                  <c:v>8.0044465313006338E-3</c:v>
                </c:pt>
                <c:pt idx="37">
                  <c:v>1.6043074645099232E-2</c:v>
                </c:pt>
                <c:pt idx="38">
                  <c:v>3.0944027555692828E-2</c:v>
                </c:pt>
              </c:numCache>
            </c:numRef>
          </c:val>
          <c:extLst>
            <c:ext xmlns:c16="http://schemas.microsoft.com/office/drawing/2014/chart" uri="{C3380CC4-5D6E-409C-BE32-E72D297353CC}">
              <c16:uniqueId val="{0000000F-237A-4492-8FB5-C93BCCC89122}"/>
            </c:ext>
          </c:extLst>
        </c:ser>
        <c:ser>
          <c:idx val="8"/>
          <c:order val="8"/>
          <c:tx>
            <c:strRef>
              <c:f>'Sensitivity Analysis (1)'!$L$4</c:f>
              <c:strCache>
                <c:ptCount val="1"/>
                <c:pt idx="0">
                  <c:v>5%</c:v>
                </c:pt>
              </c:strCache>
            </c:strRef>
          </c:tx>
          <c:spPr>
            <a:solidFill>
              <a:schemeClr val="accent3">
                <a:lumMod val="60000"/>
              </a:schemeClr>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(1)'!$L$5:$L$23,'Sensitivity Analysis (1)'!$L$29:$L$48)</c:f>
              <c:numCache>
                <c:formatCode>0.000</c:formatCode>
                <c:ptCount val="39"/>
                <c:pt idx="0" formatCode="0%">
                  <c:v>0</c:v>
                </c:pt>
                <c:pt idx="1">
                  <c:v>2.2122109867809416E-2</c:v>
                </c:pt>
                <c:pt idx="2">
                  <c:v>2.0794326949540854E-2</c:v>
                </c:pt>
                <c:pt idx="3">
                  <c:v>1.9222008643295169E-2</c:v>
                </c:pt>
                <c:pt idx="4">
                  <c:v>1.7400884369409085E-2</c:v>
                </c:pt>
                <c:pt idx="5">
                  <c:v>1.531368990121007E-2</c:v>
                </c:pt>
                <c:pt idx="6">
                  <c:v>1.2925914717159868E-2</c:v>
                </c:pt>
                <c:pt idx="7">
                  <c:v>1.0231854657624245E-2</c:v>
                </c:pt>
                <c:pt idx="8">
                  <c:v>7.192297735817671E-3</c:v>
                </c:pt>
                <c:pt idx="9">
                  <c:v>3.8007981218178273E-3</c:v>
                </c:pt>
                <c:pt idx="10">
                  <c:v>3.3652183519124982E-5</c:v>
                </c:pt>
                <c:pt idx="11">
                  <c:v>-4.1559283816056253E-3</c:v>
                </c:pt>
                <c:pt idx="12">
                  <c:v>-0.21713193887715768</c:v>
                </c:pt>
                <c:pt idx="13">
                  <c:v>-0.98921552333112528</c:v>
                </c:pt>
                <c:pt idx="14">
                  <c:v>-2.6453771203747376</c:v>
                </c:pt>
                <c:pt idx="15">
                  <c:v>-5.5887971559620953</c:v>
                </c:pt>
                <c:pt idx="16">
                  <c:v>-10.477542020787469</c:v>
                </c:pt>
                <c:pt idx="17">
                  <c:v>-18.395669455937622</c:v>
                </c:pt>
                <c:pt idx="18">
                  <c:v>-30.464942250761677</c:v>
                </c:pt>
                <c:pt idx="19" formatCode="0%">
                  <c:v>0.05</c:v>
                </c:pt>
                <c:pt idx="20" formatCode="0%">
                  <c:v>0</c:v>
                </c:pt>
                <c:pt idx="21">
                  <c:v>-8.2127557829819921E-3</c:v>
                </c:pt>
                <c:pt idx="22">
                  <c:v>1.039743705633688E-2</c:v>
                </c:pt>
                <c:pt idx="23">
                  <c:v>2.4687847360014201E-2</c:v>
                </c:pt>
                <c:pt idx="24">
                  <c:v>3.4326532750061034E-2</c:v>
                </c:pt>
                <c:pt idx="25">
                  <c:v>3.8956592308233735E-2</c:v>
                </c:pt>
                <c:pt idx="26">
                  <c:v>3.8194557266948939E-2</c:v>
                </c:pt>
                <c:pt idx="27">
                  <c:v>3.1628639916562201E-2</c:v>
                </c:pt>
                <c:pt idx="28">
                  <c:v>1.8816840598212242E-2</c:v>
                </c:pt>
                <c:pt idx="29">
                  <c:v>-7.1509015356850626E-4</c:v>
                </c:pt>
                <c:pt idx="30">
                  <c:v>-2.7475839306630372E-2</c:v>
                </c:pt>
                <c:pt idx="31">
                  <c:v>-6.2010875438172103E-2</c:v>
                </c:pt>
                <c:pt idx="32">
                  <c:v>-0.27451761760753823</c:v>
                </c:pt>
                <c:pt idx="33">
                  <c:v>-1.0661767190056619</c:v>
                </c:pt>
                <c:pt idx="34">
                  <c:v>-3.4226261133083153</c:v>
                </c:pt>
                <c:pt idx="35">
                  <c:v>-10.921781315517524</c:v>
                </c:pt>
                <c:pt idx="36">
                  <c:v>-34.127103829648377</c:v>
                </c:pt>
                <c:pt idx="37">
                  <c:v>-101.04118546303155</c:v>
                </c:pt>
                <c:pt idx="38">
                  <c:v>-277.11098503233461</c:v>
                </c:pt>
              </c:numCache>
            </c:numRef>
          </c:val>
          <c:extLst>
            <c:ext xmlns:c16="http://schemas.microsoft.com/office/drawing/2014/chart" uri="{C3380CC4-5D6E-409C-BE32-E72D297353CC}">
              <c16:uniqueId val="{00000011-237A-4492-8FB5-C93BCCC89122}"/>
            </c:ext>
          </c:extLst>
        </c:ser>
        <c:ser>
          <c:idx val="9"/>
          <c:order val="9"/>
          <c:tx>
            <c:strRef>
              <c:f>'Sensitivity Analysis (1)'!$M$4</c:f>
              <c:strCache>
                <c:ptCount val="1"/>
                <c:pt idx="0">
                  <c:v>5.00%</c:v>
                </c:pt>
              </c:strCache>
            </c:strRef>
          </c:tx>
          <c:spPr>
            <a:solidFill>
              <a:schemeClr val="accent4">
                <a:lumMod val="60000"/>
              </a:schemeClr>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(1)'!$M$5:$M$23,'Sensitivity Analysis (1)'!$M$29:$M$48)</c:f>
              <c:numCache>
                <c:formatCode>0.00%</c:formatCode>
                <c:ptCount val="39"/>
                <c:pt idx="0">
                  <c:v>0</c:v>
                </c:pt>
                <c:pt idx="1">
                  <c:v>4.6972832260695145E-4</c:v>
                </c:pt>
                <c:pt idx="2">
                  <c:v>4.7967554206514314E-4</c:v>
                </c:pt>
                <c:pt idx="3">
                  <c:v>4.9099769337874099E-4</c:v>
                </c:pt>
                <c:pt idx="4">
                  <c:v>5.0367574613193746E-4</c:v>
                </c:pt>
                <c:pt idx="5">
                  <c:v>5.1769722785012713E-4</c:v>
                </c:pt>
                <c:pt idx="6">
                  <c:v>5.3305299961179319E-4</c:v>
                </c:pt>
                <c:pt idx="7">
                  <c:v>5.4976427772255232E-4</c:v>
                </c:pt>
                <c:pt idx="8">
                  <c:v>5.678425048654429E-4</c:v>
                </c:pt>
                <c:pt idx="9">
                  <c:v>5.8732784013631448E-4</c:v>
                </c:pt>
                <c:pt idx="10">
                  <c:v>6.0825871770743632E-4</c:v>
                </c:pt>
                <c:pt idx="11">
                  <c:v>6.3067005301844755E-4</c:v>
                </c:pt>
                <c:pt idx="12">
                  <c:v>8.4054174731798255E-4</c:v>
                </c:pt>
                <c:pt idx="13">
                  <c:v>1.1208883091995737E-3</c:v>
                </c:pt>
                <c:pt idx="14">
                  <c:v>1.5175810100703938E-3</c:v>
                </c:pt>
                <c:pt idx="15">
                  <c:v>2.0367704875581005E-3</c:v>
                </c:pt>
                <c:pt idx="16">
                  <c:v>2.7042271566922612E-3</c:v>
                </c:pt>
                <c:pt idx="17">
                  <c:v>3.5255301015331315E-3</c:v>
                </c:pt>
                <c:pt idx="18">
                  <c:v>4.6616357830375167E-3</c:v>
                </c:pt>
                <c:pt idx="19">
                  <c:v>0.05</c:v>
                </c:pt>
                <c:pt idx="20">
                  <c:v>0</c:v>
                </c:pt>
                <c:pt idx="21">
                  <c:v>4.4633873568329565E-4</c:v>
                </c:pt>
                <c:pt idx="22">
                  <c:v>4.7228204970977669E-4</c:v>
                </c:pt>
                <c:pt idx="23">
                  <c:v>4.9541227974418981E-4</c:v>
                </c:pt>
                <c:pt idx="24">
                  <c:v>5.1618113992817581E-4</c:v>
                </c:pt>
                <c:pt idx="25">
                  <c:v>5.3494971049345634E-4</c:v>
                </c:pt>
                <c:pt idx="26">
                  <c:v>5.5201014504618223E-4</c:v>
                </c:pt>
                <c:pt idx="27">
                  <c:v>5.6760142926255079E-4</c:v>
                </c:pt>
                <c:pt idx="28">
                  <c:v>5.8192100965425721E-4</c:v>
                </c:pt>
                <c:pt idx="29">
                  <c:v>5.95133502306163E-4</c:v>
                </c:pt>
                <c:pt idx="30">
                  <c:v>6.0737730273808545E-4</c:v>
                </c:pt>
                <c:pt idx="31">
                  <c:v>6.1876966437257944E-4</c:v>
                </c:pt>
                <c:pt idx="32">
                  <c:v>9.364297282214492E-4</c:v>
                </c:pt>
                <c:pt idx="33">
                  <c:v>1.6550725293357738E-3</c:v>
                </c:pt>
                <c:pt idx="34">
                  <c:v>3.338125671387397E-3</c:v>
                </c:pt>
                <c:pt idx="35">
                  <c:v>7.2355867726690776E-3</c:v>
                </c:pt>
                <c:pt idx="36">
                  <c:v>1.6417861024355163E-2</c:v>
                </c:pt>
                <c:pt idx="37">
                  <c:v>3.7095043786573759E-2</c:v>
                </c:pt>
                <c:pt idx="38">
                  <c:v>8.0655882937840193E-2</c:v>
                </c:pt>
              </c:numCache>
            </c:numRef>
          </c:val>
          <c:extLst>
            <c:ext xmlns:c16="http://schemas.microsoft.com/office/drawing/2014/chart" uri="{C3380CC4-5D6E-409C-BE32-E72D297353CC}">
              <c16:uniqueId val="{00000013-237A-4492-8FB5-C93BCCC89122}"/>
            </c:ext>
          </c:extLst>
        </c:ser>
        <c:ser>
          <c:idx val="10"/>
          <c:order val="10"/>
          <c:tx>
            <c:strRef>
              <c:f>'Sensitivity Analysis (1)'!$N$4</c:f>
              <c:strCache>
                <c:ptCount val="1"/>
                <c:pt idx="0">
                  <c:v>6.25%</c:v>
                </c:pt>
              </c:strCache>
            </c:strRef>
          </c:tx>
          <c:spPr>
            <a:solidFill>
              <a:schemeClr val="accent5">
                <a:lumMod val="60000"/>
              </a:schemeClr>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(1)'!$N$5:$N$23,'Sensitivity Analysis (1)'!$N$29:$N$48)</c:f>
              <c:numCache>
                <c:formatCode>0.000</c:formatCode>
                <c:ptCount val="39"/>
                <c:pt idx="0" formatCode="0%">
                  <c:v>0</c:v>
                </c:pt>
                <c:pt idx="1">
                  <c:v>2.2122109867809416E-2</c:v>
                </c:pt>
                <c:pt idx="2">
                  <c:v>2.1041878460844755E-2</c:v>
                </c:pt>
                <c:pt idx="3">
                  <c:v>1.9682399723329067E-2</c:v>
                </c:pt>
                <c:pt idx="4">
                  <c:v>1.8029772219123483E-2</c:v>
                </c:pt>
                <c:pt idx="5">
                  <c:v>1.6056038730554105E-2</c:v>
                </c:pt>
                <c:pt idx="6">
                  <c:v>1.371385282785666E-2</c:v>
                </c:pt>
                <c:pt idx="7">
                  <c:v>1.0984801168161988E-2</c:v>
                </c:pt>
                <c:pt idx="8">
                  <c:v>7.8134913361237041E-3</c:v>
                </c:pt>
                <c:pt idx="9">
                  <c:v>4.178225930529118E-3</c:v>
                </c:pt>
                <c:pt idx="10">
                  <c:v>3.7434324912071228E-5</c:v>
                </c:pt>
                <c:pt idx="11">
                  <c:v>-4.6780456054198744E-3</c:v>
                </c:pt>
                <c:pt idx="12">
                  <c:v>-0.27511641489340494</c:v>
                </c:pt>
                <c:pt idx="13">
                  <c:v>-1.4108476285454787</c:v>
                </c:pt>
                <c:pt idx="14">
                  <c:v>-4.2469111888854671</c:v>
                </c:pt>
                <c:pt idx="15">
                  <c:v>-10.099510613241478</c:v>
                </c:pt>
                <c:pt idx="16">
                  <c:v>-21.312666561234014</c:v>
                </c:pt>
                <c:pt idx="17">
                  <c:v>-42.120194985864359</c:v>
                </c:pt>
                <c:pt idx="18">
                  <c:v>-78.518416303510463</c:v>
                </c:pt>
                <c:pt idx="19" formatCode="0.00%">
                  <c:v>6.25E-2</c:v>
                </c:pt>
                <c:pt idx="20" formatCode="0%">
                  <c:v>0</c:v>
                </c:pt>
                <c:pt idx="21">
                  <c:v>-8.2127557829819921E-3</c:v>
                </c:pt>
                <c:pt idx="22">
                  <c:v>1.8708230646720527E-2</c:v>
                </c:pt>
                <c:pt idx="23">
                  <c:v>3.9894566852590442E-2</c:v>
                </c:pt>
                <c:pt idx="24">
                  <c:v>5.4820962131710532E-2</c:v>
                </c:pt>
                <c:pt idx="25">
                  <c:v>6.2915422780439142E-2</c:v>
                </c:pt>
                <c:pt idx="26">
                  <c:v>6.3555417413076049E-2</c:v>
                </c:pt>
                <c:pt idx="27">
                  <c:v>5.6063699329032539E-2</c:v>
                </c:pt>
                <c:pt idx="28">
                  <c:v>3.9703766202165126E-2</c:v>
                </c:pt>
                <c:pt idx="29">
                  <c:v>1.3674933461320638E-2</c:v>
                </c:pt>
                <c:pt idx="30">
                  <c:v>-2.2893005694141388E-2</c:v>
                </c:pt>
                <c:pt idx="31">
                  <c:v>-7.0945563887541058E-2</c:v>
                </c:pt>
                <c:pt idx="32">
                  <c:v>-0.34966079501777364</c:v>
                </c:pt>
                <c:pt idx="33">
                  <c:v>-1.5249335469309062</c:v>
                </c:pt>
                <c:pt idx="34">
                  <c:v>-5.5035967372130283</c:v>
                </c:pt>
                <c:pt idx="35">
                  <c:v>-19.753601327495193</c:v>
                </c:pt>
                <c:pt idx="36">
                  <c:v>-69.449179419187317</c:v>
                </c:pt>
                <c:pt idx="37">
                  <c:v>-231.40407168906543</c:v>
                </c:pt>
                <c:pt idx="38">
                  <c:v>-714.29514605317672</c:v>
                </c:pt>
              </c:numCache>
            </c:numRef>
          </c:val>
          <c:extLst>
            <c:ext xmlns:c16="http://schemas.microsoft.com/office/drawing/2014/chart" uri="{C3380CC4-5D6E-409C-BE32-E72D297353CC}">
              <c16:uniqueId val="{00000015-237A-4492-8FB5-C93BCCC89122}"/>
            </c:ext>
          </c:extLst>
        </c:ser>
        <c:ser>
          <c:idx val="11"/>
          <c:order val="11"/>
          <c:tx>
            <c:strRef>
              <c:f>'Sensitivity Analysis (1)'!$O$4</c:f>
              <c:strCache>
                <c:ptCount val="1"/>
                <c:pt idx="0">
                  <c:v>6.25%</c:v>
                </c:pt>
              </c:strCache>
            </c:strRef>
          </c:tx>
          <c:spPr>
            <a:solidFill>
              <a:schemeClr val="accent6">
                <a:lumMod val="60000"/>
              </a:schemeClr>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(1)'!$O$5:$O$23,'Sensitivity Analysis (1)'!$O$29:$O$48)</c:f>
              <c:numCache>
                <c:formatCode>0.00%</c:formatCode>
                <c:ptCount val="39"/>
                <c:pt idx="0">
                  <c:v>0</c:v>
                </c:pt>
                <c:pt idx="1">
                  <c:v>4.6972832260695145E-4</c:v>
                </c:pt>
                <c:pt idx="2">
                  <c:v>4.853859651849662E-4</c:v>
                </c:pt>
                <c:pt idx="3">
                  <c:v>5.0275770049056188E-4</c:v>
                </c:pt>
                <c:pt idx="4">
                  <c:v>5.2187916328095651E-4</c:v>
                </c:pt>
                <c:pt idx="5">
                  <c:v>5.4279319972420296E-4</c:v>
                </c:pt>
                <c:pt idx="6">
                  <c:v>5.6554685266637901E-4</c:v>
                </c:pt>
                <c:pt idx="7">
                  <c:v>5.9022058876103626E-4</c:v>
                </c:pt>
                <c:pt idx="8">
                  <c:v>6.1688665500503337E-4</c:v>
                </c:pt>
                <c:pt idx="9">
                  <c:v>6.456508166778974E-4</c:v>
                </c:pt>
                <c:pt idx="10">
                  <c:v>6.7662041771353158E-4</c:v>
                </c:pt>
                <c:pt idx="11">
                  <c:v>7.0990233687648699E-4</c:v>
                </c:pt>
                <c:pt idx="12">
                  <c:v>1.065006066294051E-3</c:v>
                </c:pt>
                <c:pt idx="13">
                  <c:v>1.5986431425714896E-3</c:v>
                </c:pt>
                <c:pt idx="14">
                  <c:v>2.4363376102667224E-3</c:v>
                </c:pt>
                <c:pt idx="15">
                  <c:v>3.6806462252589899E-3</c:v>
                </c:pt>
                <c:pt idx="16">
                  <c:v>5.5007454593901444E-3</c:v>
                </c:pt>
                <c:pt idx="17">
                  <c:v>8.0723354842179556E-3</c:v>
                </c:pt>
                <c:pt idx="18">
                  <c:v>1.2014605380016075E-2</c:v>
                </c:pt>
                <c:pt idx="19">
                  <c:v>6.25E-2</c:v>
                </c:pt>
                <c:pt idx="20">
                  <c:v>0</c:v>
                </c:pt>
                <c:pt idx="21">
                  <c:v>4.4633873568329565E-4</c:v>
                </c:pt>
                <c:pt idx="22">
                  <c:v>4.8384452926483794E-4</c:v>
                </c:pt>
                <c:pt idx="23">
                  <c:v>5.1729134227782264E-4</c:v>
                </c:pt>
                <c:pt idx="24">
                  <c:v>5.4733148676389533E-4</c:v>
                </c:pt>
                <c:pt idx="25">
                  <c:v>5.7448675664746964E-4</c:v>
                </c:pt>
                <c:pt idx="26">
                  <c:v>5.9917966520514425E-4</c:v>
                </c:pt>
                <c:pt idx="27">
                  <c:v>6.2175613278229352E-4</c:v>
                </c:pt>
                <c:pt idx="28">
                  <c:v>6.4250223626094232E-4</c:v>
                </c:pt>
                <c:pt idx="29">
                  <c:v>6.6165675838955054E-4</c:v>
                </c:pt>
                <c:pt idx="30">
                  <c:v>6.7942071709778862E-4</c:v>
                </c:pt>
                <c:pt idx="31">
                  <c:v>6.9596469067028321E-4</c:v>
                </c:pt>
                <c:pt idx="32">
                  <c:v>1.1859468668289155E-3</c:v>
                </c:pt>
                <c:pt idx="33">
                  <c:v>2.3595810002711255E-3</c:v>
                </c:pt>
                <c:pt idx="34">
                  <c:v>5.3575964219206903E-3</c:v>
                </c:pt>
                <c:pt idx="35">
                  <c:v>1.3073236126394336E-2</c:v>
                </c:pt>
                <c:pt idx="36">
                  <c:v>3.339282771913623E-2</c:v>
                </c:pt>
                <c:pt idx="37">
                  <c:v>8.4931137537848395E-2</c:v>
                </c:pt>
                <c:pt idx="38">
                  <c:v>0.20787075837335642</c:v>
                </c:pt>
              </c:numCache>
            </c:numRef>
          </c:val>
          <c:extLst>
            <c:ext xmlns:c16="http://schemas.microsoft.com/office/drawing/2014/chart" uri="{C3380CC4-5D6E-409C-BE32-E72D297353CC}">
              <c16:uniqueId val="{00000017-237A-4492-8FB5-C93BCCC89122}"/>
            </c:ext>
          </c:extLst>
        </c:ser>
        <c:ser>
          <c:idx val="12"/>
          <c:order val="12"/>
          <c:tx>
            <c:strRef>
              <c:f>'Sensitivity Analysis (1)'!$P$4</c:f>
              <c:strCache>
                <c:ptCount val="1"/>
                <c:pt idx="0">
                  <c:v>7.50%</c:v>
                </c:pt>
              </c:strCache>
            </c:strRef>
          </c:tx>
          <c:spPr>
            <a:solidFill>
              <a:schemeClr val="accent1">
                <a:lumMod val="80000"/>
                <a:lumOff val="20000"/>
              </a:schemeClr>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(1)'!$P$5:$P$23,'Sensitivity Analysis (1)'!$P$29:$P$48)</c:f>
              <c:numCache>
                <c:formatCode>0.000</c:formatCode>
                <c:ptCount val="39"/>
                <c:pt idx="0" formatCode="0%">
                  <c:v>0</c:v>
                </c:pt>
                <c:pt idx="1">
                  <c:v>2.2122109867809416E-2</c:v>
                </c:pt>
                <c:pt idx="2">
                  <c:v>2.1289429972148777E-2</c:v>
                </c:pt>
                <c:pt idx="3">
                  <c:v>2.0148239218510628E-2</c:v>
                </c:pt>
                <c:pt idx="4">
                  <c:v>1.8673632890057801E-2</c:v>
                </c:pt>
                <c:pt idx="5">
                  <c:v>1.6825055644235969E-2</c:v>
                </c:pt>
                <c:pt idx="6">
                  <c:v>1.4539755788058282E-2</c:v>
                </c:pt>
                <c:pt idx="7">
                  <c:v>1.1783365622934579E-2</c:v>
                </c:pt>
                <c:pt idx="8">
                  <c:v>8.4801164021539692E-3</c:v>
                </c:pt>
                <c:pt idx="9">
                  <c:v>4.5880498110411165E-3</c:v>
                </c:pt>
                <c:pt idx="10">
                  <c:v>4.1589694982290268E-5</c:v>
                </c:pt>
                <c:pt idx="11">
                  <c:v>-5.2584737058963774E-3</c:v>
                </c:pt>
                <c:pt idx="12">
                  <c:v>-0.34762180801199627</c:v>
                </c:pt>
                <c:pt idx="13">
                  <c:v>-2.0038530890163764</c:v>
                </c:pt>
                <c:pt idx="14">
                  <c:v>-6.7803825939493905</c:v>
                </c:pt>
                <c:pt idx="15">
                  <c:v>-18.124941201826715</c:v>
                </c:pt>
                <c:pt idx="16">
                  <c:v>-42.994145531522321</c:v>
                </c:pt>
                <c:pt idx="17">
                  <c:v>-95.511828644881149</c:v>
                </c:pt>
                <c:pt idx="18">
                  <c:v>-200.13985174814277</c:v>
                </c:pt>
                <c:pt idx="19" formatCode="0.00%">
                  <c:v>7.4999999999999997E-2</c:v>
                </c:pt>
                <c:pt idx="20" formatCode="0%">
                  <c:v>0</c:v>
                </c:pt>
                <c:pt idx="21">
                  <c:v>-8.2127557829819921E-3</c:v>
                </c:pt>
                <c:pt idx="22">
                  <c:v>2.8752542852380634E-2</c:v>
                </c:pt>
                <c:pt idx="23">
                  <c:v>5.8380900746903421E-2</c:v>
                </c:pt>
                <c:pt idx="24">
                  <c:v>7.9895226494667168E-2</c:v>
                </c:pt>
                <c:pt idx="25">
                  <c:v>9.2438581951133247E-2</c:v>
                </c:pt>
                <c:pt idx="26">
                  <c:v>9.5066381230017899E-2</c:v>
                </c:pt>
                <c:pt idx="27">
                  <c:v>8.673781361136651E-2</c:v>
                </c:pt>
                <c:pt idx="28">
                  <c:v>6.6306423647974497E-2</c:v>
                </c:pt>
                <c:pt idx="29">
                  <c:v>3.2509773584908488E-2</c:v>
                </c:pt>
                <c:pt idx="30">
                  <c:v>-1.6041895055278779E-2</c:v>
                </c:pt>
                <c:pt idx="31">
                  <c:v>-8.0878092462491516E-2</c:v>
                </c:pt>
                <c:pt idx="32">
                  <c:v>-0.44362190310439775</c:v>
                </c:pt>
                <c:pt idx="33">
                  <c:v>-2.1701531604839839</c:v>
                </c:pt>
                <c:pt idx="34">
                  <c:v>-8.795490224900826</c:v>
                </c:pt>
                <c:pt idx="35">
                  <c:v>-35.467115198038208</c:v>
                </c:pt>
                <c:pt idx="36">
                  <c:v>-140.12993959159974</c:v>
                </c:pt>
                <c:pt idx="37">
                  <c:v>-524.78348850111399</c:v>
                </c:pt>
                <c:pt idx="38">
                  <c:v>-1820.7909044794199</c:v>
                </c:pt>
              </c:numCache>
            </c:numRef>
          </c:val>
          <c:extLst>
            <c:ext xmlns:c16="http://schemas.microsoft.com/office/drawing/2014/chart" uri="{C3380CC4-5D6E-409C-BE32-E72D297353CC}">
              <c16:uniqueId val="{00000019-237A-4492-8FB5-C93BCCC89122}"/>
            </c:ext>
          </c:extLst>
        </c:ser>
        <c:ser>
          <c:idx val="13"/>
          <c:order val="13"/>
          <c:tx>
            <c:strRef>
              <c:f>'Sensitivity Analysis (1)'!$Q$4</c:f>
              <c:strCache>
                <c:ptCount val="1"/>
                <c:pt idx="0">
                  <c:v>7.50%</c:v>
                </c:pt>
              </c:strCache>
            </c:strRef>
          </c:tx>
          <c:spPr>
            <a:solidFill>
              <a:schemeClr val="accent2">
                <a:lumMod val="80000"/>
                <a:lumOff val="20000"/>
              </a:schemeClr>
            </a:solidFill>
            <a:ln>
              <a:noFill/>
            </a:ln>
            <a:effectLst/>
          </c:spPr>
          <c:invertIfNegative val="0"/>
          <c:cat>
            <c:strRef>
              <c:f>('Sensitivity Analysis (1)'!$C$5:$C$23,'Sensitivity Analysis (1)'!$C$29:$C$48)</c:f>
              <c:strCache>
                <c:ptCount val="39"/>
                <c:pt idx="0">
                  <c:v> </c:v>
                </c:pt>
                <c:pt idx="1">
                  <c:v>2020</c:v>
                </c:pt>
                <c:pt idx="2">
                  <c:v>2021</c:v>
                </c:pt>
                <c:pt idx="3">
                  <c:v>2022</c:v>
                </c:pt>
                <c:pt idx="4">
                  <c:v>2023</c:v>
                </c:pt>
                <c:pt idx="5">
                  <c:v>2024</c:v>
                </c:pt>
                <c:pt idx="6">
                  <c:v>2025</c:v>
                </c:pt>
                <c:pt idx="7">
                  <c:v>2026</c:v>
                </c:pt>
                <c:pt idx="8">
                  <c:v>2027</c:v>
                </c:pt>
                <c:pt idx="9">
                  <c:v>2028</c:v>
                </c:pt>
                <c:pt idx="10">
                  <c:v>2029</c:v>
                </c:pt>
                <c:pt idx="11">
                  <c:v>2030</c:v>
                </c:pt>
                <c:pt idx="12">
                  <c:v>2040</c:v>
                </c:pt>
                <c:pt idx="13">
                  <c:v>2050</c:v>
                </c:pt>
                <c:pt idx="14">
                  <c:v>2060</c:v>
                </c:pt>
                <c:pt idx="15">
                  <c:v>2070</c:v>
                </c:pt>
                <c:pt idx="16">
                  <c:v>2080</c:v>
                </c:pt>
                <c:pt idx="17">
                  <c:v>2090</c:v>
                </c:pt>
                <c:pt idx="18">
                  <c:v>2100</c:v>
                </c:pt>
                <c:pt idx="20">
                  <c:v>Year</c:v>
                </c:pt>
                <c:pt idx="21">
                  <c:v>2020</c:v>
                </c:pt>
                <c:pt idx="22">
                  <c:v>2021</c:v>
                </c:pt>
                <c:pt idx="23">
                  <c:v>2022</c:v>
                </c:pt>
                <c:pt idx="24">
                  <c:v>2023</c:v>
                </c:pt>
                <c:pt idx="25">
                  <c:v>2024</c:v>
                </c:pt>
                <c:pt idx="26">
                  <c:v>2025</c:v>
                </c:pt>
                <c:pt idx="27">
                  <c:v>2026</c:v>
                </c:pt>
                <c:pt idx="28">
                  <c:v>2027</c:v>
                </c:pt>
                <c:pt idx="29">
                  <c:v>2028</c:v>
                </c:pt>
                <c:pt idx="30">
                  <c:v>2029</c:v>
                </c:pt>
                <c:pt idx="31">
                  <c:v>2030</c:v>
                </c:pt>
                <c:pt idx="32">
                  <c:v>2040</c:v>
                </c:pt>
                <c:pt idx="33">
                  <c:v>2050</c:v>
                </c:pt>
                <c:pt idx="34">
                  <c:v>2060</c:v>
                </c:pt>
                <c:pt idx="35">
                  <c:v>2070</c:v>
                </c:pt>
                <c:pt idx="36">
                  <c:v>2080</c:v>
                </c:pt>
                <c:pt idx="37">
                  <c:v>2090</c:v>
                </c:pt>
                <c:pt idx="38">
                  <c:v>2100</c:v>
                </c:pt>
              </c:strCache>
            </c:strRef>
          </c:cat>
          <c:val>
            <c:numRef>
              <c:f>('Sensitivity Analysis (1)'!$Q$5:$Q$23,'Sensitivity Analysis (1)'!$Q$29:$Q$48)</c:f>
              <c:numCache>
                <c:formatCode>0.00%</c:formatCode>
                <c:ptCount val="39"/>
                <c:pt idx="0">
                  <c:v>0</c:v>
                </c:pt>
                <c:pt idx="1">
                  <c:v>4.6972832260695145E-4</c:v>
                </c:pt>
                <c:pt idx="2">
                  <c:v>4.9109638830478937E-4</c:v>
                </c:pt>
                <c:pt idx="3">
                  <c:v>5.1465687928417916E-4</c:v>
                </c:pt>
                <c:pt idx="4">
                  <c:v>5.4051597489083178E-4</c:v>
                </c:pt>
                <c:pt idx="5">
                  <c:v>5.6879071743230791E-4</c:v>
                </c:pt>
                <c:pt idx="6">
                  <c:v>5.9960634168181471E-4</c:v>
                </c:pt>
                <c:pt idx="7">
                  <c:v>6.3312798193493499E-4</c:v>
                </c:pt>
                <c:pt idx="8">
                  <c:v>6.6951768631170713E-4</c:v>
                </c:pt>
                <c:pt idx="9">
                  <c:v>7.0897987727587986E-4</c:v>
                </c:pt>
                <c:pt idx="10">
                  <c:v>7.5172817613125054E-4</c:v>
                </c:pt>
                <c:pt idx="11">
                  <c:v>7.9798340740718215E-4</c:v>
                </c:pt>
                <c:pt idx="12">
                  <c:v>1.3456824611949281E-3</c:v>
                </c:pt>
                <c:pt idx="13">
                  <c:v>2.2705825453166301E-3</c:v>
                </c:pt>
                <c:pt idx="14">
                  <c:v>3.8897213506298859E-3</c:v>
                </c:pt>
                <c:pt idx="15">
                  <c:v>6.6054187150493366E-3</c:v>
                </c:pt>
                <c:pt idx="16">
                  <c:v>1.1096680470901479E-2</c:v>
                </c:pt>
                <c:pt idx="17">
                  <c:v>1.8304842220967177E-2</c:v>
                </c:pt>
                <c:pt idx="18">
                  <c:v>3.0624679569108297E-2</c:v>
                </c:pt>
                <c:pt idx="19">
                  <c:v>7.4999999999999997E-2</c:v>
                </c:pt>
                <c:pt idx="20">
                  <c:v>0</c:v>
                </c:pt>
                <c:pt idx="21">
                  <c:v>4.4633873568329565E-4</c:v>
                </c:pt>
                <c:pt idx="22">
                  <c:v>4.9666476023909375E-4</c:v>
                </c:pt>
                <c:pt idx="23">
                  <c:v>5.4155296466010131E-4</c:v>
                </c:pt>
                <c:pt idx="24">
                  <c:v>5.8187895133517077E-4</c:v>
                </c:pt>
                <c:pt idx="25">
                  <c:v>6.1834356931819278E-4</c:v>
                </c:pt>
                <c:pt idx="26">
                  <c:v>6.5151474596236399E-4</c:v>
                </c:pt>
                <c:pt idx="27">
                  <c:v>6.8185787849787158E-4</c:v>
                </c:pt>
                <c:pt idx="28">
                  <c:v>7.0975827846522018E-4</c:v>
                </c:pt>
                <c:pt idx="29">
                  <c:v>7.3553799427344805E-4</c:v>
                </c:pt>
                <c:pt idx="30">
                  <c:v>7.5946859101479268E-4</c:v>
                </c:pt>
                <c:pt idx="31">
                  <c:v>7.8178097949681107E-4</c:v>
                </c:pt>
                <c:pt idx="32">
                  <c:v>1.4979500005554518E-3</c:v>
                </c:pt>
                <c:pt idx="33">
                  <c:v>3.3504385868874747E-3</c:v>
                </c:pt>
                <c:pt idx="34">
                  <c:v>8.5522030808953195E-3</c:v>
                </c:pt>
                <c:pt idx="35">
                  <c:v>2.3459542002954886E-2</c:v>
                </c:pt>
                <c:pt idx="36">
                  <c:v>6.7360354538082437E-2</c:v>
                </c:pt>
                <c:pt idx="37">
                  <c:v>0.19258543772710612</c:v>
                </c:pt>
                <c:pt idx="38">
                  <c:v>0.52984655857031526</c:v>
                </c:pt>
              </c:numCache>
            </c:numRef>
          </c:val>
          <c:extLst>
            <c:ext xmlns:c16="http://schemas.microsoft.com/office/drawing/2014/chart" uri="{C3380CC4-5D6E-409C-BE32-E72D297353CC}">
              <c16:uniqueId val="{0000001B-237A-4492-8FB5-C93BCCC89122}"/>
            </c:ext>
          </c:extLst>
        </c:ser>
        <c:dLbls>
          <c:showLegendKey val="0"/>
          <c:showVal val="0"/>
          <c:showCatName val="0"/>
          <c:showSerName val="0"/>
          <c:showPercent val="0"/>
          <c:showBubbleSize val="0"/>
        </c:dLbls>
        <c:gapWidth val="219"/>
        <c:overlap val="-27"/>
        <c:axId val="1131991303"/>
        <c:axId val="1328153448"/>
      </c:barChart>
      <c:catAx>
        <c:axId val="1131991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8153448"/>
        <c:crosses val="autoZero"/>
        <c:auto val="1"/>
        <c:lblAlgn val="ctr"/>
        <c:lblOffset val="100"/>
        <c:noMultiLvlLbl val="0"/>
      </c:catAx>
      <c:valAx>
        <c:axId val="132815344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99130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Relative % Involuntary Difference - SSP1</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'Sensitivitiy Analysis 1'!$AB$4</c:f>
              <c:strCache>
                <c:ptCount val="1"/>
                <c:pt idx="0">
                  <c:v>0.005%</c:v>
                </c:pt>
              </c:strCache>
            </c:strRef>
          </c:tx>
          <c:spPr>
            <a:ln w="9525" cap="rnd">
              <a:solidFill>
                <a:schemeClr val="accent1"/>
              </a:solidFill>
              <a:round/>
            </a:ln>
            <a:effectLst>
              <a:outerShdw blurRad="57150" dist="19050" dir="5400000" algn="ctr" rotWithShape="0">
                <a:srgbClr val="000000">
                  <a:alpha val="63000"/>
                </a:srgbClr>
              </a:outerShdw>
            </a:effectLst>
          </c:spPr>
          <c:marker>
            <c:symbol val="none"/>
          </c:marker>
          <c:xVal>
            <c:numRef>
              <c:f>'Sensitivitiy Analysis 1'!$V$5:$V$22</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1'!$AB$5:$AB$22</c:f>
              <c:numCache>
                <c:formatCode>0.00%</c:formatCode>
                <c:ptCount val="18"/>
                <c:pt idx="0">
                  <c:v>0</c:v>
                </c:pt>
                <c:pt idx="1">
                  <c:v>-5.0266187027050112E-4</c:v>
                </c:pt>
                <c:pt idx="2">
                  <c:v>-8.9688776465452554E-4</c:v>
                </c:pt>
                <c:pt idx="3">
                  <c:v>-1.1668146267170536E-3</c:v>
                </c:pt>
                <c:pt idx="4">
                  <c:v>-1.31638411810243E-3</c:v>
                </c:pt>
                <c:pt idx="5">
                  <c:v>-1.3683077224743983E-3</c:v>
                </c:pt>
                <c:pt idx="6">
                  <c:v>-1.3068290487456896E-3</c:v>
                </c:pt>
                <c:pt idx="7">
                  <c:v>-1.1539551311286942E-3</c:v>
                </c:pt>
                <c:pt idx="8">
                  <c:v>-8.940258625202449E-4</c:v>
                </c:pt>
                <c:pt idx="9">
                  <c:v>-5.3018755439662398E-4</c:v>
                </c:pt>
                <c:pt idx="10">
                  <c:v>-8.3481515881048826E-5</c:v>
                </c:pt>
                <c:pt idx="11">
                  <c:v>-9.3703967629142266E-5</c:v>
                </c:pt>
                <c:pt idx="12">
                  <c:v>-9.4476438333477555E-5</c:v>
                </c:pt>
                <c:pt idx="13">
                  <c:v>-9.4257044668623064E-5</c:v>
                </c:pt>
                <c:pt idx="14">
                  <c:v>-9.320051082995386E-5</c:v>
                </c:pt>
                <c:pt idx="15">
                  <c:v>-9.1306933448065069E-5</c:v>
                </c:pt>
                <c:pt idx="16">
                  <c:v>-8.8535748724796225E-5</c:v>
                </c:pt>
                <c:pt idx="17">
                  <c:v>-8.5003490710271488E-5</c:v>
                </c:pt>
              </c:numCache>
            </c:numRef>
          </c:yVal>
          <c:smooth val="1"/>
          <c:extLst>
            <c:ext xmlns:c16="http://schemas.microsoft.com/office/drawing/2014/chart" uri="{C3380CC4-5D6E-409C-BE32-E72D297353CC}">
              <c16:uniqueId val="{00000000-FC60-4A57-BFB1-7555A0B6ECF3}"/>
            </c:ext>
          </c:extLst>
        </c:ser>
        <c:ser>
          <c:idx val="1"/>
          <c:order val="1"/>
          <c:tx>
            <c:strRef>
              <c:f>'Sensitivitiy Analysis 1'!$AC$4</c:f>
              <c:strCache>
                <c:ptCount val="1"/>
                <c:pt idx="0">
                  <c:v>0.05%</c:v>
                </c:pt>
              </c:strCache>
            </c:strRef>
          </c:tx>
          <c:spPr>
            <a:ln w="9525" cap="rnd">
              <a:solidFill>
                <a:schemeClr val="accent2"/>
              </a:solidFill>
              <a:round/>
            </a:ln>
            <a:effectLst>
              <a:outerShdw blurRad="57150" dist="19050" dir="5400000" algn="ctr" rotWithShape="0">
                <a:srgbClr val="000000">
                  <a:alpha val="63000"/>
                </a:srgbClr>
              </a:outerShdw>
            </a:effectLst>
          </c:spPr>
          <c:marker>
            <c:symbol val="none"/>
          </c:marker>
          <c:xVal>
            <c:numRef>
              <c:f>'Sensitivitiy Analysis 1'!$V$5:$V$22</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1'!$AC$5:$AC$22</c:f>
              <c:numCache>
                <c:formatCode>0.00%</c:formatCode>
                <c:ptCount val="18"/>
                <c:pt idx="0">
                  <c:v>0</c:v>
                </c:pt>
                <c:pt idx="1">
                  <c:v>-5.7564623325946239E-4</c:v>
                </c:pt>
                <c:pt idx="2">
                  <c:v>-1.0432652060280699E-3</c:v>
                </c:pt>
                <c:pt idx="3">
                  <c:v>-1.3870161497958507E-3</c:v>
                </c:pt>
                <c:pt idx="4">
                  <c:v>-1.6108622742657993E-3</c:v>
                </c:pt>
                <c:pt idx="5">
                  <c:v>-1.7375289035502237E-3</c:v>
                </c:pt>
                <c:pt idx="6">
                  <c:v>-1.7512841577890007E-3</c:v>
                </c:pt>
                <c:pt idx="7">
                  <c:v>-1.6741450140239313E-3</c:v>
                </c:pt>
                <c:pt idx="8">
                  <c:v>-1.4904774464520483E-3</c:v>
                </c:pt>
                <c:pt idx="9">
                  <c:v>-1.2034462742818595E-3</c:v>
                </c:pt>
                <c:pt idx="10">
                  <c:v>-8.3409724070548637E-4</c:v>
                </c:pt>
                <c:pt idx="11">
                  <c:v>-9.3614457733123748E-4</c:v>
                </c:pt>
                <c:pt idx="12">
                  <c:v>-9.4386190541279557E-4</c:v>
                </c:pt>
                <c:pt idx="13">
                  <c:v>-9.4167006450442668E-4</c:v>
                </c:pt>
                <c:pt idx="14">
                  <c:v>-9.3111481856407051E-4</c:v>
                </c:pt>
                <c:pt idx="15">
                  <c:v>-9.1219713297956172E-4</c:v>
                </c:pt>
                <c:pt idx="16">
                  <c:v>-8.8451175724527618E-4</c:v>
                </c:pt>
                <c:pt idx="17">
                  <c:v>-8.4922291868390007E-4</c:v>
                </c:pt>
              </c:numCache>
            </c:numRef>
          </c:yVal>
          <c:smooth val="1"/>
          <c:extLst>
            <c:ext xmlns:c16="http://schemas.microsoft.com/office/drawing/2014/chart" uri="{C3380CC4-5D6E-409C-BE32-E72D297353CC}">
              <c16:uniqueId val="{0000000A-FC60-4A57-BFB1-7555A0B6ECF3}"/>
            </c:ext>
          </c:extLst>
        </c:ser>
        <c:ser>
          <c:idx val="2"/>
          <c:order val="2"/>
          <c:tx>
            <c:strRef>
              <c:f>'Sensitivitiy Analysis 1'!$AD$4</c:f>
              <c:strCache>
                <c:ptCount val="1"/>
                <c:pt idx="0">
                  <c:v>0.50%</c:v>
                </c:pt>
              </c:strCache>
            </c:strRef>
          </c:tx>
          <c:spPr>
            <a:ln w="9525" cap="rnd">
              <a:solidFill>
                <a:schemeClr val="accent3"/>
              </a:solidFill>
              <a:round/>
            </a:ln>
            <a:effectLst>
              <a:outerShdw blurRad="57150" dist="19050" dir="5400000" algn="ctr" rotWithShape="0">
                <a:srgbClr val="000000">
                  <a:alpha val="63000"/>
                </a:srgbClr>
              </a:outerShdw>
            </a:effectLst>
          </c:spPr>
          <c:marker>
            <c:symbol val="none"/>
          </c:marker>
          <c:xVal>
            <c:numRef>
              <c:f>'Sensitivitiy Analysis 1'!$V$5:$V$22</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1'!$AD$5:$AD$22</c:f>
              <c:numCache>
                <c:formatCode>0.00%</c:formatCode>
                <c:ptCount val="18"/>
                <c:pt idx="0">
                  <c:v>0</c:v>
                </c:pt>
                <c:pt idx="1">
                  <c:v>-1.3054898631476525E-3</c:v>
                </c:pt>
                <c:pt idx="2">
                  <c:v>-2.5054958146046458E-3</c:v>
                </c:pt>
                <c:pt idx="3">
                  <c:v>-3.584391828180765E-3</c:v>
                </c:pt>
                <c:pt idx="4">
                  <c:v>-4.5463472968641479E-3</c:v>
                </c:pt>
                <c:pt idx="5">
                  <c:v>-5.4142158768114342E-3</c:v>
                </c:pt>
                <c:pt idx="6">
                  <c:v>-6.1724994337382872E-3</c:v>
                </c:pt>
                <c:pt idx="7">
                  <c:v>-6.8433027770773269E-3</c:v>
                </c:pt>
                <c:pt idx="8">
                  <c:v>-7.4112394045248824E-3</c:v>
                </c:pt>
                <c:pt idx="9">
                  <c:v>-7.8796453983104413E-3</c:v>
                </c:pt>
                <c:pt idx="10">
                  <c:v>-8.2695975293065882E-3</c:v>
                </c:pt>
                <c:pt idx="11">
                  <c:v>-9.2725227510083615E-3</c:v>
                </c:pt>
                <c:pt idx="12">
                  <c:v>-9.3489629739634036E-3</c:v>
                </c:pt>
                <c:pt idx="13">
                  <c:v>-9.327252764686678E-3</c:v>
                </c:pt>
                <c:pt idx="14">
                  <c:v>-9.2227029328626146E-3</c:v>
                </c:pt>
                <c:pt idx="15">
                  <c:v>-9.0353230406673788E-3</c:v>
                </c:pt>
                <c:pt idx="16">
                  <c:v>-8.7610990772067389E-3</c:v>
                </c:pt>
                <c:pt idx="17">
                  <c:v>-8.4115627274372936E-3</c:v>
                </c:pt>
              </c:numCache>
            </c:numRef>
          </c:yVal>
          <c:smooth val="1"/>
          <c:extLst>
            <c:ext xmlns:c16="http://schemas.microsoft.com/office/drawing/2014/chart" uri="{C3380CC4-5D6E-409C-BE32-E72D297353CC}">
              <c16:uniqueId val="{0000000B-FC60-4A57-BFB1-7555A0B6ECF3}"/>
            </c:ext>
          </c:extLst>
        </c:ser>
        <c:ser>
          <c:idx val="3"/>
          <c:order val="3"/>
          <c:tx>
            <c:strRef>
              <c:f>'Sensitivitiy Analysis 1'!$AE$4</c:f>
              <c:strCache>
                <c:ptCount val="1"/>
                <c:pt idx="0">
                  <c:v>1.00%</c:v>
                </c:pt>
              </c:strCache>
            </c:strRef>
          </c:tx>
          <c:spPr>
            <a:ln w="9525" cap="rnd">
              <a:solidFill>
                <a:schemeClr val="accent4"/>
              </a:solidFill>
              <a:round/>
            </a:ln>
            <a:effectLst>
              <a:outerShdw blurRad="57150" dist="19050" dir="5400000" algn="ctr" rotWithShape="0">
                <a:srgbClr val="000000">
                  <a:alpha val="63000"/>
                </a:srgbClr>
              </a:outerShdw>
            </a:effectLst>
          </c:spPr>
          <c:marker>
            <c:symbol val="none"/>
          </c:marker>
          <c:xVal>
            <c:numRef>
              <c:f>'Sensitivitiy Analysis 1'!$V$5:$V$22</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1'!$AE$5:$AE$22</c:f>
              <c:numCache>
                <c:formatCode>0.00%</c:formatCode>
                <c:ptCount val="18"/>
                <c:pt idx="0">
                  <c:v>0</c:v>
                </c:pt>
                <c:pt idx="1">
                  <c:v>-2.1164272296899278E-3</c:v>
                </c:pt>
                <c:pt idx="2">
                  <c:v>-4.126903527742789E-3</c:v>
                </c:pt>
                <c:pt idx="3">
                  <c:v>-6.01603857042988E-3</c:v>
                </c:pt>
                <c:pt idx="4">
                  <c:v>-7.7882257991744672E-3</c:v>
                </c:pt>
                <c:pt idx="5">
                  <c:v>-9.466455021763881E-3</c:v>
                </c:pt>
                <c:pt idx="6">
                  <c:v>-1.1035478833353174E-2</c:v>
                </c:pt>
                <c:pt idx="7">
                  <c:v>-1.2517490327080778E-2</c:v>
                </c:pt>
                <c:pt idx="8">
                  <c:v>-1.3897365272383016E-2</c:v>
                </c:pt>
                <c:pt idx="9">
                  <c:v>-1.5178616312168972E-2</c:v>
                </c:pt>
                <c:pt idx="10">
                  <c:v>-1.6382342136982475E-2</c:v>
                </c:pt>
                <c:pt idx="11">
                  <c:v>-1.834991129531215E-2</c:v>
                </c:pt>
                <c:pt idx="12">
                  <c:v>-1.8501183106477682E-2</c:v>
                </c:pt>
                <c:pt idx="13">
                  <c:v>-1.8458219565149685E-2</c:v>
                </c:pt>
                <c:pt idx="14">
                  <c:v>-1.8251320084670845E-2</c:v>
                </c:pt>
                <c:pt idx="15">
                  <c:v>-1.7880503588164186E-2</c:v>
                </c:pt>
                <c:pt idx="16">
                  <c:v>-1.7337826526087462E-2</c:v>
                </c:pt>
                <c:pt idx="17">
                  <c:v>-1.664610959154993E-2</c:v>
                </c:pt>
              </c:numCache>
            </c:numRef>
          </c:yVal>
          <c:smooth val="1"/>
          <c:extLst>
            <c:ext xmlns:c16="http://schemas.microsoft.com/office/drawing/2014/chart" uri="{C3380CC4-5D6E-409C-BE32-E72D297353CC}">
              <c16:uniqueId val="{0000000C-FC60-4A57-BFB1-7555A0B6ECF3}"/>
            </c:ext>
          </c:extLst>
        </c:ser>
        <c:ser>
          <c:idx val="4"/>
          <c:order val="4"/>
          <c:tx>
            <c:strRef>
              <c:f>'Sensitivitiy Analysis 1'!$AF$4</c:f>
              <c:strCache>
                <c:ptCount val="1"/>
                <c:pt idx="0">
                  <c:v>2.00%</c:v>
                </c:pt>
              </c:strCache>
            </c:strRef>
          </c:tx>
          <c:spPr>
            <a:ln w="9525" cap="rnd">
              <a:solidFill>
                <a:schemeClr val="accent5"/>
              </a:solidFill>
              <a:round/>
            </a:ln>
            <a:effectLst>
              <a:outerShdw blurRad="57150" dist="19050" dir="5400000" algn="ctr" rotWithShape="0">
                <a:srgbClr val="000000">
                  <a:alpha val="63000"/>
                </a:srgbClr>
              </a:outerShdw>
            </a:effectLst>
          </c:spPr>
          <c:marker>
            <c:symbol val="none"/>
          </c:marker>
          <c:xVal>
            <c:numRef>
              <c:f>'Sensitivitiy Analysis 1'!$V$5:$V$22</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1'!$AF$5:$AF$22</c:f>
              <c:numCache>
                <c:formatCode>0.00%</c:formatCode>
                <c:ptCount val="18"/>
                <c:pt idx="0">
                  <c:v>0</c:v>
                </c:pt>
                <c:pt idx="1">
                  <c:v>-3.7383019627744785E-3</c:v>
                </c:pt>
                <c:pt idx="2">
                  <c:v>-7.3593141070133761E-3</c:v>
                </c:pt>
                <c:pt idx="3">
                  <c:v>-1.0848196935371347E-2</c:v>
                </c:pt>
                <c:pt idx="4">
                  <c:v>-1.4209865818034319E-2</c:v>
                </c:pt>
                <c:pt idx="5">
                  <c:v>-1.7467653252676761E-2</c:v>
                </c:pt>
                <c:pt idx="6">
                  <c:v>-2.0606876414117851E-2</c:v>
                </c:pt>
                <c:pt idx="7">
                  <c:v>-2.364996761168266E-2</c:v>
                </c:pt>
                <c:pt idx="8">
                  <c:v>-2.6582379402715166E-2</c:v>
                </c:pt>
                <c:pt idx="9">
                  <c:v>-2.9408026983705825E-2</c:v>
                </c:pt>
                <c:pt idx="10">
                  <c:v>-3.2148106014039189E-2</c:v>
                </c:pt>
                <c:pt idx="11">
                  <c:v>-3.5934503028833574E-2</c:v>
                </c:pt>
                <c:pt idx="12">
                  <c:v>-3.6230737559291015E-2</c:v>
                </c:pt>
                <c:pt idx="13">
                  <c:v>-3.6146602356612018E-2</c:v>
                </c:pt>
                <c:pt idx="14">
                  <c:v>-3.5741432550159893E-2</c:v>
                </c:pt>
                <c:pt idx="15">
                  <c:v>-3.5015265196955386E-2</c:v>
                </c:pt>
                <c:pt idx="16">
                  <c:v>-3.3952544499451634E-2</c:v>
                </c:pt>
                <c:pt idx="17">
                  <c:v>-3.259796006145603E-2</c:v>
                </c:pt>
              </c:numCache>
            </c:numRef>
          </c:yVal>
          <c:smooth val="1"/>
          <c:extLst>
            <c:ext xmlns:c16="http://schemas.microsoft.com/office/drawing/2014/chart" uri="{C3380CC4-5D6E-409C-BE32-E72D297353CC}">
              <c16:uniqueId val="{0000000D-FC60-4A57-BFB1-7555A0B6ECF3}"/>
            </c:ext>
          </c:extLst>
        </c:ser>
        <c:dLbls>
          <c:showLegendKey val="0"/>
          <c:showVal val="0"/>
          <c:showCatName val="0"/>
          <c:showSerName val="0"/>
          <c:showPercent val="0"/>
          <c:showBubbleSize val="0"/>
        </c:dLbls>
        <c:axId val="965063519"/>
        <c:axId val="1903276255"/>
      </c:scatterChart>
      <c:valAx>
        <c:axId val="9650635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Relocation Levels</a:t>
                </a:r>
              </a:p>
            </c:rich>
          </c:tx>
          <c:layout>
            <c:manualLayout>
              <c:xMode val="edge"/>
              <c:yMode val="edge"/>
              <c:x val="0.42304746281714783"/>
              <c:y val="0.897869726065888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3276255"/>
        <c:crosses val="autoZero"/>
        <c:crossBetween val="midCat"/>
      </c:valAx>
      <c:valAx>
        <c:axId val="190327625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063519"/>
        <c:crosses val="autoZero"/>
        <c:crossBetween val="midCat"/>
      </c:valAx>
      <c:spPr>
        <a:noFill/>
        <a:ln>
          <a:noFill/>
        </a:ln>
        <a:effectLst/>
      </c:spPr>
    </c:plotArea>
    <c:legend>
      <c:legendPos val="b"/>
      <c:layout>
        <c:manualLayout>
          <c:xMode val="edge"/>
          <c:yMode val="edge"/>
          <c:x val="0.11085809985650596"/>
          <c:y val="0.8163190247943708"/>
          <c:w val="0.7882839020122485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Relocation % Involuntary Difference - SSP2</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'Sensitivitiy Analysis 1'!$AB$27</c:f>
              <c:strCache>
                <c:ptCount val="1"/>
                <c:pt idx="0">
                  <c:v>0.005%</c:v>
                </c:pt>
              </c:strCache>
            </c:strRef>
          </c:tx>
          <c:spPr>
            <a:ln w="9525" cap="rnd">
              <a:solidFill>
                <a:schemeClr val="accent1"/>
              </a:solidFill>
              <a:round/>
            </a:ln>
            <a:effectLst>
              <a:outerShdw blurRad="57150" dist="19050" dir="5400000" algn="ctr" rotWithShape="0">
                <a:srgbClr val="000000">
                  <a:alpha val="63000"/>
                </a:srgbClr>
              </a:outerShdw>
            </a:effectLst>
          </c:spPr>
          <c:marker>
            <c:symbol val="none"/>
          </c:marker>
          <c:xVal>
            <c:numRef>
              <c:f>'Sensitivitiy Analysis 1'!$V$28:$V$45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1'!$AB$28:$AB$45</c:f>
              <c:numCache>
                <c:formatCode>0.00%</c:formatCode>
                <c:ptCount val="18"/>
                <c:pt idx="0">
                  <c:v>0</c:v>
                </c:pt>
                <c:pt idx="1">
                  <c:v>-6.52062318220952E-4</c:v>
                </c:pt>
                <c:pt idx="2">
                  <c:v>-1.1324199138044596E-3</c:v>
                </c:pt>
                <c:pt idx="3">
                  <c:v>-1.4665956350153871E-3</c:v>
                </c:pt>
                <c:pt idx="4">
                  <c:v>-1.6788637770361176E-3</c:v>
                </c:pt>
                <c:pt idx="5">
                  <c:v>-1.7358763785080946E-3</c:v>
                </c:pt>
                <c:pt idx="6">
                  <c:v>-1.6430036435057388E-3</c:v>
                </c:pt>
                <c:pt idx="7">
                  <c:v>-1.4421294856850817E-3</c:v>
                </c:pt>
                <c:pt idx="8">
                  <c:v>-1.1004824985172659E-3</c:v>
                </c:pt>
                <c:pt idx="9">
                  <c:v>-6.4068055028942885E-4</c:v>
                </c:pt>
                <c:pt idx="10">
                  <c:v>-8.4340548609340027E-5</c:v>
                </c:pt>
                <c:pt idx="11">
                  <c:v>-9.5677059049651628E-5</c:v>
                </c:pt>
                <c:pt idx="12">
                  <c:v>-9.7649831886296529E-5</c:v>
                </c:pt>
                <c:pt idx="13">
                  <c:v>-9.870379361630167E-5</c:v>
                </c:pt>
                <c:pt idx="14">
                  <c:v>-9.9098769423105896E-5</c:v>
                </c:pt>
                <c:pt idx="15">
                  <c:v>-9.885232625907307E-5</c:v>
                </c:pt>
                <c:pt idx="16">
                  <c:v>-9.805430481490462E-5</c:v>
                </c:pt>
                <c:pt idx="17">
                  <c:v>-9.6933050520580153E-5</c:v>
                </c:pt>
              </c:numCache>
            </c:numRef>
          </c:yVal>
          <c:smooth val="1"/>
          <c:extLst>
            <c:ext xmlns:c16="http://schemas.microsoft.com/office/drawing/2014/chart" uri="{C3380CC4-5D6E-409C-BE32-E72D297353CC}">
              <c16:uniqueId val="{0000000A-F351-4C6A-A06C-C0A69BEB0FA1}"/>
            </c:ext>
          </c:extLst>
        </c:ser>
        <c:ser>
          <c:idx val="1"/>
          <c:order val="1"/>
          <c:tx>
            <c:strRef>
              <c:f>'Sensitivitiy Analysis 1'!$AC$27</c:f>
              <c:strCache>
                <c:ptCount val="1"/>
                <c:pt idx="0">
                  <c:v>0.05%</c:v>
                </c:pt>
              </c:strCache>
            </c:strRef>
          </c:tx>
          <c:spPr>
            <a:ln w="9525" cap="rnd">
              <a:solidFill>
                <a:schemeClr val="accent2"/>
              </a:solidFill>
              <a:round/>
            </a:ln>
            <a:effectLst>
              <a:outerShdw blurRad="57150" dist="19050" dir="5400000" algn="ctr" rotWithShape="0">
                <a:srgbClr val="000000">
                  <a:alpha val="63000"/>
                </a:srgbClr>
              </a:outerShdw>
            </a:effectLst>
          </c:spPr>
          <c:marker>
            <c:symbol val="none"/>
          </c:marker>
          <c:xVal>
            <c:numRef>
              <c:f>'Sensitivitiy Analysis 1'!$V$28:$V$45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1'!$AC$28:$AC$45</c:f>
              <c:numCache>
                <c:formatCode>0.00%</c:formatCode>
                <c:ptCount val="18"/>
                <c:pt idx="0">
                  <c:v>0</c:v>
                </c:pt>
                <c:pt idx="1">
                  <c:v>-7.2511929248876366E-4</c:v>
                </c:pt>
                <c:pt idx="2">
                  <c:v>-1.2790906372857804E-3</c:v>
                </c:pt>
                <c:pt idx="3">
                  <c:v>-1.6874607477619843E-3</c:v>
                </c:pt>
                <c:pt idx="4">
                  <c:v>-1.9745212348338767E-3</c:v>
                </c:pt>
                <c:pt idx="5">
                  <c:v>-2.1069561661294684E-3</c:v>
                </c:pt>
                <c:pt idx="6">
                  <c:v>-2.0901611288141322E-3</c:v>
                </c:pt>
                <c:pt idx="7">
                  <c:v>-1.9660252601290829E-3</c:v>
                </c:pt>
                <c:pt idx="8">
                  <c:v>-1.7018149791649465E-3</c:v>
                </c:pt>
                <c:pt idx="9">
                  <c:v>-1.3201589968205615E-3</c:v>
                </c:pt>
                <c:pt idx="10">
                  <c:v>-8.4267928930681097E-4</c:v>
                </c:pt>
                <c:pt idx="11">
                  <c:v>-9.5585551595088556E-4</c:v>
                </c:pt>
                <c:pt idx="12">
                  <c:v>-9.7556437632447337E-4</c:v>
                </c:pt>
                <c:pt idx="13">
                  <c:v>-9.8609391332488789E-4</c:v>
                </c:pt>
                <c:pt idx="14">
                  <c:v>-9.9003989376570452E-4</c:v>
                </c:pt>
                <c:pt idx="15">
                  <c:v>-9.8757781915553801E-4</c:v>
                </c:pt>
                <c:pt idx="16">
                  <c:v>-9.7960523715256965E-4</c:v>
                </c:pt>
                <c:pt idx="17">
                  <c:v>-9.6840341810909645E-4</c:v>
                </c:pt>
              </c:numCache>
            </c:numRef>
          </c:yVal>
          <c:smooth val="1"/>
          <c:extLst>
            <c:ext xmlns:c16="http://schemas.microsoft.com/office/drawing/2014/chart" uri="{C3380CC4-5D6E-409C-BE32-E72D297353CC}">
              <c16:uniqueId val="{0000000B-F351-4C6A-A06C-C0A69BEB0FA1}"/>
            </c:ext>
          </c:extLst>
        </c:ser>
        <c:ser>
          <c:idx val="2"/>
          <c:order val="2"/>
          <c:tx>
            <c:strRef>
              <c:f>'Sensitivitiy Analysis 1'!$AD$27</c:f>
              <c:strCache>
                <c:ptCount val="1"/>
                <c:pt idx="0">
                  <c:v>0.50%</c:v>
                </c:pt>
              </c:strCache>
            </c:strRef>
          </c:tx>
          <c:spPr>
            <a:ln w="9525" cap="rnd">
              <a:solidFill>
                <a:schemeClr val="accent3"/>
              </a:solidFill>
              <a:round/>
            </a:ln>
            <a:effectLst>
              <a:outerShdw blurRad="57150" dist="19050" dir="5400000" algn="ctr" rotWithShape="0">
                <a:srgbClr val="000000">
                  <a:alpha val="63000"/>
                </a:srgbClr>
              </a:outerShdw>
            </a:effectLst>
          </c:spPr>
          <c:marker>
            <c:symbol val="none"/>
          </c:marker>
          <c:xVal>
            <c:numRef>
              <c:f>'Sensitivitiy Analysis 1'!$V$28:$V$45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1'!$AD$28:$AD$45</c:f>
              <c:numCache>
                <c:formatCode>0.00%</c:formatCode>
                <c:ptCount val="18"/>
                <c:pt idx="0">
                  <c:v>0</c:v>
                </c:pt>
                <c:pt idx="1">
                  <c:v>-1.4556890351688284E-3</c:v>
                </c:pt>
                <c:pt idx="2">
                  <c:v>-2.7442500295202566E-3</c:v>
                </c:pt>
                <c:pt idx="3">
                  <c:v>-3.8914546373216919E-3</c:v>
                </c:pt>
                <c:pt idx="4">
                  <c:v>-4.9217532282001594E-3</c:v>
                </c:pt>
                <c:pt idx="5">
                  <c:v>-5.8021344889360458E-3</c:v>
                </c:pt>
                <c:pt idx="6">
                  <c:v>-6.5382312222509054E-3</c:v>
                </c:pt>
                <c:pt idx="7">
                  <c:v>-7.171968425480511E-3</c:v>
                </c:pt>
                <c:pt idx="8">
                  <c:v>-7.6709718035484781E-3</c:v>
                </c:pt>
                <c:pt idx="9">
                  <c:v>-8.0579602181338472E-3</c:v>
                </c:pt>
                <c:pt idx="10">
                  <c:v>-8.3545881543179643E-3</c:v>
                </c:pt>
                <c:pt idx="11">
                  <c:v>-9.4676387335846466E-3</c:v>
                </c:pt>
                <c:pt idx="12">
                  <c:v>-9.6628527243561146E-3</c:v>
                </c:pt>
                <c:pt idx="13">
                  <c:v>-9.7671465749340491E-3</c:v>
                </c:pt>
                <c:pt idx="14">
                  <c:v>-9.8062310564657664E-3</c:v>
                </c:pt>
                <c:pt idx="15">
                  <c:v>-9.7818444911795463E-3</c:v>
                </c:pt>
                <c:pt idx="16">
                  <c:v>-9.7028769851924095E-3</c:v>
                </c:pt>
                <c:pt idx="17">
                  <c:v>-9.5919242584556908E-3</c:v>
                </c:pt>
              </c:numCache>
            </c:numRef>
          </c:yVal>
          <c:smooth val="1"/>
          <c:extLst>
            <c:ext xmlns:c16="http://schemas.microsoft.com/office/drawing/2014/chart" uri="{C3380CC4-5D6E-409C-BE32-E72D297353CC}">
              <c16:uniqueId val="{0000000C-F351-4C6A-A06C-C0A69BEB0FA1}"/>
            </c:ext>
          </c:extLst>
        </c:ser>
        <c:ser>
          <c:idx val="3"/>
          <c:order val="3"/>
          <c:tx>
            <c:strRef>
              <c:f>'Sensitivitiy Analysis 1'!$AE$27</c:f>
              <c:strCache>
                <c:ptCount val="1"/>
                <c:pt idx="0">
                  <c:v>1.00%</c:v>
                </c:pt>
              </c:strCache>
            </c:strRef>
          </c:tx>
          <c:spPr>
            <a:ln w="9525" cap="rnd">
              <a:solidFill>
                <a:schemeClr val="accent4"/>
              </a:solidFill>
              <a:round/>
            </a:ln>
            <a:effectLst>
              <a:outerShdw blurRad="57150" dist="19050" dir="5400000" algn="ctr" rotWithShape="0">
                <a:srgbClr val="000000">
                  <a:alpha val="63000"/>
                </a:srgbClr>
              </a:outerShdw>
            </a:effectLst>
          </c:spPr>
          <c:marker>
            <c:symbol val="none"/>
          </c:marker>
          <c:xVal>
            <c:numRef>
              <c:f>'Sensitivitiy Analysis 1'!$V$28:$V$45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1'!$AE$28:$AE$45</c:f>
              <c:numCache>
                <c:formatCode>0.00%</c:formatCode>
                <c:ptCount val="18"/>
                <c:pt idx="0">
                  <c:v>0</c:v>
                </c:pt>
                <c:pt idx="1">
                  <c:v>-2.2674331937029618E-3</c:v>
                </c:pt>
                <c:pt idx="2">
                  <c:v>-4.3689032392102032E-3</c:v>
                </c:pt>
                <c:pt idx="3">
                  <c:v>-6.3304167235686236E-3</c:v>
                </c:pt>
                <c:pt idx="4">
                  <c:v>-8.1765842921912857E-3</c:v>
                </c:pt>
                <c:pt idx="5">
                  <c:v>-9.8747146128538299E-3</c:v>
                </c:pt>
                <c:pt idx="6">
                  <c:v>-1.1430683907076217E-2</c:v>
                </c:pt>
                <c:pt idx="7">
                  <c:v>-1.288643768837174E-2</c:v>
                </c:pt>
                <c:pt idx="8">
                  <c:v>-1.4209976338825894E-2</c:v>
                </c:pt>
                <c:pt idx="9">
                  <c:v>-1.5424096113210791E-2</c:v>
                </c:pt>
                <c:pt idx="10">
                  <c:v>-1.655046529974296E-2</c:v>
                </c:pt>
                <c:pt idx="11">
                  <c:v>-1.8735723390892731E-2</c:v>
                </c:pt>
                <c:pt idx="12">
                  <c:v>-1.9122036751177122E-2</c:v>
                </c:pt>
                <c:pt idx="13">
                  <c:v>-1.9328426199568618E-2</c:v>
                </c:pt>
                <c:pt idx="14">
                  <c:v>-1.940577135979981E-2</c:v>
                </c:pt>
                <c:pt idx="15">
                  <c:v>-1.9357512236853003E-2</c:v>
                </c:pt>
                <c:pt idx="16">
                  <c:v>-1.9201241661826567E-2</c:v>
                </c:pt>
                <c:pt idx="17">
                  <c:v>-1.898167481352361E-2</c:v>
                </c:pt>
              </c:numCache>
            </c:numRef>
          </c:yVal>
          <c:smooth val="1"/>
          <c:extLst>
            <c:ext xmlns:c16="http://schemas.microsoft.com/office/drawing/2014/chart" uri="{C3380CC4-5D6E-409C-BE32-E72D297353CC}">
              <c16:uniqueId val="{0000000D-F351-4C6A-A06C-C0A69BEB0FA1}"/>
            </c:ext>
          </c:extLst>
        </c:ser>
        <c:ser>
          <c:idx val="4"/>
          <c:order val="4"/>
          <c:tx>
            <c:strRef>
              <c:f>'Sensitivitiy Analysis 1'!$AF$27</c:f>
              <c:strCache>
                <c:ptCount val="1"/>
                <c:pt idx="0">
                  <c:v>2.00%</c:v>
                </c:pt>
              </c:strCache>
            </c:strRef>
          </c:tx>
          <c:spPr>
            <a:ln w="9525" cap="rnd">
              <a:solidFill>
                <a:schemeClr val="accent5"/>
              </a:solidFill>
              <a:round/>
            </a:ln>
            <a:effectLst>
              <a:outerShdw blurRad="57150" dist="19050" dir="5400000" algn="ctr" rotWithShape="0">
                <a:srgbClr val="000000">
                  <a:alpha val="63000"/>
                </a:srgbClr>
              </a:outerShdw>
            </a:effectLst>
          </c:spPr>
          <c:marker>
            <c:symbol val="none"/>
          </c:marker>
          <c:xVal>
            <c:numRef>
              <c:f>'Sensitivitiy Analysis 1'!$V$28:$V$45</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1'!$AF$28:$AF$45</c:f>
              <c:numCache>
                <c:formatCode>0.00%</c:formatCode>
                <c:ptCount val="18"/>
                <c:pt idx="0">
                  <c:v>0</c:v>
                </c:pt>
                <c:pt idx="1">
                  <c:v>-3.890921510770343E-3</c:v>
                </c:pt>
                <c:pt idx="2">
                  <c:v>-7.6077766468815311E-3</c:v>
                </c:pt>
                <c:pt idx="3">
                  <c:v>-1.1177081337730217E-2</c:v>
                </c:pt>
                <c:pt idx="4">
                  <c:v>-1.4623803573983143E-2</c:v>
                </c:pt>
                <c:pt idx="5">
                  <c:v>-1.7915922526252473E-2</c:v>
                </c:pt>
                <c:pt idx="6">
                  <c:v>-2.1059827986234278E-2</c:v>
                </c:pt>
                <c:pt idx="7">
                  <c:v>-2.4097537357289762E-2</c:v>
                </c:pt>
                <c:pt idx="8">
                  <c:v>-2.6997816595942425E-2</c:v>
                </c:pt>
                <c:pt idx="9">
                  <c:v>-2.9783640028135178E-2</c:v>
                </c:pt>
                <c:pt idx="10">
                  <c:v>-3.2476729663535847E-2</c:v>
                </c:pt>
                <c:pt idx="11">
                  <c:v>-3.6688363593227552E-2</c:v>
                </c:pt>
                <c:pt idx="12">
                  <c:v>-3.7444843859685724E-2</c:v>
                </c:pt>
                <c:pt idx="13">
                  <c:v>-3.7848996449175699E-2</c:v>
                </c:pt>
                <c:pt idx="14">
                  <c:v>-3.8000454031119693E-2</c:v>
                </c:pt>
                <c:pt idx="15">
                  <c:v>-3.7905952836132788E-2</c:v>
                </c:pt>
                <c:pt idx="16">
                  <c:v>-3.7599943211851318E-2</c:v>
                </c:pt>
                <c:pt idx="17">
                  <c:v>-3.7169986588586591E-2</c:v>
                </c:pt>
              </c:numCache>
            </c:numRef>
          </c:yVal>
          <c:smooth val="1"/>
          <c:extLst>
            <c:ext xmlns:c16="http://schemas.microsoft.com/office/drawing/2014/chart" uri="{C3380CC4-5D6E-409C-BE32-E72D297353CC}">
              <c16:uniqueId val="{0000000E-F351-4C6A-A06C-C0A69BEB0FA1}"/>
            </c:ext>
          </c:extLst>
        </c:ser>
        <c:dLbls>
          <c:showLegendKey val="0"/>
          <c:showVal val="0"/>
          <c:showCatName val="0"/>
          <c:showSerName val="0"/>
          <c:showPercent val="0"/>
          <c:showBubbleSize val="0"/>
        </c:dLbls>
        <c:axId val="869010527"/>
        <c:axId val="1055182223"/>
      </c:scatterChart>
      <c:valAx>
        <c:axId val="8690105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Relocation Levels</a:t>
                </a:r>
              </a:p>
            </c:rich>
          </c:tx>
          <c:layout>
            <c:manualLayout>
              <c:xMode val="edge"/>
              <c:yMode val="edge"/>
              <c:x val="0.42471410405249943"/>
              <c:y val="0.903425196850393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82223"/>
        <c:crosses val="autoZero"/>
        <c:crossBetween val="midCat"/>
      </c:valAx>
      <c:valAx>
        <c:axId val="105518222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9010527"/>
        <c:crosses val="autoZero"/>
        <c:crossBetween val="midCat"/>
      </c:valAx>
      <c:spPr>
        <a:noFill/>
        <a:ln>
          <a:noFill/>
        </a:ln>
        <a:effectLst/>
      </c:spPr>
    </c:plotArea>
    <c:legend>
      <c:legendPos val="b"/>
      <c:layout>
        <c:manualLayout>
          <c:xMode val="edge"/>
          <c:yMode val="edge"/>
          <c:x val="0.10752469022922732"/>
          <c:y val="0.81354107747449234"/>
          <c:w val="0.7882839020122485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Relocation % Involuntary Difference - SSP3</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'Sensitivitiy Analysis 1'!$AB$50</c:f>
              <c:strCache>
                <c:ptCount val="1"/>
                <c:pt idx="0">
                  <c:v>0.005%</c:v>
                </c:pt>
              </c:strCache>
            </c:strRef>
          </c:tx>
          <c:spPr>
            <a:ln w="9525" cap="rnd">
              <a:solidFill>
                <a:schemeClr val="accent1"/>
              </a:solidFill>
              <a:round/>
            </a:ln>
            <a:effectLst>
              <a:outerShdw blurRad="57150" dist="19050" dir="5400000" algn="ctr" rotWithShape="0">
                <a:srgbClr val="000000">
                  <a:alpha val="63000"/>
                </a:srgbClr>
              </a:outerShdw>
            </a:effectLst>
          </c:spPr>
          <c:marker>
            <c:symbol val="none"/>
          </c:marker>
          <c:xVal>
            <c:numRef>
              <c:f>'Sensitivitiy Analysis 1'!$V$51:$V$68</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1'!$AB$51:$AB$68</c:f>
              <c:numCache>
                <c:formatCode>0.00%</c:formatCode>
                <c:ptCount val="18"/>
                <c:pt idx="0">
                  <c:v>0</c:v>
                </c:pt>
                <c:pt idx="1">
                  <c:v>-1.0219795264262519E-3</c:v>
                </c:pt>
                <c:pt idx="2">
                  <c:v>-1.7802534011228121E-3</c:v>
                </c:pt>
                <c:pt idx="3">
                  <c:v>-2.3060179317606635E-3</c:v>
                </c:pt>
                <c:pt idx="4">
                  <c:v>-2.609730573479632E-3</c:v>
                </c:pt>
                <c:pt idx="5">
                  <c:v>-2.6826472266979996E-3</c:v>
                </c:pt>
                <c:pt idx="6">
                  <c:v>-2.5347121416445287E-3</c:v>
                </c:pt>
                <c:pt idx="7">
                  <c:v>-2.2112433453891755E-3</c:v>
                </c:pt>
                <c:pt idx="8">
                  <c:v>-1.683978310631993E-3</c:v>
                </c:pt>
                <c:pt idx="9">
                  <c:v>-9.6115589652558781E-4</c:v>
                </c:pt>
                <c:pt idx="10">
                  <c:v>-8.5092809751205831E-5</c:v>
                </c:pt>
                <c:pt idx="11">
                  <c:v>-1.7733812608521196E-4</c:v>
                </c:pt>
                <c:pt idx="12">
                  <c:v>-1.8349542738507044E-4</c:v>
                </c:pt>
                <c:pt idx="13">
                  <c:v>-1.8849172587378103E-4</c:v>
                </c:pt>
                <c:pt idx="14">
                  <c:v>-1.9272970877920475E-4</c:v>
                </c:pt>
                <c:pt idx="15">
                  <c:v>-1.9645213782305127E-4</c:v>
                </c:pt>
                <c:pt idx="16">
                  <c:v>-1.999225687160406E-4</c:v>
                </c:pt>
                <c:pt idx="17">
                  <c:v>-2.0316387115872943E-4</c:v>
                </c:pt>
              </c:numCache>
            </c:numRef>
          </c:yVal>
          <c:smooth val="1"/>
          <c:extLst>
            <c:ext xmlns:c16="http://schemas.microsoft.com/office/drawing/2014/chart" uri="{C3380CC4-5D6E-409C-BE32-E72D297353CC}">
              <c16:uniqueId val="{00000000-036F-4990-8C9F-F2F2EEB2DAA6}"/>
            </c:ext>
          </c:extLst>
        </c:ser>
        <c:ser>
          <c:idx val="1"/>
          <c:order val="1"/>
          <c:tx>
            <c:strRef>
              <c:f>'Sensitivitiy Analysis 1'!$AC$50</c:f>
              <c:strCache>
                <c:ptCount val="1"/>
                <c:pt idx="0">
                  <c:v>0.05%</c:v>
                </c:pt>
              </c:strCache>
            </c:strRef>
          </c:tx>
          <c:spPr>
            <a:ln w="9525" cap="rnd">
              <a:solidFill>
                <a:schemeClr val="accent2"/>
              </a:solidFill>
              <a:round/>
            </a:ln>
            <a:effectLst>
              <a:outerShdw blurRad="57150" dist="19050" dir="5400000" algn="ctr" rotWithShape="0">
                <a:srgbClr val="000000">
                  <a:alpha val="63000"/>
                </a:srgbClr>
              </a:outerShdw>
            </a:effectLst>
          </c:spPr>
          <c:marker>
            <c:symbol val="none"/>
          </c:marker>
          <c:xVal>
            <c:numRef>
              <c:f>'Sensitivitiy Analysis 1'!$V$51:$V$68</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1'!$AC$51:$AC$68</c:f>
              <c:numCache>
                <c:formatCode>0.00%</c:formatCode>
                <c:ptCount val="18"/>
                <c:pt idx="0">
                  <c:v>0</c:v>
                </c:pt>
                <c:pt idx="1">
                  <c:v>-1.0950840740322914E-3</c:v>
                </c:pt>
                <c:pt idx="2">
                  <c:v>-1.9271210404657746E-3</c:v>
                </c:pt>
                <c:pt idx="3">
                  <c:v>-2.5273457529706752E-3</c:v>
                </c:pt>
                <c:pt idx="4">
                  <c:v>-2.9062523888744372E-3</c:v>
                </c:pt>
                <c:pt idx="5">
                  <c:v>-3.055138808017254E-3</c:v>
                </c:pt>
                <c:pt idx="6">
                  <c:v>-2.9839866693144074E-3</c:v>
                </c:pt>
                <c:pt idx="7">
                  <c:v>-2.7381308263314461E-3</c:v>
                </c:pt>
                <c:pt idx="8">
                  <c:v>-2.2893571106820786E-3</c:v>
                </c:pt>
                <c:pt idx="9">
                  <c:v>-1.6459375558878107E-3</c:v>
                </c:pt>
                <c:pt idx="10">
                  <c:v>-8.5019433521577102E-4</c:v>
                </c:pt>
                <c:pt idx="11">
                  <c:v>-1.7709199251834677E-3</c:v>
                </c:pt>
                <c:pt idx="12">
                  <c:v>-1.8324074789197308E-3</c:v>
                </c:pt>
                <c:pt idx="13">
                  <c:v>-1.8823011184949446E-3</c:v>
                </c:pt>
                <c:pt idx="14">
                  <c:v>-1.9246221271564008E-3</c:v>
                </c:pt>
                <c:pt idx="15">
                  <c:v>-1.9617947527457331E-3</c:v>
                </c:pt>
                <c:pt idx="16">
                  <c:v>-1.9964508943978638E-3</c:v>
                </c:pt>
                <c:pt idx="17">
                  <c:v>-2.0288189316896516E-3</c:v>
                </c:pt>
              </c:numCache>
            </c:numRef>
          </c:yVal>
          <c:smooth val="1"/>
          <c:extLst>
            <c:ext xmlns:c16="http://schemas.microsoft.com/office/drawing/2014/chart" uri="{C3380CC4-5D6E-409C-BE32-E72D297353CC}">
              <c16:uniqueId val="{0000000A-036F-4990-8C9F-F2F2EEB2DAA6}"/>
            </c:ext>
          </c:extLst>
        </c:ser>
        <c:ser>
          <c:idx val="2"/>
          <c:order val="2"/>
          <c:tx>
            <c:strRef>
              <c:f>'Sensitivitiy Analysis 1'!$AD$50</c:f>
              <c:strCache>
                <c:ptCount val="1"/>
                <c:pt idx="0">
                  <c:v>0.50%</c:v>
                </c:pt>
              </c:strCache>
            </c:strRef>
          </c:tx>
          <c:spPr>
            <a:ln w="9525" cap="rnd">
              <a:solidFill>
                <a:schemeClr val="accent3"/>
              </a:solidFill>
              <a:round/>
            </a:ln>
            <a:effectLst>
              <a:outerShdw blurRad="57150" dist="19050" dir="5400000" algn="ctr" rotWithShape="0">
                <a:srgbClr val="000000">
                  <a:alpha val="63000"/>
                </a:srgbClr>
              </a:outerShdw>
            </a:effectLst>
          </c:spPr>
          <c:marker>
            <c:symbol val="none"/>
          </c:marker>
          <c:xVal>
            <c:numRef>
              <c:f>'Sensitivitiy Analysis 1'!$V$51:$V$68</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1'!$AD$51:$AD$68</c:f>
              <c:numCache>
                <c:formatCode>0.00%</c:formatCode>
                <c:ptCount val="18"/>
                <c:pt idx="0">
                  <c:v>0</c:v>
                </c:pt>
                <c:pt idx="1">
                  <c:v>-1.8261295500896994E-3</c:v>
                </c:pt>
                <c:pt idx="2">
                  <c:v>-3.3942466115643756E-3</c:v>
                </c:pt>
                <c:pt idx="3">
                  <c:v>-4.7359532697924004E-3</c:v>
                </c:pt>
                <c:pt idx="4">
                  <c:v>-5.8620914756962288E-3</c:v>
                </c:pt>
                <c:pt idx="5">
                  <c:v>-6.7643577724127175E-3</c:v>
                </c:pt>
                <c:pt idx="6">
                  <c:v>-7.4530857332960653E-3</c:v>
                </c:pt>
                <c:pt idx="7">
                  <c:v>-7.9737562576443592E-3</c:v>
                </c:pt>
                <c:pt idx="8">
                  <c:v>-8.298613710078789E-3</c:v>
                </c:pt>
                <c:pt idx="9">
                  <c:v>-8.4362362211727153E-3</c:v>
                </c:pt>
                <c:pt idx="10">
                  <c:v>-8.4289763439889306E-3</c:v>
                </c:pt>
                <c:pt idx="11">
                  <c:v>-1.7465124478386884E-2</c:v>
                </c:pt>
                <c:pt idx="12">
                  <c:v>-1.8071525572307311E-2</c:v>
                </c:pt>
                <c:pt idx="13">
                  <c:v>-1.8563585441006298E-2</c:v>
                </c:pt>
                <c:pt idx="14">
                  <c:v>-1.8980962688737224E-2</c:v>
                </c:pt>
                <c:pt idx="15">
                  <c:v>-1.9347565675055443E-2</c:v>
                </c:pt>
                <c:pt idx="16">
                  <c:v>-1.9689350653183817E-2</c:v>
                </c:pt>
                <c:pt idx="17">
                  <c:v>-2.0008569942765637E-2</c:v>
                </c:pt>
              </c:numCache>
            </c:numRef>
          </c:yVal>
          <c:smooth val="1"/>
          <c:extLst>
            <c:ext xmlns:c16="http://schemas.microsoft.com/office/drawing/2014/chart" uri="{C3380CC4-5D6E-409C-BE32-E72D297353CC}">
              <c16:uniqueId val="{0000000B-036F-4990-8C9F-F2F2EEB2DAA6}"/>
            </c:ext>
          </c:extLst>
        </c:ser>
        <c:ser>
          <c:idx val="3"/>
          <c:order val="3"/>
          <c:tx>
            <c:strRef>
              <c:f>'Sensitivitiy Analysis 1'!$AE$50</c:f>
              <c:strCache>
                <c:ptCount val="1"/>
                <c:pt idx="0">
                  <c:v>1.00%</c:v>
                </c:pt>
              </c:strCache>
            </c:strRef>
          </c:tx>
          <c:spPr>
            <a:ln w="9525" cap="rnd">
              <a:solidFill>
                <a:schemeClr val="accent4"/>
              </a:solidFill>
              <a:round/>
            </a:ln>
            <a:effectLst>
              <a:outerShdw blurRad="57150" dist="19050" dir="5400000" algn="ctr" rotWithShape="0">
                <a:srgbClr val="000000">
                  <a:alpha val="63000"/>
                </a:srgbClr>
              </a:outerShdw>
            </a:effectLst>
          </c:spPr>
          <c:marker>
            <c:symbol val="none"/>
          </c:marker>
          <c:xVal>
            <c:numRef>
              <c:f>'Sensitivitiy Analysis 1'!$V$51:$V$68</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1'!$AE$51:$AE$68</c:f>
              <c:numCache>
                <c:formatCode>0.00%</c:formatCode>
                <c:ptCount val="18"/>
                <c:pt idx="0">
                  <c:v>0</c:v>
                </c:pt>
                <c:pt idx="1">
                  <c:v>-2.6384023012646363E-3</c:v>
                </c:pt>
                <c:pt idx="2">
                  <c:v>-5.0210780146595921E-3</c:v>
                </c:pt>
                <c:pt idx="3">
                  <c:v>-7.1800123557492169E-3</c:v>
                </c:pt>
                <c:pt idx="4">
                  <c:v>-9.1264064548431303E-3</c:v>
                </c:pt>
                <c:pt idx="5">
                  <c:v>-1.0852369838597491E-2</c:v>
                </c:pt>
                <c:pt idx="6">
                  <c:v>-1.2368594831617211E-2</c:v>
                </c:pt>
                <c:pt idx="7">
                  <c:v>-1.3720692694597036E-2</c:v>
                </c:pt>
                <c:pt idx="8">
                  <c:v>-1.4881379825364301E-2</c:v>
                </c:pt>
                <c:pt idx="9">
                  <c:v>-1.5859536261999548E-2</c:v>
                </c:pt>
                <c:pt idx="10">
                  <c:v>-1.6697513467747338E-2</c:v>
                </c:pt>
                <c:pt idx="11">
                  <c:v>-3.4396444796806411E-2</c:v>
                </c:pt>
                <c:pt idx="12">
                  <c:v>-3.5590712938300295E-2</c:v>
                </c:pt>
                <c:pt idx="13">
                  <c:v>-3.6559793355182856E-2</c:v>
                </c:pt>
                <c:pt idx="14">
                  <c:v>-3.738179113016539E-2</c:v>
                </c:pt>
                <c:pt idx="15">
                  <c:v>-3.8103792247125082E-2</c:v>
                </c:pt>
                <c:pt idx="16">
                  <c:v>-3.8776915885442534E-2</c:v>
                </c:pt>
                <c:pt idx="17">
                  <c:v>-3.9405597844496286E-2</c:v>
                </c:pt>
              </c:numCache>
            </c:numRef>
          </c:yVal>
          <c:smooth val="1"/>
          <c:extLst>
            <c:ext xmlns:c16="http://schemas.microsoft.com/office/drawing/2014/chart" uri="{C3380CC4-5D6E-409C-BE32-E72D297353CC}">
              <c16:uniqueId val="{0000000C-036F-4990-8C9F-F2F2EEB2DAA6}"/>
            </c:ext>
          </c:extLst>
        </c:ser>
        <c:ser>
          <c:idx val="4"/>
          <c:order val="4"/>
          <c:tx>
            <c:strRef>
              <c:f>'Sensitivitiy Analysis 1'!$AF$50</c:f>
              <c:strCache>
                <c:ptCount val="1"/>
                <c:pt idx="0">
                  <c:v>2.00%</c:v>
                </c:pt>
              </c:strCache>
            </c:strRef>
          </c:tx>
          <c:spPr>
            <a:ln w="9525" cap="rnd">
              <a:solidFill>
                <a:schemeClr val="accent5"/>
              </a:solidFill>
              <a:round/>
            </a:ln>
            <a:effectLst>
              <a:outerShdw blurRad="57150" dist="19050" dir="5400000" algn="ctr" rotWithShape="0">
                <a:srgbClr val="000000">
                  <a:alpha val="63000"/>
                </a:srgbClr>
              </a:outerShdw>
            </a:effectLst>
          </c:spPr>
          <c:marker>
            <c:symbol val="none"/>
          </c:marker>
          <c:xVal>
            <c:numRef>
              <c:f>'Sensitivitiy Analysis 1'!$V$51:$V$68</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1'!$AF$51:$AF$68</c:f>
              <c:numCache>
                <c:formatCode>0.00%</c:formatCode>
                <c:ptCount val="18"/>
                <c:pt idx="0">
                  <c:v>0</c:v>
                </c:pt>
                <c:pt idx="1">
                  <c:v>-4.2629478036148617E-3</c:v>
                </c:pt>
                <c:pt idx="2">
                  <c:v>-8.2642867886467894E-3</c:v>
                </c:pt>
                <c:pt idx="3">
                  <c:v>-1.2036774510823125E-2</c:v>
                </c:pt>
                <c:pt idx="4">
                  <c:v>-1.5592328855524827E-2</c:v>
                </c:pt>
                <c:pt idx="5">
                  <c:v>-1.8923875376548834E-2</c:v>
                </c:pt>
                <c:pt idx="6">
                  <c:v>-2.204280792978127E-2</c:v>
                </c:pt>
                <c:pt idx="7">
                  <c:v>-2.4994985410788859E-2</c:v>
                </c:pt>
                <c:pt idx="8">
                  <c:v>-2.775404038021605E-2</c:v>
                </c:pt>
                <c:pt idx="9">
                  <c:v>-3.0329429613556246E-2</c:v>
                </c:pt>
                <c:pt idx="10">
                  <c:v>-3.2763489361043688E-2</c:v>
                </c:pt>
                <c:pt idx="11">
                  <c:v>-6.6708684115600062E-2</c:v>
                </c:pt>
                <c:pt idx="12">
                  <c:v>-6.9024855355705864E-2</c:v>
                </c:pt>
                <c:pt idx="13">
                  <c:v>-7.0904296088442106E-2</c:v>
                </c:pt>
                <c:pt idx="14">
                  <c:v>-7.2498483808683442E-2</c:v>
                </c:pt>
                <c:pt idx="15">
                  <c:v>-7.3898737373460172E-2</c:v>
                </c:pt>
                <c:pt idx="16">
                  <c:v>-7.5204197644849743E-2</c:v>
                </c:pt>
                <c:pt idx="17">
                  <c:v>-7.6423467440417947E-2</c:v>
                </c:pt>
              </c:numCache>
            </c:numRef>
          </c:yVal>
          <c:smooth val="1"/>
          <c:extLst>
            <c:ext xmlns:c16="http://schemas.microsoft.com/office/drawing/2014/chart" uri="{C3380CC4-5D6E-409C-BE32-E72D297353CC}">
              <c16:uniqueId val="{0000000D-036F-4990-8C9F-F2F2EEB2DAA6}"/>
            </c:ext>
          </c:extLst>
        </c:ser>
        <c:dLbls>
          <c:showLegendKey val="0"/>
          <c:showVal val="0"/>
          <c:showCatName val="0"/>
          <c:showSerName val="0"/>
          <c:showPercent val="0"/>
          <c:showBubbleSize val="0"/>
        </c:dLbls>
        <c:axId val="919565551"/>
        <c:axId val="1972573759"/>
      </c:scatterChart>
      <c:valAx>
        <c:axId val="91956555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Relocation Levels</a:t>
                </a:r>
              </a:p>
            </c:rich>
          </c:tx>
          <c:layout>
            <c:manualLayout>
              <c:xMode val="edge"/>
              <c:yMode val="edge"/>
              <c:x val="0.4297141549151296"/>
              <c:y val="0.875647419072615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72573759"/>
        <c:crosses val="autoZero"/>
        <c:crossBetween val="midCat"/>
      </c:valAx>
      <c:valAx>
        <c:axId val="197257375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565551"/>
        <c:crosses val="autoZero"/>
        <c:crossBetween val="midCat"/>
      </c:valAx>
      <c:spPr>
        <a:noFill/>
        <a:ln>
          <a:noFill/>
        </a:ln>
        <a:effectLst/>
      </c:spPr>
    </c:plotArea>
    <c:legend>
      <c:legendPos val="b"/>
      <c:layout>
        <c:manualLayout>
          <c:xMode val="edge"/>
          <c:yMode val="edge"/>
          <c:x val="0.11085809985650596"/>
          <c:y val="0.79965218858560339"/>
          <c:w val="0.78828390201224852"/>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Relocation % Involuntary Difference - SSP5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strRef>
              <c:f>'Sensitivitiy Analysis 1'!$AB$73</c:f>
              <c:strCache>
                <c:ptCount val="1"/>
                <c:pt idx="0">
                  <c:v>0.005%</c:v>
                </c:pt>
              </c:strCache>
            </c:strRef>
          </c:tx>
          <c:spPr>
            <a:ln w="19050" cap="rnd">
              <a:solidFill>
                <a:schemeClr val="accent1"/>
              </a:solidFill>
              <a:round/>
            </a:ln>
            <a:effectLst/>
          </c:spPr>
          <c:marker>
            <c:symbol val="none"/>
          </c:marker>
          <c:xVal>
            <c:numRef>
              <c:f>'Sensitivitiy Analysis 1'!$V$74:$V$91</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1'!$AB$74:$AB$91</c:f>
              <c:numCache>
                <c:formatCode>0.00%</c:formatCode>
                <c:ptCount val="18"/>
                <c:pt idx="0">
                  <c:v>0</c:v>
                </c:pt>
                <c:pt idx="1">
                  <c:v>-1.2850237915730399E-3</c:v>
                </c:pt>
                <c:pt idx="2">
                  <c:v>-2.2554571869085084E-3</c:v>
                </c:pt>
                <c:pt idx="3">
                  <c:v>-2.9086616450611064E-3</c:v>
                </c:pt>
                <c:pt idx="4">
                  <c:v>-3.2793449651060719E-3</c:v>
                </c:pt>
                <c:pt idx="5">
                  <c:v>-3.3631394022012478E-3</c:v>
                </c:pt>
                <c:pt idx="6">
                  <c:v>-3.1919378627857293E-3</c:v>
                </c:pt>
                <c:pt idx="7">
                  <c:v>-2.7599963651939049E-3</c:v>
                </c:pt>
                <c:pt idx="8">
                  <c:v>-2.0968073512616604E-3</c:v>
                </c:pt>
                <c:pt idx="9">
                  <c:v>-1.1955301235416211E-3</c:v>
                </c:pt>
                <c:pt idx="10">
                  <c:v>-8.3595458615515032E-5</c:v>
                </c:pt>
                <c:pt idx="11">
                  <c:v>-1.7081461162227074E-4</c:v>
                </c:pt>
                <c:pt idx="12">
                  <c:v>-1.7261396021225664E-4</c:v>
                </c:pt>
                <c:pt idx="13">
                  <c:v>-1.7271279923281269E-4</c:v>
                </c:pt>
                <c:pt idx="14">
                  <c:v>-1.7141868992047031E-4</c:v>
                </c:pt>
                <c:pt idx="15">
                  <c:v>-1.6876928008373665E-4</c:v>
                </c:pt>
                <c:pt idx="16">
                  <c:v>-1.6485166918962709E-4</c:v>
                </c:pt>
                <c:pt idx="17">
                  <c:v>-1.5983777005359085E-4</c:v>
                </c:pt>
              </c:numCache>
            </c:numRef>
          </c:yVal>
          <c:smooth val="1"/>
          <c:extLst>
            <c:ext xmlns:c16="http://schemas.microsoft.com/office/drawing/2014/chart" uri="{C3380CC4-5D6E-409C-BE32-E72D297353CC}">
              <c16:uniqueId val="{00000000-EF7D-47DA-88F5-675F3996D4D8}"/>
            </c:ext>
          </c:extLst>
        </c:ser>
        <c:ser>
          <c:idx val="1"/>
          <c:order val="1"/>
          <c:tx>
            <c:strRef>
              <c:f>'Sensitivitiy Analysis 1'!$AC$73</c:f>
              <c:strCache>
                <c:ptCount val="1"/>
                <c:pt idx="0">
                  <c:v>0.05%</c:v>
                </c:pt>
              </c:strCache>
            </c:strRef>
          </c:tx>
          <c:spPr>
            <a:ln w="19050" cap="rnd">
              <a:solidFill>
                <a:schemeClr val="accent2"/>
              </a:solidFill>
              <a:round/>
            </a:ln>
            <a:effectLst/>
          </c:spPr>
          <c:marker>
            <c:symbol val="none"/>
          </c:marker>
          <c:xVal>
            <c:numRef>
              <c:f>'Sensitivitiy Analysis 1'!$V$74:$V$91</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1'!$AC$74:$AC$91</c:f>
              <c:numCache>
                <c:formatCode>0.00%</c:formatCode>
                <c:ptCount val="18"/>
                <c:pt idx="0">
                  <c:v>0</c:v>
                </c:pt>
                <c:pt idx="1">
                  <c:v>-1.3579619960615288E-3</c:v>
                </c:pt>
                <c:pt idx="2">
                  <c:v>-2.4016786679542808E-3</c:v>
                </c:pt>
                <c:pt idx="3">
                  <c:v>-3.1285751419763198E-3</c:v>
                </c:pt>
                <c:pt idx="4">
                  <c:v>-3.5734136457022283E-3</c:v>
                </c:pt>
                <c:pt idx="5">
                  <c:v>-3.7318858982031671E-3</c:v>
                </c:pt>
                <c:pt idx="6">
                  <c:v>-3.6359303058810079E-3</c:v>
                </c:pt>
                <c:pt idx="7">
                  <c:v>-3.2798591927971654E-3</c:v>
                </c:pt>
                <c:pt idx="8">
                  <c:v>-2.6932027657783461E-3</c:v>
                </c:pt>
                <c:pt idx="9">
                  <c:v>-1.8691743039432414E-3</c:v>
                </c:pt>
                <c:pt idx="10">
                  <c:v>-8.352355868005213E-4</c:v>
                </c:pt>
                <c:pt idx="11">
                  <c:v>-1.7057818481296056E-3</c:v>
                </c:pt>
                <c:pt idx="12">
                  <c:v>-1.7237504290020785E-3</c:v>
                </c:pt>
                <c:pt idx="13">
                  <c:v>-1.7247374511570874E-3</c:v>
                </c:pt>
                <c:pt idx="14">
                  <c:v>-1.711814269973495E-3</c:v>
                </c:pt>
                <c:pt idx="15">
                  <c:v>-1.6853568424498155E-3</c:v>
                </c:pt>
                <c:pt idx="16">
                  <c:v>-1.6462349576911789E-3</c:v>
                </c:pt>
                <c:pt idx="17">
                  <c:v>-1.5961653643851354E-3</c:v>
                </c:pt>
              </c:numCache>
            </c:numRef>
          </c:yVal>
          <c:smooth val="1"/>
          <c:extLst>
            <c:ext xmlns:c16="http://schemas.microsoft.com/office/drawing/2014/chart" uri="{C3380CC4-5D6E-409C-BE32-E72D297353CC}">
              <c16:uniqueId val="{0000000E-EF7D-47DA-88F5-675F3996D4D8}"/>
            </c:ext>
          </c:extLst>
        </c:ser>
        <c:ser>
          <c:idx val="2"/>
          <c:order val="2"/>
          <c:tx>
            <c:strRef>
              <c:f>'Sensitivitiy Analysis 1'!$AD$73</c:f>
              <c:strCache>
                <c:ptCount val="1"/>
                <c:pt idx="0">
                  <c:v>0.50%</c:v>
                </c:pt>
              </c:strCache>
            </c:strRef>
          </c:tx>
          <c:spPr>
            <a:ln w="19050" cap="rnd">
              <a:solidFill>
                <a:schemeClr val="accent3"/>
              </a:solidFill>
              <a:round/>
            </a:ln>
            <a:effectLst/>
          </c:spPr>
          <c:marker>
            <c:symbol val="none"/>
          </c:marker>
          <c:xVal>
            <c:numRef>
              <c:f>'Sensitivitiy Analysis 1'!$V$74:$V$91</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1'!$AD$74:$AD$91</c:f>
              <c:numCache>
                <c:formatCode>0.00%</c:formatCode>
                <c:ptCount val="18"/>
                <c:pt idx="0">
                  <c:v>0</c:v>
                </c:pt>
                <c:pt idx="1">
                  <c:v>-2.0873440409499267E-3</c:v>
                </c:pt>
                <c:pt idx="2">
                  <c:v>-3.862351198021995E-3</c:v>
                </c:pt>
                <c:pt idx="3">
                  <c:v>-5.3230761661449419E-3</c:v>
                </c:pt>
                <c:pt idx="4">
                  <c:v>-6.504815762393798E-3</c:v>
                </c:pt>
                <c:pt idx="5">
                  <c:v>-7.4038439894449021E-3</c:v>
                </c:pt>
                <c:pt idx="6">
                  <c:v>-8.05254001142491E-3</c:v>
                </c:pt>
                <c:pt idx="7">
                  <c:v>-8.4457622860254333E-3</c:v>
                </c:pt>
                <c:pt idx="8">
                  <c:v>-8.6134006828655508E-3</c:v>
                </c:pt>
                <c:pt idx="9">
                  <c:v>-8.5491872758535412E-3</c:v>
                </c:pt>
                <c:pt idx="10">
                  <c:v>-8.2808727873086106E-3</c:v>
                </c:pt>
                <c:pt idx="11">
                  <c:v>-1.6823434385449049E-2</c:v>
                </c:pt>
                <c:pt idx="12">
                  <c:v>-1.7000651209298747E-2</c:v>
                </c:pt>
                <c:pt idx="13">
                  <c:v>-1.701038580840647E-2</c:v>
                </c:pt>
                <c:pt idx="14">
                  <c:v>-1.6882929714925481E-2</c:v>
                </c:pt>
                <c:pt idx="15">
                  <c:v>-1.6621990840217586E-2</c:v>
                </c:pt>
                <c:pt idx="16">
                  <c:v>-1.6236147561375817E-2</c:v>
                </c:pt>
                <c:pt idx="17">
                  <c:v>-1.5742331474274202E-2</c:v>
                </c:pt>
              </c:numCache>
            </c:numRef>
          </c:yVal>
          <c:smooth val="1"/>
          <c:extLst>
            <c:ext xmlns:c16="http://schemas.microsoft.com/office/drawing/2014/chart" uri="{C3380CC4-5D6E-409C-BE32-E72D297353CC}">
              <c16:uniqueId val="{0000000F-EF7D-47DA-88F5-675F3996D4D8}"/>
            </c:ext>
          </c:extLst>
        </c:ser>
        <c:ser>
          <c:idx val="3"/>
          <c:order val="3"/>
          <c:tx>
            <c:strRef>
              <c:f>'Sensitivitiy Analysis 1'!$AE$73</c:f>
              <c:strCache>
                <c:ptCount val="1"/>
                <c:pt idx="0">
                  <c:v>1.00%</c:v>
                </c:pt>
              </c:strCache>
            </c:strRef>
          </c:tx>
          <c:spPr>
            <a:ln w="19050" cap="rnd">
              <a:solidFill>
                <a:schemeClr val="accent4"/>
              </a:solidFill>
              <a:round/>
            </a:ln>
            <a:effectLst/>
          </c:spPr>
          <c:marker>
            <c:symbol val="none"/>
          </c:marker>
          <c:xVal>
            <c:numRef>
              <c:f>'Sensitivitiy Analysis 1'!$V$74:$V$91</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1'!$AE$74:$AE$91</c:f>
              <c:numCache>
                <c:formatCode>0.00%</c:formatCode>
                <c:ptCount val="18"/>
                <c:pt idx="0">
                  <c:v>0</c:v>
                </c:pt>
                <c:pt idx="1">
                  <c:v>-2.8977685352701149E-3</c:v>
                </c:pt>
                <c:pt idx="2">
                  <c:v>-5.4820309531706151E-3</c:v>
                </c:pt>
                <c:pt idx="3">
                  <c:v>-7.7515407241092122E-3</c:v>
                </c:pt>
                <c:pt idx="4">
                  <c:v>-9.742182704678708E-3</c:v>
                </c:pt>
                <c:pt idx="5">
                  <c:v>-1.1450866543077046E-2</c:v>
                </c:pt>
                <c:pt idx="6">
                  <c:v>-1.291044603235332E-2</c:v>
                </c:pt>
                <c:pt idx="7">
                  <c:v>-1.4116365877606391E-2</c:v>
                </c:pt>
                <c:pt idx="8">
                  <c:v>-1.5098892969019602E-2</c:v>
                </c:pt>
                <c:pt idx="9">
                  <c:v>-1.585230711442006E-2</c:v>
                </c:pt>
                <c:pt idx="10">
                  <c:v>-1.640465135223753E-2</c:v>
                </c:pt>
                <c:pt idx="11">
                  <c:v>-3.3134606498108635E-2</c:v>
                </c:pt>
                <c:pt idx="12">
                  <c:v>-3.3483644012600081E-2</c:v>
                </c:pt>
                <c:pt idx="13">
                  <c:v>-3.3502816798813298E-2</c:v>
                </c:pt>
                <c:pt idx="14">
                  <c:v>-3.3251785564255294E-2</c:v>
                </c:pt>
                <c:pt idx="15">
                  <c:v>-3.2737853228240972E-2</c:v>
                </c:pt>
                <c:pt idx="16">
                  <c:v>-3.1977915339136506E-2</c:v>
                </c:pt>
                <c:pt idx="17">
                  <c:v>-3.1005319532973856E-2</c:v>
                </c:pt>
              </c:numCache>
            </c:numRef>
          </c:yVal>
          <c:smooth val="1"/>
          <c:extLst>
            <c:ext xmlns:c16="http://schemas.microsoft.com/office/drawing/2014/chart" uri="{C3380CC4-5D6E-409C-BE32-E72D297353CC}">
              <c16:uniqueId val="{00000010-EF7D-47DA-88F5-675F3996D4D8}"/>
            </c:ext>
          </c:extLst>
        </c:ser>
        <c:ser>
          <c:idx val="4"/>
          <c:order val="4"/>
          <c:tx>
            <c:strRef>
              <c:f>'Sensitivitiy Analysis 1'!$AF$73</c:f>
              <c:strCache>
                <c:ptCount val="1"/>
                <c:pt idx="0">
                  <c:v>2.00%</c:v>
                </c:pt>
              </c:strCache>
            </c:strRef>
          </c:tx>
          <c:spPr>
            <a:ln w="19050" cap="rnd">
              <a:solidFill>
                <a:schemeClr val="accent5"/>
              </a:solidFill>
              <a:round/>
            </a:ln>
            <a:effectLst/>
          </c:spPr>
          <c:marker>
            <c:symbol val="none"/>
          </c:marker>
          <c:xVal>
            <c:numRef>
              <c:f>'Sensitivitiy Analysis 1'!$V$74:$V$91</c:f>
              <c:numCache>
                <c:formatCode>General</c:formatCode>
                <c:ptCount val="18"/>
                <c:pt idx="0">
                  <c:v>2020</c:v>
                </c:pt>
                <c:pt idx="1">
                  <c:v>2021</c:v>
                </c:pt>
                <c:pt idx="2">
                  <c:v>2022</c:v>
                </c:pt>
                <c:pt idx="3">
                  <c:v>2023</c:v>
                </c:pt>
                <c:pt idx="4">
                  <c:v>2024</c:v>
                </c:pt>
                <c:pt idx="5">
                  <c:v>2025</c:v>
                </c:pt>
                <c:pt idx="6">
                  <c:v>2026</c:v>
                </c:pt>
                <c:pt idx="7">
                  <c:v>2027</c:v>
                </c:pt>
                <c:pt idx="8">
                  <c:v>2028</c:v>
                </c:pt>
                <c:pt idx="9">
                  <c:v>2029</c:v>
                </c:pt>
                <c:pt idx="10">
                  <c:v>2030</c:v>
                </c:pt>
                <c:pt idx="11">
                  <c:v>2040</c:v>
                </c:pt>
                <c:pt idx="12">
                  <c:v>2050</c:v>
                </c:pt>
                <c:pt idx="13">
                  <c:v>2060</c:v>
                </c:pt>
                <c:pt idx="14">
                  <c:v>2070</c:v>
                </c:pt>
                <c:pt idx="15">
                  <c:v>2080</c:v>
                </c:pt>
                <c:pt idx="16">
                  <c:v>2090</c:v>
                </c:pt>
                <c:pt idx="17">
                  <c:v>2100</c:v>
                </c:pt>
              </c:numCache>
            </c:numRef>
          </c:xVal>
          <c:yVal>
            <c:numRef>
              <c:f>'Sensitivitiy Analysis 1'!$AF$74:$AF$91</c:f>
              <c:numCache>
                <c:formatCode>0.00%</c:formatCode>
                <c:ptCount val="18"/>
                <c:pt idx="0">
                  <c:v>0</c:v>
                </c:pt>
                <c:pt idx="1">
                  <c:v>-4.518617523910317E-3</c:v>
                </c:pt>
                <c:pt idx="2">
                  <c:v>-8.7109957733206879E-3</c:v>
                </c:pt>
                <c:pt idx="3">
                  <c:v>-1.2577371655642405E-2</c:v>
                </c:pt>
                <c:pt idx="4">
                  <c:v>-1.6154876656904151E-2</c:v>
                </c:pt>
                <c:pt idx="5">
                  <c:v>-1.9441746362826917E-2</c:v>
                </c:pt>
                <c:pt idx="6">
                  <c:v>-2.2471827641034642E-2</c:v>
                </c:pt>
                <c:pt idx="7">
                  <c:v>-2.5241765318908455E-2</c:v>
                </c:pt>
                <c:pt idx="8">
                  <c:v>-2.7782602436646431E-2</c:v>
                </c:pt>
                <c:pt idx="9">
                  <c:v>-3.0089718161187367E-2</c:v>
                </c:pt>
                <c:pt idx="10">
                  <c:v>-3.2191744672464148E-2</c:v>
                </c:pt>
                <c:pt idx="11">
                  <c:v>-6.4272870478812957E-2</c:v>
                </c:pt>
                <c:pt idx="12">
                  <c:v>-6.4949916182144601E-2</c:v>
                </c:pt>
                <c:pt idx="13">
                  <c:v>-6.498710660434133E-2</c:v>
                </c:pt>
                <c:pt idx="14">
                  <c:v>-6.4500168634342867E-2</c:v>
                </c:pt>
                <c:pt idx="15">
                  <c:v>-6.3503268113753203E-2</c:v>
                </c:pt>
                <c:pt idx="16">
                  <c:v>-6.2029178191449749E-2</c:v>
                </c:pt>
                <c:pt idx="17">
                  <c:v>-6.0142584962062443E-2</c:v>
                </c:pt>
              </c:numCache>
            </c:numRef>
          </c:yVal>
          <c:smooth val="1"/>
          <c:extLst>
            <c:ext xmlns:c16="http://schemas.microsoft.com/office/drawing/2014/chart" uri="{C3380CC4-5D6E-409C-BE32-E72D297353CC}">
              <c16:uniqueId val="{00000011-EF7D-47DA-88F5-675F3996D4D8}"/>
            </c:ext>
          </c:extLst>
        </c:ser>
        <c:dLbls>
          <c:showLegendKey val="0"/>
          <c:showVal val="0"/>
          <c:showCatName val="0"/>
          <c:showSerName val="0"/>
          <c:showPercent val="0"/>
          <c:showBubbleSize val="0"/>
        </c:dLbls>
        <c:axId val="691109615"/>
        <c:axId val="1055193263"/>
      </c:scatterChart>
      <c:valAx>
        <c:axId val="6911096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Relocation Levels</a:t>
                </a:r>
              </a:p>
            </c:rich>
          </c:tx>
          <c:layout>
            <c:manualLayout>
              <c:xMode val="edge"/>
              <c:yMode val="edge"/>
              <c:x val="0.42971412948381449"/>
              <c:y val="0.8978697684514136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5193263"/>
        <c:crosses val="autoZero"/>
        <c:crossBetween val="midCat"/>
      </c:valAx>
      <c:valAx>
        <c:axId val="105519326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1109615"/>
        <c:crosses val="autoZero"/>
        <c:crossBetween val="midCat"/>
      </c:valAx>
      <c:spPr>
        <a:noFill/>
        <a:ln>
          <a:noFill/>
        </a:ln>
        <a:effectLst/>
      </c:spPr>
    </c:plotArea>
    <c:legend>
      <c:legendPos val="b"/>
      <c:layout>
        <c:manualLayout>
          <c:xMode val="edge"/>
          <c:yMode val="edge"/>
          <c:x val="0.15476614465081429"/>
          <c:y val="0.84582706308030464"/>
          <c:w val="0.77219630999061328"/>
          <c:h val="7.8809614953947379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9525" cap="rnd">
        <a:solidFill>
          <a:schemeClr val="phClr"/>
        </a:solidFill>
        <a:round/>
      </a:ln>
    </cs:spPr>
  </cs:dataPointLine>
  <cs:dataPointMarker>
    <cs:lnRef idx="0">
      <cs:styleClr val="auto"/>
    </cs:lnRef>
    <cs:fillRef idx="3">
      <cs:styleClr val="auto"/>
    </cs:fillRef>
    <cs:effectRef idx="2"/>
    <cs:fontRef idx="minor">
      <a:schemeClr val="tx2"/>
    </cs:fontRef>
    <cs:spPr>
      <a:ln w="9525">
        <a:solidFill>
          <a:schemeClr val="phClr"/>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9525" cap="rnd">
        <a:solidFill>
          <a:schemeClr val="phClr"/>
        </a:solidFill>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spPr>
      <a:ln>
        <a:solidFill>
          <a:schemeClr val="tx2">
            <a:lumMod val="40000"/>
            <a:lumOff val="60000"/>
          </a:schemeClr>
        </a:solidFill>
      </a:ln>
    </cs:spPr>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9525" cap="rnd">
        <a:solidFill>
          <a:schemeClr val="phClr"/>
        </a:solidFill>
        <a:round/>
      </a:ln>
    </cs:spPr>
  </cs:dataPointLine>
  <cs:dataPointMarker>
    <cs:lnRef idx="0">
      <cs:styleClr val="auto"/>
    </cs:lnRef>
    <cs:fillRef idx="3">
      <cs:styleClr val="auto"/>
    </cs:fillRef>
    <cs:effectRef idx="3"/>
    <cs:fontRef idx="minor">
      <a:schemeClr val="tx1"/>
    </cs:fontRef>
    <cs:spPr>
      <a:ln w="9525" cap="rnd">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1366896</xdr:colOff>
      <xdr:row>4</xdr:row>
      <xdr:rowOff>72390</xdr:rowOff>
    </xdr:to>
    <xdr:pic>
      <xdr:nvPicPr>
        <xdr:cNvPr id="2" name="Picture 1">
          <a:extLst>
            <a:ext uri="{FF2B5EF4-FFF2-40B4-BE49-F238E27FC236}">
              <a16:creationId xmlns:a16="http://schemas.microsoft.com/office/drawing/2014/main" id="{875719C5-3492-4ACF-8851-97E73BA39DE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650" y="180975"/>
          <a:ext cx="1351656" cy="6019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147696</xdr:colOff>
      <xdr:row>4</xdr:row>
      <xdr:rowOff>72390</xdr:rowOff>
    </xdr:to>
    <xdr:pic>
      <xdr:nvPicPr>
        <xdr:cNvPr id="2" name="Picture 1">
          <a:extLst>
            <a:ext uri="{FF2B5EF4-FFF2-40B4-BE49-F238E27FC236}">
              <a16:creationId xmlns:a16="http://schemas.microsoft.com/office/drawing/2014/main" id="{6C75EDF9-03CE-43A9-8D27-9852DEC169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650" y="190500"/>
          <a:ext cx="1307841" cy="6305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631566</xdr:colOff>
      <xdr:row>4</xdr:row>
      <xdr:rowOff>55245</xdr:rowOff>
    </xdr:to>
    <xdr:pic>
      <xdr:nvPicPr>
        <xdr:cNvPr id="2" name="Picture 1">
          <a:extLst>
            <a:ext uri="{FF2B5EF4-FFF2-40B4-BE49-F238E27FC236}">
              <a16:creationId xmlns:a16="http://schemas.microsoft.com/office/drawing/2014/main" id="{568378B4-8927-4368-93FD-ABA0ECCCEF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47650" y="190500"/>
          <a:ext cx="1326891" cy="62674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63500</xdr:colOff>
      <xdr:row>52</xdr:row>
      <xdr:rowOff>57150</xdr:rowOff>
    </xdr:from>
    <xdr:to>
      <xdr:col>11</xdr:col>
      <xdr:colOff>50800</xdr:colOff>
      <xdr:row>66</xdr:row>
      <xdr:rowOff>133350</xdr:rowOff>
    </xdr:to>
    <xdr:graphicFrame macro="">
      <xdr:nvGraphicFramePr>
        <xdr:cNvPr id="110" name="Chart 1">
          <a:extLst>
            <a:ext uri="{FF2B5EF4-FFF2-40B4-BE49-F238E27FC236}">
              <a16:creationId xmlns:a16="http://schemas.microsoft.com/office/drawing/2014/main" id="{D04AA127-780B-A8C5-5185-01BC1C836C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419100</xdr:colOff>
      <xdr:row>97</xdr:row>
      <xdr:rowOff>6350</xdr:rowOff>
    </xdr:from>
    <xdr:to>
      <xdr:col>5</xdr:col>
      <xdr:colOff>101600</xdr:colOff>
      <xdr:row>111</xdr:row>
      <xdr:rowOff>82550</xdr:rowOff>
    </xdr:to>
    <xdr:graphicFrame macro="">
      <xdr:nvGraphicFramePr>
        <xdr:cNvPr id="72" name="Chart 2">
          <a:extLst>
            <a:ext uri="{FF2B5EF4-FFF2-40B4-BE49-F238E27FC236}">
              <a16:creationId xmlns:a16="http://schemas.microsoft.com/office/drawing/2014/main" id="{4B16DCA1-4E8F-3F58-DB48-AC1A16F187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190500</xdr:colOff>
      <xdr:row>83</xdr:row>
      <xdr:rowOff>120650</xdr:rowOff>
    </xdr:from>
    <xdr:to>
      <xdr:col>19</xdr:col>
      <xdr:colOff>419100</xdr:colOff>
      <xdr:row>98</xdr:row>
      <xdr:rowOff>6350</xdr:rowOff>
    </xdr:to>
    <xdr:graphicFrame macro="">
      <xdr:nvGraphicFramePr>
        <xdr:cNvPr id="105" name="Chart 3">
          <a:extLst>
            <a:ext uri="{FF2B5EF4-FFF2-40B4-BE49-F238E27FC236}">
              <a16:creationId xmlns:a16="http://schemas.microsoft.com/office/drawing/2014/main" id="{22C9BA66-2202-AF21-FCBD-B6FBEEC91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17</xdr:col>
      <xdr:colOff>552450</xdr:colOff>
      <xdr:row>26</xdr:row>
      <xdr:rowOff>180975</xdr:rowOff>
    </xdr:from>
    <xdr:to>
      <xdr:col>26</xdr:col>
      <xdr:colOff>66675</xdr:colOff>
      <xdr:row>43</xdr:row>
      <xdr:rowOff>133350</xdr:rowOff>
    </xdr:to>
    <xdr:graphicFrame macro="">
      <xdr:nvGraphicFramePr>
        <xdr:cNvPr id="6" name="Chart 1">
          <a:extLst>
            <a:ext uri="{FF2B5EF4-FFF2-40B4-BE49-F238E27FC236}">
              <a16:creationId xmlns:a16="http://schemas.microsoft.com/office/drawing/2014/main" id="{B5CE871F-8534-4CFA-FE3D-CA5FEB1C2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19050</xdr:colOff>
      <xdr:row>39</xdr:row>
      <xdr:rowOff>19050</xdr:rowOff>
    </xdr:from>
    <xdr:to>
      <xdr:col>38</xdr:col>
      <xdr:colOff>57150</xdr:colOff>
      <xdr:row>58</xdr:row>
      <xdr:rowOff>123826</xdr:rowOff>
    </xdr:to>
    <xdr:graphicFrame macro="">
      <xdr:nvGraphicFramePr>
        <xdr:cNvPr id="4" name="Chart 1">
          <a:extLst>
            <a:ext uri="{FF2B5EF4-FFF2-40B4-BE49-F238E27FC236}">
              <a16:creationId xmlns:a16="http://schemas.microsoft.com/office/drawing/2014/main" id="{BED6ED4F-3803-9FE8-B670-D1872F43ADB1}"/>
            </a:ext>
            <a:ext uri="{147F2762-F138-4A5C-976F-8EAC2B608ADB}">
              <a16:predDERef xmlns:a16="http://schemas.microsoft.com/office/drawing/2014/main" pred="{B5CE871F-8534-4CFA-FE3D-CA5FEB1C24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23</xdr:col>
      <xdr:colOff>457200</xdr:colOff>
      <xdr:row>4</xdr:row>
      <xdr:rowOff>166687</xdr:rowOff>
    </xdr:from>
    <xdr:to>
      <xdr:col>30</xdr:col>
      <xdr:colOff>476250</xdr:colOff>
      <xdr:row>19</xdr:row>
      <xdr:rowOff>52387</xdr:rowOff>
    </xdr:to>
    <xdr:graphicFrame macro="">
      <xdr:nvGraphicFramePr>
        <xdr:cNvPr id="4" name="Chart 23">
          <a:extLst>
            <a:ext uri="{FF2B5EF4-FFF2-40B4-BE49-F238E27FC236}">
              <a16:creationId xmlns:a16="http://schemas.microsoft.com/office/drawing/2014/main" id="{A2BE1ED2-4DAB-8DFC-91F2-3B204FF19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257175</xdr:colOff>
      <xdr:row>26</xdr:row>
      <xdr:rowOff>119062</xdr:rowOff>
    </xdr:from>
    <xdr:to>
      <xdr:col>30</xdr:col>
      <xdr:colOff>276225</xdr:colOff>
      <xdr:row>41</xdr:row>
      <xdr:rowOff>4762</xdr:rowOff>
    </xdr:to>
    <xdr:graphicFrame macro="">
      <xdr:nvGraphicFramePr>
        <xdr:cNvPr id="2" name="Chart 29">
          <a:extLst>
            <a:ext uri="{FF2B5EF4-FFF2-40B4-BE49-F238E27FC236}">
              <a16:creationId xmlns:a16="http://schemas.microsoft.com/office/drawing/2014/main" id="{173D5CD6-615E-616F-B1D0-E112A9DC61D9}"/>
            </a:ext>
            <a:ext uri="{147F2762-F138-4A5C-976F-8EAC2B608ADB}">
              <a16:predDERef xmlns:a16="http://schemas.microsoft.com/office/drawing/2014/main" pred="{A2BE1ED2-4DAB-8DFC-91F2-3B204FF191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247650</xdr:colOff>
      <xdr:row>52</xdr:row>
      <xdr:rowOff>119062</xdr:rowOff>
    </xdr:from>
    <xdr:to>
      <xdr:col>30</xdr:col>
      <xdr:colOff>266700</xdr:colOff>
      <xdr:row>67</xdr:row>
      <xdr:rowOff>4762</xdr:rowOff>
    </xdr:to>
    <xdr:graphicFrame macro="">
      <xdr:nvGraphicFramePr>
        <xdr:cNvPr id="3" name="Chart 30">
          <a:extLst>
            <a:ext uri="{FF2B5EF4-FFF2-40B4-BE49-F238E27FC236}">
              <a16:creationId xmlns:a16="http://schemas.microsoft.com/office/drawing/2014/main" id="{0C0395C0-421F-D0DE-95BC-42600788A3DF}"/>
            </a:ext>
            <a:ext uri="{147F2762-F138-4A5C-976F-8EAC2B608ADB}">
              <a16:predDERef xmlns:a16="http://schemas.microsoft.com/office/drawing/2014/main" pred="{173D5CD6-615E-616F-B1D0-E112A9DC61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361949</xdr:colOff>
      <xdr:row>75</xdr:row>
      <xdr:rowOff>128586</xdr:rowOff>
    </xdr:from>
    <xdr:to>
      <xdr:col>29</xdr:col>
      <xdr:colOff>228600</xdr:colOff>
      <xdr:row>89</xdr:row>
      <xdr:rowOff>180975</xdr:rowOff>
    </xdr:to>
    <xdr:graphicFrame macro="">
      <xdr:nvGraphicFramePr>
        <xdr:cNvPr id="5" name="Chart 31">
          <a:extLst>
            <a:ext uri="{FF2B5EF4-FFF2-40B4-BE49-F238E27FC236}">
              <a16:creationId xmlns:a16="http://schemas.microsoft.com/office/drawing/2014/main" id="{E1D99235-637C-3B4D-ED7E-AEC97236E0C5}"/>
            </a:ext>
            <a:ext uri="{147F2762-F138-4A5C-976F-8EAC2B608ADB}">
              <a16:predDERef xmlns:a16="http://schemas.microsoft.com/office/drawing/2014/main" pred="{0C0395C0-421F-D0DE-95BC-42600788A3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editAs="oneCell">
    <xdr:from>
      <xdr:col>5</xdr:col>
      <xdr:colOff>609600</xdr:colOff>
      <xdr:row>1</xdr:row>
      <xdr:rowOff>38100</xdr:rowOff>
    </xdr:from>
    <xdr:to>
      <xdr:col>14</xdr:col>
      <xdr:colOff>495300</xdr:colOff>
      <xdr:row>38</xdr:row>
      <xdr:rowOff>101600</xdr:rowOff>
    </xdr:to>
    <xdr:pic>
      <xdr:nvPicPr>
        <xdr:cNvPr id="3" name="Picture 1">
          <a:extLst>
            <a:ext uri="{FF2B5EF4-FFF2-40B4-BE49-F238E27FC236}">
              <a16:creationId xmlns:a16="http://schemas.microsoft.com/office/drawing/2014/main" id="{9F99A26E-555F-575A-06CE-B20693B643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892800" y="228600"/>
          <a:ext cx="5219700" cy="7112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unsw-my.sharepoint.com/personal/z5311195_ad_unsw_edu_au/Documents/ACTL4001%20Program/without_program.xlsx" TargetMode="External"/><Relationship Id="rId1" Type="http://schemas.openxmlformats.org/officeDocument/2006/relationships/externalLinkPath" Target="without_program.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driveId="b!CmVojk0yAUibVyJXYLajhneLkMgHzSBHtNgeCoaj8YKfcs6_55kdQ5gwLuLESZqK" itemId="01UHKT3L5EW4S4LILZUJDYK7EAB7IYLAB5">
      <xxl21:absoluteUrl r:id="rId2"/>
    </xxl21:alternateUrls>
    <sheetNames>
      <sheetName val="Demographic-Economic"/>
      <sheetName val="Inflation-Interest"/>
      <sheetName val="SSP Scenarios"/>
      <sheetName val="Model"/>
      <sheetName val="Economic Projections"/>
      <sheetName val="Prediction Results"/>
      <sheetName val="Prediction Results (Transposed)"/>
      <sheetName val="Costing"/>
      <sheetName val="Relevant Graphs"/>
      <sheetName val="Sensitivity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4">
          <cell r="B14">
            <v>0.05</v>
          </cell>
        </row>
        <row r="15">
          <cell r="B15">
            <v>3.7539166666666658E-2</v>
          </cell>
        </row>
        <row r="156">
          <cell r="D156">
            <v>253596677.72878584</v>
          </cell>
          <cell r="E156">
            <v>305855901.73355865</v>
          </cell>
          <cell r="F156">
            <v>14810953.418947292</v>
          </cell>
          <cell r="G156">
            <v>2420281.0841527674</v>
          </cell>
          <cell r="H156">
            <v>5785678.7289674385</v>
          </cell>
          <cell r="I156">
            <v>4617341.7925063036</v>
          </cell>
          <cell r="L156">
            <v>253596677.72878587</v>
          </cell>
          <cell r="M156">
            <v>305855901.73355865</v>
          </cell>
          <cell r="N156">
            <v>14810953.418947292</v>
          </cell>
          <cell r="O156">
            <v>2420281.0841527674</v>
          </cell>
          <cell r="P156">
            <v>5785678.7289674385</v>
          </cell>
          <cell r="Q156">
            <v>4617341.7925063036</v>
          </cell>
          <cell r="T156">
            <v>253596677.72878587</v>
          </cell>
          <cell r="U156">
            <v>305855901.73355865</v>
          </cell>
          <cell r="V156">
            <v>14810953.418947292</v>
          </cell>
          <cell r="W156">
            <v>2420281.0841527674</v>
          </cell>
          <cell r="X156">
            <v>5785678.7289674385</v>
          </cell>
          <cell r="Y156">
            <v>4617341.7925063036</v>
          </cell>
          <cell r="AB156">
            <v>253596677.72878587</v>
          </cell>
          <cell r="AC156">
            <v>305855901.73355865</v>
          </cell>
          <cell r="AD156">
            <v>14810953.418947292</v>
          </cell>
          <cell r="AE156">
            <v>2420281.0841527674</v>
          </cell>
          <cell r="AF156">
            <v>5785678.7289674385</v>
          </cell>
          <cell r="AG156">
            <v>4617341.7925063036</v>
          </cell>
        </row>
        <row r="157">
          <cell r="D157">
            <v>269739868.87658268</v>
          </cell>
          <cell r="E157">
            <v>325217363.75345623</v>
          </cell>
          <cell r="F157">
            <v>15745101.734960729</v>
          </cell>
          <cell r="G157">
            <v>2572802.9888249049</v>
          </cell>
          <cell r="H157">
            <v>6154506.5791131714</v>
          </cell>
          <cell r="I157">
            <v>4913022.9130504932</v>
          </cell>
          <cell r="L157">
            <v>270818831.98102587</v>
          </cell>
          <cell r="M157">
            <v>326480439.51250982</v>
          </cell>
          <cell r="N157">
            <v>15805058.349362765</v>
          </cell>
          <cell r="O157">
            <v>2582555.1864221822</v>
          </cell>
          <cell r="P157">
            <v>6179309.2241455112</v>
          </cell>
          <cell r="Q157">
            <v>4933287.1460706312</v>
          </cell>
          <cell r="T157">
            <v>272869173.13948321</v>
          </cell>
          <cell r="U157">
            <v>328918156.63486785</v>
          </cell>
          <cell r="V157">
            <v>15921994.075076371</v>
          </cell>
          <cell r="W157">
            <v>2601622.0988722467</v>
          </cell>
          <cell r="X157">
            <v>6226258.2811055947</v>
          </cell>
          <cell r="Y157">
            <v>4971187.6435159668</v>
          </cell>
          <cell r="AB157">
            <v>273453252.98294878</v>
          </cell>
          <cell r="AC157">
            <v>329689464.3762275</v>
          </cell>
          <cell r="AD157">
            <v>15961455.931215573</v>
          </cell>
          <cell r="AE157">
            <v>2608150.0365363108</v>
          </cell>
          <cell r="AF157">
            <v>6239257.3180828691</v>
          </cell>
          <cell r="AG157">
            <v>4980739.4626922533</v>
          </cell>
        </row>
        <row r="158">
          <cell r="D158">
            <v>286841171.84268016</v>
          </cell>
          <cell r="E158">
            <v>345721367.78311735</v>
          </cell>
          <cell r="F158">
            <v>16734166.353829237</v>
          </cell>
          <cell r="G158">
            <v>2734283.4008958819</v>
          </cell>
          <cell r="H158">
            <v>6545256.778091901</v>
          </cell>
          <cell r="I158">
            <v>5226359.4550097259</v>
          </cell>
          <cell r="L158">
            <v>289119195.06418371</v>
          </cell>
          <cell r="M158">
            <v>348386900.4202081</v>
          </cell>
          <cell r="N158">
            <v>16860656.49108227</v>
          </cell>
          <cell r="O158">
            <v>2754856.0489084525</v>
          </cell>
          <cell r="P158">
            <v>6597628.6989392471</v>
          </cell>
          <cell r="Q158">
            <v>5269163.0671107229</v>
          </cell>
          <cell r="T158">
            <v>293458417.21268326</v>
          </cell>
          <cell r="U158">
            <v>353543134.33211237</v>
          </cell>
          <cell r="V158">
            <v>17107907.766001128</v>
          </cell>
          <cell r="W158">
            <v>2795168.1008277251</v>
          </cell>
          <cell r="X158">
            <v>6697002.6475344039</v>
          </cell>
          <cell r="Y158">
            <v>5349418.9359633708</v>
          </cell>
          <cell r="AB158">
            <v>294681958.04668045</v>
          </cell>
          <cell r="AC158">
            <v>355160898.98776513</v>
          </cell>
          <cell r="AD158">
            <v>17190734.411417607</v>
          </cell>
          <cell r="AE158">
            <v>2808871.6841707616</v>
          </cell>
          <cell r="AF158">
            <v>6724223.4212109568</v>
          </cell>
          <cell r="AG158">
            <v>5369395.6189958658</v>
          </cell>
        </row>
        <row r="159">
          <cell r="D159">
            <v>304954301.32050467</v>
          </cell>
          <cell r="E159">
            <v>367431609.45317167</v>
          </cell>
          <cell r="F159">
            <v>17781197.347881664</v>
          </cell>
          <cell r="G159">
            <v>2905219.4450743375</v>
          </cell>
          <cell r="H159">
            <v>6959160.1118093021</v>
          </cell>
          <cell r="I159">
            <v>5558347.0455053346</v>
          </cell>
          <cell r="L159">
            <v>308560919.04244518</v>
          </cell>
          <cell r="M159">
            <v>371649848.85677493</v>
          </cell>
          <cell r="N159">
            <v>17981308.020023622</v>
          </cell>
          <cell r="O159">
            <v>2937763.5434183944</v>
          </cell>
          <cell r="P159">
            <v>7042085.7544537466</v>
          </cell>
          <cell r="Q159">
            <v>5626145.326271168</v>
          </cell>
          <cell r="T159">
            <v>315446858.02114916</v>
          </cell>
          <cell r="U159">
            <v>379827905.06985855</v>
          </cell>
          <cell r="V159">
            <v>18373320.297571268</v>
          </cell>
          <cell r="W159">
            <v>3001672.1876898124</v>
          </cell>
          <cell r="X159">
            <v>7199804.4002830982</v>
          </cell>
          <cell r="Y159">
            <v>5753575.183794993</v>
          </cell>
          <cell r="AB159">
            <v>317368583.09533614</v>
          </cell>
          <cell r="AC159">
            <v>382372018.47026533</v>
          </cell>
          <cell r="AD159">
            <v>18503666.806383025</v>
          </cell>
          <cell r="AE159">
            <v>3023241.1729115197</v>
          </cell>
          <cell r="AF159">
            <v>7242542.3834318891</v>
          </cell>
          <cell r="AG159">
            <v>5784899.0993940905</v>
          </cell>
        </row>
        <row r="160">
          <cell r="D160">
            <v>324135848.94819713</v>
          </cell>
          <cell r="E160">
            <v>390415177.86742944</v>
          </cell>
          <cell r="F160">
            <v>18889406.706604596</v>
          </cell>
          <cell r="G160">
            <v>3086134.6145503707</v>
          </cell>
          <cell r="H160">
            <v>7397513.3748497851</v>
          </cell>
          <cell r="I160">
            <v>5910034.9294374762</v>
          </cell>
          <cell r="L160">
            <v>329210662.88013959</v>
          </cell>
          <cell r="M160">
            <v>396347963.49337363</v>
          </cell>
          <cell r="N160">
            <v>19170768.702840708</v>
          </cell>
          <cell r="O160">
            <v>3131889.3666042928</v>
          </cell>
          <cell r="P160">
            <v>7514209.562860636</v>
          </cell>
          <cell r="Q160">
            <v>6005475.4129551295</v>
          </cell>
          <cell r="T160">
            <v>338921764.92622709</v>
          </cell>
          <cell r="U160">
            <v>407875174.3862434</v>
          </cell>
          <cell r="V160">
            <v>19723124.693105407</v>
          </cell>
          <cell r="W160">
            <v>3221930.9103331459</v>
          </cell>
          <cell r="X160">
            <v>7736666.9831039561</v>
          </cell>
          <cell r="Y160">
            <v>6185286.5913526015</v>
          </cell>
          <cell r="AB160">
            <v>341603896.76759362</v>
          </cell>
          <cell r="AC160">
            <v>411430510.97274178</v>
          </cell>
          <cell r="AD160">
            <v>19905411.491330311</v>
          </cell>
          <cell r="AE160">
            <v>3252099.3204810112</v>
          </cell>
          <cell r="AF160">
            <v>7796293.7614023145</v>
          </cell>
          <cell r="AG160">
            <v>6228931.4780378584</v>
          </cell>
        </row>
        <row r="161">
          <cell r="D161">
            <v>344445431.81435561</v>
          </cell>
          <cell r="E161">
            <v>414742729.91303456</v>
          </cell>
          <cell r="F161">
            <v>20062176.626009509</v>
          </cell>
          <cell r="G161">
            <v>3277580.1198749612</v>
          </cell>
          <cell r="H161">
            <v>7861682.7819861472</v>
          </cell>
          <cell r="I161">
            <v>6282528.7510953117</v>
          </cell>
          <cell r="L161">
            <v>351138779.01505506</v>
          </cell>
          <cell r="M161">
            <v>422564254.90275037</v>
          </cell>
          <cell r="N161">
            <v>20433000.202214018</v>
          </cell>
          <cell r="O161">
            <v>3337878.7151902434</v>
          </cell>
          <cell r="P161">
            <v>8015614.1600538222</v>
          </cell>
          <cell r="Q161">
            <v>6408464.0520175369</v>
          </cell>
          <cell r="T161">
            <v>363975495.76823252</v>
          </cell>
          <cell r="U161">
            <v>437793593.42136693</v>
          </cell>
          <cell r="V161">
            <v>21162495.84281534</v>
          </cell>
          <cell r="W161">
            <v>3456786.6525379755</v>
          </cell>
          <cell r="X161">
            <v>8309710.8655896597</v>
          </cell>
          <cell r="Y161">
            <v>6646279.1116098985</v>
          </cell>
          <cell r="AB161">
            <v>367483919.25747794</v>
          </cell>
          <cell r="AC161">
            <v>442450260.50013459</v>
          </cell>
          <cell r="AD161">
            <v>21401422.518606339</v>
          </cell>
          <cell r="AE161">
            <v>3496335.0978854466</v>
          </cell>
          <cell r="AF161">
            <v>8387677.5965765612</v>
          </cell>
          <cell r="AG161">
            <v>6703272.1794020711</v>
          </cell>
        </row>
        <row r="162">
          <cell r="D162">
            <v>365945848.40129995</v>
          </cell>
          <cell r="E162">
            <v>440488673.26124024</v>
          </cell>
          <cell r="F162">
            <v>21303068.210011285</v>
          </cell>
          <cell r="G162">
            <v>3480136.3048347905</v>
          </cell>
          <cell r="H162">
            <v>8353107.5507374248</v>
          </cell>
          <cell r="I162">
            <v>6676993.4757123953</v>
          </cell>
          <cell r="L162">
            <v>374419509.51747084</v>
          </cell>
          <cell r="M162">
            <v>450386294.31383991</v>
          </cell>
          <cell r="N162">
            <v>21772180.907019202</v>
          </cell>
          <cell r="O162">
            <v>3556412.0464506489</v>
          </cell>
          <cell r="P162">
            <v>8548002.9591319449</v>
          </cell>
          <cell r="Q162">
            <v>6836494.9020659616</v>
          </cell>
          <cell r="T162">
            <v>390705778.24373323</v>
          </cell>
          <cell r="U162">
            <v>469698085.61009604</v>
          </cell>
          <cell r="V162">
            <v>22696905.923711956</v>
          </cell>
          <cell r="W162">
            <v>3707130.1357351034</v>
          </cell>
          <cell r="X162">
            <v>8921180.0245019626</v>
          </cell>
          <cell r="Y162">
            <v>7138379.7744724778</v>
          </cell>
          <cell r="AB162">
            <v>395110209.74772698</v>
          </cell>
          <cell r="AC162">
            <v>475551684.27890778</v>
          </cell>
          <cell r="AD162">
            <v>22997465.660800859</v>
          </cell>
          <cell r="AE162">
            <v>3756888.2400001865</v>
          </cell>
          <cell r="AF162">
            <v>9019021.0182551574</v>
          </cell>
          <cell r="AG162">
            <v>7209803.8623005925</v>
          </cell>
        </row>
        <row r="163">
          <cell r="D163">
            <v>388703242.32911223</v>
          </cell>
          <cell r="E163">
            <v>467731358.48151815</v>
          </cell>
          <cell r="F163">
            <v>22615830.603801575</v>
          </cell>
          <cell r="G163">
            <v>3694414.1325696991</v>
          </cell>
          <cell r="H163">
            <v>8873303.6633374691</v>
          </cell>
          <cell r="I163">
            <v>7094656.4578305082</v>
          </cell>
          <cell r="L163">
            <v>399131192.31340945</v>
          </cell>
          <cell r="M163">
            <v>479906454.04319835</v>
          </cell>
          <cell r="N163">
            <v>23192717.313372385</v>
          </cell>
          <cell r="O163">
            <v>3788206.928160389</v>
          </cell>
          <cell r="P163">
            <v>9113173.4957432915</v>
          </cell>
          <cell r="Q163">
            <v>7291028.4444757849</v>
          </cell>
          <cell r="T163">
            <v>419216006.19731283</v>
          </cell>
          <cell r="U163">
            <v>503710190.59547347</v>
          </cell>
          <cell r="V163">
            <v>24332140.629180137</v>
          </cell>
          <cell r="W163">
            <v>3973903.0551487422</v>
          </cell>
          <cell r="X163">
            <v>9573448.7691128459</v>
          </cell>
          <cell r="Y163">
            <v>7663522.2990577361</v>
          </cell>
          <cell r="AB163">
            <v>424590168.91199899</v>
          </cell>
          <cell r="AC163">
            <v>510862087.72557634</v>
          </cell>
          <cell r="AD163">
            <v>24699635.2882386</v>
          </cell>
          <cell r="AE163">
            <v>4034751.9918236639</v>
          </cell>
          <cell r="AF163">
            <v>9692785.1932098251</v>
          </cell>
          <cell r="AG163">
            <v>7750518.0875152145</v>
          </cell>
        </row>
        <row r="164">
          <cell r="D164">
            <v>412787274.28106809</v>
          </cell>
          <cell r="E164">
            <v>496553280.71184433</v>
          </cell>
          <cell r="F164">
            <v>24004410.580149591</v>
          </cell>
          <cell r="G164">
            <v>3921056.7453341386</v>
          </cell>
          <cell r="H164">
            <v>9423867.8168770205</v>
          </cell>
          <cell r="I164">
            <v>7536810.6636644825</v>
          </cell>
          <cell r="L164">
            <v>425356477.97393334</v>
          </cell>
          <cell r="M164">
            <v>511222160.18284935</v>
          </cell>
          <cell r="N164">
            <v>24699255.983808167</v>
          </cell>
          <cell r="O164">
            <v>4034019.9824401839</v>
          </cell>
          <cell r="P164">
            <v>9713022.4168671779</v>
          </cell>
          <cell r="Q164">
            <v>7773606.0726718782</v>
          </cell>
          <cell r="T164">
            <v>449615551.59165519</v>
          </cell>
          <cell r="U164">
            <v>539958426.24041259</v>
          </cell>
          <cell r="V164">
            <v>26074316.249348238</v>
          </cell>
          <cell r="W164">
            <v>4258100.8540059933</v>
          </cell>
          <cell r="X164">
            <v>10269028.928197512</v>
          </cell>
          <cell r="Y164">
            <v>8223753.0045676995</v>
          </cell>
          <cell r="AB164">
            <v>456037357.24928987</v>
          </cell>
          <cell r="AC164">
            <v>548516037.90607679</v>
          </cell>
          <cell r="AD164">
            <v>26514372.122810725</v>
          </cell>
          <cell r="AE164">
            <v>4330975.9972180184</v>
          </cell>
          <cell r="AF164">
            <v>10411572.639460847</v>
          </cell>
          <cell r="AG164">
            <v>8327521.2834682912</v>
          </cell>
        </row>
        <row r="165">
          <cell r="D165">
            <v>438271302.5092662</v>
          </cell>
          <cell r="E165">
            <v>527041291.34908617</v>
          </cell>
          <cell r="F165">
            <v>25472962.600556806</v>
          </cell>
          <cell r="G165">
            <v>4160741.1014654292</v>
          </cell>
          <cell r="H165">
            <v>10006481.570801089</v>
          </cell>
          <cell r="I165">
            <v>8004818.0550055038</v>
          </cell>
          <cell r="L165">
            <v>453182557.5967375</v>
          </cell>
          <cell r="M165">
            <v>544436158.15223432</v>
          </cell>
          <cell r="N165">
            <v>26296696.113165002</v>
          </cell>
          <cell r="O165">
            <v>4294648.9281344768</v>
          </cell>
          <cell r="P165">
            <v>10349550.725169882</v>
          </cell>
          <cell r="Q165">
            <v>8285854.3916958459</v>
          </cell>
          <cell r="T165">
            <v>482020092.95782</v>
          </cell>
          <cell r="U165">
            <v>578578669.65888143</v>
          </cell>
          <cell r="V165">
            <v>27929897.645411208</v>
          </cell>
          <cell r="W165">
            <v>4560775.6428110367</v>
          </cell>
          <cell r="X165">
            <v>11010577.417197609</v>
          </cell>
          <cell r="Y165">
            <v>8821237.0350983217</v>
          </cell>
          <cell r="AB165">
            <v>489571830.05154598</v>
          </cell>
          <cell r="AC165">
            <v>588655756.41746819</v>
          </cell>
          <cell r="AD165">
            <v>28448481.912161607</v>
          </cell>
          <cell r="AE165">
            <v>4646669.3372880984</v>
          </cell>
          <cell r="AF165">
            <v>11178134.922649531</v>
          </cell>
          <cell r="AG165">
            <v>8943041.0250823945</v>
          </cell>
        </row>
        <row r="166">
          <cell r="D166">
            <v>465232572.3382988</v>
          </cell>
          <cell r="E166">
            <v>559286820.2454809</v>
          </cell>
          <cell r="F166">
            <v>27025859.374232445</v>
          </cell>
          <cell r="G166">
            <v>4414179.6932905009</v>
          </cell>
          <cell r="H166">
            <v>10622915.701382244</v>
          </cell>
          <cell r="I166">
            <v>8500113.1425615884</v>
          </cell>
          <cell r="L166">
            <v>482701402.33188576</v>
          </cell>
          <cell r="M166">
            <v>579656791.75139499</v>
          </cell>
          <cell r="N166">
            <v>27990202.73113203</v>
          </cell>
          <cell r="O166">
            <v>4570934.7265829295</v>
          </cell>
          <cell r="P166">
            <v>11024869.291664084</v>
          </cell>
          <cell r="Q166">
            <v>8829489.7385671549</v>
          </cell>
          <cell r="T166">
            <v>516551961.16745538</v>
          </cell>
          <cell r="U166">
            <v>619714558.23338103</v>
          </cell>
          <cell r="V166">
            <v>29905717.163196087</v>
          </cell>
          <cell r="W166">
            <v>4883039.271027334</v>
          </cell>
          <cell r="X166">
            <v>11800904.20499499</v>
          </cell>
          <cell r="Y166">
            <v>9458264.9144948702</v>
          </cell>
          <cell r="AB166">
            <v>525320489.84487396</v>
          </cell>
          <cell r="AC166">
            <v>631431532.66911924</v>
          </cell>
          <cell r="AD166">
            <v>30509155.070398614</v>
          </cell>
          <cell r="AE166">
            <v>4983003.7258999087</v>
          </cell>
          <cell r="AF166">
            <v>11995380.754357036</v>
          </cell>
          <cell r="AG166">
            <v>9599432.6417185608</v>
          </cell>
        </row>
        <row r="167">
          <cell r="D167">
            <v>791514830.52801955</v>
          </cell>
          <cell r="E167">
            <v>949515742.95844746</v>
          </cell>
          <cell r="F167">
            <v>45818614.039830163</v>
          </cell>
          <cell r="G167">
            <v>7481224.4828425813</v>
          </cell>
          <cell r="H167">
            <v>18082946.178788036</v>
          </cell>
          <cell r="I167">
            <v>14494164.712129667</v>
          </cell>
          <cell r="L167">
            <v>890639102.62022519</v>
          </cell>
          <cell r="M167">
            <v>1066023025.5587754</v>
          </cell>
          <cell r="N167">
            <v>51364313.782737657</v>
          </cell>
          <cell r="O167">
            <v>8383840.9898895388</v>
          </cell>
          <cell r="P167">
            <v>20359275.867493559</v>
          </cell>
          <cell r="Q167">
            <v>16348250.459301842</v>
          </cell>
          <cell r="T167">
            <v>1030445413.2907516</v>
          </cell>
          <cell r="U167">
            <v>1230737154.4639196</v>
          </cell>
          <cell r="V167">
            <v>59217296.205482103</v>
          </cell>
          <cell r="W167">
            <v>9662474.4022908155</v>
          </cell>
          <cell r="X167">
            <v>23567937.45446327</v>
          </cell>
          <cell r="Y167">
            <v>18956955.296621233</v>
          </cell>
          <cell r="AB167">
            <v>1152064691.2715082</v>
          </cell>
          <cell r="AC167">
            <v>1381661270.4009011</v>
          </cell>
          <cell r="AD167">
            <v>66659713.947525494</v>
          </cell>
          <cell r="AE167">
            <v>10883690.215622567</v>
          </cell>
          <cell r="AF167">
            <v>26321906.727031454</v>
          </cell>
          <cell r="AG167">
            <v>21102629.016083404</v>
          </cell>
        </row>
        <row r="168">
          <cell r="D168">
            <v>1242532328.2966981</v>
          </cell>
          <cell r="E168">
            <v>1489261264.7167277</v>
          </cell>
          <cell r="F168">
            <v>71822500.748380154</v>
          </cell>
          <cell r="G168">
            <v>11725555.302805787</v>
          </cell>
          <cell r="H168">
            <v>28393254.203075942</v>
          </cell>
          <cell r="I168">
            <v>22774271.570769422</v>
          </cell>
          <cell r="L168">
            <v>1562936012.8564663</v>
          </cell>
          <cell r="M168">
            <v>1866534141.3827059</v>
          </cell>
          <cell r="N168">
            <v>89802616.10744828</v>
          </cell>
          <cell r="O168">
            <v>14652838.477882368</v>
          </cell>
          <cell r="P168">
            <v>35747807.028002158</v>
          </cell>
          <cell r="Q168">
            <v>28756280.330601141</v>
          </cell>
          <cell r="T168">
            <v>1989404018.1683753</v>
          </cell>
          <cell r="U168">
            <v>2366999819.1287627</v>
          </cell>
          <cell r="V168">
            <v>113598973.31365621</v>
          </cell>
          <cell r="W168">
            <v>18524947.021239225</v>
          </cell>
          <cell r="X168">
            <v>45545248.077896208</v>
          </cell>
          <cell r="Y168">
            <v>36746015.772173211</v>
          </cell>
          <cell r="AB168">
            <v>2651394774.4645972</v>
          </cell>
          <cell r="AC168">
            <v>3176233541.1448202</v>
          </cell>
          <cell r="AD168">
            <v>153127653.91274762</v>
          </cell>
          <cell r="AE168">
            <v>24997247.232345875</v>
          </cell>
          <cell r="AF168">
            <v>60595379.534021154</v>
          </cell>
          <cell r="AG168">
            <v>48623867.336856559</v>
          </cell>
        </row>
        <row r="169">
          <cell r="D169">
            <v>1826317822.3969858</v>
          </cell>
          <cell r="E169">
            <v>2189512617.4586139</v>
          </cell>
          <cell r="F169">
            <v>105610758.48906863</v>
          </cell>
          <cell r="G169">
            <v>17242391.369162016</v>
          </cell>
          <cell r="H169">
            <v>41730750.619648993</v>
          </cell>
          <cell r="I169">
            <v>33465619.650938146</v>
          </cell>
          <cell r="L169">
            <v>2570007447.4698648</v>
          </cell>
          <cell r="M169">
            <v>3065567970.094357</v>
          </cell>
          <cell r="N169">
            <v>147373763.97602889</v>
          </cell>
          <cell r="O169">
            <v>24042141.365550816</v>
          </cell>
          <cell r="P169">
            <v>58799628.235988706</v>
          </cell>
          <cell r="Q169">
            <v>47344536.615000367</v>
          </cell>
          <cell r="T169">
            <v>3780566345.6196728</v>
          </cell>
          <cell r="U169">
            <v>4484164108.2223101</v>
          </cell>
          <cell r="V169">
            <v>214760538.3164072</v>
          </cell>
          <cell r="W169">
            <v>35004720.025121219</v>
          </cell>
          <cell r="X169">
            <v>86620155.992934927</v>
          </cell>
          <cell r="Y169">
            <v>70056505.508673549</v>
          </cell>
          <cell r="AB169">
            <v>6386350154.7384481</v>
          </cell>
          <cell r="AC169">
            <v>7650045640.0794897</v>
          </cell>
          <cell r="AD169">
            <v>368797184.72731179</v>
          </cell>
          <cell r="AE169">
            <v>60203546.297088064</v>
          </cell>
          <cell r="AF169">
            <v>145956916.98399314</v>
          </cell>
          <cell r="AG169">
            <v>117126752.88280463</v>
          </cell>
        </row>
        <row r="170">
          <cell r="D170">
            <v>2557950024.1447291</v>
          </cell>
          <cell r="E170">
            <v>3070314043.416913</v>
          </cell>
          <cell r="F170">
            <v>148212703.98112282</v>
          </cell>
          <cell r="G170">
            <v>24202141.902139094</v>
          </cell>
          <cell r="H170">
            <v>58430376.378922291</v>
          </cell>
          <cell r="I170">
            <v>46812662.588274643</v>
          </cell>
          <cell r="L170">
            <v>3940848874.3746948</v>
          </cell>
          <cell r="M170">
            <v>4698640089.3097382</v>
          </cell>
          <cell r="N170">
            <v>225814794.75491288</v>
          </cell>
          <cell r="O170">
            <v>36836248.869659878</v>
          </cell>
          <cell r="P170">
            <v>90173595.759844527</v>
          </cell>
          <cell r="Q170">
            <v>72632127.504945904</v>
          </cell>
          <cell r="T170">
            <v>7009794062.2690392</v>
          </cell>
          <cell r="U170">
            <v>8292484031.2326946</v>
          </cell>
          <cell r="V170">
            <v>396449682.55938542</v>
          </cell>
          <cell r="W170">
            <v>64592258.038540244</v>
          </cell>
          <cell r="X170">
            <v>160714969.25737405</v>
          </cell>
          <cell r="Y170">
            <v>130250900.68217061</v>
          </cell>
          <cell r="AB170">
            <v>15916792369.766644</v>
          </cell>
          <cell r="AC170">
            <v>19081691539.78368</v>
          </cell>
          <cell r="AD170">
            <v>920388412.34468555</v>
          </cell>
          <cell r="AE170">
            <v>150265399.43680197</v>
          </cell>
          <cell r="AF170">
            <v>363695472.04546261</v>
          </cell>
          <cell r="AG170">
            <v>291667756.13371313</v>
          </cell>
        </row>
        <row r="171">
          <cell r="D171">
            <v>3411555387.2935033</v>
          </cell>
          <cell r="E171">
            <v>4103691396.8860674</v>
          </cell>
          <cell r="F171">
            <v>198375740.62502563</v>
          </cell>
          <cell r="G171">
            <v>32403955.756565362</v>
          </cell>
          <cell r="H171">
            <v>77886064.431743518</v>
          </cell>
          <cell r="I171">
            <v>62291985.722668648</v>
          </cell>
          <cell r="L171">
            <v>5702566278.8778238</v>
          </cell>
          <cell r="M171">
            <v>6801017467.5394564</v>
          </cell>
          <cell r="N171">
            <v>326914821.25383294</v>
          </cell>
          <cell r="O171">
            <v>53330581.198401339</v>
          </cell>
          <cell r="P171">
            <v>130475546.33109704</v>
          </cell>
          <cell r="Q171">
            <v>105070882.25860882</v>
          </cell>
          <cell r="T171">
            <v>12467375449.066547</v>
          </cell>
          <cell r="U171">
            <v>14714610293.682369</v>
          </cell>
          <cell r="V171">
            <v>702382420.23016012</v>
          </cell>
          <cell r="W171">
            <v>114395046.50813173</v>
          </cell>
          <cell r="X171">
            <v>286008587.93196207</v>
          </cell>
          <cell r="Y171">
            <v>232212112.28293517</v>
          </cell>
          <cell r="AB171">
            <v>39957977684.586945</v>
          </cell>
          <cell r="AC171">
            <v>47982349865.946297</v>
          </cell>
          <cell r="AD171">
            <v>2316899517.8742871</v>
          </cell>
          <cell r="AE171">
            <v>378358937.3023228</v>
          </cell>
          <cell r="AF171">
            <v>912645409.13138986</v>
          </cell>
          <cell r="AG171">
            <v>730930031.54854941</v>
          </cell>
        </row>
        <row r="172">
          <cell r="D172">
            <v>4345940054.2019434</v>
          </cell>
          <cell r="E172">
            <v>5244084400.5531254</v>
          </cell>
          <cell r="F172">
            <v>254023816.15538082</v>
          </cell>
          <cell r="G172">
            <v>41513478.143591821</v>
          </cell>
          <cell r="H172">
            <v>99137871.331015766</v>
          </cell>
          <cell r="I172">
            <v>79086798.418800637</v>
          </cell>
          <cell r="L172">
            <v>7905028564.7995367</v>
          </cell>
          <cell r="M172">
            <v>9436247413.3713684</v>
          </cell>
          <cell r="N172">
            <v>453858525.00425333</v>
          </cell>
          <cell r="O172">
            <v>74049592.378751501</v>
          </cell>
          <cell r="P172">
            <v>180826605.37610555</v>
          </cell>
          <cell r="Q172">
            <v>145513698.5515528</v>
          </cell>
          <cell r="T172">
            <v>21522673492.313721</v>
          </cell>
          <cell r="U172">
            <v>25347351721.106304</v>
          </cell>
          <cell r="V172">
            <v>1208154876.1441767</v>
          </cell>
          <cell r="W172">
            <v>196701351.27206776</v>
          </cell>
          <cell r="X172">
            <v>494009587.17808652</v>
          </cell>
          <cell r="Y172">
            <v>401759160.4142136</v>
          </cell>
          <cell r="AB172">
            <v>97043694145.43158</v>
          </cell>
          <cell r="AC172">
            <v>116816809346.78833</v>
          </cell>
          <cell r="AD172">
            <v>5649706695.086998</v>
          </cell>
          <cell r="AE172">
            <v>922960317.83771408</v>
          </cell>
          <cell r="AF172">
            <v>2215100292.5530405</v>
          </cell>
          <cell r="AG172">
            <v>1770557255.8297112</v>
          </cell>
        </row>
        <row r="173">
          <cell r="D173">
            <v>5475889639.2200813</v>
          </cell>
          <cell r="E173">
            <v>6634062449.5507154</v>
          </cell>
          <cell r="F173">
            <v>322191211.10303682</v>
          </cell>
          <cell r="G173">
            <v>52685096.532051668</v>
          </cell>
          <cell r="H173">
            <v>124784410.65131553</v>
          </cell>
          <cell r="I173">
            <v>99220178.071815029</v>
          </cell>
          <cell r="L173">
            <v>10697353622.71443</v>
          </cell>
          <cell r="M173">
            <v>12785671217.800415</v>
          </cell>
          <cell r="N173">
            <v>615474478.62644386</v>
          </cell>
          <cell r="O173">
            <v>100437748.07925886</v>
          </cell>
          <cell r="P173">
            <v>244621525.79596484</v>
          </cell>
          <cell r="Q173">
            <v>196651430.34353769</v>
          </cell>
          <cell r="T173">
            <v>36620744146.061729</v>
          </cell>
          <cell r="U173">
            <v>43041586191.593765</v>
          </cell>
          <cell r="V173">
            <v>2048723765.7383921</v>
          </cell>
          <cell r="W173">
            <v>333448225.78047991</v>
          </cell>
          <cell r="X173">
            <v>840979297.48909438</v>
          </cell>
          <cell r="Y173">
            <v>684997738.9941802</v>
          </cell>
          <cell r="AB173">
            <v>221822301788.44617</v>
          </cell>
          <cell r="AC173">
            <v>267855337468.18451</v>
          </cell>
          <cell r="AD173">
            <v>12980947681.921614</v>
          </cell>
          <cell r="AE173">
            <v>2121618969.0976648</v>
          </cell>
          <cell r="AF173">
            <v>5059192332.1288538</v>
          </cell>
          <cell r="AG173">
            <v>4033604111.467185</v>
          </cell>
        </row>
      </sheetData>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Jin Lee" id="{E815CB36-36BA-4FC1-A732-182F8DEBA3FA}" userId="S::z5310684@ad.unsw.edu.au::a1aed5b7-dbf1-4c8e-b9fc-44766cf620b2" providerId="AD"/>
  <person displayName="Brandon Ngo" id="{739B8F94-EE68-4A63-906E-FF3638977EFD}" userId="S::z5311195@ad.unsw.edu.au::18db3646-8c61-4ccb-8179-4b7733e5c219" providerId="AD"/>
  <person displayName="Daniel Missak" id="{0AD1AE6D-A817-46A4-8A7B-0F1A6FC24C96}" userId="S::z5316195@ad.unsw.edu.au::d91276a5-2d9d-4e8c-92a4-b3bf58a81187"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9</v>
    <v>9</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176" dT="2023-03-23T23:35:35.49" personId="{739B8F94-EE68-4A63-906E-FF3638977EFD}" id="{8AB06A9E-98F2-46DF-A1A7-F5602358864E}">
    <text>@shaun @jin why is the formula to calculate permanent housing costs for ssp1 different to every other ssp</text>
  </threadedComment>
</ThreadedComments>
</file>

<file path=xl/threadedComments/threadedComment2.xml><?xml version="1.0" encoding="utf-8"?>
<ThreadedComments xmlns="http://schemas.microsoft.com/office/spreadsheetml/2018/threadedcomments" xmlns:x="http://schemas.openxmlformats.org/spreadsheetml/2006/main">
  <threadedComment ref="F119" dT="2023-03-23T23:35:35.49" personId="{739B8F94-EE68-4A63-906E-FF3638977EFD}" id="{B32DFCB9-250A-4031-8914-C887B7E745B1}">
    <text>@shaun @jin why is the formula to calculate permanent housing costs for ssp1 different to every other ssp</text>
  </threadedComment>
</ThreadedComments>
</file>

<file path=xl/threadedComments/threadedComment3.xml><?xml version="1.0" encoding="utf-8"?>
<ThreadedComments xmlns="http://schemas.microsoft.com/office/spreadsheetml/2018/threadedcomments" xmlns:x="http://schemas.openxmlformats.org/spreadsheetml/2006/main">
  <threadedComment ref="F4" dT="2023-03-23T00:16:01.20" personId="{0AD1AE6D-A817-46A4-8A7B-0F1A6FC24C96}" id="{F962BC93-6ECD-4BD9-8D17-B054BA16A8FF}">
    <text>Positive means program cost is higher than without program cost</text>
  </threadedComment>
  <threadedComment ref="L4" dT="2023-03-23T00:16:01.20" personId="{0AD1AE6D-A817-46A4-8A7B-0F1A6FC24C96}" id="{B3C550E1-9E0F-476C-BDF9-C0DC7FEBD655}">
    <text>Positive means program cost is higher than without program cost</text>
  </threadedComment>
  <threadedComment ref="L5" dT="2023-03-23T00:41:19.32" personId="{739B8F94-EE68-4A63-906E-FF3638977EFD}" id="{69F23B23-FF78-4715-9448-F4D81B6A7FD4}">
    <text>whys this formula so long lmao</text>
  </threadedComment>
  <threadedComment ref="L5" dT="2023-03-23T00:42:05.69" personId="{E815CB36-36BA-4FC1-A732-182F8DEBA3FA}" id="{9587A9CA-EC56-4916-A8AE-506E62ABD794}" parentId="{69F23B23-FF78-4715-9448-F4D81B6A7FD4}">
    <text>Lol</text>
  </threadedComment>
  <threadedComment ref="F24" dT="2023-03-23T00:16:01.20" personId="{0AD1AE6D-A817-46A4-8A7B-0F1A6FC24C96}" id="{79C4A947-D851-4121-96D0-5D4C910CC1D8}">
    <text>Positive means program cost is higher than without program cost</text>
  </threadedComment>
  <threadedComment ref="L24" dT="2023-03-23T00:16:01.20" personId="{0AD1AE6D-A817-46A4-8A7B-0F1A6FC24C96}" id="{4AD79141-B6BC-4C39-A45A-F78675B79123}">
    <text>Positive means program cost is higher than without program cost</text>
  </threadedComment>
  <threadedComment ref="F25" dT="2023-03-23T00:41:19.32" personId="{739B8F94-EE68-4A63-906E-FF3638977EFD}" id="{9B5442E1-EC26-4DC6-A7E6-9E0F70923519}">
    <text>whys this formula so long lmao</text>
  </threadedComment>
  <threadedComment ref="F25" dT="2023-03-23T00:42:05.69" personId="{E815CB36-36BA-4FC1-A732-182F8DEBA3FA}" id="{5A96809C-9C1F-4002-8119-ADE3BE93D65B}" parentId="{9B5442E1-EC26-4DC6-A7E6-9E0F70923519}">
    <text>Lol</text>
  </threadedComment>
  <threadedComment ref="L25" dT="2023-03-23T00:41:19.32" personId="{739B8F94-EE68-4A63-906E-FF3638977EFD}" id="{E9E91488-8440-47CA-A761-537EF281B8DC}">
    <text>whys this formula so long lmao</text>
  </threadedComment>
  <threadedComment ref="L25" dT="2023-03-23T00:42:05.69" personId="{E815CB36-36BA-4FC1-A732-182F8DEBA3FA}" id="{4D7AA634-0BC0-4536-8436-0CF67FEABD0E}" parentId="{E9E91488-8440-47CA-A761-537EF281B8DC}">
    <text>Lol</text>
  </threadedComment>
</ThreadedComments>
</file>

<file path=xl/threadedComments/threadedComment4.xml><?xml version="1.0" encoding="utf-8"?>
<ThreadedComments xmlns="http://schemas.microsoft.com/office/spreadsheetml/2018/threadedcomments" xmlns:x="http://schemas.openxmlformats.org/spreadsheetml/2006/main">
  <threadedComment ref="F4" dT="2023-03-23T00:16:01.20" personId="{0AD1AE6D-A817-46A4-8A7B-0F1A6FC24C96}" id="{68EDBCBA-1A21-4703-9B5A-7DA53B9C0393}">
    <text>Positive means program cost is higher than without program cost</text>
  </threadedComment>
  <threadedComment ref="L4" dT="2023-03-23T00:16:01.20" personId="{0AD1AE6D-A817-46A4-8A7B-0F1A6FC24C96}" id="{45A33A26-DA8B-41E2-A7BF-19016D3C488E}">
    <text>Positive means program cost is higher than without program cost</text>
  </threadedComment>
  <threadedComment ref="L5" dT="2023-03-23T00:41:19.32" personId="{739B8F94-EE68-4A63-906E-FF3638977EFD}" id="{6A3A08BF-E248-4882-9166-394F2A5D3793}">
    <text>whys this formula so long lmao</text>
  </threadedComment>
  <threadedComment ref="L5" dT="2023-03-23T00:42:05.69" personId="{E815CB36-36BA-4FC1-A732-182F8DEBA3FA}" id="{EC7B614D-54FD-4BBB-9B96-4CAB277D8AD3}" parentId="{6A3A08BF-E248-4882-9166-394F2A5D3793}">
    <text>Lol</text>
  </threadedComment>
  <threadedComment ref="F24" dT="2023-03-23T00:16:01.20" personId="{0AD1AE6D-A817-46A4-8A7B-0F1A6FC24C96}" id="{568EFDA3-98B1-444C-9D78-69271A3525C7}">
    <text>Positive means program cost is higher than without program cost</text>
  </threadedComment>
  <threadedComment ref="L24" dT="2023-03-23T00:16:01.20" personId="{0AD1AE6D-A817-46A4-8A7B-0F1A6FC24C96}" id="{A7A59D19-9394-4126-86DB-F9131510C69D}">
    <text>Positive means program cost is higher than without program cost</text>
  </threadedComment>
  <threadedComment ref="F25" dT="2023-03-23T00:41:19.32" personId="{739B8F94-EE68-4A63-906E-FF3638977EFD}" id="{D6304144-8A70-4A18-8918-B67478480CBA}">
    <text>whys this formula so long lmao</text>
  </threadedComment>
  <threadedComment ref="F25" dT="2023-03-23T00:42:05.69" personId="{E815CB36-36BA-4FC1-A732-182F8DEBA3FA}" id="{C3E25C22-CF67-4991-B3AE-D9951CF8020A}" parentId="{D6304144-8A70-4A18-8918-B67478480CBA}">
    <text>Lol</text>
  </threadedComment>
  <threadedComment ref="L25" dT="2023-03-23T00:41:19.32" personId="{739B8F94-EE68-4A63-906E-FF3638977EFD}" id="{ED475B6A-41D5-492B-BC58-A7B241FAED6B}">
    <text>whys this formula so long lmao</text>
  </threadedComment>
  <threadedComment ref="L25" dT="2023-03-23T00:42:05.69" personId="{E815CB36-36BA-4FC1-A732-182F8DEBA3FA}" id="{AE24E49A-E97C-424B-B788-C082C8B18E57}" parentId="{ED475B6A-41D5-492B-BC58-A7B241FAED6B}">
    <text>Lol</text>
  </threadedComment>
</ThreadedComments>
</file>

<file path=xl/threadedComments/threadedComment5.xml><?xml version="1.0" encoding="utf-8"?>
<ThreadedComments xmlns="http://schemas.microsoft.com/office/spreadsheetml/2018/threadedcomments" xmlns:x="http://schemas.openxmlformats.org/spreadsheetml/2006/main">
  <threadedComment ref="C29" dT="2023-03-23T12:50:24.53" personId="{739B8F94-EE68-4A63-906E-FF3638977EFD}" id="{D4B818DC-F4D1-4357-BBAD-00DE5E144C8F}">
    <text>@daniel I think you should look at difference as a % rather than absolute difference since you wont be able to fit everything on the graph (due to large differences) and also the higher inflation will skew the absolute results since raw values will naturally be higher</text>
  </threadedComment>
</ThreadedComments>
</file>

<file path=xl/threadedComments/threadedComment6.xml><?xml version="1.0" encoding="utf-8"?>
<ThreadedComments xmlns="http://schemas.microsoft.com/office/spreadsheetml/2018/threadedcomments" xmlns:x="http://schemas.openxmlformats.org/spreadsheetml/2006/main">
  <threadedComment ref="F176" dT="2023-03-23T23:35:35.49" personId="{739B8F94-EE68-4A63-906E-FF3638977EFD}" id="{64E97CF7-1C2C-43C3-9DD3-2A1EC8F81558}">
    <text>@shaun @jin why is the formula to calculate permanent housing costs for ssp1 different to every other ssp</text>
  </threadedComment>
</ThreadedComments>
</file>

<file path=xl/threadedComments/threadedComment7.xml><?xml version="1.0" encoding="utf-8"?>
<ThreadedComments xmlns="http://schemas.microsoft.com/office/spreadsheetml/2018/threadedcomments" xmlns:x="http://schemas.openxmlformats.org/spreadsheetml/2006/main">
  <threadedComment ref="C24" dT="2023-03-21T02:19:59.16" personId="{0AD1AE6D-A817-46A4-8A7B-0F1A6FC24C96}" id="{94096BFE-D378-4497-8329-516BE4C63478}">
    <text>+ve number means total program cost is higher than total cost without the program</text>
  </threadedComment>
  <threadedComment ref="F35" dT="2023-03-21T02:31:20.46" personId="{0AD1AE6D-A817-46A4-8A7B-0F1A6FC24C96}" id="{7DBEE25B-BE58-405B-82CE-4791648AC2D9}">
    <text>In this analysis:
% relocation med = (% relocation high)/4</text>
  </threadedComment>
</ThreadedComments>
</file>

<file path=xl/threadedComments/threadedComment8.xml><?xml version="1.0" encoding="utf-8"?>
<ThreadedComments xmlns="http://schemas.microsoft.com/office/spreadsheetml/2018/threadedcomments" xmlns:x="http://schemas.openxmlformats.org/spreadsheetml/2006/main">
  <threadedComment ref="B4" dT="2023-03-14T00:34:33.26" personId="{0AD1AE6D-A817-46A4-8A7B-0F1A6FC24C96}" id="{76656BA6-D4D0-4516-960B-03B30DFF2204}">
    <text>I made this the average of the 4 regions. Does this make sense or should we make it weighted avg based on some weight?</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ourworldindata.org/explorers/ipcc-scenarios"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13.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4.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4.xml"/><Relationship Id="rId4" Type="http://schemas.microsoft.com/office/2017/10/relationships/threadedComment" Target="../threadedComments/threadedComment4.xml"/></Relationships>
</file>

<file path=xl/worksheets/_rels/sheet15.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5.xml"/><Relationship Id="rId4" Type="http://schemas.microsoft.com/office/2017/10/relationships/threadedComment" Target="../threadedComments/threadedComment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18.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20.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6.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4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6.bin"/></Relationships>
</file>

<file path=xl/worksheets/_rels/sheet41.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92B5B-1D97-4F3B-9C52-42EE78B1E7C1}">
  <sheetPr>
    <tabColor theme="5" tint="-0.249977111117893"/>
  </sheetPr>
  <dimension ref="B2:L59"/>
  <sheetViews>
    <sheetView topLeftCell="A39" workbookViewId="0">
      <selection activeCell="C67" sqref="C67"/>
    </sheetView>
  </sheetViews>
  <sheetFormatPr defaultColWidth="8.7109375" defaultRowHeight="15"/>
  <cols>
    <col min="1" max="1" width="3.7109375" style="46" customWidth="1"/>
    <col min="2" max="2" width="69.140625" style="46" bestFit="1" customWidth="1"/>
    <col min="3" max="8" width="14.7109375" style="46" customWidth="1"/>
    <col min="9" max="9" width="8" style="46" bestFit="1" customWidth="1"/>
    <col min="10" max="16384" width="8.7109375" style="46"/>
  </cols>
  <sheetData>
    <row r="2" spans="2:10">
      <c r="B2" s="47"/>
      <c r="C2" s="44"/>
      <c r="D2" s="45"/>
      <c r="E2" s="45"/>
      <c r="F2" s="45"/>
      <c r="G2" s="45"/>
      <c r="H2" s="48" t="s">
        <v>0</v>
      </c>
    </row>
    <row r="3" spans="2:10">
      <c r="B3" s="43"/>
      <c r="C3" s="45"/>
      <c r="D3" s="45"/>
      <c r="E3" s="45"/>
      <c r="F3" s="45"/>
      <c r="G3" s="45"/>
      <c r="H3" s="45"/>
    </row>
    <row r="4" spans="2:10">
      <c r="B4" s="43"/>
      <c r="C4" s="45"/>
      <c r="D4" s="45"/>
      <c r="E4" s="45"/>
      <c r="F4" s="45"/>
      <c r="G4" s="45"/>
      <c r="H4" s="45"/>
    </row>
    <row r="5" spans="2:10">
      <c r="B5" s="43"/>
      <c r="C5" s="45"/>
      <c r="D5" s="45"/>
      <c r="E5" s="45"/>
      <c r="F5" s="45"/>
      <c r="G5" s="45"/>
      <c r="H5" s="45"/>
    </row>
    <row r="6" spans="2:10" ht="18.75">
      <c r="B6" s="49" t="s">
        <v>1</v>
      </c>
      <c r="C6" s="49"/>
      <c r="D6" s="49"/>
      <c r="E6" s="49"/>
      <c r="F6" s="49"/>
      <c r="G6" s="49"/>
      <c r="H6" s="49"/>
    </row>
    <row r="7" spans="2:10">
      <c r="B7" s="50"/>
      <c r="C7" s="45"/>
      <c r="D7" s="45"/>
      <c r="E7" s="45"/>
      <c r="F7" s="45"/>
      <c r="G7" s="45"/>
      <c r="H7" s="45"/>
    </row>
    <row r="8" spans="2:10">
      <c r="B8" s="51"/>
      <c r="C8" s="52" t="s">
        <v>2</v>
      </c>
      <c r="D8" s="52" t="s">
        <v>3</v>
      </c>
      <c r="E8" s="52" t="s">
        <v>4</v>
      </c>
      <c r="F8" s="52" t="s">
        <v>5</v>
      </c>
      <c r="G8" s="52" t="s">
        <v>6</v>
      </c>
      <c r="H8" s="52" t="s">
        <v>7</v>
      </c>
    </row>
    <row r="9" spans="2:10">
      <c r="B9" s="43" t="s">
        <v>8</v>
      </c>
      <c r="C9" s="53">
        <v>6406008</v>
      </c>
      <c r="D9" s="53">
        <v>4386948</v>
      </c>
      <c r="E9" s="53">
        <v>5019684</v>
      </c>
      <c r="F9" s="53">
        <v>995544</v>
      </c>
      <c r="G9" s="53">
        <v>1257096</v>
      </c>
      <c r="H9" s="53">
        <v>313836</v>
      </c>
    </row>
    <row r="10" spans="2:10">
      <c r="B10" s="43" t="s">
        <v>9</v>
      </c>
      <c r="C10" s="53">
        <v>6306408</v>
      </c>
      <c r="D10" s="53">
        <v>4212348</v>
      </c>
      <c r="E10" s="53">
        <v>4993764</v>
      </c>
      <c r="F10" s="53">
        <v>1010676</v>
      </c>
      <c r="G10" s="53">
        <v>1266672</v>
      </c>
      <c r="H10" s="53">
        <v>307884</v>
      </c>
    </row>
    <row r="11" spans="2:10">
      <c r="B11" s="43" t="s">
        <v>10</v>
      </c>
      <c r="C11" s="53">
        <v>5414700</v>
      </c>
      <c r="D11" s="53">
        <v>3231492</v>
      </c>
      <c r="E11" s="53">
        <v>4614048</v>
      </c>
      <c r="F11" s="53">
        <v>1110012</v>
      </c>
      <c r="G11" s="53">
        <v>1289472</v>
      </c>
      <c r="H11" s="53">
        <v>323820</v>
      </c>
    </row>
    <row r="12" spans="2:10">
      <c r="B12" s="43" t="s">
        <v>11</v>
      </c>
      <c r="C12" s="54">
        <v>0.77200000000000002</v>
      </c>
      <c r="D12" s="54">
        <v>0.82699999999999996</v>
      </c>
      <c r="E12" s="54">
        <v>0.78500000000000003</v>
      </c>
      <c r="F12" s="54">
        <v>0.78100000000000003</v>
      </c>
      <c r="G12" s="54">
        <v>0.76</v>
      </c>
      <c r="H12" s="54">
        <v>0.82699999999999996</v>
      </c>
    </row>
    <row r="13" spans="2:10">
      <c r="B13" s="43" t="s">
        <v>12</v>
      </c>
      <c r="C13" s="54">
        <v>0.16500000000000001</v>
      </c>
      <c r="D13" s="54">
        <v>0.26100000000000001</v>
      </c>
      <c r="E13" s="54">
        <v>0.13700000000000001</v>
      </c>
      <c r="F13" s="54">
        <v>0.20899999999999999</v>
      </c>
      <c r="G13" s="54">
        <v>0.17199999999999999</v>
      </c>
      <c r="H13" s="54">
        <v>0.2</v>
      </c>
    </row>
    <row r="14" spans="2:10">
      <c r="B14" s="43" t="s">
        <v>13</v>
      </c>
      <c r="C14" s="53">
        <v>2791896</v>
      </c>
      <c r="D14" s="53">
        <v>2523732</v>
      </c>
      <c r="E14" s="53">
        <v>2212536</v>
      </c>
      <c r="F14" s="53">
        <v>496548</v>
      </c>
      <c r="G14" s="53">
        <v>566592</v>
      </c>
      <c r="H14" s="53">
        <v>135480</v>
      </c>
      <c r="J14" s="46" t="s">
        <v>14</v>
      </c>
    </row>
    <row r="15" spans="2:10">
      <c r="B15" s="43" t="s">
        <v>15</v>
      </c>
      <c r="C15" s="53">
        <v>1904073</v>
      </c>
      <c r="D15" s="53">
        <v>1862514</v>
      </c>
      <c r="E15" s="53">
        <v>1323096</v>
      </c>
      <c r="F15" s="53">
        <v>333680</v>
      </c>
      <c r="G15" s="53">
        <v>365451</v>
      </c>
      <c r="H15" s="53">
        <v>102693</v>
      </c>
    </row>
    <row r="16" spans="2:10">
      <c r="B16" s="43" t="s">
        <v>16</v>
      </c>
      <c r="C16" s="45" t="s">
        <v>17</v>
      </c>
      <c r="D16" s="58" t="s">
        <v>18</v>
      </c>
      <c r="E16" s="45" t="s">
        <v>19</v>
      </c>
      <c r="F16" s="45" t="s">
        <v>20</v>
      </c>
      <c r="G16" s="45" t="s">
        <v>21</v>
      </c>
      <c r="H16" s="45" t="s">
        <v>22</v>
      </c>
    </row>
    <row r="17" spans="2:12">
      <c r="B17" s="43" t="s">
        <v>23</v>
      </c>
      <c r="C17" s="45" t="s">
        <v>24</v>
      </c>
      <c r="D17" s="55" t="s">
        <v>25</v>
      </c>
      <c r="E17" s="45" t="s">
        <v>26</v>
      </c>
      <c r="F17" s="45" t="s">
        <v>27</v>
      </c>
      <c r="G17" s="45" t="s">
        <v>28</v>
      </c>
      <c r="H17" s="45" t="s">
        <v>29</v>
      </c>
    </row>
    <row r="18" spans="2:12">
      <c r="B18" s="43" t="s">
        <v>30</v>
      </c>
      <c r="C18" s="53">
        <v>1260</v>
      </c>
      <c r="D18" s="53">
        <v>1287</v>
      </c>
      <c r="E18" s="53">
        <v>1318</v>
      </c>
      <c r="F18" s="45">
        <v>923</v>
      </c>
      <c r="G18" s="53">
        <v>1068</v>
      </c>
      <c r="H18" s="45">
        <v>882</v>
      </c>
    </row>
    <row r="19" spans="2:12">
      <c r="B19" s="43" t="s">
        <v>31</v>
      </c>
      <c r="C19" s="53">
        <v>95568</v>
      </c>
      <c r="D19" s="53">
        <v>83640</v>
      </c>
      <c r="E19" s="53">
        <v>39156</v>
      </c>
      <c r="F19" s="53">
        <v>1080</v>
      </c>
      <c r="G19" s="53">
        <v>4656</v>
      </c>
      <c r="H19" s="53">
        <v>2328</v>
      </c>
    </row>
    <row r="20" spans="2:12">
      <c r="B20" s="325" t="s">
        <v>32</v>
      </c>
      <c r="C20" s="326"/>
      <c r="D20" s="326"/>
      <c r="E20" s="327">
        <f>E19/E14+1</f>
        <v>1.0176973391619391</v>
      </c>
      <c r="F20" s="327">
        <f t="shared" ref="F20:H20" si="0">F19/F14+1</f>
        <v>1.0021750163126224</v>
      </c>
      <c r="G20" s="327">
        <f t="shared" si="0"/>
        <v>1.0082175533717384</v>
      </c>
      <c r="H20" s="327">
        <f t="shared" si="0"/>
        <v>1.0171833480956598</v>
      </c>
      <c r="I20" s="46" t="s">
        <v>33</v>
      </c>
      <c r="J20" s="46" t="s">
        <v>34</v>
      </c>
    </row>
    <row r="21" spans="2:12">
      <c r="B21" s="43" t="s">
        <v>35</v>
      </c>
      <c r="C21" s="54">
        <v>0.64800000000000002</v>
      </c>
      <c r="D21" s="54">
        <v>0.55300000000000005</v>
      </c>
      <c r="E21" s="54">
        <v>0.627</v>
      </c>
      <c r="F21" s="54">
        <v>0.54900000000000004</v>
      </c>
      <c r="G21" s="54">
        <v>0.55700000000000005</v>
      </c>
      <c r="H21" s="54">
        <v>0.51</v>
      </c>
    </row>
    <row r="22" spans="2:12">
      <c r="B22" s="43" t="s">
        <v>36</v>
      </c>
      <c r="C22" s="53">
        <v>22342094</v>
      </c>
      <c r="D22" s="53">
        <v>36406400</v>
      </c>
      <c r="E22" s="53">
        <v>17508375</v>
      </c>
      <c r="F22" s="53">
        <v>2774258</v>
      </c>
      <c r="G22" s="53">
        <v>2611585</v>
      </c>
      <c r="H22" s="53">
        <v>151132</v>
      </c>
    </row>
    <row r="23" spans="2:12">
      <c r="B23" s="43" t="s">
        <v>37</v>
      </c>
      <c r="C23" s="53">
        <v>51556220</v>
      </c>
      <c r="D23" s="53">
        <v>26864638</v>
      </c>
      <c r="E23" s="53">
        <v>70145543</v>
      </c>
      <c r="F23" s="53">
        <v>6658061</v>
      </c>
      <c r="G23" s="53">
        <v>9541905</v>
      </c>
      <c r="H23" s="53">
        <v>697773</v>
      </c>
    </row>
    <row r="24" spans="2:12">
      <c r="B24" s="43" t="s">
        <v>38</v>
      </c>
      <c r="C24" s="53">
        <v>13500228</v>
      </c>
      <c r="D24" s="53">
        <v>2862506</v>
      </c>
      <c r="E24" s="53">
        <v>3929251</v>
      </c>
      <c r="F24" s="53">
        <v>2234577</v>
      </c>
      <c r="G24" s="53">
        <v>2307892</v>
      </c>
      <c r="H24" s="374">
        <f>K24</f>
        <v>199078.17395583095</v>
      </c>
      <c r="K24" s="46">
        <f>SUM(C24:G24)*(1+'Inflation-Interest'!C65)*(1+'Inflation-Interest'!C66)*(1+'Inflation-Interest'!C67)*'Demographic-Economic'!H38/SUM('Demographic-Economic'!C38:G38)</f>
        <v>199078.17395583095</v>
      </c>
      <c r="L24" s="46" t="s">
        <v>39</v>
      </c>
    </row>
    <row r="25" spans="2:12">
      <c r="B25" s="43" t="s">
        <v>40</v>
      </c>
      <c r="C25" s="53">
        <v>120644546</v>
      </c>
      <c r="D25" s="53">
        <v>104661514</v>
      </c>
      <c r="E25" s="53">
        <v>86911348</v>
      </c>
      <c r="F25" s="53">
        <v>16147988</v>
      </c>
      <c r="G25" s="53">
        <v>17600539</v>
      </c>
      <c r="H25" s="53">
        <v>2241932</v>
      </c>
    </row>
    <row r="26" spans="2:12">
      <c r="B26" s="43" t="s">
        <v>41</v>
      </c>
      <c r="C26" s="45" t="s">
        <v>42</v>
      </c>
      <c r="D26" s="45" t="s">
        <v>43</v>
      </c>
      <c r="E26" s="45" t="s">
        <v>44</v>
      </c>
      <c r="F26" s="45" t="s">
        <v>45</v>
      </c>
      <c r="G26" s="45" t="s">
        <v>46</v>
      </c>
      <c r="H26" s="45" t="s">
        <v>47</v>
      </c>
    </row>
    <row r="27" spans="2:12">
      <c r="B27" s="43" t="s">
        <v>48</v>
      </c>
      <c r="C27" s="53">
        <v>2376180</v>
      </c>
      <c r="D27" s="53">
        <v>1634628</v>
      </c>
      <c r="E27" s="53">
        <v>1865736</v>
      </c>
      <c r="F27" s="53">
        <v>403548</v>
      </c>
      <c r="G27" s="53">
        <v>500448</v>
      </c>
      <c r="H27" s="53">
        <v>110052</v>
      </c>
    </row>
    <row r="28" spans="2:12">
      <c r="B28" s="323" t="s">
        <v>49</v>
      </c>
      <c r="C28" s="324">
        <f>C14-C27</f>
        <v>415716</v>
      </c>
      <c r="D28" s="324">
        <f t="shared" ref="D28:G28" si="1">D14-D27</f>
        <v>889104</v>
      </c>
      <c r="E28" s="324">
        <f t="shared" si="1"/>
        <v>346800</v>
      </c>
      <c r="F28" s="324">
        <f t="shared" si="1"/>
        <v>93000</v>
      </c>
      <c r="G28" s="324">
        <f t="shared" si="1"/>
        <v>66144</v>
      </c>
      <c r="H28" s="324">
        <f>H14-H27</f>
        <v>25428</v>
      </c>
    </row>
    <row r="29" spans="2:12">
      <c r="B29" s="43" t="s">
        <v>50</v>
      </c>
      <c r="C29" s="56">
        <v>2.5499999999999998</v>
      </c>
      <c r="D29" s="56">
        <v>2.4900000000000002</v>
      </c>
      <c r="E29" s="56">
        <v>2.4700000000000002</v>
      </c>
      <c r="F29" s="56">
        <v>2.5</v>
      </c>
      <c r="G29" s="56">
        <v>2.5</v>
      </c>
      <c r="H29" s="56">
        <v>2.65</v>
      </c>
      <c r="J29" s="46" t="s">
        <v>51</v>
      </c>
    </row>
    <row r="30" spans="2:12">
      <c r="B30" s="43" t="s">
        <v>52</v>
      </c>
      <c r="C30" s="53">
        <v>82459</v>
      </c>
      <c r="D30" s="53">
        <v>68123</v>
      </c>
      <c r="E30" s="53">
        <v>71916</v>
      </c>
      <c r="F30" s="53">
        <v>48615</v>
      </c>
      <c r="G30" s="53">
        <v>61518</v>
      </c>
      <c r="H30" s="53">
        <v>69340</v>
      </c>
      <c r="J30" s="46" t="s">
        <v>53</v>
      </c>
    </row>
    <row r="31" spans="2:12">
      <c r="B31" s="43" t="s">
        <v>54</v>
      </c>
      <c r="C31" s="45" t="s">
        <v>55</v>
      </c>
      <c r="D31" s="45" t="s">
        <v>56</v>
      </c>
      <c r="E31" s="45" t="s">
        <v>57</v>
      </c>
      <c r="F31" s="45" t="s">
        <v>58</v>
      </c>
      <c r="G31" s="45" t="s">
        <v>59</v>
      </c>
      <c r="H31" s="45" t="s">
        <v>60</v>
      </c>
    </row>
    <row r="32" spans="2:12">
      <c r="B32" s="43" t="s">
        <v>61</v>
      </c>
      <c r="C32" s="54">
        <v>0.121</v>
      </c>
      <c r="D32" s="54">
        <v>0.128</v>
      </c>
      <c r="E32" s="54">
        <v>0.16</v>
      </c>
      <c r="F32" s="54">
        <v>0.191</v>
      </c>
      <c r="G32" s="54">
        <v>0.20499999999999999</v>
      </c>
      <c r="H32" s="54">
        <v>0.16800000000000001</v>
      </c>
    </row>
    <row r="33" spans="2:9">
      <c r="B33" s="43" t="s">
        <v>62</v>
      </c>
      <c r="C33" s="53">
        <v>170172</v>
      </c>
      <c r="D33" s="53">
        <v>113688</v>
      </c>
      <c r="E33" s="53">
        <v>110220</v>
      </c>
      <c r="F33" s="53">
        <v>18924</v>
      </c>
      <c r="G33" s="53">
        <v>21132</v>
      </c>
      <c r="H33" s="53">
        <v>3888</v>
      </c>
    </row>
    <row r="34" spans="2:9">
      <c r="B34" s="43" t="s">
        <v>63</v>
      </c>
      <c r="C34" s="53">
        <v>2990424</v>
      </c>
      <c r="D34" s="53">
        <v>1412112</v>
      </c>
      <c r="E34" s="53">
        <v>1941528</v>
      </c>
      <c r="F34" s="53">
        <v>284904</v>
      </c>
      <c r="G34" s="53">
        <v>388428</v>
      </c>
      <c r="H34" s="53">
        <v>65676</v>
      </c>
    </row>
    <row r="35" spans="2:9">
      <c r="B35" s="43" t="s">
        <v>64</v>
      </c>
      <c r="C35" s="53">
        <v>186551503</v>
      </c>
      <c r="D35" s="53">
        <v>60187999</v>
      </c>
      <c r="E35" s="53">
        <v>116972082</v>
      </c>
      <c r="F35" s="53">
        <v>14470878</v>
      </c>
      <c r="G35" s="53">
        <v>20694659</v>
      </c>
      <c r="H35" s="53">
        <v>2989576</v>
      </c>
    </row>
    <row r="36" spans="2:9">
      <c r="B36" s="43" t="s">
        <v>65</v>
      </c>
      <c r="C36" s="45">
        <v>2.58</v>
      </c>
      <c r="D36" s="45">
        <v>1.19</v>
      </c>
      <c r="E36" s="45">
        <v>2.12</v>
      </c>
      <c r="F36" s="45">
        <v>0.28999999999999998</v>
      </c>
      <c r="G36" s="45">
        <v>0.61</v>
      </c>
      <c r="H36" s="45">
        <v>0.19</v>
      </c>
    </row>
    <row r="37" spans="2:9">
      <c r="B37" s="43" t="s">
        <v>66</v>
      </c>
      <c r="C37" s="53">
        <v>2442659</v>
      </c>
      <c r="D37" s="53">
        <v>3522311</v>
      </c>
      <c r="E37" s="53">
        <v>2353615</v>
      </c>
      <c r="F37" s="53">
        <v>3438613</v>
      </c>
      <c r="G37" s="53">
        <v>2067059</v>
      </c>
      <c r="H37" s="53">
        <v>1556199</v>
      </c>
    </row>
    <row r="38" spans="2:9">
      <c r="B38" s="43" t="s">
        <v>67</v>
      </c>
      <c r="C38" s="53">
        <v>531771287</v>
      </c>
      <c r="D38" s="53">
        <v>222153795</v>
      </c>
      <c r="E38" s="53">
        <v>417708522</v>
      </c>
      <c r="F38" s="53">
        <v>45815957</v>
      </c>
      <c r="G38" s="53">
        <v>69643447</v>
      </c>
      <c r="H38" s="53">
        <v>9845914</v>
      </c>
    </row>
    <row r="39" spans="2:9">
      <c r="B39" s="323" t="s">
        <v>68</v>
      </c>
      <c r="C39" s="53">
        <f>C38/(1+'Inflation-Interest'!$C$66)</f>
        <v>522882288.1022616</v>
      </c>
      <c r="D39" s="53">
        <f>D38/(1+'Inflation-Interest'!$C$66)</f>
        <v>218440309.73451328</v>
      </c>
      <c r="E39" s="53">
        <f>E38/(1+'Inflation-Interest'!$C$66)</f>
        <v>410726176.9911505</v>
      </c>
      <c r="F39" s="53">
        <f>F38/(1+'Inflation-Interest'!$C$66)</f>
        <v>45050105.211406104</v>
      </c>
      <c r="G39" s="53">
        <f>G38/(1+'Inflation-Interest'!$C$66)</f>
        <v>68479298.918387413</v>
      </c>
      <c r="H39" s="53">
        <f>H38/(1+'Inflation-Interest'!$C$66)</f>
        <v>9681331.3667649962</v>
      </c>
    </row>
    <row r="40" spans="2:9">
      <c r="B40" s="43" t="s">
        <v>69</v>
      </c>
      <c r="C40" s="53">
        <v>534828123</v>
      </c>
      <c r="D40" s="53">
        <v>223457321</v>
      </c>
      <c r="E40" s="53">
        <v>414066160</v>
      </c>
      <c r="F40" s="53">
        <v>46354925</v>
      </c>
      <c r="G40" s="53">
        <v>68360180</v>
      </c>
      <c r="H40" s="53">
        <v>9766147</v>
      </c>
    </row>
    <row r="41" spans="2:9">
      <c r="B41" s="196" t="s">
        <v>70</v>
      </c>
      <c r="C41" s="53">
        <f>C40/(1+'Inflation-Interest'!$C$65)</f>
        <v>523725149.82373673</v>
      </c>
      <c r="D41" s="53">
        <f>D40/(1+'Inflation-Interest'!$C$65)</f>
        <v>218818371.52369758</v>
      </c>
      <c r="E41" s="53">
        <f>E40/(1+'Inflation-Interest'!$C$65)</f>
        <v>405470191.93106145</v>
      </c>
      <c r="F41" s="53">
        <f>F40/(1+'Inflation-Interest'!$C$65)</f>
        <v>45392601.840971403</v>
      </c>
      <c r="G41" s="53">
        <f>G40/(1+'Inflation-Interest'!$C$65)</f>
        <v>66941030.160595372</v>
      </c>
      <c r="H41" s="53">
        <f>H40/(1+'Inflation-Interest'!$C$65)</f>
        <v>9563402.8593811188</v>
      </c>
    </row>
    <row r="42" spans="2:9">
      <c r="B42" s="43" t="s">
        <v>71</v>
      </c>
      <c r="C42" s="53">
        <v>1920</v>
      </c>
      <c r="D42" s="53">
        <v>1829</v>
      </c>
      <c r="E42" s="53">
        <v>1925</v>
      </c>
      <c r="F42" s="53">
        <v>1639</v>
      </c>
      <c r="G42" s="53">
        <v>1599</v>
      </c>
      <c r="H42" s="53">
        <v>1653</v>
      </c>
    </row>
    <row r="43" spans="2:9">
      <c r="B43" s="43" t="s">
        <v>72</v>
      </c>
      <c r="C43" s="57">
        <v>4.2999999999999997E-2</v>
      </c>
      <c r="D43" s="57">
        <v>6.3299999999999995E-2</v>
      </c>
      <c r="E43" s="57">
        <v>3.56E-2</v>
      </c>
      <c r="F43" s="57">
        <v>0.18820000000000001</v>
      </c>
      <c r="G43" s="57">
        <v>9.9599999999999994E-2</v>
      </c>
      <c r="H43" s="57">
        <v>7.5899999999999995E-2</v>
      </c>
      <c r="I43" s="219">
        <f>50000</f>
        <v>50000</v>
      </c>
    </row>
    <row r="44" spans="2:9">
      <c r="B44" s="43" t="s">
        <v>73</v>
      </c>
      <c r="C44" s="57">
        <v>4.5900000000000003E-2</v>
      </c>
      <c r="D44" s="57">
        <v>5.3699999999999998E-2</v>
      </c>
      <c r="E44" s="57">
        <v>6.2300000000000001E-2</v>
      </c>
      <c r="F44" s="57">
        <v>0.1888</v>
      </c>
      <c r="G44" s="57">
        <v>0.13969999999999999</v>
      </c>
      <c r="H44" s="57">
        <v>0.15790000000000001</v>
      </c>
      <c r="I44" s="219">
        <f>(50000+99000)/2</f>
        <v>74500</v>
      </c>
    </row>
    <row r="45" spans="2:9">
      <c r="B45" s="43" t="s">
        <v>74</v>
      </c>
      <c r="C45" s="57">
        <v>6.9500000000000006E-2</v>
      </c>
      <c r="D45" s="57">
        <v>6.93E-2</v>
      </c>
      <c r="E45" s="57">
        <v>0.1123</v>
      </c>
      <c r="F45" s="57">
        <v>0.1578</v>
      </c>
      <c r="G45" s="57">
        <v>0.18909999999999999</v>
      </c>
      <c r="H45" s="57">
        <v>0.1336</v>
      </c>
      <c r="I45" s="219">
        <f>(100000+149000)/2</f>
        <v>124500</v>
      </c>
    </row>
    <row r="46" spans="2:9">
      <c r="B46" s="43" t="s">
        <v>75</v>
      </c>
      <c r="C46" s="57">
        <v>0.16039999999999999</v>
      </c>
      <c r="D46" s="57">
        <v>0.15310000000000001</v>
      </c>
      <c r="E46" s="57">
        <v>0.21609999999999999</v>
      </c>
      <c r="F46" s="57">
        <v>0.1726</v>
      </c>
      <c r="G46" s="57">
        <v>0.1867</v>
      </c>
      <c r="H46" s="57">
        <v>0.1605</v>
      </c>
      <c r="I46" s="219">
        <f>(150000+199000)/2</f>
        <v>174500</v>
      </c>
    </row>
    <row r="47" spans="2:9">
      <c r="B47" s="43" t="s">
        <v>76</v>
      </c>
      <c r="C47" s="57">
        <v>0.10780000000000001</v>
      </c>
      <c r="D47" s="57">
        <v>0.112</v>
      </c>
      <c r="E47" s="57">
        <v>0.1053</v>
      </c>
      <c r="F47" s="57">
        <v>8.7599999999999997E-2</v>
      </c>
      <c r="G47" s="57">
        <v>0.1192</v>
      </c>
      <c r="H47" s="57">
        <v>0.10249999999999999</v>
      </c>
      <c r="I47" s="219">
        <f>(200000+249000)/2</f>
        <v>224500</v>
      </c>
    </row>
    <row r="48" spans="2:9">
      <c r="B48" s="43" t="s">
        <v>77</v>
      </c>
      <c r="C48" s="57">
        <v>8.1799999999999998E-2</v>
      </c>
      <c r="D48" s="57">
        <v>9.4700000000000006E-2</v>
      </c>
      <c r="E48" s="57">
        <v>7.6100000000000001E-2</v>
      </c>
      <c r="F48" s="57">
        <v>3.3700000000000001E-2</v>
      </c>
      <c r="G48" s="57">
        <v>6.7900000000000002E-2</v>
      </c>
      <c r="H48" s="57">
        <v>5.8200000000000002E-2</v>
      </c>
      <c r="I48" s="219">
        <f>(250000+299000)/2</f>
        <v>274500</v>
      </c>
    </row>
    <row r="49" spans="2:9">
      <c r="B49" s="43" t="s">
        <v>78</v>
      </c>
      <c r="C49" s="57">
        <v>0.22919999999999999</v>
      </c>
      <c r="D49" s="57">
        <v>0.24440000000000001</v>
      </c>
      <c r="E49" s="57">
        <v>0.18940000000000001</v>
      </c>
      <c r="F49" s="57">
        <v>0.1013</v>
      </c>
      <c r="G49" s="57">
        <v>0.126</v>
      </c>
      <c r="H49" s="57">
        <v>0.17019999999999999</v>
      </c>
      <c r="I49" s="219">
        <f>(300000+399000)/2</f>
        <v>349500</v>
      </c>
    </row>
    <row r="50" spans="2:9">
      <c r="B50" s="43" t="s">
        <v>79</v>
      </c>
      <c r="C50" s="57">
        <v>0.11509999999999999</v>
      </c>
      <c r="D50" s="57">
        <v>0.11260000000000001</v>
      </c>
      <c r="E50" s="57">
        <v>0.1008</v>
      </c>
      <c r="F50" s="57">
        <v>2.9100000000000001E-2</v>
      </c>
      <c r="G50" s="57">
        <v>4.19E-2</v>
      </c>
      <c r="H50" s="57">
        <v>8.0100000000000005E-2</v>
      </c>
      <c r="I50" s="219">
        <f>(400000+499000)/2</f>
        <v>449500</v>
      </c>
    </row>
    <row r="51" spans="2:9">
      <c r="B51" s="43" t="s">
        <v>80</v>
      </c>
      <c r="C51" s="57">
        <v>5.28E-2</v>
      </c>
      <c r="D51" s="57">
        <v>4.8599999999999997E-2</v>
      </c>
      <c r="E51" s="57">
        <v>4.3400000000000001E-2</v>
      </c>
      <c r="F51" s="57">
        <v>1.83E-2</v>
      </c>
      <c r="G51" s="57">
        <v>1.3899999999999999E-2</v>
      </c>
      <c r="H51" s="57">
        <v>3.0499999999999999E-2</v>
      </c>
      <c r="I51" s="219">
        <f>(500000+749000)/2</f>
        <v>624500</v>
      </c>
    </row>
    <row r="52" spans="2:9">
      <c r="B52" s="43" t="s">
        <v>81</v>
      </c>
      <c r="C52" s="57">
        <v>5.7299999999999997E-2</v>
      </c>
      <c r="D52" s="57">
        <v>3.1E-2</v>
      </c>
      <c r="E52" s="57">
        <v>4.2599999999999999E-2</v>
      </c>
      <c r="F52" s="57">
        <v>1.0800000000000001E-2</v>
      </c>
      <c r="G52" s="57">
        <v>8.9999999999999993E-3</v>
      </c>
      <c r="H52" s="57">
        <v>1.5800000000000002E-2</v>
      </c>
      <c r="I52" s="219">
        <f>(750000+999000)/2</f>
        <v>874500</v>
      </c>
    </row>
    <row r="53" spans="2:9">
      <c r="B53" s="43" t="s">
        <v>82</v>
      </c>
      <c r="C53" s="57">
        <v>1.9900000000000001E-2</v>
      </c>
      <c r="D53" s="57">
        <v>8.0000000000000002E-3</v>
      </c>
      <c r="E53" s="57">
        <v>8.6999999999999994E-3</v>
      </c>
      <c r="F53" s="57">
        <v>2.5999999999999999E-3</v>
      </c>
      <c r="G53" s="57">
        <v>1.8E-3</v>
      </c>
      <c r="H53" s="57">
        <v>1.0800000000000001E-2</v>
      </c>
      <c r="I53" s="219">
        <f>(1000000+1499000)/2</f>
        <v>1249500</v>
      </c>
    </row>
    <row r="54" spans="2:9">
      <c r="B54" s="43" t="s">
        <v>83</v>
      </c>
      <c r="C54" s="57">
        <v>1.1299999999999999E-2</v>
      </c>
      <c r="D54" s="57">
        <v>5.5999999999999999E-3</v>
      </c>
      <c r="E54" s="57">
        <v>3.5999999999999999E-3</v>
      </c>
      <c r="F54" s="57">
        <v>6.0000000000000001E-3</v>
      </c>
      <c r="G54" s="57">
        <v>2.9999999999999997E-4</v>
      </c>
      <c r="H54" s="57">
        <v>0</v>
      </c>
      <c r="I54" s="219">
        <f>(1500000+1990000)/2</f>
        <v>1745000</v>
      </c>
    </row>
    <row r="55" spans="2:9">
      <c r="B55" s="43" t="s">
        <v>84</v>
      </c>
      <c r="C55" s="57">
        <v>6.0000000000000001E-3</v>
      </c>
      <c r="D55" s="57">
        <v>3.7000000000000002E-3</v>
      </c>
      <c r="E55" s="57">
        <v>3.8E-3</v>
      </c>
      <c r="F55" s="57">
        <v>3.2000000000000002E-3</v>
      </c>
      <c r="G55" s="57">
        <v>4.8999999999999998E-3</v>
      </c>
      <c r="H55" s="57">
        <v>4.0000000000000001E-3</v>
      </c>
      <c r="I55" s="219">
        <v>2000000</v>
      </c>
    </row>
    <row r="56" spans="2:9">
      <c r="B56" s="46" t="s">
        <v>85</v>
      </c>
      <c r="C56" s="46">
        <f>SUMPRODUCT(C43:C55, $I$43:$I$55)</f>
        <v>360376.14999999997</v>
      </c>
      <c r="D56" s="46">
        <f t="shared" ref="D56:H56" si="2">SUMPRODUCT(D43:D55, $I$43:$I$55)</f>
        <v>314308.30000000005</v>
      </c>
      <c r="E56" s="46">
        <f t="shared" si="2"/>
        <v>303256</v>
      </c>
      <c r="F56" s="46">
        <f t="shared" si="2"/>
        <v>191633.7</v>
      </c>
      <c r="G56" s="46">
        <f t="shared" si="2"/>
        <v>208903.4</v>
      </c>
      <c r="H56" s="46">
        <f t="shared" si="2"/>
        <v>249034.95</v>
      </c>
    </row>
    <row r="58" spans="2:9">
      <c r="C58" s="46">
        <f>SUMPRODUCT(C43:C49,I43:I49)</f>
        <v>168972.69999999998</v>
      </c>
      <c r="D58" s="46">
        <f>SUMPRODUCT(D43:D49,I43:I49)</f>
        <v>179066.40000000002</v>
      </c>
      <c r="E58" s="46">
        <f>SUMPRODUCT(E43:E49,I43:I49)</f>
        <v>168836.75</v>
      </c>
      <c r="F58" s="46">
        <f>SUMPRODUCT(F43:F49,I43:I49)</f>
        <v>137561.59999999998</v>
      </c>
      <c r="G58" s="46">
        <f>SUMPRODUCT(G43:G49,I43:I49)</f>
        <v>160945.70000000001</v>
      </c>
      <c r="H58" s="46">
        <f>SUMPRODUCT(H43:H49,I43:I49)</f>
        <v>158671.04999999999</v>
      </c>
    </row>
    <row r="59" spans="2:9">
      <c r="C59" s="46">
        <f t="shared" ref="C59:H59" si="3">C58/C56</f>
        <v>0.46887869799374904</v>
      </c>
      <c r="D59" s="46">
        <f t="shared" si="3"/>
        <v>0.56971578542469292</v>
      </c>
      <c r="E59" s="46">
        <f t="shared" si="3"/>
        <v>0.55674661012477911</v>
      </c>
      <c r="F59" s="46">
        <f t="shared" si="3"/>
        <v>0.71783616347229096</v>
      </c>
      <c r="G59" s="46">
        <f t="shared" si="3"/>
        <v>0.77043121366143397</v>
      </c>
      <c r="H59" s="46">
        <f t="shared" si="3"/>
        <v>0.63714370211891935</v>
      </c>
    </row>
  </sheetData>
  <conditionalFormatting sqref="B9:H55">
    <cfRule type="expression" dxfId="89" priority="2">
      <formula>MOD(ROW(),3)=2</formula>
    </cfRule>
  </conditionalFormatting>
  <conditionalFormatting sqref="C43:H55">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86848-0A13-4B7E-B3C3-72E6232F26D9}">
  <sheetPr>
    <tabColor theme="5" tint="-0.249977111117893"/>
  </sheetPr>
  <dimension ref="A1:K74"/>
  <sheetViews>
    <sheetView workbookViewId="0">
      <selection activeCell="J74" sqref="J74"/>
    </sheetView>
  </sheetViews>
  <sheetFormatPr defaultColWidth="8.7109375" defaultRowHeight="15" customHeight="1"/>
  <cols>
    <col min="1" max="1" width="3.7109375" style="46" customWidth="1"/>
    <col min="2" max="2" width="17.42578125" style="46" customWidth="1"/>
    <col min="3" max="3" width="10.7109375" style="46" customWidth="1"/>
    <col min="4" max="4" width="10.7109375" style="46" hidden="1" customWidth="1"/>
    <col min="5" max="5" width="12.7109375" style="46" customWidth="1"/>
    <col min="6" max="7" width="10.7109375" style="46" customWidth="1"/>
    <col min="8" max="8" width="8.7109375" style="46" customWidth="1"/>
    <col min="9" max="9" width="37.7109375" style="46" customWidth="1"/>
    <col min="10" max="10" width="29.28515625" style="46" customWidth="1"/>
    <col min="11" max="16384" width="8.7109375" style="46"/>
  </cols>
  <sheetData>
    <row r="1" spans="1:11">
      <c r="A1" s="43"/>
      <c r="B1" s="186"/>
      <c r="C1" s="45"/>
      <c r="D1" s="45"/>
      <c r="E1" s="45"/>
      <c r="F1" s="45"/>
      <c r="G1" s="45"/>
      <c r="H1" s="187"/>
      <c r="I1" s="187"/>
      <c r="J1" s="187"/>
      <c r="K1" s="187"/>
    </row>
    <row r="2" spans="1:11">
      <c r="A2" s="43"/>
      <c r="B2" s="186"/>
      <c r="C2" s="45"/>
      <c r="D2" s="45"/>
      <c r="E2" s="45"/>
      <c r="F2" s="45"/>
      <c r="G2" s="45"/>
      <c r="H2" s="48"/>
      <c r="I2" s="43"/>
      <c r="J2" s="48" t="s">
        <v>0</v>
      </c>
      <c r="K2" s="43"/>
    </row>
    <row r="3" spans="1:11">
      <c r="A3" s="43"/>
      <c r="B3" s="186"/>
      <c r="C3" s="45"/>
      <c r="D3" s="45"/>
      <c r="E3" s="45"/>
      <c r="F3" s="45"/>
      <c r="G3" s="45"/>
      <c r="H3" s="43"/>
      <c r="I3" s="43"/>
      <c r="J3" s="43"/>
      <c r="K3" s="43"/>
    </row>
    <row r="4" spans="1:11">
      <c r="A4" s="43"/>
      <c r="B4" s="186"/>
      <c r="C4" s="45"/>
      <c r="D4" s="45"/>
      <c r="E4" s="45"/>
      <c r="F4" s="45"/>
      <c r="G4" s="45"/>
      <c r="H4" s="43"/>
      <c r="I4" s="43"/>
      <c r="J4" s="43"/>
      <c r="K4" s="43"/>
    </row>
    <row r="5" spans="1:11" ht="22.35" customHeight="1">
      <c r="A5" s="43"/>
      <c r="B5" s="186"/>
      <c r="C5" s="45"/>
      <c r="D5" s="45"/>
      <c r="E5" s="45"/>
      <c r="F5" s="45"/>
      <c r="G5" s="45"/>
      <c r="H5" s="43"/>
      <c r="I5" s="43"/>
      <c r="J5" s="43"/>
      <c r="K5" s="43"/>
    </row>
    <row r="6" spans="1:11" ht="18" customHeight="1">
      <c r="A6" s="43"/>
      <c r="B6" s="188" t="s">
        <v>86</v>
      </c>
      <c r="C6" s="188"/>
      <c r="D6" s="188"/>
      <c r="E6" s="188"/>
      <c r="F6" s="188"/>
      <c r="G6" s="188"/>
      <c r="H6" s="188"/>
      <c r="I6" s="188"/>
      <c r="J6" s="188"/>
      <c r="K6" s="43"/>
    </row>
    <row r="7" spans="1:11">
      <c r="A7" s="43"/>
      <c r="B7" s="186"/>
      <c r="C7" s="45"/>
      <c r="D7" s="45"/>
      <c r="E7" s="45"/>
      <c r="F7" s="45"/>
      <c r="G7" s="45"/>
      <c r="H7" s="187"/>
      <c r="I7" s="187"/>
      <c r="J7" s="187"/>
      <c r="K7" s="187"/>
    </row>
    <row r="8" spans="1:11" ht="60">
      <c r="A8" s="43"/>
      <c r="B8" s="189" t="s">
        <v>87</v>
      </c>
      <c r="C8" s="189" t="s">
        <v>88</v>
      </c>
      <c r="D8" s="189" t="s">
        <v>89</v>
      </c>
      <c r="E8" s="189" t="s">
        <v>90</v>
      </c>
      <c r="F8" s="189" t="s">
        <v>91</v>
      </c>
      <c r="G8" s="189" t="s">
        <v>92</v>
      </c>
      <c r="H8" s="190"/>
      <c r="I8" s="191" t="s">
        <v>93</v>
      </c>
      <c r="K8" s="187"/>
    </row>
    <row r="9" spans="1:11">
      <c r="A9" s="43"/>
      <c r="B9" s="186">
        <v>1962</v>
      </c>
      <c r="C9" s="192">
        <v>2.1299999999999999E-2</v>
      </c>
      <c r="D9" s="192"/>
      <c r="E9" s="192">
        <v>3.0700000000000002E-2</v>
      </c>
      <c r="F9" s="192">
        <v>3.5099999999999999E-2</v>
      </c>
      <c r="G9" s="192">
        <v>4.4600000000000001E-2</v>
      </c>
      <c r="H9" s="187"/>
      <c r="I9" s="43" t="s">
        <v>88</v>
      </c>
      <c r="J9" s="43" t="s">
        <v>94</v>
      </c>
      <c r="K9" s="187"/>
    </row>
    <row r="10" spans="1:11">
      <c r="A10" s="43"/>
      <c r="B10" s="186">
        <v>1963</v>
      </c>
      <c r="C10" s="192">
        <v>2.01E-2</v>
      </c>
      <c r="D10" s="192">
        <f>C10-C9</f>
        <v>-1.1999999999999997E-3</v>
      </c>
      <c r="E10" s="192">
        <v>3.5799999999999998E-2</v>
      </c>
      <c r="F10" s="192">
        <v>3.7999999999999999E-2</v>
      </c>
      <c r="G10" s="192">
        <v>4.5199999999999997E-2</v>
      </c>
      <c r="H10" s="187"/>
      <c r="I10" s="43" t="s">
        <v>95</v>
      </c>
      <c r="J10" s="43" t="s">
        <v>94</v>
      </c>
      <c r="K10" s="187"/>
    </row>
    <row r="11" spans="1:11">
      <c r="A11" s="43"/>
      <c r="B11" s="186">
        <v>1964</v>
      </c>
      <c r="C11" s="192">
        <v>2.0500000000000001E-2</v>
      </c>
      <c r="D11" s="192">
        <f t="shared" ref="D11:D68" si="0">C11-C10</f>
        <v>4.0000000000000105E-4</v>
      </c>
      <c r="E11" s="192">
        <v>3.9399999999999998E-2</v>
      </c>
      <c r="F11" s="192">
        <v>4.3499999999999997E-2</v>
      </c>
      <c r="G11" s="192">
        <v>4.7300000000000002E-2</v>
      </c>
      <c r="H11" s="187"/>
      <c r="I11" s="43" t="s">
        <v>91</v>
      </c>
      <c r="J11" s="43" t="s">
        <v>94</v>
      </c>
      <c r="K11" s="187"/>
    </row>
    <row r="12" spans="1:11">
      <c r="A12" s="43"/>
      <c r="B12" s="186">
        <v>1965</v>
      </c>
      <c r="C12" s="192">
        <v>2.5399999999999999E-2</v>
      </c>
      <c r="D12" s="192">
        <f t="shared" si="0"/>
        <v>4.8999999999999981E-3</v>
      </c>
      <c r="E12" s="192">
        <v>4.58E-2</v>
      </c>
      <c r="F12" s="192">
        <v>4.6800000000000001E-2</v>
      </c>
      <c r="G12" s="192">
        <v>4.8399999999999999E-2</v>
      </c>
      <c r="H12" s="187"/>
      <c r="I12" s="43" t="s">
        <v>92</v>
      </c>
      <c r="J12" s="43" t="s">
        <v>94</v>
      </c>
      <c r="K12" s="187"/>
    </row>
    <row r="13" spans="1:11">
      <c r="A13" s="43"/>
      <c r="B13" s="186">
        <v>1966</v>
      </c>
      <c r="C13" s="192">
        <v>3.3000000000000002E-2</v>
      </c>
      <c r="D13" s="192">
        <f t="shared" si="0"/>
        <v>7.6000000000000026E-3</v>
      </c>
      <c r="E13" s="192">
        <v>5.7000000000000002E-2</v>
      </c>
      <c r="F13" s="192">
        <v>5.8700000000000002E-2</v>
      </c>
      <c r="G13" s="192">
        <v>5.5599999999999997E-2</v>
      </c>
      <c r="H13" s="187"/>
      <c r="K13" s="187"/>
    </row>
    <row r="14" spans="1:11">
      <c r="A14" s="43"/>
      <c r="B14" s="186">
        <v>1967</v>
      </c>
      <c r="C14" s="192">
        <v>2.7400000000000001E-2</v>
      </c>
      <c r="D14" s="192">
        <f t="shared" si="0"/>
        <v>-5.6000000000000008E-3</v>
      </c>
      <c r="E14" s="192">
        <v>4.7399999999999998E-2</v>
      </c>
      <c r="F14" s="192">
        <v>5.5E-2</v>
      </c>
      <c r="G14" s="192">
        <v>5.7200000000000001E-2</v>
      </c>
      <c r="H14" s="187"/>
      <c r="K14" s="187"/>
    </row>
    <row r="15" spans="1:11">
      <c r="A15" s="43"/>
      <c r="B15" s="186">
        <v>1968</v>
      </c>
      <c r="C15" s="192">
        <v>3.4799999999999998E-2</v>
      </c>
      <c r="D15" s="192">
        <f t="shared" si="0"/>
        <v>7.3999999999999969E-3</v>
      </c>
      <c r="E15" s="192">
        <v>6.3500000000000001E-2</v>
      </c>
      <c r="F15" s="192">
        <v>6.4100000000000004E-2</v>
      </c>
      <c r="G15" s="192">
        <v>6.3600000000000004E-2</v>
      </c>
      <c r="H15" s="187"/>
      <c r="K15" s="187"/>
    </row>
    <row r="16" spans="1:11">
      <c r="A16" s="43"/>
      <c r="B16" s="186">
        <v>1969</v>
      </c>
      <c r="C16" s="192">
        <v>4.0599999999999997E-2</v>
      </c>
      <c r="D16" s="192">
        <f t="shared" si="0"/>
        <v>5.7999999999999996E-3</v>
      </c>
      <c r="E16" s="192">
        <v>9.0999999999999998E-2</v>
      </c>
      <c r="F16" s="192">
        <v>8.0199999999999994E-2</v>
      </c>
      <c r="G16" s="192">
        <v>7.51E-2</v>
      </c>
      <c r="H16" s="187"/>
      <c r="I16" s="187"/>
      <c r="J16" s="187"/>
      <c r="K16" s="187"/>
    </row>
    <row r="17" spans="1:11">
      <c r="A17" s="43"/>
      <c r="B17" s="186">
        <v>1970</v>
      </c>
      <c r="C17" s="192">
        <v>5.04E-2</v>
      </c>
      <c r="D17" s="192">
        <f t="shared" si="0"/>
        <v>9.8000000000000032E-3</v>
      </c>
      <c r="E17" s="192">
        <v>8.0299999999999996E-2</v>
      </c>
      <c r="F17" s="192">
        <v>7.7700000000000005E-2</v>
      </c>
      <c r="G17" s="192">
        <v>8.2799999999999999E-2</v>
      </c>
      <c r="H17" s="187"/>
      <c r="I17" s="187"/>
      <c r="J17" s="187"/>
      <c r="K17" s="187"/>
    </row>
    <row r="18" spans="1:11">
      <c r="A18" s="43"/>
      <c r="B18" s="186">
        <v>1971</v>
      </c>
      <c r="C18" s="192">
        <v>4.7199999999999999E-2</v>
      </c>
      <c r="D18" s="192">
        <f t="shared" si="0"/>
        <v>-3.2000000000000015E-3</v>
      </c>
      <c r="E18" s="192">
        <v>5.2699999999999997E-2</v>
      </c>
      <c r="F18" s="192">
        <v>5.5199999999999999E-2</v>
      </c>
      <c r="G18" s="192">
        <v>6.9400000000000003E-2</v>
      </c>
      <c r="H18" s="187"/>
      <c r="I18" s="187"/>
      <c r="J18" s="187"/>
      <c r="K18" s="187"/>
    </row>
    <row r="19" spans="1:11">
      <c r="A19" s="43"/>
      <c r="B19" s="186">
        <v>1972</v>
      </c>
      <c r="C19" s="192">
        <v>4.41E-2</v>
      </c>
      <c r="D19" s="192">
        <f t="shared" si="0"/>
        <v>-3.0999999999999986E-3</v>
      </c>
      <c r="E19" s="192">
        <v>0.05</v>
      </c>
      <c r="F19" s="192">
        <v>5.5899999999999998E-2</v>
      </c>
      <c r="G19" s="192">
        <v>6.9900000000000004E-2</v>
      </c>
      <c r="H19" s="187"/>
      <c r="I19" s="187"/>
      <c r="J19" s="187"/>
      <c r="K19" s="187"/>
    </row>
    <row r="20" spans="1:11">
      <c r="A20" s="43"/>
      <c r="B20" s="186">
        <v>1973</v>
      </c>
      <c r="C20" s="192">
        <v>6.7599999999999993E-2</v>
      </c>
      <c r="D20" s="192">
        <f t="shared" si="0"/>
        <v>2.3499999999999993E-2</v>
      </c>
      <c r="E20" s="192">
        <v>9.7900000000000001E-2</v>
      </c>
      <c r="F20" s="192">
        <v>8.2400000000000001E-2</v>
      </c>
      <c r="G20" s="192">
        <v>7.7100000000000002E-2</v>
      </c>
      <c r="H20" s="187"/>
      <c r="I20" s="187"/>
      <c r="J20" s="187"/>
      <c r="K20" s="187"/>
    </row>
    <row r="21" spans="1:11">
      <c r="A21" s="43"/>
      <c r="B21" s="186">
        <v>1974</v>
      </c>
      <c r="C21" s="192">
        <v>0.1086</v>
      </c>
      <c r="D21" s="192">
        <f t="shared" si="0"/>
        <v>4.1000000000000009E-2</v>
      </c>
      <c r="E21" s="192">
        <v>0.11799999999999999</v>
      </c>
      <c r="F21" s="192">
        <v>9.2299999999999993E-2</v>
      </c>
      <c r="G21" s="192">
        <v>8.5099999999999995E-2</v>
      </c>
      <c r="H21" s="187"/>
      <c r="I21" s="187"/>
      <c r="J21" s="187"/>
      <c r="K21" s="187"/>
    </row>
    <row r="22" spans="1:11">
      <c r="A22" s="43"/>
      <c r="B22" s="186">
        <v>1975</v>
      </c>
      <c r="C22" s="192">
        <v>8.8999999999999996E-2</v>
      </c>
      <c r="D22" s="192">
        <f t="shared" si="0"/>
        <v>-1.9600000000000006E-2</v>
      </c>
      <c r="E22" s="192">
        <v>6.5600000000000006E-2</v>
      </c>
      <c r="F22" s="192">
        <v>7.6300000000000007E-2</v>
      </c>
      <c r="G22" s="192">
        <v>8.9899999999999994E-2</v>
      </c>
      <c r="H22" s="187"/>
      <c r="I22" s="187"/>
      <c r="J22" s="187"/>
      <c r="K22" s="187"/>
    </row>
    <row r="23" spans="1:11">
      <c r="A23" s="43"/>
      <c r="B23" s="186">
        <v>1976</v>
      </c>
      <c r="C23" s="192">
        <v>6.4299999999999996E-2</v>
      </c>
      <c r="D23" s="192">
        <f t="shared" si="0"/>
        <v>-2.47E-2</v>
      </c>
      <c r="E23" s="192">
        <v>5.6899999999999999E-2</v>
      </c>
      <c r="F23" s="192">
        <v>6.6299999999999998E-2</v>
      </c>
      <c r="G23" s="192">
        <v>8.5699999999999998E-2</v>
      </c>
      <c r="H23" s="187"/>
      <c r="I23" s="187"/>
      <c r="J23" s="187"/>
      <c r="K23" s="187"/>
    </row>
    <row r="24" spans="1:11">
      <c r="A24" s="43"/>
      <c r="B24" s="186">
        <v>1977</v>
      </c>
      <c r="C24" s="192">
        <v>6.8599999999999994E-2</v>
      </c>
      <c r="D24" s="192">
        <f t="shared" si="0"/>
        <v>4.2999999999999983E-3</v>
      </c>
      <c r="E24" s="192">
        <v>6.2399999999999997E-2</v>
      </c>
      <c r="F24" s="192">
        <v>6.8500000000000005E-2</v>
      </c>
      <c r="G24" s="192">
        <v>8.3500000000000005E-2</v>
      </c>
      <c r="H24" s="187"/>
      <c r="I24" s="187"/>
      <c r="J24" s="187"/>
      <c r="K24" s="187"/>
    </row>
    <row r="25" spans="1:11">
      <c r="A25" s="43"/>
      <c r="B25" s="186">
        <v>1978</v>
      </c>
      <c r="C25" s="192">
        <v>6.7599999999999993E-2</v>
      </c>
      <c r="D25" s="192">
        <f t="shared" si="0"/>
        <v>-1.0000000000000009E-3</v>
      </c>
      <c r="E25" s="192">
        <v>8.9300000000000004E-2</v>
      </c>
      <c r="F25" s="192">
        <v>9.3799999999999994E-2</v>
      </c>
      <c r="G25" s="192">
        <v>9.4600000000000004E-2</v>
      </c>
      <c r="H25" s="187"/>
      <c r="I25" s="187"/>
      <c r="J25" s="187"/>
      <c r="K25" s="187"/>
    </row>
    <row r="26" spans="1:11">
      <c r="A26" s="43"/>
      <c r="B26" s="186">
        <v>1979</v>
      </c>
      <c r="C26" s="192">
        <v>9.11E-2</v>
      </c>
      <c r="D26" s="192">
        <f t="shared" si="0"/>
        <v>2.3500000000000007E-2</v>
      </c>
      <c r="E26" s="192">
        <v>0.12559999999999999</v>
      </c>
      <c r="F26" s="192">
        <v>0.1197</v>
      </c>
      <c r="G26" s="192">
        <v>0.106</v>
      </c>
      <c r="H26" s="187"/>
      <c r="I26" s="187"/>
      <c r="J26" s="187"/>
      <c r="K26" s="187"/>
    </row>
    <row r="27" spans="1:11">
      <c r="A27" s="43"/>
      <c r="B27" s="186">
        <v>1980</v>
      </c>
      <c r="C27" s="192">
        <v>0.1188</v>
      </c>
      <c r="D27" s="192">
        <f t="shared" si="0"/>
        <v>2.7700000000000002E-2</v>
      </c>
      <c r="E27" s="192">
        <v>0.1489</v>
      </c>
      <c r="F27" s="192">
        <v>0.1348</v>
      </c>
      <c r="G27" s="192">
        <v>0.1285</v>
      </c>
      <c r="H27" s="187"/>
      <c r="I27" s="187"/>
      <c r="J27" s="187"/>
      <c r="K27" s="187"/>
    </row>
    <row r="28" spans="1:11">
      <c r="A28" s="43"/>
      <c r="B28" s="186">
        <v>1981</v>
      </c>
      <c r="C28" s="192">
        <v>9.98E-2</v>
      </c>
      <c r="D28" s="192">
        <f t="shared" si="0"/>
        <v>-1.9000000000000003E-2</v>
      </c>
      <c r="E28" s="192">
        <v>0.1842</v>
      </c>
      <c r="F28" s="192">
        <v>0.1661</v>
      </c>
      <c r="G28" s="192">
        <v>0.15629999999999999</v>
      </c>
      <c r="H28" s="187"/>
      <c r="I28" s="187"/>
      <c r="J28" s="187"/>
      <c r="K28" s="187"/>
    </row>
    <row r="29" spans="1:11">
      <c r="A29" s="43"/>
      <c r="B29" s="186">
        <v>1982</v>
      </c>
      <c r="C29" s="192">
        <v>6.8900000000000003E-2</v>
      </c>
      <c r="D29" s="192">
        <f t="shared" si="0"/>
        <v>-3.0899999999999997E-2</v>
      </c>
      <c r="E29" s="192">
        <v>0.13780000000000001</v>
      </c>
      <c r="F29" s="192">
        <v>0.13789999999999999</v>
      </c>
      <c r="G29" s="192">
        <v>0.14610000000000001</v>
      </c>
      <c r="H29" s="187"/>
      <c r="I29" s="187"/>
      <c r="J29" s="187"/>
      <c r="K29" s="187"/>
    </row>
    <row r="30" spans="1:11">
      <c r="A30" s="43"/>
      <c r="B30" s="186">
        <v>1983</v>
      </c>
      <c r="C30" s="192">
        <v>4.6899999999999997E-2</v>
      </c>
      <c r="D30" s="192">
        <f t="shared" si="0"/>
        <v>-2.2000000000000006E-2</v>
      </c>
      <c r="E30" s="192">
        <v>0.1023</v>
      </c>
      <c r="F30" s="192">
        <v>0.1077</v>
      </c>
      <c r="G30" s="192">
        <v>0.12479999999999999</v>
      </c>
      <c r="H30" s="187"/>
      <c r="I30" s="187"/>
      <c r="J30" s="187"/>
      <c r="K30" s="187"/>
    </row>
    <row r="31" spans="1:11">
      <c r="A31" s="43"/>
      <c r="B31" s="186">
        <v>1984</v>
      </c>
      <c r="C31" s="192">
        <v>4.8500000000000001E-2</v>
      </c>
      <c r="D31" s="192">
        <f t="shared" si="0"/>
        <v>1.6000000000000042E-3</v>
      </c>
      <c r="E31" s="192">
        <v>0.1154</v>
      </c>
      <c r="F31" s="192">
        <v>0.1226</v>
      </c>
      <c r="G31" s="192">
        <v>0.1399</v>
      </c>
      <c r="H31" s="187"/>
      <c r="I31" s="187"/>
      <c r="J31" s="187"/>
      <c r="K31" s="187"/>
    </row>
    <row r="32" spans="1:11">
      <c r="A32" s="43"/>
      <c r="B32" s="186">
        <v>1985</v>
      </c>
      <c r="C32" s="192">
        <v>3.7699999999999997E-2</v>
      </c>
      <c r="D32" s="192">
        <f t="shared" si="0"/>
        <v>-1.0800000000000004E-2</v>
      </c>
      <c r="E32" s="192">
        <v>9.1399999999999995E-2</v>
      </c>
      <c r="F32" s="192">
        <v>9.4700000000000006E-2</v>
      </c>
      <c r="G32" s="192">
        <v>0.1193</v>
      </c>
      <c r="H32" s="187"/>
      <c r="I32" s="187"/>
      <c r="J32" s="187"/>
      <c r="K32" s="187"/>
    </row>
    <row r="33" spans="1:11">
      <c r="A33" s="43"/>
      <c r="B33" s="186">
        <v>1986</v>
      </c>
      <c r="C33" s="192">
        <v>0.02</v>
      </c>
      <c r="D33" s="192">
        <f t="shared" si="0"/>
        <v>-1.7699999999999997E-2</v>
      </c>
      <c r="E33" s="192">
        <v>7.6999999999999999E-2</v>
      </c>
      <c r="F33" s="192">
        <v>7.2700000000000001E-2</v>
      </c>
      <c r="G33" s="192">
        <v>8.6300000000000002E-2</v>
      </c>
      <c r="H33" s="187"/>
      <c r="I33" s="187"/>
      <c r="J33" s="187"/>
      <c r="K33" s="187"/>
    </row>
    <row r="34" spans="1:11">
      <c r="A34" s="43"/>
      <c r="B34" s="186">
        <v>1987</v>
      </c>
      <c r="C34" s="192">
        <v>3.1300000000000001E-2</v>
      </c>
      <c r="D34" s="192">
        <f t="shared" si="0"/>
        <v>1.1300000000000001E-2</v>
      </c>
      <c r="E34" s="192">
        <f>AVERAGE(E33, E35)</f>
        <v>8.1100000000000005E-2</v>
      </c>
      <c r="F34" s="192">
        <v>7.6200000000000004E-2</v>
      </c>
      <c r="G34" s="192">
        <v>9.4399999999999998E-2</v>
      </c>
      <c r="H34" s="187"/>
      <c r="I34" s="187"/>
      <c r="J34" s="187"/>
      <c r="K34" s="187"/>
    </row>
    <row r="35" spans="1:11">
      <c r="A35" s="43"/>
      <c r="B35" s="186">
        <v>1988</v>
      </c>
      <c r="C35" s="192">
        <v>3.6799999999999999E-2</v>
      </c>
      <c r="D35" s="192">
        <f t="shared" si="0"/>
        <v>5.4999999999999979E-3</v>
      </c>
      <c r="E35" s="192">
        <v>8.5199999999999998E-2</v>
      </c>
      <c r="F35" s="192">
        <v>8.6099999999999996E-2</v>
      </c>
      <c r="G35" s="192">
        <v>9.9500000000000005E-2</v>
      </c>
      <c r="H35" s="187"/>
      <c r="I35" s="187"/>
      <c r="J35" s="187"/>
      <c r="K35" s="187"/>
    </row>
    <row r="36" spans="1:11">
      <c r="A36" s="43"/>
      <c r="B36" s="186">
        <v>1989</v>
      </c>
      <c r="C36" s="192">
        <v>4.8300000000000003E-2</v>
      </c>
      <c r="D36" s="192">
        <f t="shared" si="0"/>
        <v>1.1500000000000003E-2</v>
      </c>
      <c r="E36" s="192">
        <v>0.1038</v>
      </c>
      <c r="F36" s="192">
        <v>9.6000000000000002E-2</v>
      </c>
      <c r="G36" s="192">
        <v>9.5500000000000002E-2</v>
      </c>
      <c r="H36" s="187"/>
      <c r="I36" s="187"/>
      <c r="J36" s="187"/>
      <c r="K36" s="187"/>
    </row>
    <row r="37" spans="1:11">
      <c r="A37" s="43"/>
      <c r="B37" s="186">
        <v>1990</v>
      </c>
      <c r="C37" s="192">
        <v>5.0999999999999997E-2</v>
      </c>
      <c r="D37" s="192">
        <f t="shared" si="0"/>
        <v>2.6999999999999941E-3</v>
      </c>
      <c r="E37" s="192">
        <v>9.1300000000000006E-2</v>
      </c>
      <c r="F37" s="192">
        <v>8.8700000000000001E-2</v>
      </c>
      <c r="G37" s="192">
        <v>9.6199999999999994E-2</v>
      </c>
      <c r="H37" s="187"/>
      <c r="I37" s="187"/>
      <c r="J37" s="187"/>
      <c r="K37" s="187"/>
    </row>
    <row r="38" spans="1:11">
      <c r="A38" s="43"/>
      <c r="B38" s="186">
        <v>1991</v>
      </c>
      <c r="C38" s="192">
        <v>4.53E-2</v>
      </c>
      <c r="D38" s="192">
        <f t="shared" si="0"/>
        <v>-5.6999999999999967E-3</v>
      </c>
      <c r="E38" s="192">
        <v>6.4600000000000005E-2</v>
      </c>
      <c r="F38" s="192">
        <v>6.6000000000000003E-2</v>
      </c>
      <c r="G38" s="192">
        <v>8.8499999999999995E-2</v>
      </c>
      <c r="H38" s="187"/>
      <c r="I38" s="187"/>
      <c r="J38" s="187"/>
      <c r="K38" s="187"/>
    </row>
    <row r="39" spans="1:11">
      <c r="A39" s="43"/>
      <c r="B39" s="186">
        <v>1992</v>
      </c>
      <c r="C39" s="192">
        <v>4.2599999999999999E-2</v>
      </c>
      <c r="D39" s="192">
        <f t="shared" si="0"/>
        <v>-2.700000000000001E-3</v>
      </c>
      <c r="E39" s="192">
        <v>4.0399999999999998E-2</v>
      </c>
      <c r="F39" s="192">
        <v>4.3999999999999997E-2</v>
      </c>
      <c r="G39" s="192">
        <v>7.8899999999999998E-2</v>
      </c>
      <c r="H39" s="187"/>
      <c r="I39" s="187"/>
      <c r="J39" s="187"/>
      <c r="K39" s="187"/>
    </row>
    <row r="40" spans="1:11">
      <c r="A40" s="43"/>
      <c r="B40" s="186">
        <v>1993</v>
      </c>
      <c r="C40" s="192">
        <v>3.7400000000000003E-2</v>
      </c>
      <c r="D40" s="192">
        <f t="shared" si="0"/>
        <v>-5.1999999999999963E-3</v>
      </c>
      <c r="E40" s="192">
        <v>3.4599999999999999E-2</v>
      </c>
      <c r="F40" s="192">
        <v>3.8899999999999997E-2</v>
      </c>
      <c r="G40" s="192">
        <v>6.6100000000000006E-2</v>
      </c>
      <c r="H40" s="187"/>
      <c r="I40" s="187"/>
      <c r="J40" s="187"/>
      <c r="K40" s="187"/>
    </row>
    <row r="41" spans="1:11">
      <c r="A41" s="43"/>
      <c r="B41" s="186">
        <v>1994</v>
      </c>
      <c r="C41" s="192">
        <v>3.1899999999999998E-2</v>
      </c>
      <c r="D41" s="192">
        <f t="shared" si="0"/>
        <v>-5.5000000000000049E-3</v>
      </c>
      <c r="E41" s="192">
        <v>4.7699999999999999E-2</v>
      </c>
      <c r="F41" s="192">
        <v>0.06</v>
      </c>
      <c r="G41" s="192">
        <v>7.9799999999999996E-2</v>
      </c>
      <c r="H41" s="187"/>
      <c r="I41" s="187"/>
      <c r="J41" s="187"/>
      <c r="K41" s="187"/>
    </row>
    <row r="42" spans="1:11">
      <c r="A42" s="43"/>
      <c r="B42" s="186">
        <v>1995</v>
      </c>
      <c r="C42" s="192">
        <v>3.04E-2</v>
      </c>
      <c r="D42" s="192">
        <f t="shared" si="0"/>
        <v>-1.4999999999999979E-3</v>
      </c>
      <c r="E42" s="192">
        <v>6.6000000000000003E-2</v>
      </c>
      <c r="F42" s="192">
        <v>6.7000000000000004E-2</v>
      </c>
      <c r="G42" s="192">
        <v>7.3999999999999996E-2</v>
      </c>
      <c r="H42" s="187"/>
      <c r="I42" s="187"/>
      <c r="J42" s="187"/>
      <c r="K42" s="187"/>
    </row>
    <row r="43" spans="1:11">
      <c r="A43" s="43"/>
      <c r="B43" s="186">
        <v>1996</v>
      </c>
      <c r="C43" s="192">
        <v>2.8299999999999999E-2</v>
      </c>
      <c r="D43" s="192">
        <f t="shared" si="0"/>
        <v>-2.1000000000000012E-3</v>
      </c>
      <c r="E43" s="192">
        <v>6.0100000000000001E-2</v>
      </c>
      <c r="F43" s="192">
        <v>6.2199999999999998E-2</v>
      </c>
      <c r="G43" s="192">
        <v>7.2599999999999998E-2</v>
      </c>
      <c r="H43" s="187"/>
      <c r="I43" s="187"/>
      <c r="J43" s="187"/>
      <c r="K43" s="187"/>
    </row>
    <row r="44" spans="1:11">
      <c r="A44" s="43"/>
      <c r="B44" s="186">
        <v>1997</v>
      </c>
      <c r="C44" s="192">
        <v>2.47E-2</v>
      </c>
      <c r="D44" s="192">
        <f t="shared" si="0"/>
        <v>-3.599999999999999E-3</v>
      </c>
      <c r="E44" s="192">
        <v>6.1899999999999997E-2</v>
      </c>
      <c r="F44" s="192">
        <v>6.3500000000000001E-2</v>
      </c>
      <c r="G44" s="192">
        <v>7.1599999999999997E-2</v>
      </c>
      <c r="H44" s="187"/>
      <c r="I44" s="187"/>
      <c r="J44" s="187"/>
      <c r="K44" s="187"/>
    </row>
    <row r="45" spans="1:11">
      <c r="A45" s="43"/>
      <c r="B45" s="186">
        <v>1998</v>
      </c>
      <c r="C45" s="192">
        <v>1.66E-2</v>
      </c>
      <c r="D45" s="192">
        <f t="shared" si="0"/>
        <v>-8.0999999999999996E-3</v>
      </c>
      <c r="E45" s="192">
        <v>6.0499999999999998E-2</v>
      </c>
      <c r="F45" s="192">
        <v>5.7000000000000002E-2</v>
      </c>
      <c r="G45" s="192">
        <v>5.9299999999999999E-2</v>
      </c>
      <c r="H45" s="187"/>
      <c r="I45" s="187"/>
      <c r="J45" s="187"/>
      <c r="K45" s="187"/>
    </row>
    <row r="46" spans="1:11">
      <c r="A46" s="43"/>
      <c r="B46" s="186">
        <v>1999</v>
      </c>
      <c r="C46" s="192">
        <v>1.89E-2</v>
      </c>
      <c r="D46" s="192">
        <f t="shared" si="0"/>
        <v>2.3E-3</v>
      </c>
      <c r="E46" s="192">
        <v>5.6300000000000003E-2</v>
      </c>
      <c r="F46" s="192">
        <v>5.7299999999999997E-2</v>
      </c>
      <c r="G46" s="192">
        <v>6.3600000000000004E-2</v>
      </c>
      <c r="H46" s="187"/>
      <c r="I46" s="187"/>
      <c r="J46" s="187"/>
      <c r="K46" s="187"/>
    </row>
    <row r="47" spans="1:11">
      <c r="A47" s="43"/>
      <c r="B47" s="186">
        <v>2000</v>
      </c>
      <c r="C47" s="192">
        <v>2.9600000000000001E-2</v>
      </c>
      <c r="D47" s="192">
        <f t="shared" si="0"/>
        <v>1.0700000000000001E-2</v>
      </c>
      <c r="E47" s="192">
        <v>7.0499999999999993E-2</v>
      </c>
      <c r="F47" s="192">
        <v>6.8900000000000003E-2</v>
      </c>
      <c r="G47" s="192">
        <v>6.7900000000000002E-2</v>
      </c>
      <c r="H47" s="187"/>
      <c r="I47" s="187"/>
      <c r="J47" s="187"/>
      <c r="K47" s="187"/>
    </row>
    <row r="48" spans="1:11">
      <c r="A48" s="43"/>
      <c r="B48" s="186">
        <v>2001</v>
      </c>
      <c r="C48" s="192">
        <v>2.8199999999999999E-2</v>
      </c>
      <c r="D48" s="192">
        <f t="shared" si="0"/>
        <v>-1.4000000000000019E-3</v>
      </c>
      <c r="E48" s="192">
        <v>4.3999999999999997E-2</v>
      </c>
      <c r="F48" s="192">
        <v>3.95E-2</v>
      </c>
      <c r="G48" s="192">
        <v>5.6599999999999998E-2</v>
      </c>
      <c r="H48" s="187"/>
      <c r="I48" s="187"/>
      <c r="J48" s="187"/>
      <c r="K48" s="187"/>
    </row>
    <row r="49" spans="1:11">
      <c r="A49" s="43"/>
      <c r="B49" s="186">
        <v>2002</v>
      </c>
      <c r="C49" s="192">
        <v>1.78E-2</v>
      </c>
      <c r="D49" s="192">
        <f t="shared" si="0"/>
        <v>-1.04E-2</v>
      </c>
      <c r="E49" s="192">
        <v>1.9199999999999998E-2</v>
      </c>
      <c r="F49" s="192">
        <v>2.2800000000000001E-2</v>
      </c>
      <c r="G49" s="192">
        <v>5.21E-2</v>
      </c>
      <c r="H49" s="187"/>
      <c r="I49" s="187"/>
      <c r="J49" s="187"/>
      <c r="K49" s="187"/>
    </row>
    <row r="50" spans="1:11">
      <c r="A50" s="43"/>
      <c r="B50" s="186">
        <v>2003</v>
      </c>
      <c r="C50" s="192">
        <f>AVERAGE(C49, C51)</f>
        <v>2.085E-2</v>
      </c>
      <c r="D50" s="192">
        <f t="shared" si="0"/>
        <v>3.0500000000000006E-3</v>
      </c>
      <c r="E50" s="192">
        <v>1.3100000000000001E-2</v>
      </c>
      <c r="F50" s="192">
        <v>1.43E-2</v>
      </c>
      <c r="G50" s="192">
        <v>4.5400000000000003E-2</v>
      </c>
      <c r="H50" s="187"/>
      <c r="I50" s="187"/>
      <c r="J50" s="187"/>
      <c r="K50" s="187"/>
    </row>
    <row r="51" spans="1:11">
      <c r="A51" s="43"/>
      <c r="B51" s="186">
        <v>2004</v>
      </c>
      <c r="C51" s="192">
        <v>2.3900000000000001E-2</v>
      </c>
      <c r="D51" s="192">
        <f t="shared" si="0"/>
        <v>3.0500000000000006E-3</v>
      </c>
      <c r="E51" s="192">
        <v>1.5599999999999999E-2</v>
      </c>
      <c r="F51" s="192">
        <v>2.1499999999999998E-2</v>
      </c>
      <c r="G51" s="192">
        <v>4.82E-2</v>
      </c>
      <c r="H51" s="187"/>
      <c r="I51" s="187"/>
      <c r="J51" s="187"/>
      <c r="K51" s="187"/>
    </row>
    <row r="52" spans="1:11">
      <c r="A52" s="43"/>
      <c r="B52" s="186">
        <v>2005</v>
      </c>
      <c r="C52" s="192">
        <v>2.81E-2</v>
      </c>
      <c r="D52" s="192">
        <f t="shared" si="0"/>
        <v>4.1999999999999989E-3</v>
      </c>
      <c r="E52" s="192">
        <v>3.6400000000000002E-2</v>
      </c>
      <c r="F52" s="192">
        <v>4.1000000000000002E-2</v>
      </c>
      <c r="G52" s="192">
        <v>4.8399999999999999E-2</v>
      </c>
      <c r="H52" s="187"/>
      <c r="I52" s="187"/>
      <c r="J52" s="187"/>
      <c r="K52" s="187"/>
    </row>
    <row r="53" spans="1:11">
      <c r="A53" s="43"/>
      <c r="B53" s="186">
        <v>2006</v>
      </c>
      <c r="C53" s="192">
        <v>2.7799999999999998E-2</v>
      </c>
      <c r="D53" s="192">
        <f t="shared" si="0"/>
        <v>-3.0000000000000165E-4</v>
      </c>
      <c r="E53" s="192">
        <v>5.6000000000000001E-2</v>
      </c>
      <c r="F53" s="192">
        <v>5.57E-2</v>
      </c>
      <c r="G53" s="192">
        <v>5.4100000000000002E-2</v>
      </c>
      <c r="H53" s="187"/>
      <c r="I53" s="187"/>
      <c r="J53" s="187"/>
      <c r="K53" s="187"/>
    </row>
    <row r="54" spans="1:11">
      <c r="A54" s="43"/>
      <c r="B54" s="186">
        <v>2007</v>
      </c>
      <c r="C54" s="192">
        <v>2.6599999999999999E-2</v>
      </c>
      <c r="D54" s="192">
        <f t="shared" si="0"/>
        <v>-1.1999999999999997E-3</v>
      </c>
      <c r="E54" s="192">
        <v>5.67E-2</v>
      </c>
      <c r="F54" s="192">
        <v>5.11E-2</v>
      </c>
      <c r="G54" s="192">
        <v>5.2299999999999999E-2</v>
      </c>
      <c r="H54" s="187"/>
      <c r="I54" s="187"/>
      <c r="J54" s="187"/>
      <c r="K54" s="187"/>
    </row>
    <row r="55" spans="1:11">
      <c r="A55" s="43"/>
      <c r="B55" s="186">
        <v>2008</v>
      </c>
      <c r="C55" s="192">
        <v>3.6999999999999998E-2</v>
      </c>
      <c r="D55" s="192">
        <f t="shared" si="0"/>
        <v>1.04E-2</v>
      </c>
      <c r="E55" s="192">
        <v>2.2100000000000002E-2</v>
      </c>
      <c r="F55" s="192">
        <v>2.0899999999999998E-2</v>
      </c>
      <c r="G55" s="192">
        <v>4.1399999999999999E-2</v>
      </c>
      <c r="H55" s="187"/>
      <c r="I55" s="187"/>
      <c r="J55" s="187"/>
      <c r="K55" s="187"/>
    </row>
    <row r="56" spans="1:11">
      <c r="A56" s="43"/>
      <c r="B56" s="186">
        <v>2009</v>
      </c>
      <c r="C56" s="192">
        <v>8.0000000000000004E-4</v>
      </c>
      <c r="D56" s="192">
        <f t="shared" si="0"/>
        <v>-3.6199999999999996E-2</v>
      </c>
      <c r="E56" s="192">
        <v>2.2000000000000001E-3</v>
      </c>
      <c r="F56" s="192">
        <v>5.7000000000000002E-3</v>
      </c>
      <c r="G56" s="192">
        <v>3.6999999999999998E-2</v>
      </c>
      <c r="H56" s="187"/>
      <c r="I56" s="187"/>
      <c r="J56" s="187"/>
      <c r="K56" s="187"/>
    </row>
    <row r="57" spans="1:11">
      <c r="A57" s="43"/>
      <c r="B57" s="186">
        <v>2010</v>
      </c>
      <c r="C57" s="192">
        <v>1.5100000000000001E-2</v>
      </c>
      <c r="D57" s="192">
        <f t="shared" si="0"/>
        <v>1.43E-2</v>
      </c>
      <c r="E57" s="192">
        <v>2.3999999999999998E-3</v>
      </c>
      <c r="F57" s="192">
        <v>4.0000000000000001E-3</v>
      </c>
      <c r="G57" s="192">
        <v>3.6400000000000002E-2</v>
      </c>
      <c r="H57" s="187"/>
      <c r="I57" s="187"/>
      <c r="J57" s="187"/>
      <c r="K57" s="187"/>
    </row>
    <row r="58" spans="1:11">
      <c r="A58" s="43"/>
      <c r="B58" s="186">
        <v>2011</v>
      </c>
      <c r="C58" s="192">
        <v>0.03</v>
      </c>
      <c r="D58" s="192">
        <f t="shared" si="0"/>
        <v>1.4899999999999998E-2</v>
      </c>
      <c r="E58" s="192">
        <v>1.5E-3</v>
      </c>
      <c r="F58" s="192">
        <v>2.3999999999999998E-3</v>
      </c>
      <c r="G58" s="192">
        <v>3.1600000000000003E-2</v>
      </c>
      <c r="H58" s="187"/>
      <c r="I58" s="187"/>
      <c r="J58" s="187"/>
      <c r="K58" s="187"/>
    </row>
    <row r="59" spans="1:11">
      <c r="A59" s="43"/>
      <c r="B59" s="186">
        <v>2012</v>
      </c>
      <c r="C59" s="192">
        <v>2.2200000000000001E-2</v>
      </c>
      <c r="D59" s="192">
        <f t="shared" si="0"/>
        <v>-7.7999999999999979E-3</v>
      </c>
      <c r="E59" s="192">
        <v>2E-3</v>
      </c>
      <c r="F59" s="192">
        <v>2.3999999999999998E-3</v>
      </c>
      <c r="G59" s="192">
        <v>2.06E-2</v>
      </c>
      <c r="H59" s="187"/>
      <c r="I59" s="187"/>
      <c r="J59" s="187"/>
      <c r="K59" s="187"/>
    </row>
    <row r="60" spans="1:11">
      <c r="A60" s="43"/>
      <c r="B60" s="186">
        <v>2013</v>
      </c>
      <c r="C60" s="192">
        <v>1.4E-2</v>
      </c>
      <c r="D60" s="192">
        <f t="shared" si="0"/>
        <v>-8.2000000000000007E-3</v>
      </c>
      <c r="E60" s="192">
        <v>1.6000000000000001E-3</v>
      </c>
      <c r="F60" s="192">
        <v>1.9E-3</v>
      </c>
      <c r="G60" s="192">
        <v>2.6700000000000002E-2</v>
      </c>
      <c r="H60" s="187"/>
      <c r="I60" s="187"/>
      <c r="J60" s="187"/>
      <c r="K60" s="187"/>
    </row>
    <row r="61" spans="1:11">
      <c r="A61" s="43"/>
      <c r="B61" s="186">
        <v>2014</v>
      </c>
      <c r="C61" s="192">
        <v>1.11E-2</v>
      </c>
      <c r="D61" s="192">
        <f t="shared" si="0"/>
        <v>-2.8999999999999998E-3</v>
      </c>
      <c r="E61" s="192">
        <v>1.4E-3</v>
      </c>
      <c r="F61" s="192">
        <v>1.8E-3</v>
      </c>
      <c r="G61" s="192">
        <v>2.8799999999999999E-2</v>
      </c>
      <c r="H61" s="187"/>
      <c r="I61" s="187"/>
      <c r="J61" s="187"/>
      <c r="K61" s="187"/>
    </row>
    <row r="62" spans="1:11">
      <c r="A62" s="43"/>
      <c r="B62" s="186">
        <v>2015</v>
      </c>
      <c r="C62" s="192">
        <v>1.4E-3</v>
      </c>
      <c r="D62" s="192">
        <f t="shared" si="0"/>
        <v>-9.7000000000000003E-3</v>
      </c>
      <c r="E62" s="192">
        <v>1.9E-3</v>
      </c>
      <c r="F62" s="192">
        <v>4.0000000000000001E-3</v>
      </c>
      <c r="G62" s="192">
        <v>2.4299999999999999E-2</v>
      </c>
      <c r="H62" s="187"/>
      <c r="I62" s="187"/>
      <c r="J62" s="187"/>
      <c r="K62" s="187"/>
    </row>
    <row r="63" spans="1:11">
      <c r="A63" s="43"/>
      <c r="B63" s="186">
        <v>2016</v>
      </c>
      <c r="C63" s="192">
        <v>8.3000000000000001E-3</v>
      </c>
      <c r="D63" s="192">
        <f t="shared" si="0"/>
        <v>6.8999999999999999E-3</v>
      </c>
      <c r="E63" s="192">
        <v>4.7999999999999996E-3</v>
      </c>
      <c r="F63" s="192">
        <v>7.1999999999999998E-3</v>
      </c>
      <c r="G63" s="192">
        <v>2.1000000000000001E-2</v>
      </c>
      <c r="H63" s="187"/>
      <c r="I63" s="187"/>
      <c r="J63" s="187"/>
      <c r="K63" s="187"/>
    </row>
    <row r="64" spans="1:11">
      <c r="A64" s="43"/>
      <c r="B64" s="186">
        <v>2017</v>
      </c>
      <c r="C64" s="192">
        <v>1.83E-2</v>
      </c>
      <c r="D64" s="192">
        <f t="shared" si="0"/>
        <v>0.01</v>
      </c>
      <c r="E64" s="192">
        <v>1.1599999999999999E-2</v>
      </c>
      <c r="F64" s="192">
        <v>1.37E-2</v>
      </c>
      <c r="G64" s="192">
        <v>2.6499999999999999E-2</v>
      </c>
      <c r="H64" s="187"/>
      <c r="I64" s="187"/>
      <c r="J64" s="187"/>
      <c r="K64" s="187"/>
    </row>
    <row r="65" spans="1:11">
      <c r="A65" s="43"/>
      <c r="B65" s="186">
        <v>2018</v>
      </c>
      <c r="C65" s="192">
        <v>2.12E-2</v>
      </c>
      <c r="D65" s="192">
        <f t="shared" si="0"/>
        <v>2.8999999999999998E-3</v>
      </c>
      <c r="E65" s="192">
        <v>2.0799999999999999E-2</v>
      </c>
      <c r="F65" s="192">
        <f>AVERAGE(F64, F66)</f>
        <v>1.8550000000000001E-2</v>
      </c>
      <c r="G65" s="192">
        <v>3.3000000000000002E-2</v>
      </c>
      <c r="H65" s="187"/>
      <c r="I65" s="187"/>
      <c r="J65" s="187"/>
      <c r="K65" s="187"/>
    </row>
    <row r="66" spans="1:11">
      <c r="A66" s="43"/>
      <c r="B66" s="186">
        <v>2019</v>
      </c>
      <c r="C66" s="192">
        <v>1.7000000000000001E-2</v>
      </c>
      <c r="D66" s="192">
        <f t="shared" si="0"/>
        <v>-4.1999999999999989E-3</v>
      </c>
      <c r="E66" s="192">
        <v>2.46E-2</v>
      </c>
      <c r="F66" s="192">
        <v>2.3400000000000001E-2</v>
      </c>
      <c r="G66" s="192">
        <v>2.4400000000000002E-2</v>
      </c>
      <c r="H66" s="187"/>
      <c r="I66" s="187"/>
      <c r="J66" s="187"/>
      <c r="K66" s="187"/>
    </row>
    <row r="67" spans="1:11">
      <c r="A67" s="43"/>
      <c r="B67" s="186">
        <v>2020</v>
      </c>
      <c r="C67" s="192">
        <v>8.9999999999999993E-3</v>
      </c>
      <c r="D67" s="192">
        <f t="shared" si="0"/>
        <v>-8.0000000000000019E-3</v>
      </c>
      <c r="E67" s="192">
        <v>4.4999999999999997E-3</v>
      </c>
      <c r="F67" s="192">
        <v>4.4999999999999997E-3</v>
      </c>
      <c r="G67" s="192">
        <v>1.04E-2</v>
      </c>
      <c r="H67" s="187"/>
      <c r="I67" s="187"/>
      <c r="J67" s="187"/>
      <c r="K67" s="187"/>
    </row>
    <row r="68" spans="1:11">
      <c r="A68" s="43"/>
      <c r="B68" s="186">
        <v>2021</v>
      </c>
      <c r="C68" s="192">
        <v>3.8399999999999997E-2</v>
      </c>
      <c r="D68" s="192">
        <f t="shared" si="0"/>
        <v>2.9399999999999996E-2</v>
      </c>
      <c r="E68" s="192">
        <v>1.2999999999999999E-3</v>
      </c>
      <c r="F68" s="192">
        <v>1.6000000000000001E-3</v>
      </c>
      <c r="G68" s="192">
        <v>1.66E-2</v>
      </c>
      <c r="H68" s="187"/>
      <c r="I68" s="187"/>
      <c r="J68" s="187"/>
      <c r="K68" s="187"/>
    </row>
    <row r="69" spans="1:11">
      <c r="A69" s="43"/>
      <c r="B69" s="186"/>
      <c r="C69" s="45"/>
      <c r="D69" s="45"/>
      <c r="E69" s="45"/>
      <c r="F69" s="45"/>
      <c r="G69" s="45"/>
      <c r="H69" s="187"/>
      <c r="I69" s="187"/>
      <c r="J69" s="187"/>
      <c r="K69" s="187"/>
    </row>
    <row r="70" spans="1:11" ht="15" customHeight="1">
      <c r="B70" s="451" t="s">
        <v>96</v>
      </c>
      <c r="C70" s="319">
        <f>AVERAGE(C9:C68)</f>
        <v>3.7539166666666658E-2</v>
      </c>
    </row>
    <row r="71" spans="1:11" ht="15" customHeight="1">
      <c r="B71" s="451" t="s">
        <v>97</v>
      </c>
      <c r="C71" s="319">
        <f>STDEV(C9:C68)</f>
        <v>2.5299658488461239E-2</v>
      </c>
    </row>
    <row r="73" spans="1:11" ht="15" customHeight="1">
      <c r="B73" s="455"/>
      <c r="C73" s="453"/>
      <c r="E73" s="319"/>
      <c r="F73" s="319"/>
      <c r="G73" s="319"/>
      <c r="H73" s="454"/>
      <c r="I73" s="452"/>
    </row>
    <row r="74" spans="1:11" ht="15" customHeight="1">
      <c r="B74" s="451"/>
      <c r="H74" s="319"/>
    </row>
  </sheetData>
  <conditionalFormatting sqref="B9:G68">
    <cfRule type="expression" dxfId="88" priority="1">
      <formula>MOD(ROW(),3)=2</formula>
    </cfRule>
  </conditionalFormatting>
  <pageMargins left="0.7" right="0.7" top="0.75" bottom="0.75" header="0.3" footer="0.3"/>
  <pageSetup orientation="portrait" horizontalDpi="200" verticalDpi="200" r:id="rId1"/>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D1053C-6E39-4F1C-96AB-63F866F79B07}">
  <sheetPr>
    <tabColor theme="5" tint="0.39997558519241921"/>
  </sheetPr>
  <dimension ref="A1:Y126"/>
  <sheetViews>
    <sheetView topLeftCell="B1" zoomScale="80" zoomScaleNormal="80" workbookViewId="0">
      <selection activeCell="D20" sqref="D20"/>
    </sheetView>
  </sheetViews>
  <sheetFormatPr defaultColWidth="8.7109375" defaultRowHeight="15"/>
  <cols>
    <col min="1" max="1" width="3.7109375" style="46" customWidth="1"/>
    <col min="2" max="2" width="8.7109375" style="46"/>
    <col min="3" max="3" width="4.7109375" style="46" customWidth="1"/>
    <col min="4" max="7" width="8.7109375" style="46" customWidth="1"/>
    <col min="8" max="8" width="4.7109375" style="46" customWidth="1"/>
    <col min="9" max="12" width="8.7109375" style="46" customWidth="1"/>
    <col min="13" max="13" width="4.7109375" style="46" customWidth="1"/>
    <col min="14" max="17" width="8.7109375" style="46" customWidth="1"/>
    <col min="18" max="18" width="4.7109375" style="46" customWidth="1"/>
    <col min="19" max="22" width="10.140625" style="46" bestFit="1" customWidth="1"/>
    <col min="23" max="23" width="3.7109375" style="46" customWidth="1"/>
    <col min="24" max="24" width="8.7109375" style="46"/>
    <col min="25" max="25" width="11.42578125" style="46" customWidth="1"/>
    <col min="26" max="16384" width="8.7109375" style="46"/>
  </cols>
  <sheetData>
    <row r="1" spans="1:25">
      <c r="B1" s="650"/>
      <c r="C1" s="650"/>
      <c r="D1" s="239"/>
      <c r="E1" s="239"/>
      <c r="F1" s="239"/>
      <c r="G1" s="239"/>
      <c r="H1" s="650"/>
      <c r="I1" s="650"/>
      <c r="J1" s="239"/>
      <c r="K1" s="239"/>
      <c r="L1" s="239"/>
      <c r="M1" s="650"/>
      <c r="N1" s="650"/>
      <c r="O1" s="239"/>
      <c r="P1" s="239"/>
      <c r="Q1" s="239"/>
      <c r="R1" s="650"/>
      <c r="S1" s="650"/>
      <c r="T1" s="239"/>
      <c r="U1" s="239"/>
      <c r="V1" s="239"/>
    </row>
    <row r="2" spans="1:25" ht="18.75">
      <c r="B2" s="49" t="s">
        <v>98</v>
      </c>
      <c r="C2" s="234"/>
      <c r="D2" s="234"/>
      <c r="E2" s="234"/>
      <c r="F2" s="234"/>
      <c r="G2" s="234"/>
      <c r="H2" s="234"/>
      <c r="I2" s="234"/>
      <c r="J2" s="234"/>
      <c r="K2" s="234"/>
      <c r="L2" s="234"/>
      <c r="M2" s="234"/>
      <c r="N2" s="234"/>
      <c r="O2" s="234"/>
      <c r="P2" s="234"/>
      <c r="Q2" s="234"/>
      <c r="R2" s="234"/>
      <c r="S2" s="234"/>
      <c r="T2" s="234"/>
      <c r="U2" s="234"/>
      <c r="V2" s="234"/>
    </row>
    <row r="3" spans="1:25">
      <c r="B3" s="566" t="s">
        <v>99</v>
      </c>
      <c r="C3" s="566"/>
      <c r="D3" s="566"/>
      <c r="E3" s="566"/>
      <c r="F3" s="566"/>
      <c r="G3" s="566"/>
      <c r="H3" s="566"/>
      <c r="I3" s="566"/>
      <c r="J3" s="566"/>
      <c r="K3" s="566"/>
      <c r="L3" s="566"/>
      <c r="M3" s="566"/>
      <c r="N3" s="566"/>
      <c r="O3" s="566"/>
      <c r="P3" s="566"/>
      <c r="Q3" s="566"/>
      <c r="R3" s="566"/>
      <c r="S3" s="566"/>
      <c r="T3" s="566"/>
      <c r="U3" s="566"/>
      <c r="V3" s="566"/>
      <c r="X3" s="256"/>
      <c r="Y3" s="256"/>
    </row>
    <row r="4" spans="1:25">
      <c r="B4" s="566"/>
      <c r="C4" s="566"/>
      <c r="D4" s="566"/>
      <c r="E4" s="566"/>
      <c r="F4" s="566"/>
      <c r="G4" s="566"/>
      <c r="H4" s="566"/>
      <c r="I4" s="566"/>
      <c r="J4" s="566"/>
      <c r="K4" s="566"/>
      <c r="L4" s="566"/>
      <c r="M4" s="566"/>
      <c r="N4" s="566"/>
      <c r="O4" s="566"/>
      <c r="P4" s="566"/>
      <c r="Q4" s="566"/>
      <c r="R4" s="566"/>
      <c r="S4" s="566"/>
      <c r="T4" s="566"/>
      <c r="U4" s="566"/>
      <c r="V4" s="566"/>
      <c r="X4" s="256"/>
      <c r="Y4" s="256"/>
    </row>
    <row r="5" spans="1:25">
      <c r="B5" s="566"/>
      <c r="C5" s="566"/>
      <c r="D5" s="566"/>
      <c r="E5" s="566"/>
      <c r="F5" s="566"/>
      <c r="G5" s="566"/>
      <c r="H5" s="566"/>
      <c r="I5" s="566"/>
      <c r="J5" s="566"/>
      <c r="K5" s="566"/>
      <c r="L5" s="566"/>
      <c r="M5" s="566"/>
      <c r="N5" s="566"/>
      <c r="O5" s="566"/>
      <c r="P5" s="566"/>
      <c r="Q5" s="566"/>
      <c r="R5" s="566"/>
      <c r="S5" s="566"/>
      <c r="T5" s="566"/>
      <c r="U5" s="566"/>
      <c r="V5" s="566"/>
      <c r="X5" s="256"/>
      <c r="Y5" s="256"/>
    </row>
    <row r="6" spans="1:25">
      <c r="A6" s="259"/>
      <c r="B6" s="565" t="s">
        <v>100</v>
      </c>
      <c r="C6" s="565"/>
      <c r="D6" s="565"/>
      <c r="E6" s="565"/>
      <c r="F6" s="565"/>
      <c r="G6" s="565"/>
      <c r="H6" s="260"/>
      <c r="I6" s="260"/>
      <c r="J6" s="260"/>
      <c r="K6" s="260"/>
      <c r="L6" s="260"/>
      <c r="M6" s="260"/>
      <c r="N6" s="260"/>
      <c r="O6" s="260"/>
      <c r="P6" s="260"/>
      <c r="Q6" s="260"/>
      <c r="R6" s="260"/>
      <c r="S6" s="260"/>
      <c r="T6" s="260"/>
      <c r="U6" s="260"/>
      <c r="V6" s="260"/>
      <c r="W6" s="259"/>
    </row>
    <row r="7" spans="1:25">
      <c r="B7" s="239"/>
      <c r="C7" s="239"/>
      <c r="D7" s="234"/>
      <c r="E7" s="234"/>
      <c r="F7" s="234"/>
      <c r="G7" s="234"/>
      <c r="H7" s="234"/>
      <c r="I7" s="239"/>
      <c r="J7" s="239"/>
      <c r="K7" s="239"/>
      <c r="L7" s="239"/>
      <c r="M7" s="650"/>
      <c r="N7" s="650"/>
      <c r="O7" s="239"/>
      <c r="P7" s="239"/>
      <c r="Q7" s="239"/>
      <c r="R7" s="650"/>
      <c r="S7" s="650"/>
      <c r="T7" s="239"/>
      <c r="U7" s="239"/>
      <c r="V7" s="239"/>
    </row>
    <row r="8" spans="1:25">
      <c r="B8" s="258" t="s">
        <v>101</v>
      </c>
      <c r="C8" s="234"/>
      <c r="D8" s="234"/>
      <c r="E8" s="234"/>
      <c r="F8" s="234"/>
      <c r="G8" s="235"/>
      <c r="H8" s="235"/>
      <c r="I8" s="239"/>
      <c r="J8" s="239"/>
      <c r="K8" s="239"/>
      <c r="L8" s="239"/>
      <c r="M8" s="239"/>
      <c r="N8" s="239"/>
      <c r="O8" s="239"/>
      <c r="P8" s="239"/>
      <c r="Q8" s="239"/>
      <c r="R8" s="239"/>
      <c r="S8" s="239"/>
      <c r="T8" s="239"/>
      <c r="U8" s="239"/>
      <c r="V8" s="239"/>
    </row>
    <row r="9" spans="1:25" s="255" customFormat="1">
      <c r="B9" s="257" t="s">
        <v>102</v>
      </c>
      <c r="C9" s="256"/>
      <c r="D9" s="257" t="s">
        <v>103</v>
      </c>
      <c r="E9" s="256"/>
      <c r="F9" s="256"/>
      <c r="M9" s="651"/>
      <c r="N9" s="651"/>
      <c r="R9" s="651"/>
      <c r="S9" s="651"/>
    </row>
    <row r="10" spans="1:25" s="255" customFormat="1">
      <c r="B10" s="257" t="s">
        <v>104</v>
      </c>
      <c r="C10" s="256"/>
      <c r="D10" s="257" t="s">
        <v>105</v>
      </c>
      <c r="E10" s="256"/>
      <c r="F10" s="256"/>
      <c r="M10" s="651"/>
      <c r="N10" s="651"/>
      <c r="R10" s="651"/>
      <c r="S10" s="651"/>
    </row>
    <row r="11" spans="1:25" s="255" customFormat="1">
      <c r="B11" s="257" t="s">
        <v>106</v>
      </c>
      <c r="C11" s="256"/>
      <c r="D11" s="257" t="s">
        <v>107</v>
      </c>
      <c r="E11" s="256"/>
      <c r="F11" s="256"/>
      <c r="M11" s="651"/>
      <c r="N11" s="651"/>
      <c r="R11" s="651"/>
      <c r="S11" s="651"/>
    </row>
    <row r="12" spans="1:25" s="255" customFormat="1">
      <c r="B12" s="257" t="s">
        <v>108</v>
      </c>
      <c r="C12" s="256"/>
      <c r="D12" s="257" t="s">
        <v>109</v>
      </c>
      <c r="E12" s="256"/>
      <c r="F12" s="256"/>
      <c r="M12" s="651"/>
      <c r="N12" s="651"/>
      <c r="R12" s="651"/>
      <c r="S12" s="651"/>
    </row>
    <row r="13" spans="1:25">
      <c r="B13" s="239"/>
      <c r="C13" s="239"/>
      <c r="D13" s="239"/>
      <c r="E13" s="239"/>
      <c r="F13" s="239"/>
      <c r="G13" s="239"/>
      <c r="H13" s="239"/>
      <c r="I13" s="239"/>
      <c r="J13" s="239"/>
      <c r="K13" s="239"/>
      <c r="L13" s="239"/>
      <c r="M13" s="650"/>
      <c r="N13" s="650"/>
      <c r="O13" s="239"/>
      <c r="P13" s="239"/>
      <c r="Q13" s="239"/>
      <c r="R13" s="650"/>
      <c r="S13" s="650"/>
      <c r="T13" s="239"/>
      <c r="U13" s="239"/>
      <c r="V13" s="239"/>
    </row>
    <row r="14" spans="1:25">
      <c r="B14" s="254"/>
      <c r="C14" s="254"/>
      <c r="D14" s="568" t="s">
        <v>110</v>
      </c>
      <c r="E14" s="568"/>
      <c r="F14" s="568"/>
      <c r="G14" s="568"/>
      <c r="H14" s="254"/>
      <c r="I14" s="568" t="s">
        <v>111</v>
      </c>
      <c r="J14" s="568"/>
      <c r="K14" s="568"/>
      <c r="L14" s="568"/>
      <c r="M14" s="254"/>
      <c r="N14" s="568" t="s">
        <v>112</v>
      </c>
      <c r="O14" s="568"/>
      <c r="P14" s="568"/>
      <c r="Q14" s="568"/>
      <c r="R14" s="254"/>
      <c r="S14" s="568" t="s">
        <v>113</v>
      </c>
      <c r="T14" s="568"/>
      <c r="U14" s="568"/>
      <c r="V14" s="568"/>
    </row>
    <row r="15" spans="1:25" ht="30">
      <c r="B15" s="253"/>
      <c r="C15" s="253"/>
      <c r="D15" s="251" t="s">
        <v>114</v>
      </c>
      <c r="E15" s="251" t="s">
        <v>115</v>
      </c>
      <c r="F15" s="251" t="s">
        <v>116</v>
      </c>
      <c r="G15" s="251" t="s">
        <v>117</v>
      </c>
      <c r="H15" s="252"/>
      <c r="I15" s="251" t="s">
        <v>114</v>
      </c>
      <c r="J15" s="251" t="s">
        <v>115</v>
      </c>
      <c r="K15" s="251" t="s">
        <v>116</v>
      </c>
      <c r="L15" s="251" t="s">
        <v>117</v>
      </c>
      <c r="M15" s="252"/>
      <c r="N15" s="251" t="s">
        <v>114</v>
      </c>
      <c r="O15" s="251" t="s">
        <v>115</v>
      </c>
      <c r="P15" s="251" t="s">
        <v>116</v>
      </c>
      <c r="Q15" s="251" t="s">
        <v>117</v>
      </c>
      <c r="R15" s="252"/>
      <c r="S15" s="251" t="s">
        <v>114</v>
      </c>
      <c r="T15" s="251" t="s">
        <v>115</v>
      </c>
      <c r="U15" s="251" t="s">
        <v>116</v>
      </c>
      <c r="V15" s="251" t="s">
        <v>117</v>
      </c>
    </row>
    <row r="16" spans="1:25">
      <c r="B16" s="239"/>
      <c r="C16" s="239"/>
      <c r="D16" s="250"/>
      <c r="E16" s="250"/>
      <c r="F16" s="250"/>
      <c r="G16" s="250"/>
      <c r="H16" s="239"/>
      <c r="I16" s="239"/>
      <c r="J16" s="250"/>
      <c r="K16" s="250"/>
      <c r="L16" s="250"/>
      <c r="M16" s="239"/>
      <c r="N16" s="239"/>
      <c r="O16" s="250"/>
      <c r="P16" s="250"/>
      <c r="Q16" s="250"/>
      <c r="R16" s="239"/>
      <c r="S16" s="239"/>
      <c r="T16" s="250"/>
      <c r="U16" s="250"/>
      <c r="V16" s="250"/>
    </row>
    <row r="17" spans="2:22">
      <c r="B17" s="243">
        <v>2005</v>
      </c>
      <c r="C17" s="243"/>
      <c r="D17" s="247">
        <v>379.85</v>
      </c>
      <c r="E17" s="247">
        <v>379.85</v>
      </c>
      <c r="F17" s="247">
        <v>379.85</v>
      </c>
      <c r="G17" s="247">
        <v>379.85</v>
      </c>
      <c r="H17" s="247"/>
      <c r="I17" s="247">
        <v>6.53</v>
      </c>
      <c r="J17" s="247">
        <v>6.5</v>
      </c>
      <c r="K17" s="247">
        <v>6.49</v>
      </c>
      <c r="L17" s="247">
        <v>6.51</v>
      </c>
      <c r="M17" s="247"/>
      <c r="N17" s="247">
        <v>57.41</v>
      </c>
      <c r="O17" s="247">
        <v>56.53</v>
      </c>
      <c r="P17" s="247">
        <v>54.73</v>
      </c>
      <c r="Q17" s="247">
        <v>56.69</v>
      </c>
      <c r="R17" s="247"/>
      <c r="S17" s="246">
        <v>8791</v>
      </c>
      <c r="T17" s="246">
        <v>8697</v>
      </c>
      <c r="U17" s="246">
        <v>8433</v>
      </c>
      <c r="V17" s="246">
        <v>8708</v>
      </c>
    </row>
    <row r="18" spans="2:22">
      <c r="B18" s="243">
        <v>2010</v>
      </c>
      <c r="C18" s="243"/>
      <c r="D18" s="247">
        <v>390.51</v>
      </c>
      <c r="E18" s="247">
        <v>390.51</v>
      </c>
      <c r="F18" s="247">
        <v>390.51</v>
      </c>
      <c r="G18" s="247">
        <v>390.51</v>
      </c>
      <c r="H18" s="247"/>
      <c r="I18" s="247">
        <v>6.92</v>
      </c>
      <c r="J18" s="247">
        <v>6.87</v>
      </c>
      <c r="K18" s="247">
        <v>6.88</v>
      </c>
      <c r="L18" s="247">
        <v>6.89</v>
      </c>
      <c r="M18" s="247"/>
      <c r="N18" s="247">
        <v>68.459999999999994</v>
      </c>
      <c r="O18" s="247">
        <v>67.52</v>
      </c>
      <c r="P18" s="247">
        <v>64.81</v>
      </c>
      <c r="Q18" s="247">
        <v>67.569999999999993</v>
      </c>
      <c r="R18" s="247"/>
      <c r="S18" s="246">
        <v>9893</v>
      </c>
      <c r="T18" s="246">
        <v>9828</v>
      </c>
      <c r="U18" s="246">
        <v>9420</v>
      </c>
      <c r="V18" s="246">
        <v>9806</v>
      </c>
    </row>
    <row r="19" spans="2:22">
      <c r="B19" s="245">
        <v>2020</v>
      </c>
      <c r="C19" s="245"/>
      <c r="D19" s="249">
        <v>414.55</v>
      </c>
      <c r="E19" s="249">
        <v>414.44</v>
      </c>
      <c r="F19" s="249">
        <v>417.07</v>
      </c>
      <c r="G19" s="249">
        <v>417.25</v>
      </c>
      <c r="H19" s="249"/>
      <c r="I19" s="249">
        <v>7.58</v>
      </c>
      <c r="J19" s="249">
        <v>7.61</v>
      </c>
      <c r="K19" s="249">
        <v>7.7</v>
      </c>
      <c r="L19" s="249">
        <v>7.55</v>
      </c>
      <c r="M19" s="249"/>
      <c r="N19" s="249">
        <v>101.82</v>
      </c>
      <c r="O19" s="249">
        <v>101.16</v>
      </c>
      <c r="P19" s="249">
        <v>97.4</v>
      </c>
      <c r="Q19" s="249">
        <v>101.9</v>
      </c>
      <c r="R19" s="249"/>
      <c r="S19" s="248">
        <v>13432</v>
      </c>
      <c r="T19" s="248">
        <v>13293</v>
      </c>
      <c r="U19" s="248">
        <v>12649</v>
      </c>
      <c r="V19" s="248">
        <v>13496</v>
      </c>
    </row>
    <row r="20" spans="2:22">
      <c r="B20" s="261">
        <v>2021</v>
      </c>
      <c r="C20" s="261"/>
      <c r="D20" s="262">
        <f>(D$29-D$19)/10+D19</f>
        <v>416.74900000000002</v>
      </c>
      <c r="E20" s="262">
        <f t="shared" ref="E20:G28" si="0">(E$29-E$19)/10+E19</f>
        <v>416.92399999999998</v>
      </c>
      <c r="F20" s="262">
        <f t="shared" si="0"/>
        <v>420.21800000000002</v>
      </c>
      <c r="G20" s="262">
        <f t="shared" si="0"/>
        <v>420.80200000000002</v>
      </c>
      <c r="H20" s="262"/>
      <c r="I20" s="262">
        <f>(I$29-I$19)/10+I19</f>
        <v>7.6280000000000001</v>
      </c>
      <c r="J20" s="262">
        <f t="shared" ref="J20:V28" si="1">(J$29-J$19)/10+J19</f>
        <v>7.6750000000000007</v>
      </c>
      <c r="K20" s="262">
        <f t="shared" si="1"/>
        <v>7.7810000000000006</v>
      </c>
      <c r="L20" s="262">
        <f t="shared" si="1"/>
        <v>7.6</v>
      </c>
      <c r="M20" s="262"/>
      <c r="N20" s="262">
        <f t="shared" si="1"/>
        <v>107.223</v>
      </c>
      <c r="O20" s="262">
        <f t="shared" si="1"/>
        <v>105.333</v>
      </c>
      <c r="P20" s="262">
        <f t="shared" si="1"/>
        <v>100.68300000000001</v>
      </c>
      <c r="Q20" s="262">
        <f t="shared" si="1"/>
        <v>108.29</v>
      </c>
      <c r="R20" s="262"/>
      <c r="S20" s="263">
        <f t="shared" si="1"/>
        <v>14022.4</v>
      </c>
      <c r="T20" s="263">
        <f t="shared" si="1"/>
        <v>13693.6</v>
      </c>
      <c r="U20" s="263">
        <f t="shared" si="1"/>
        <v>12914.4</v>
      </c>
      <c r="V20" s="263">
        <f t="shared" si="1"/>
        <v>14206</v>
      </c>
    </row>
    <row r="21" spans="2:22">
      <c r="B21" s="261">
        <v>2022</v>
      </c>
      <c r="C21" s="261"/>
      <c r="D21" s="262">
        <f t="shared" ref="D21:D28" si="2">(D$29-D$19)/10+D20</f>
        <v>418.94800000000004</v>
      </c>
      <c r="E21" s="262">
        <f t="shared" si="0"/>
        <v>419.40799999999996</v>
      </c>
      <c r="F21" s="262">
        <f t="shared" si="0"/>
        <v>423.36600000000004</v>
      </c>
      <c r="G21" s="262">
        <f t="shared" si="0"/>
        <v>424.35400000000004</v>
      </c>
      <c r="H21" s="262"/>
      <c r="I21" s="262">
        <f t="shared" ref="I21:I28" si="3">(I$29-I$19)/10+I20</f>
        <v>7.6760000000000002</v>
      </c>
      <c r="J21" s="262">
        <f t="shared" si="1"/>
        <v>7.74</v>
      </c>
      <c r="K21" s="262">
        <f t="shared" si="1"/>
        <v>7.8620000000000001</v>
      </c>
      <c r="L21" s="262">
        <f t="shared" si="1"/>
        <v>7.6499999999999995</v>
      </c>
      <c r="M21" s="262"/>
      <c r="N21" s="262">
        <f t="shared" si="1"/>
        <v>112.626</v>
      </c>
      <c r="O21" s="262">
        <f t="shared" si="1"/>
        <v>109.506</v>
      </c>
      <c r="P21" s="262">
        <f t="shared" si="1"/>
        <v>103.96600000000001</v>
      </c>
      <c r="Q21" s="262">
        <f t="shared" si="1"/>
        <v>114.68</v>
      </c>
      <c r="R21" s="262"/>
      <c r="S21" s="263">
        <f t="shared" si="1"/>
        <v>14612.8</v>
      </c>
      <c r="T21" s="263">
        <f t="shared" si="1"/>
        <v>14094.2</v>
      </c>
      <c r="U21" s="263">
        <f t="shared" si="1"/>
        <v>13179.8</v>
      </c>
      <c r="V21" s="263">
        <f t="shared" si="1"/>
        <v>14916</v>
      </c>
    </row>
    <row r="22" spans="2:22">
      <c r="B22" s="261">
        <v>2023</v>
      </c>
      <c r="C22" s="261"/>
      <c r="D22" s="262">
        <f t="shared" si="2"/>
        <v>421.14700000000005</v>
      </c>
      <c r="E22" s="262">
        <f t="shared" si="0"/>
        <v>421.89199999999994</v>
      </c>
      <c r="F22" s="262">
        <f t="shared" si="0"/>
        <v>426.51400000000007</v>
      </c>
      <c r="G22" s="262">
        <f t="shared" si="0"/>
        <v>427.90600000000006</v>
      </c>
      <c r="H22" s="262"/>
      <c r="I22" s="262">
        <f t="shared" si="3"/>
        <v>7.7240000000000002</v>
      </c>
      <c r="J22" s="262">
        <f t="shared" si="1"/>
        <v>7.8049999999999997</v>
      </c>
      <c r="K22" s="262">
        <f t="shared" si="1"/>
        <v>7.9429999999999996</v>
      </c>
      <c r="L22" s="262">
        <f t="shared" si="1"/>
        <v>7.6999999999999993</v>
      </c>
      <c r="M22" s="262"/>
      <c r="N22" s="262">
        <f t="shared" si="1"/>
        <v>118.02900000000001</v>
      </c>
      <c r="O22" s="262">
        <f t="shared" si="1"/>
        <v>113.679</v>
      </c>
      <c r="P22" s="262">
        <f t="shared" si="1"/>
        <v>107.24900000000001</v>
      </c>
      <c r="Q22" s="262">
        <f t="shared" si="1"/>
        <v>121.07000000000001</v>
      </c>
      <c r="R22" s="262"/>
      <c r="S22" s="263">
        <f t="shared" si="1"/>
        <v>15203.199999999999</v>
      </c>
      <c r="T22" s="263">
        <f t="shared" si="1"/>
        <v>14494.800000000001</v>
      </c>
      <c r="U22" s="263">
        <f t="shared" si="1"/>
        <v>13445.199999999999</v>
      </c>
      <c r="V22" s="263">
        <f t="shared" si="1"/>
        <v>15626</v>
      </c>
    </row>
    <row r="23" spans="2:22">
      <c r="B23" s="261">
        <v>2024</v>
      </c>
      <c r="C23" s="261"/>
      <c r="D23" s="262">
        <f t="shared" si="2"/>
        <v>423.34600000000006</v>
      </c>
      <c r="E23" s="262">
        <f t="shared" si="0"/>
        <v>424.37599999999992</v>
      </c>
      <c r="F23" s="262">
        <f t="shared" si="0"/>
        <v>429.66200000000009</v>
      </c>
      <c r="G23" s="262">
        <f t="shared" si="0"/>
        <v>431.45800000000008</v>
      </c>
      <c r="H23" s="262"/>
      <c r="I23" s="262">
        <f t="shared" si="3"/>
        <v>7.7720000000000002</v>
      </c>
      <c r="J23" s="262">
        <f t="shared" si="1"/>
        <v>7.8699999999999992</v>
      </c>
      <c r="K23" s="262">
        <f t="shared" si="1"/>
        <v>8.0239999999999991</v>
      </c>
      <c r="L23" s="262">
        <f t="shared" si="1"/>
        <v>7.7499999999999991</v>
      </c>
      <c r="M23" s="262"/>
      <c r="N23" s="262">
        <f t="shared" si="1"/>
        <v>123.43200000000002</v>
      </c>
      <c r="O23" s="262">
        <f t="shared" si="1"/>
        <v>117.852</v>
      </c>
      <c r="P23" s="262">
        <f t="shared" si="1"/>
        <v>110.53200000000001</v>
      </c>
      <c r="Q23" s="262">
        <f t="shared" si="1"/>
        <v>127.46000000000001</v>
      </c>
      <c r="R23" s="262"/>
      <c r="S23" s="263">
        <f t="shared" si="1"/>
        <v>15793.599999999999</v>
      </c>
      <c r="T23" s="263">
        <f t="shared" si="1"/>
        <v>14895.400000000001</v>
      </c>
      <c r="U23" s="263">
        <f t="shared" si="1"/>
        <v>13710.599999999999</v>
      </c>
      <c r="V23" s="263">
        <f t="shared" si="1"/>
        <v>16336</v>
      </c>
    </row>
    <row r="24" spans="2:22">
      <c r="B24" s="261">
        <v>2025</v>
      </c>
      <c r="C24" s="261"/>
      <c r="D24" s="262">
        <f t="shared" si="2"/>
        <v>425.54500000000007</v>
      </c>
      <c r="E24" s="262">
        <f t="shared" si="0"/>
        <v>426.8599999999999</v>
      </c>
      <c r="F24" s="262">
        <f t="shared" si="0"/>
        <v>432.81000000000012</v>
      </c>
      <c r="G24" s="262">
        <f t="shared" si="0"/>
        <v>435.0100000000001</v>
      </c>
      <c r="H24" s="262"/>
      <c r="I24" s="262">
        <f t="shared" si="3"/>
        <v>7.82</v>
      </c>
      <c r="J24" s="262">
        <f t="shared" si="1"/>
        <v>7.9349999999999987</v>
      </c>
      <c r="K24" s="262">
        <f t="shared" si="1"/>
        <v>8.1049999999999986</v>
      </c>
      <c r="L24" s="262">
        <f t="shared" si="1"/>
        <v>7.7999999999999989</v>
      </c>
      <c r="M24" s="262"/>
      <c r="N24" s="262">
        <f t="shared" si="1"/>
        <v>128.83500000000001</v>
      </c>
      <c r="O24" s="262">
        <f t="shared" si="1"/>
        <v>122.02500000000001</v>
      </c>
      <c r="P24" s="262">
        <f t="shared" si="1"/>
        <v>113.81500000000001</v>
      </c>
      <c r="Q24" s="262">
        <f t="shared" si="1"/>
        <v>133.85000000000002</v>
      </c>
      <c r="R24" s="262"/>
      <c r="S24" s="263">
        <f t="shared" si="1"/>
        <v>16383.999999999998</v>
      </c>
      <c r="T24" s="263">
        <f t="shared" si="1"/>
        <v>15296.000000000002</v>
      </c>
      <c r="U24" s="263">
        <f t="shared" si="1"/>
        <v>13975.999999999998</v>
      </c>
      <c r="V24" s="263">
        <f t="shared" si="1"/>
        <v>17046</v>
      </c>
    </row>
    <row r="25" spans="2:22">
      <c r="B25" s="261">
        <v>2026</v>
      </c>
      <c r="C25" s="261"/>
      <c r="D25" s="262">
        <f t="shared" si="2"/>
        <v>427.74400000000009</v>
      </c>
      <c r="E25" s="262">
        <f t="shared" si="0"/>
        <v>429.34399999999988</v>
      </c>
      <c r="F25" s="262">
        <f t="shared" si="0"/>
        <v>435.95800000000014</v>
      </c>
      <c r="G25" s="262">
        <f t="shared" si="0"/>
        <v>438.56200000000013</v>
      </c>
      <c r="H25" s="262"/>
      <c r="I25" s="262">
        <f t="shared" si="3"/>
        <v>7.8680000000000003</v>
      </c>
      <c r="J25" s="262">
        <f t="shared" si="1"/>
        <v>7.9999999999999982</v>
      </c>
      <c r="K25" s="262">
        <f t="shared" si="1"/>
        <v>8.1859999999999982</v>
      </c>
      <c r="L25" s="262">
        <f t="shared" si="1"/>
        <v>7.8499999999999988</v>
      </c>
      <c r="M25" s="262"/>
      <c r="N25" s="262">
        <f t="shared" si="1"/>
        <v>134.238</v>
      </c>
      <c r="O25" s="262">
        <f t="shared" si="1"/>
        <v>126.19800000000001</v>
      </c>
      <c r="P25" s="262">
        <f t="shared" si="1"/>
        <v>117.09800000000001</v>
      </c>
      <c r="Q25" s="262">
        <f t="shared" si="1"/>
        <v>140.24</v>
      </c>
      <c r="R25" s="262"/>
      <c r="S25" s="263">
        <f t="shared" si="1"/>
        <v>16974.399999999998</v>
      </c>
      <c r="T25" s="263">
        <f t="shared" si="1"/>
        <v>15696.600000000002</v>
      </c>
      <c r="U25" s="263">
        <f t="shared" si="1"/>
        <v>14241.399999999998</v>
      </c>
      <c r="V25" s="263">
        <f t="shared" si="1"/>
        <v>17756</v>
      </c>
    </row>
    <row r="26" spans="2:22">
      <c r="B26" s="261">
        <v>2027</v>
      </c>
      <c r="C26" s="261"/>
      <c r="D26" s="262">
        <f t="shared" si="2"/>
        <v>429.9430000000001</v>
      </c>
      <c r="E26" s="262">
        <f t="shared" si="0"/>
        <v>431.82799999999986</v>
      </c>
      <c r="F26" s="262">
        <f t="shared" si="0"/>
        <v>439.10600000000017</v>
      </c>
      <c r="G26" s="262">
        <f t="shared" si="0"/>
        <v>442.11400000000015</v>
      </c>
      <c r="H26" s="262"/>
      <c r="I26" s="262">
        <f t="shared" si="3"/>
        <v>7.9160000000000004</v>
      </c>
      <c r="J26" s="262">
        <f t="shared" si="1"/>
        <v>8.0649999999999977</v>
      </c>
      <c r="K26" s="262">
        <f t="shared" si="1"/>
        <v>8.2669999999999977</v>
      </c>
      <c r="L26" s="262">
        <f t="shared" si="1"/>
        <v>7.8999999999999986</v>
      </c>
      <c r="M26" s="262"/>
      <c r="N26" s="262">
        <f t="shared" si="1"/>
        <v>139.64099999999999</v>
      </c>
      <c r="O26" s="262">
        <f t="shared" si="1"/>
        <v>130.37100000000001</v>
      </c>
      <c r="P26" s="262">
        <f t="shared" si="1"/>
        <v>120.38100000000001</v>
      </c>
      <c r="Q26" s="262">
        <f t="shared" si="1"/>
        <v>146.63</v>
      </c>
      <c r="R26" s="262"/>
      <c r="S26" s="263">
        <f t="shared" si="1"/>
        <v>17564.8</v>
      </c>
      <c r="T26" s="263">
        <f t="shared" si="1"/>
        <v>16097.200000000003</v>
      </c>
      <c r="U26" s="263">
        <f t="shared" si="1"/>
        <v>14506.799999999997</v>
      </c>
      <c r="V26" s="263">
        <f t="shared" si="1"/>
        <v>18466</v>
      </c>
    </row>
    <row r="27" spans="2:22">
      <c r="B27" s="261">
        <v>2028</v>
      </c>
      <c r="C27" s="261"/>
      <c r="D27" s="262">
        <f t="shared" si="2"/>
        <v>432.14200000000011</v>
      </c>
      <c r="E27" s="262">
        <f t="shared" si="0"/>
        <v>434.31199999999984</v>
      </c>
      <c r="F27" s="262">
        <f t="shared" si="0"/>
        <v>442.25400000000019</v>
      </c>
      <c r="G27" s="262">
        <f t="shared" si="0"/>
        <v>445.66600000000017</v>
      </c>
      <c r="H27" s="262"/>
      <c r="I27" s="262">
        <f t="shared" si="3"/>
        <v>7.9640000000000004</v>
      </c>
      <c r="J27" s="262">
        <f t="shared" si="1"/>
        <v>8.1299999999999972</v>
      </c>
      <c r="K27" s="262">
        <f t="shared" si="1"/>
        <v>8.3479999999999972</v>
      </c>
      <c r="L27" s="262">
        <f t="shared" si="1"/>
        <v>7.9499999999999984</v>
      </c>
      <c r="M27" s="262"/>
      <c r="N27" s="262">
        <f t="shared" si="1"/>
        <v>145.04399999999998</v>
      </c>
      <c r="O27" s="262">
        <f t="shared" si="1"/>
        <v>134.54400000000001</v>
      </c>
      <c r="P27" s="262">
        <f t="shared" si="1"/>
        <v>123.66400000000002</v>
      </c>
      <c r="Q27" s="262">
        <f t="shared" si="1"/>
        <v>153.01999999999998</v>
      </c>
      <c r="R27" s="262"/>
      <c r="S27" s="263">
        <f t="shared" si="1"/>
        <v>18155.2</v>
      </c>
      <c r="T27" s="263">
        <f t="shared" si="1"/>
        <v>16497.800000000003</v>
      </c>
      <c r="U27" s="263">
        <f t="shared" si="1"/>
        <v>14772.199999999997</v>
      </c>
      <c r="V27" s="263">
        <f t="shared" si="1"/>
        <v>19176</v>
      </c>
    </row>
    <row r="28" spans="2:22">
      <c r="B28" s="261">
        <v>2029</v>
      </c>
      <c r="C28" s="261"/>
      <c r="D28" s="262">
        <f t="shared" si="2"/>
        <v>434.34100000000012</v>
      </c>
      <c r="E28" s="262">
        <f t="shared" si="0"/>
        <v>436.79599999999982</v>
      </c>
      <c r="F28" s="262">
        <f t="shared" si="0"/>
        <v>445.40200000000021</v>
      </c>
      <c r="G28" s="262">
        <f t="shared" si="0"/>
        <v>449.21800000000019</v>
      </c>
      <c r="H28" s="262"/>
      <c r="I28" s="262">
        <f t="shared" si="3"/>
        <v>8.0120000000000005</v>
      </c>
      <c r="J28" s="262">
        <f t="shared" si="1"/>
        <v>8.1949999999999967</v>
      </c>
      <c r="K28" s="262">
        <f t="shared" si="1"/>
        <v>8.4289999999999967</v>
      </c>
      <c r="L28" s="262">
        <f t="shared" si="1"/>
        <v>7.9999999999999982</v>
      </c>
      <c r="M28" s="262"/>
      <c r="N28" s="262">
        <f t="shared" si="1"/>
        <v>150.44699999999997</v>
      </c>
      <c r="O28" s="262">
        <f t="shared" si="1"/>
        <v>138.71700000000001</v>
      </c>
      <c r="P28" s="262">
        <f t="shared" si="1"/>
        <v>126.94700000000002</v>
      </c>
      <c r="Q28" s="262">
        <f t="shared" si="1"/>
        <v>159.40999999999997</v>
      </c>
      <c r="R28" s="262"/>
      <c r="S28" s="263">
        <f t="shared" si="1"/>
        <v>18745.600000000002</v>
      </c>
      <c r="T28" s="263">
        <f t="shared" si="1"/>
        <v>16898.400000000001</v>
      </c>
      <c r="U28" s="263">
        <f t="shared" si="1"/>
        <v>15037.599999999997</v>
      </c>
      <c r="V28" s="263">
        <f t="shared" si="1"/>
        <v>19886</v>
      </c>
    </row>
    <row r="29" spans="2:22">
      <c r="B29" s="243">
        <v>2030</v>
      </c>
      <c r="C29" s="243"/>
      <c r="D29" s="247">
        <v>436.54</v>
      </c>
      <c r="E29" s="247">
        <v>439.28</v>
      </c>
      <c r="F29" s="247">
        <v>448.55</v>
      </c>
      <c r="G29" s="247">
        <v>452.77</v>
      </c>
      <c r="H29" s="247"/>
      <c r="I29" s="247">
        <v>8.06</v>
      </c>
      <c r="J29" s="247">
        <v>8.26</v>
      </c>
      <c r="K29" s="247">
        <v>8.51</v>
      </c>
      <c r="L29" s="247">
        <v>8.0500000000000007</v>
      </c>
      <c r="M29" s="247"/>
      <c r="N29" s="247">
        <v>155.85</v>
      </c>
      <c r="O29" s="247">
        <v>142.88999999999999</v>
      </c>
      <c r="P29" s="247">
        <v>130.22999999999999</v>
      </c>
      <c r="Q29" s="247">
        <v>165.8</v>
      </c>
      <c r="R29" s="247"/>
      <c r="S29" s="246">
        <v>19336</v>
      </c>
      <c r="T29" s="246">
        <v>17299</v>
      </c>
      <c r="U29" s="246">
        <v>15303</v>
      </c>
      <c r="V29" s="246">
        <v>20596</v>
      </c>
    </row>
    <row r="30" spans="2:22">
      <c r="B30" s="243">
        <v>2040</v>
      </c>
      <c r="C30" s="243"/>
      <c r="D30" s="247">
        <v>452.29</v>
      </c>
      <c r="E30" s="247">
        <v>463.05</v>
      </c>
      <c r="F30" s="247">
        <v>480.63</v>
      </c>
      <c r="G30" s="247">
        <v>499.68</v>
      </c>
      <c r="H30" s="247"/>
      <c r="I30" s="247">
        <v>8.39</v>
      </c>
      <c r="J30" s="247">
        <v>8.7899999999999991</v>
      </c>
      <c r="K30" s="247">
        <v>9.26</v>
      </c>
      <c r="L30" s="247">
        <v>8.4</v>
      </c>
      <c r="M30" s="247"/>
      <c r="N30" s="247">
        <v>223.2</v>
      </c>
      <c r="O30" s="247">
        <v>185.39</v>
      </c>
      <c r="P30" s="247">
        <v>153.37</v>
      </c>
      <c r="Q30" s="247">
        <v>260.2</v>
      </c>
      <c r="R30" s="247"/>
      <c r="S30" s="246">
        <v>26603</v>
      </c>
      <c r="T30" s="246">
        <v>21091</v>
      </c>
      <c r="U30" s="246">
        <v>16562</v>
      </c>
      <c r="V30" s="246">
        <v>30976</v>
      </c>
    </row>
    <row r="31" spans="2:22">
      <c r="B31" s="245">
        <v>2050</v>
      </c>
      <c r="C31" s="245"/>
      <c r="D31" s="249">
        <v>460.69</v>
      </c>
      <c r="E31" s="249">
        <v>483.24</v>
      </c>
      <c r="F31" s="249">
        <v>511.43</v>
      </c>
      <c r="G31" s="249">
        <v>559.69000000000005</v>
      </c>
      <c r="H31" s="249"/>
      <c r="I31" s="249">
        <v>8.5299999999999994</v>
      </c>
      <c r="J31" s="249">
        <v>9.17</v>
      </c>
      <c r="K31" s="249">
        <v>9.9600000000000009</v>
      </c>
      <c r="L31" s="249">
        <v>8.58</v>
      </c>
      <c r="M31" s="249"/>
      <c r="N31" s="249">
        <v>291.3</v>
      </c>
      <c r="O31" s="249">
        <v>230.19</v>
      </c>
      <c r="P31" s="249">
        <v>171.5</v>
      </c>
      <c r="Q31" s="249">
        <v>364.7</v>
      </c>
      <c r="R31" s="249"/>
      <c r="S31" s="248">
        <v>34150</v>
      </c>
      <c r="T31" s="248">
        <v>25102</v>
      </c>
      <c r="U31" s="248">
        <v>17218</v>
      </c>
      <c r="V31" s="248">
        <v>42505</v>
      </c>
    </row>
    <row r="32" spans="2:22">
      <c r="B32" s="243">
        <v>2060</v>
      </c>
      <c r="C32" s="243"/>
      <c r="D32" s="247">
        <v>462.9</v>
      </c>
      <c r="E32" s="247">
        <v>497.49</v>
      </c>
      <c r="F32" s="247">
        <v>542.95000000000005</v>
      </c>
      <c r="G32" s="247">
        <v>635.79</v>
      </c>
      <c r="H32" s="247"/>
      <c r="I32" s="247">
        <v>8.49</v>
      </c>
      <c r="J32" s="247">
        <v>9.3800000000000008</v>
      </c>
      <c r="K32" s="247">
        <v>10.57</v>
      </c>
      <c r="L32" s="247">
        <v>8.59</v>
      </c>
      <c r="M32" s="247"/>
      <c r="N32" s="247">
        <v>356.29</v>
      </c>
      <c r="O32" s="247">
        <v>278.62</v>
      </c>
      <c r="P32" s="247">
        <v>187.41</v>
      </c>
      <c r="Q32" s="247">
        <v>478.3</v>
      </c>
      <c r="R32" s="247"/>
      <c r="S32" s="246">
        <v>41965</v>
      </c>
      <c r="T32" s="246">
        <v>29703</v>
      </c>
      <c r="U32" s="246">
        <v>17730</v>
      </c>
      <c r="V32" s="246">
        <v>55681</v>
      </c>
    </row>
    <row r="33" spans="2:22">
      <c r="B33" s="243">
        <v>2070</v>
      </c>
      <c r="C33" s="243"/>
      <c r="D33" s="247">
        <v>460.64</v>
      </c>
      <c r="E33" s="247">
        <v>504.28</v>
      </c>
      <c r="F33" s="247">
        <v>573.5</v>
      </c>
      <c r="G33" s="247">
        <v>730.03</v>
      </c>
      <c r="H33" s="247"/>
      <c r="I33" s="247">
        <v>8.3000000000000007</v>
      </c>
      <c r="J33" s="247">
        <v>9.4600000000000009</v>
      </c>
      <c r="K33" s="247">
        <v>11.12</v>
      </c>
      <c r="L33" s="247">
        <v>8.4600000000000009</v>
      </c>
      <c r="M33" s="247"/>
      <c r="N33" s="247">
        <v>419.29</v>
      </c>
      <c r="O33" s="247">
        <v>334.19</v>
      </c>
      <c r="P33" s="247">
        <v>204.08</v>
      </c>
      <c r="Q33" s="247">
        <v>605.79999999999995</v>
      </c>
      <c r="R33" s="247"/>
      <c r="S33" s="246">
        <v>50516</v>
      </c>
      <c r="T33" s="246">
        <v>35326</v>
      </c>
      <c r="U33" s="246">
        <v>18352</v>
      </c>
      <c r="V33" s="246">
        <v>71607</v>
      </c>
    </row>
    <row r="34" spans="2:22">
      <c r="B34" s="245">
        <v>2080</v>
      </c>
      <c r="C34" s="245"/>
      <c r="D34" s="249">
        <v>453.86</v>
      </c>
      <c r="E34" s="249">
        <v>504.78</v>
      </c>
      <c r="F34" s="249">
        <v>599.94000000000005</v>
      </c>
      <c r="G34" s="249">
        <v>841.52</v>
      </c>
      <c r="H34" s="249"/>
      <c r="I34" s="249">
        <v>7.97</v>
      </c>
      <c r="J34" s="249">
        <v>9.41</v>
      </c>
      <c r="K34" s="249">
        <v>11.63</v>
      </c>
      <c r="L34" s="249">
        <v>8.1999999999999993</v>
      </c>
      <c r="M34" s="249"/>
      <c r="N34" s="249">
        <v>475.42</v>
      </c>
      <c r="O34" s="249">
        <v>394.48</v>
      </c>
      <c r="P34" s="249">
        <v>221.35</v>
      </c>
      <c r="Q34" s="249">
        <v>740.6</v>
      </c>
      <c r="R34" s="249"/>
      <c r="S34" s="248">
        <v>59651</v>
      </c>
      <c r="T34" s="248">
        <v>41921</v>
      </c>
      <c r="U34" s="248">
        <v>19032</v>
      </c>
      <c r="V34" s="248">
        <v>90317</v>
      </c>
    </row>
    <row r="35" spans="2:22">
      <c r="B35" s="243">
        <v>2090</v>
      </c>
      <c r="C35" s="243"/>
      <c r="D35" s="247">
        <v>443.09</v>
      </c>
      <c r="E35" s="247">
        <v>500.71</v>
      </c>
      <c r="F35" s="247">
        <v>623.13</v>
      </c>
      <c r="G35" s="247">
        <v>963.84</v>
      </c>
      <c r="H35" s="247"/>
      <c r="I35" s="247">
        <v>7.51</v>
      </c>
      <c r="J35" s="247">
        <v>9.25</v>
      </c>
      <c r="K35" s="247">
        <v>12.13</v>
      </c>
      <c r="L35" s="247">
        <v>7.83</v>
      </c>
      <c r="M35" s="247"/>
      <c r="N35" s="247">
        <v>524.88</v>
      </c>
      <c r="O35" s="247">
        <v>459.9</v>
      </c>
      <c r="P35" s="247">
        <v>240.09</v>
      </c>
      <c r="Q35" s="247">
        <v>882.3</v>
      </c>
      <c r="R35" s="247"/>
      <c r="S35" s="246">
        <v>69890</v>
      </c>
      <c r="T35" s="246">
        <v>49718</v>
      </c>
      <c r="U35" s="246">
        <v>19793</v>
      </c>
      <c r="V35" s="246">
        <v>112681</v>
      </c>
    </row>
    <row r="36" spans="2:22">
      <c r="B36" s="243">
        <v>2100</v>
      </c>
      <c r="C36" s="243"/>
      <c r="D36" s="247">
        <v>432.17</v>
      </c>
      <c r="E36" s="247">
        <v>494.15</v>
      </c>
      <c r="F36" s="247">
        <v>645.05999999999995</v>
      </c>
      <c r="G36" s="247">
        <v>1088.97</v>
      </c>
      <c r="H36" s="247"/>
      <c r="I36" s="247">
        <v>6.96</v>
      </c>
      <c r="J36" s="247">
        <v>9.0299999999999994</v>
      </c>
      <c r="K36" s="247">
        <v>12.62</v>
      </c>
      <c r="L36" s="247">
        <v>7.38</v>
      </c>
      <c r="M36" s="247"/>
      <c r="N36" s="247">
        <v>565.39</v>
      </c>
      <c r="O36" s="247">
        <v>531.92999999999995</v>
      </c>
      <c r="P36" s="247">
        <v>261.54000000000002</v>
      </c>
      <c r="Q36" s="247">
        <v>1031</v>
      </c>
      <c r="R36" s="247"/>
      <c r="S36" s="246">
        <v>81234</v>
      </c>
      <c r="T36" s="246">
        <v>58906</v>
      </c>
      <c r="U36" s="246">
        <v>20724</v>
      </c>
      <c r="V36" s="246">
        <v>139701</v>
      </c>
    </row>
    <row r="37" spans="2:22">
      <c r="B37" s="245">
        <v>2110</v>
      </c>
      <c r="C37" s="245"/>
      <c r="D37" s="244">
        <v>421.25</v>
      </c>
      <c r="E37" s="244">
        <v>487.59</v>
      </c>
      <c r="F37" s="244">
        <v>666.99</v>
      </c>
      <c r="G37" s="244">
        <v>1214.0999999999999</v>
      </c>
      <c r="H37" s="242"/>
      <c r="I37" s="242"/>
      <c r="J37" s="241"/>
      <c r="K37" s="241"/>
      <c r="L37" s="241"/>
      <c r="M37" s="242"/>
      <c r="N37" s="242"/>
      <c r="O37" s="241"/>
      <c r="P37" s="241"/>
      <c r="Q37" s="241"/>
      <c r="R37" s="242"/>
      <c r="S37" s="242"/>
      <c r="T37" s="241"/>
      <c r="U37" s="241"/>
      <c r="V37" s="241"/>
    </row>
    <row r="38" spans="2:22">
      <c r="B38" s="243">
        <v>2120</v>
      </c>
      <c r="C38" s="243"/>
      <c r="D38" s="241">
        <v>410.33</v>
      </c>
      <c r="E38" s="241">
        <v>481.03</v>
      </c>
      <c r="F38" s="241">
        <v>688.92</v>
      </c>
      <c r="G38" s="241">
        <v>1339.23</v>
      </c>
      <c r="H38" s="242"/>
      <c r="I38" s="242"/>
      <c r="J38" s="241"/>
      <c r="K38" s="241"/>
      <c r="L38" s="241"/>
      <c r="M38" s="242"/>
      <c r="N38" s="242"/>
      <c r="O38" s="241"/>
      <c r="P38" s="241"/>
      <c r="Q38" s="241"/>
      <c r="R38" s="242"/>
      <c r="S38" s="242"/>
      <c r="T38" s="241"/>
      <c r="U38" s="241"/>
      <c r="V38" s="241"/>
    </row>
    <row r="39" spans="2:22">
      <c r="B39" s="243">
        <v>2130</v>
      </c>
      <c r="C39" s="243"/>
      <c r="D39" s="241">
        <v>400</v>
      </c>
      <c r="E39" s="241">
        <v>474.47</v>
      </c>
      <c r="F39" s="241">
        <v>710.85</v>
      </c>
      <c r="G39" s="241">
        <v>1464.36</v>
      </c>
      <c r="H39" s="242"/>
      <c r="I39" s="242"/>
      <c r="J39" s="241"/>
      <c r="K39" s="241"/>
      <c r="L39" s="241"/>
      <c r="M39" s="242"/>
      <c r="N39" s="242"/>
      <c r="O39" s="241"/>
      <c r="P39" s="241"/>
      <c r="Q39" s="241"/>
      <c r="R39" s="242"/>
      <c r="S39" s="242"/>
      <c r="T39" s="241"/>
      <c r="U39" s="241"/>
      <c r="V39" s="241"/>
    </row>
    <row r="40" spans="2:22">
      <c r="B40" s="245">
        <v>2140</v>
      </c>
      <c r="C40" s="245"/>
      <c r="D40" s="244">
        <v>400</v>
      </c>
      <c r="E40" s="244">
        <v>467.91</v>
      </c>
      <c r="F40" s="244">
        <v>732.78</v>
      </c>
      <c r="G40" s="244">
        <v>1589.49</v>
      </c>
      <c r="H40" s="242"/>
      <c r="I40" s="242"/>
      <c r="J40" s="241"/>
      <c r="K40" s="241"/>
      <c r="L40" s="241"/>
      <c r="M40" s="242"/>
      <c r="N40" s="242"/>
      <c r="O40" s="241"/>
      <c r="P40" s="241"/>
      <c r="Q40" s="241"/>
      <c r="R40" s="242"/>
      <c r="S40" s="242"/>
      <c r="T40" s="241"/>
      <c r="U40" s="241"/>
      <c r="V40" s="241"/>
    </row>
    <row r="41" spans="2:22">
      <c r="B41" s="243">
        <v>2150</v>
      </c>
      <c r="C41" s="243"/>
      <c r="D41" s="241">
        <v>400</v>
      </c>
      <c r="E41" s="241">
        <v>461.35</v>
      </c>
      <c r="F41" s="241">
        <v>754.71</v>
      </c>
      <c r="G41" s="241">
        <v>1714.62</v>
      </c>
      <c r="H41" s="242"/>
      <c r="I41" s="242"/>
      <c r="J41" s="241"/>
      <c r="K41" s="241"/>
      <c r="L41" s="241"/>
      <c r="M41" s="242"/>
      <c r="N41" s="242"/>
      <c r="O41" s="241"/>
      <c r="P41" s="241"/>
      <c r="Q41" s="241"/>
      <c r="R41" s="242"/>
      <c r="S41" s="242"/>
      <c r="T41" s="241"/>
      <c r="U41" s="241"/>
      <c r="V41" s="241"/>
    </row>
    <row r="42" spans="2:22">
      <c r="B42" s="243"/>
      <c r="C42" s="243"/>
      <c r="D42" s="241"/>
      <c r="E42" s="241"/>
      <c r="F42" s="241"/>
      <c r="G42" s="241"/>
      <c r="H42" s="242"/>
      <c r="I42" s="242"/>
      <c r="J42" s="241"/>
      <c r="K42" s="241"/>
      <c r="L42" s="241"/>
      <c r="M42" s="242"/>
      <c r="N42" s="242"/>
      <c r="O42" s="241"/>
      <c r="P42" s="241"/>
      <c r="Q42" s="241"/>
      <c r="R42" s="242"/>
      <c r="S42" s="242"/>
      <c r="T42" s="241"/>
      <c r="U42" s="241"/>
      <c r="V42" s="241"/>
    </row>
    <row r="43" spans="2:22">
      <c r="B43" s="240" t="s">
        <v>118</v>
      </c>
      <c r="C43" s="240"/>
      <c r="D43" s="239"/>
      <c r="E43" s="239"/>
      <c r="F43" s="239"/>
      <c r="G43" s="239"/>
      <c r="H43" s="239"/>
      <c r="I43" s="239"/>
      <c r="J43" s="239"/>
      <c r="K43" s="239"/>
      <c r="L43" s="239"/>
      <c r="M43" s="239"/>
      <c r="N43" s="239"/>
      <c r="O43" s="239"/>
      <c r="P43" s="239"/>
      <c r="Q43" s="239"/>
      <c r="R43" s="239"/>
      <c r="S43" s="239"/>
      <c r="T43" s="239"/>
      <c r="U43" s="239"/>
      <c r="V43" s="239"/>
    </row>
    <row r="44" spans="2:22">
      <c r="B44" s="239"/>
      <c r="C44" s="239"/>
      <c r="D44" s="239"/>
      <c r="E44" s="239"/>
      <c r="F44" s="239"/>
      <c r="G44" s="239"/>
      <c r="H44" s="239"/>
      <c r="I44" s="239"/>
      <c r="J44" s="239"/>
      <c r="K44" s="239"/>
      <c r="L44" s="239"/>
      <c r="M44" s="239"/>
      <c r="N44" s="239"/>
      <c r="O44" s="239"/>
      <c r="P44" s="239"/>
      <c r="Q44" s="239"/>
      <c r="R44" s="239"/>
      <c r="S44" s="239"/>
      <c r="T44" s="239"/>
      <c r="U44" s="239"/>
      <c r="V44" s="239"/>
    </row>
    <row r="45" spans="2:22">
      <c r="B45" s="187" t="s">
        <v>119</v>
      </c>
      <c r="C45" s="238"/>
      <c r="D45" s="238"/>
      <c r="E45" s="238"/>
      <c r="F45" s="238"/>
      <c r="G45" s="238"/>
      <c r="H45" s="238"/>
      <c r="I45" s="238"/>
      <c r="J45" s="238"/>
      <c r="K45" s="238"/>
      <c r="L45" s="238"/>
      <c r="M45" s="238"/>
      <c r="N45" s="238"/>
      <c r="O45" s="238"/>
      <c r="P45" s="238"/>
      <c r="Q45" s="238"/>
      <c r="R45" s="238"/>
      <c r="S45" s="238"/>
      <c r="T45" s="238"/>
      <c r="U45" s="238"/>
      <c r="V45" s="238"/>
    </row>
    <row r="46" spans="2:22" ht="15.75">
      <c r="B46" s="233" t="s">
        <v>120</v>
      </c>
      <c r="C46" s="187"/>
      <c r="D46" s="187"/>
      <c r="E46" s="187"/>
      <c r="F46" s="187"/>
      <c r="G46" s="187"/>
      <c r="H46" s="187"/>
      <c r="I46" s="187"/>
      <c r="J46" s="187"/>
      <c r="K46" s="187"/>
      <c r="L46" s="187"/>
      <c r="M46" s="187"/>
      <c r="N46" s="187"/>
      <c r="O46" s="187"/>
      <c r="P46" s="187"/>
      <c r="Q46" s="187"/>
      <c r="R46" s="187"/>
      <c r="S46" s="187"/>
      <c r="T46" s="187"/>
      <c r="U46" s="187"/>
      <c r="V46" s="187"/>
    </row>
    <row r="47" spans="2:22">
      <c r="B47" s="187" t="s">
        <v>121</v>
      </c>
      <c r="C47" s="187"/>
      <c r="D47" s="187"/>
      <c r="E47" s="187"/>
      <c r="F47" s="187"/>
      <c r="G47" s="187"/>
      <c r="H47" s="187"/>
      <c r="I47" s="187"/>
      <c r="J47" s="187"/>
      <c r="K47" s="187"/>
      <c r="L47" s="187"/>
      <c r="M47" s="187"/>
      <c r="N47" s="187"/>
      <c r="O47" s="187"/>
      <c r="P47" s="187"/>
      <c r="Q47" s="187"/>
      <c r="R47" s="187"/>
      <c r="S47" s="187"/>
      <c r="T47" s="187"/>
      <c r="U47" s="187"/>
      <c r="V47" s="187"/>
    </row>
    <row r="48" spans="2:22">
      <c r="B48" s="187"/>
      <c r="C48" s="187"/>
      <c r="D48" s="187"/>
      <c r="E48" s="187"/>
      <c r="F48" s="187"/>
      <c r="G48" s="187"/>
      <c r="H48" s="187"/>
      <c r="I48" s="187"/>
      <c r="J48" s="187"/>
      <c r="K48" s="187"/>
      <c r="L48" s="187"/>
      <c r="M48" s="187"/>
      <c r="N48" s="187"/>
      <c r="O48" s="187"/>
      <c r="P48" s="187"/>
      <c r="Q48" s="187"/>
      <c r="R48" s="187"/>
      <c r="S48" s="187"/>
      <c r="T48" s="187"/>
      <c r="U48" s="187"/>
      <c r="V48" s="187"/>
    </row>
    <row r="49" spans="2:25" ht="15.75">
      <c r="B49" s="233" t="s">
        <v>122</v>
      </c>
      <c r="C49" s="187"/>
      <c r="D49" s="187"/>
      <c r="E49" s="187"/>
      <c r="F49" s="187"/>
      <c r="G49" s="187"/>
      <c r="H49" s="187"/>
      <c r="I49" s="187"/>
      <c r="J49" s="187"/>
      <c r="K49" s="187"/>
      <c r="L49" s="187"/>
      <c r="M49" s="187"/>
      <c r="N49" s="187"/>
      <c r="O49" s="187"/>
      <c r="P49" s="187"/>
      <c r="Q49" s="187"/>
      <c r="R49" s="187"/>
      <c r="S49" s="187"/>
      <c r="T49" s="187"/>
      <c r="U49" s="187"/>
      <c r="V49" s="187"/>
    </row>
    <row r="50" spans="2:25">
      <c r="B50" s="187" t="s">
        <v>123</v>
      </c>
      <c r="C50" s="187"/>
      <c r="D50" s="187"/>
      <c r="E50" s="187"/>
      <c r="F50" s="187"/>
      <c r="G50" s="187"/>
      <c r="H50" s="187"/>
      <c r="I50" s="187"/>
      <c r="J50" s="187"/>
      <c r="K50" s="187"/>
      <c r="L50" s="187"/>
      <c r="M50" s="187"/>
      <c r="N50" s="187"/>
      <c r="O50" s="187"/>
      <c r="P50" s="187"/>
      <c r="Q50" s="187"/>
      <c r="R50" s="187"/>
      <c r="S50" s="187"/>
      <c r="T50" s="187"/>
      <c r="U50" s="187"/>
      <c r="V50" s="187"/>
    </row>
    <row r="51" spans="2:25">
      <c r="B51" s="187" t="s">
        <v>124</v>
      </c>
      <c r="C51" s="187"/>
      <c r="D51" s="187"/>
      <c r="E51" s="187"/>
      <c r="F51" s="187"/>
      <c r="G51" s="187"/>
      <c r="H51" s="187"/>
      <c r="I51" s="187"/>
      <c r="J51" s="187"/>
      <c r="K51" s="187"/>
      <c r="L51" s="187"/>
      <c r="M51" s="187"/>
      <c r="N51" s="187"/>
      <c r="O51" s="187"/>
      <c r="P51" s="187"/>
      <c r="Q51" s="187"/>
      <c r="R51" s="187"/>
      <c r="S51" s="187"/>
      <c r="T51" s="187"/>
      <c r="U51" s="187"/>
      <c r="V51" s="187"/>
    </row>
    <row r="52" spans="2:25">
      <c r="B52" s="187" t="s">
        <v>125</v>
      </c>
      <c r="C52" s="187"/>
      <c r="D52" s="187"/>
      <c r="E52" s="187"/>
      <c r="F52" s="187"/>
      <c r="G52" s="187"/>
      <c r="H52" s="187"/>
      <c r="I52" s="187"/>
      <c r="J52" s="187"/>
      <c r="K52" s="187"/>
      <c r="L52" s="187"/>
      <c r="M52" s="187"/>
      <c r="N52" s="187"/>
      <c r="O52" s="187"/>
      <c r="P52" s="187"/>
      <c r="Q52" s="187"/>
      <c r="R52" s="187"/>
      <c r="S52" s="187"/>
      <c r="T52" s="187"/>
      <c r="U52" s="187"/>
      <c r="V52" s="187"/>
    </row>
    <row r="53" spans="2:25">
      <c r="B53" s="187" t="s">
        <v>126</v>
      </c>
      <c r="C53" s="187"/>
      <c r="D53" s="187"/>
      <c r="E53" s="187"/>
      <c r="F53" s="187"/>
      <c r="G53" s="187"/>
      <c r="H53" s="187"/>
      <c r="I53" s="187"/>
      <c r="J53" s="187"/>
      <c r="K53" s="187"/>
      <c r="L53" s="187"/>
      <c r="M53" s="187"/>
      <c r="N53" s="187"/>
      <c r="O53" s="187"/>
      <c r="P53" s="187"/>
      <c r="Q53" s="187"/>
      <c r="R53" s="187"/>
      <c r="S53" s="187"/>
      <c r="T53" s="187"/>
      <c r="U53" s="187"/>
      <c r="V53" s="187"/>
    </row>
    <row r="54" spans="2:25">
      <c r="B54" s="187" t="s">
        <v>127</v>
      </c>
      <c r="C54" s="187"/>
      <c r="D54" s="187"/>
      <c r="E54" s="187"/>
      <c r="F54" s="187"/>
      <c r="G54" s="187"/>
      <c r="H54" s="187"/>
      <c r="I54" s="187"/>
      <c r="J54" s="187"/>
      <c r="K54" s="187"/>
      <c r="L54" s="187"/>
      <c r="M54" s="187"/>
      <c r="N54" s="187"/>
      <c r="O54" s="187"/>
      <c r="P54" s="187"/>
      <c r="Q54" s="187"/>
      <c r="R54" s="187"/>
      <c r="S54" s="187"/>
      <c r="T54" s="187"/>
      <c r="U54" s="187"/>
      <c r="V54" s="187"/>
    </row>
    <row r="55" spans="2:25">
      <c r="B55" s="187" t="s">
        <v>128</v>
      </c>
      <c r="C55" s="187"/>
      <c r="D55" s="187"/>
      <c r="E55" s="187"/>
      <c r="F55" s="187"/>
      <c r="G55" s="187"/>
      <c r="H55" s="187"/>
      <c r="I55" s="187"/>
      <c r="J55" s="187"/>
      <c r="K55" s="187"/>
      <c r="L55" s="187"/>
      <c r="M55" s="187"/>
      <c r="N55" s="187"/>
      <c r="O55" s="187"/>
      <c r="P55" s="187"/>
      <c r="Q55" s="187"/>
      <c r="R55" s="187"/>
      <c r="S55" s="187"/>
      <c r="T55" s="187"/>
      <c r="U55" s="187"/>
      <c r="V55" s="187"/>
    </row>
    <row r="56" spans="2:25">
      <c r="B56" s="187" t="s">
        <v>129</v>
      </c>
      <c r="C56" s="187"/>
      <c r="D56" s="187"/>
      <c r="E56" s="187"/>
      <c r="F56" s="187"/>
      <c r="G56" s="187"/>
      <c r="H56" s="187"/>
      <c r="I56" s="187"/>
      <c r="J56" s="187"/>
      <c r="K56" s="187"/>
      <c r="L56" s="187"/>
      <c r="M56" s="187"/>
      <c r="N56" s="187"/>
      <c r="O56" s="187"/>
      <c r="P56" s="187"/>
      <c r="Q56" s="187"/>
      <c r="R56" s="187"/>
      <c r="S56" s="187"/>
      <c r="T56" s="187"/>
      <c r="U56" s="187"/>
      <c r="V56" s="187"/>
    </row>
    <row r="57" spans="2:25">
      <c r="B57" s="187" t="s">
        <v>130</v>
      </c>
      <c r="C57" s="187"/>
      <c r="D57" s="187"/>
      <c r="E57" s="187"/>
      <c r="F57" s="187"/>
      <c r="G57" s="187"/>
      <c r="H57" s="187"/>
      <c r="I57" s="187"/>
      <c r="J57" s="187"/>
      <c r="K57" s="187"/>
      <c r="L57" s="187"/>
      <c r="M57" s="187"/>
      <c r="N57" s="187"/>
      <c r="O57" s="187"/>
      <c r="P57" s="187"/>
      <c r="Q57" s="187"/>
      <c r="R57" s="187"/>
      <c r="S57" s="187"/>
      <c r="T57" s="187"/>
      <c r="U57" s="187"/>
      <c r="V57" s="187"/>
    </row>
    <row r="58" spans="2:25">
      <c r="B58" s="187" t="s">
        <v>131</v>
      </c>
      <c r="C58" s="187"/>
      <c r="D58" s="187"/>
      <c r="E58" s="187"/>
      <c r="F58" s="187"/>
      <c r="G58" s="187"/>
      <c r="H58" s="187"/>
      <c r="I58" s="187"/>
      <c r="J58" s="187"/>
      <c r="K58" s="187"/>
      <c r="L58" s="187"/>
      <c r="M58" s="187"/>
      <c r="N58" s="187"/>
      <c r="O58" s="187"/>
      <c r="P58" s="187"/>
      <c r="Q58" s="187"/>
      <c r="R58" s="187"/>
      <c r="S58" s="187"/>
      <c r="T58" s="187"/>
      <c r="U58" s="187"/>
      <c r="V58" s="187"/>
    </row>
    <row r="59" spans="2:25">
      <c r="B59" s="187" t="s">
        <v>132</v>
      </c>
      <c r="C59" s="187"/>
      <c r="D59" s="187"/>
      <c r="E59" s="187"/>
      <c r="F59" s="187"/>
      <c r="G59" s="187"/>
      <c r="H59" s="187"/>
      <c r="I59" s="187"/>
      <c r="J59" s="187"/>
      <c r="K59" s="187"/>
      <c r="L59" s="187"/>
      <c r="M59" s="187"/>
      <c r="N59" s="187"/>
      <c r="O59" s="187"/>
      <c r="P59" s="187"/>
      <c r="Q59" s="187"/>
      <c r="R59" s="187"/>
      <c r="S59" s="187"/>
      <c r="T59" s="187"/>
      <c r="U59" s="187"/>
      <c r="V59" s="187"/>
    </row>
    <row r="60" spans="2:25">
      <c r="B60" s="187" t="s">
        <v>133</v>
      </c>
      <c r="C60" s="187"/>
      <c r="D60" s="187"/>
      <c r="E60" s="187"/>
      <c r="F60" s="187"/>
      <c r="G60" s="187"/>
      <c r="H60" s="187"/>
      <c r="I60" s="187"/>
      <c r="J60" s="187"/>
      <c r="K60" s="187"/>
      <c r="L60" s="187"/>
      <c r="M60" s="187"/>
      <c r="N60" s="187"/>
      <c r="O60" s="187"/>
      <c r="P60" s="187"/>
      <c r="Q60" s="187"/>
      <c r="R60" s="187"/>
      <c r="S60" s="187"/>
      <c r="T60" s="187"/>
      <c r="U60" s="187"/>
      <c r="V60" s="187"/>
    </row>
    <row r="61" spans="2:25">
      <c r="B61" s="187"/>
      <c r="C61" s="187"/>
      <c r="D61" s="187"/>
      <c r="E61" s="187"/>
      <c r="F61" s="187"/>
      <c r="G61" s="187"/>
      <c r="H61" s="187"/>
      <c r="I61" s="187"/>
      <c r="J61" s="187"/>
      <c r="K61" s="187"/>
      <c r="L61" s="187"/>
      <c r="M61" s="187"/>
      <c r="N61" s="187"/>
      <c r="O61" s="187"/>
      <c r="P61" s="187"/>
      <c r="Q61" s="187"/>
      <c r="R61" s="187"/>
      <c r="S61" s="187"/>
      <c r="T61" s="187"/>
      <c r="U61" s="187"/>
      <c r="V61" s="187"/>
    </row>
    <row r="62" spans="2:25" ht="15.75">
      <c r="B62" s="233" t="s">
        <v>134</v>
      </c>
      <c r="C62" s="187"/>
      <c r="D62" s="187"/>
      <c r="E62" s="187"/>
      <c r="F62" s="187"/>
      <c r="G62" s="187"/>
      <c r="H62" s="187"/>
      <c r="I62" s="187"/>
      <c r="J62" s="187"/>
      <c r="K62" s="187"/>
      <c r="L62" s="187"/>
      <c r="M62" s="187"/>
      <c r="N62" s="187"/>
      <c r="O62" s="187"/>
      <c r="P62" s="187"/>
      <c r="Q62" s="187"/>
      <c r="R62" s="187"/>
      <c r="S62" s="187"/>
      <c r="T62" s="187"/>
      <c r="U62" s="187"/>
      <c r="V62" s="187"/>
    </row>
    <row r="63" spans="2:25" ht="15" customHeight="1">
      <c r="B63" s="569" t="s">
        <v>135</v>
      </c>
      <c r="C63" s="569"/>
      <c r="D63" s="569"/>
      <c r="E63" s="569"/>
      <c r="F63" s="569"/>
      <c r="G63" s="569"/>
      <c r="H63" s="569"/>
      <c r="I63" s="569"/>
      <c r="J63" s="569"/>
      <c r="K63" s="569"/>
      <c r="L63" s="569"/>
      <c r="M63" s="569"/>
      <c r="N63" s="569"/>
      <c r="O63" s="569"/>
      <c r="P63" s="569"/>
      <c r="Q63" s="569"/>
      <c r="R63" s="569"/>
      <c r="S63" s="569"/>
      <c r="T63" s="569"/>
      <c r="U63" s="569"/>
      <c r="V63" s="569"/>
      <c r="W63" s="234"/>
      <c r="X63" s="234"/>
      <c r="Y63" s="234"/>
    </row>
    <row r="64" spans="2:25">
      <c r="B64" s="569"/>
      <c r="C64" s="569"/>
      <c r="D64" s="569"/>
      <c r="E64" s="569"/>
      <c r="F64" s="569"/>
      <c r="G64" s="569"/>
      <c r="H64" s="569"/>
      <c r="I64" s="569"/>
      <c r="J64" s="569"/>
      <c r="K64" s="569"/>
      <c r="L64" s="569"/>
      <c r="M64" s="569"/>
      <c r="N64" s="569"/>
      <c r="O64" s="569"/>
      <c r="P64" s="569"/>
      <c r="Q64" s="569"/>
      <c r="R64" s="569"/>
      <c r="S64" s="569"/>
      <c r="T64" s="569"/>
      <c r="U64" s="569"/>
      <c r="V64" s="569"/>
      <c r="W64" s="234"/>
      <c r="X64" s="234"/>
      <c r="Y64" s="234"/>
    </row>
    <row r="65" spans="2:25">
      <c r="B65" s="569"/>
      <c r="C65" s="569"/>
      <c r="D65" s="569"/>
      <c r="E65" s="569"/>
      <c r="F65" s="569"/>
      <c r="G65" s="569"/>
      <c r="H65" s="569"/>
      <c r="I65" s="569"/>
      <c r="J65" s="569"/>
      <c r="K65" s="569"/>
      <c r="L65" s="569"/>
      <c r="M65" s="569"/>
      <c r="N65" s="569"/>
      <c r="O65" s="569"/>
      <c r="P65" s="569"/>
      <c r="Q65" s="569"/>
      <c r="R65" s="569"/>
      <c r="S65" s="569"/>
      <c r="T65" s="569"/>
      <c r="U65" s="569"/>
      <c r="V65" s="569"/>
      <c r="W65" s="234"/>
      <c r="X65" s="234"/>
      <c r="Y65" s="234"/>
    </row>
    <row r="66" spans="2:25">
      <c r="B66" s="569"/>
      <c r="C66" s="569"/>
      <c r="D66" s="569"/>
      <c r="E66" s="569"/>
      <c r="F66" s="569"/>
      <c r="G66" s="569"/>
      <c r="H66" s="569"/>
      <c r="I66" s="569"/>
      <c r="J66" s="569"/>
      <c r="K66" s="569"/>
      <c r="L66" s="569"/>
      <c r="M66" s="569"/>
      <c r="N66" s="569"/>
      <c r="O66" s="569"/>
      <c r="P66" s="569"/>
      <c r="Q66" s="569"/>
      <c r="R66" s="569"/>
      <c r="S66" s="569"/>
      <c r="T66" s="569"/>
      <c r="U66" s="569"/>
      <c r="V66" s="569"/>
      <c r="W66" s="234"/>
      <c r="X66" s="234"/>
      <c r="Y66" s="234"/>
    </row>
    <row r="67" spans="2:25">
      <c r="B67" s="569"/>
      <c r="C67" s="569"/>
      <c r="D67" s="569"/>
      <c r="E67" s="569"/>
      <c r="F67" s="569"/>
      <c r="G67" s="569"/>
      <c r="H67" s="569"/>
      <c r="I67" s="569"/>
      <c r="J67" s="569"/>
      <c r="K67" s="569"/>
      <c r="L67" s="569"/>
      <c r="M67" s="569"/>
      <c r="N67" s="569"/>
      <c r="O67" s="569"/>
      <c r="P67" s="569"/>
      <c r="Q67" s="569"/>
      <c r="R67" s="569"/>
      <c r="S67" s="569"/>
      <c r="T67" s="569"/>
      <c r="U67" s="569"/>
      <c r="V67" s="569"/>
      <c r="W67" s="234"/>
      <c r="X67" s="234"/>
      <c r="Y67" s="234"/>
    </row>
    <row r="68" spans="2:25">
      <c r="B68" s="569"/>
      <c r="C68" s="569"/>
      <c r="D68" s="569"/>
      <c r="E68" s="569"/>
      <c r="F68" s="569"/>
      <c r="G68" s="569"/>
      <c r="H68" s="569"/>
      <c r="I68" s="569"/>
      <c r="J68" s="569"/>
      <c r="K68" s="569"/>
      <c r="L68" s="569"/>
      <c r="M68" s="569"/>
      <c r="N68" s="569"/>
      <c r="O68" s="569"/>
      <c r="P68" s="569"/>
      <c r="Q68" s="569"/>
      <c r="R68" s="569"/>
      <c r="S68" s="569"/>
      <c r="T68" s="569"/>
      <c r="U68" s="569"/>
      <c r="V68" s="569"/>
      <c r="W68" s="234"/>
      <c r="X68" s="234"/>
      <c r="Y68" s="234"/>
    </row>
    <row r="69" spans="2:25">
      <c r="B69" s="236"/>
      <c r="C69" s="236"/>
      <c r="D69" s="236"/>
      <c r="E69" s="236"/>
      <c r="F69" s="236"/>
      <c r="G69" s="236"/>
      <c r="H69" s="236"/>
      <c r="I69" s="236"/>
      <c r="J69" s="236"/>
      <c r="K69" s="236"/>
      <c r="L69" s="236"/>
      <c r="M69" s="236"/>
      <c r="N69" s="236"/>
      <c r="O69" s="236"/>
      <c r="P69" s="236"/>
      <c r="Q69" s="236"/>
      <c r="R69" s="236"/>
      <c r="S69" s="236"/>
      <c r="T69" s="236"/>
      <c r="U69" s="236"/>
      <c r="V69" s="236"/>
    </row>
    <row r="70" spans="2:25" ht="15.75">
      <c r="B70" s="233" t="s">
        <v>136</v>
      </c>
      <c r="C70" s="187"/>
      <c r="D70" s="187"/>
      <c r="E70" s="187"/>
      <c r="F70" s="187"/>
      <c r="G70" s="187"/>
      <c r="H70" s="187"/>
      <c r="I70" s="187"/>
      <c r="J70" s="187"/>
      <c r="K70" s="187"/>
      <c r="L70" s="187"/>
      <c r="M70" s="187"/>
      <c r="N70" s="187"/>
      <c r="O70" s="187"/>
      <c r="P70" s="187"/>
      <c r="Q70" s="187"/>
      <c r="R70" s="187"/>
      <c r="S70" s="187"/>
      <c r="T70" s="187"/>
      <c r="U70" s="187"/>
      <c r="V70" s="187"/>
    </row>
    <row r="71" spans="2:25">
      <c r="B71" s="187" t="s">
        <v>137</v>
      </c>
      <c r="C71" s="187"/>
      <c r="D71" s="187"/>
      <c r="E71" s="187"/>
      <c r="F71" s="187"/>
      <c r="G71" s="187"/>
      <c r="H71" s="187"/>
      <c r="I71" s="187"/>
      <c r="J71" s="187"/>
      <c r="K71" s="187"/>
      <c r="L71" s="187"/>
      <c r="M71" s="187"/>
      <c r="N71" s="187"/>
      <c r="O71" s="187"/>
      <c r="P71" s="187"/>
      <c r="Q71" s="187"/>
      <c r="R71" s="187"/>
      <c r="S71" s="187"/>
      <c r="T71" s="187"/>
      <c r="U71" s="187"/>
      <c r="V71" s="187"/>
    </row>
    <row r="72" spans="2:25">
      <c r="B72" s="187"/>
      <c r="C72" s="187"/>
      <c r="D72" s="187"/>
      <c r="E72" s="187"/>
      <c r="F72" s="187"/>
      <c r="G72" s="187"/>
      <c r="H72" s="187"/>
      <c r="I72" s="187"/>
      <c r="J72" s="187"/>
      <c r="K72" s="187"/>
      <c r="L72" s="187"/>
      <c r="M72" s="187"/>
      <c r="N72" s="187"/>
      <c r="O72" s="187"/>
      <c r="P72" s="187"/>
      <c r="Q72" s="187"/>
      <c r="R72" s="187"/>
      <c r="S72" s="187"/>
      <c r="T72" s="187"/>
      <c r="U72" s="187"/>
      <c r="V72" s="187"/>
    </row>
    <row r="73" spans="2:25">
      <c r="B73" s="236" t="s">
        <v>138</v>
      </c>
      <c r="C73" s="187"/>
      <c r="D73" s="187"/>
      <c r="E73" s="187"/>
      <c r="F73" s="187"/>
      <c r="G73" s="187"/>
      <c r="H73" s="187"/>
      <c r="I73" s="187"/>
      <c r="J73" s="187"/>
      <c r="K73" s="187"/>
      <c r="L73" s="187"/>
      <c r="M73" s="187"/>
      <c r="N73" s="187"/>
      <c r="O73" s="187"/>
      <c r="P73" s="187"/>
      <c r="Q73" s="187"/>
      <c r="R73" s="187"/>
      <c r="S73" s="187"/>
      <c r="T73" s="187"/>
      <c r="U73" s="187"/>
      <c r="V73" s="187"/>
    </row>
    <row r="74" spans="2:25" ht="15" customHeight="1">
      <c r="B74" s="569" t="s">
        <v>139</v>
      </c>
      <c r="C74" s="569"/>
      <c r="D74" s="569"/>
      <c r="E74" s="569"/>
      <c r="F74" s="569"/>
      <c r="G74" s="569"/>
      <c r="H74" s="569"/>
      <c r="I74" s="569"/>
      <c r="J74" s="569"/>
      <c r="K74" s="569"/>
      <c r="L74" s="569"/>
      <c r="M74" s="569"/>
      <c r="N74" s="569"/>
      <c r="O74" s="569"/>
      <c r="P74" s="569"/>
      <c r="Q74" s="569"/>
      <c r="R74" s="569"/>
      <c r="S74" s="569"/>
      <c r="T74" s="569"/>
      <c r="U74" s="569"/>
      <c r="V74" s="569"/>
      <c r="W74" s="234"/>
      <c r="X74" s="234"/>
      <c r="Y74" s="234"/>
    </row>
    <row r="75" spans="2:25">
      <c r="B75" s="569"/>
      <c r="C75" s="569"/>
      <c r="D75" s="569"/>
      <c r="E75" s="569"/>
      <c r="F75" s="569"/>
      <c r="G75" s="569"/>
      <c r="H75" s="569"/>
      <c r="I75" s="569"/>
      <c r="J75" s="569"/>
      <c r="K75" s="569"/>
      <c r="L75" s="569"/>
      <c r="M75" s="569"/>
      <c r="N75" s="569"/>
      <c r="O75" s="569"/>
      <c r="P75" s="569"/>
      <c r="Q75" s="569"/>
      <c r="R75" s="569"/>
      <c r="S75" s="569"/>
      <c r="T75" s="569"/>
      <c r="U75" s="569"/>
      <c r="V75" s="569"/>
      <c r="W75" s="234"/>
      <c r="X75" s="234"/>
      <c r="Y75" s="234"/>
    </row>
    <row r="76" spans="2:25">
      <c r="B76" s="569"/>
      <c r="C76" s="569"/>
      <c r="D76" s="569"/>
      <c r="E76" s="569"/>
      <c r="F76" s="569"/>
      <c r="G76" s="569"/>
      <c r="H76" s="569"/>
      <c r="I76" s="569"/>
      <c r="J76" s="569"/>
      <c r="K76" s="569"/>
      <c r="L76" s="569"/>
      <c r="M76" s="569"/>
      <c r="N76" s="569"/>
      <c r="O76" s="569"/>
      <c r="P76" s="569"/>
      <c r="Q76" s="569"/>
      <c r="R76" s="569"/>
      <c r="S76" s="569"/>
      <c r="T76" s="569"/>
      <c r="U76" s="569"/>
      <c r="V76" s="569"/>
      <c r="W76" s="234"/>
      <c r="X76" s="234"/>
      <c r="Y76" s="234"/>
    </row>
    <row r="77" spans="2:25">
      <c r="B77" s="569"/>
      <c r="C77" s="569"/>
      <c r="D77" s="569"/>
      <c r="E77" s="569"/>
      <c r="F77" s="569"/>
      <c r="G77" s="569"/>
      <c r="H77" s="569"/>
      <c r="I77" s="569"/>
      <c r="J77" s="569"/>
      <c r="K77" s="569"/>
      <c r="L77" s="569"/>
      <c r="M77" s="569"/>
      <c r="N77" s="569"/>
      <c r="O77" s="569"/>
      <c r="P77" s="569"/>
      <c r="Q77" s="569"/>
      <c r="R77" s="569"/>
      <c r="S77" s="569"/>
      <c r="T77" s="569"/>
      <c r="U77" s="569"/>
      <c r="V77" s="569"/>
      <c r="W77" s="234"/>
      <c r="X77" s="234"/>
      <c r="Y77" s="234"/>
    </row>
    <row r="78" spans="2:25">
      <c r="B78" s="187"/>
      <c r="C78" s="237"/>
      <c r="D78" s="237"/>
      <c r="E78" s="237"/>
      <c r="F78" s="237"/>
      <c r="G78" s="237"/>
      <c r="H78" s="237"/>
      <c r="I78" s="237"/>
      <c r="J78" s="237"/>
      <c r="K78" s="237"/>
      <c r="L78" s="237"/>
      <c r="M78" s="237"/>
      <c r="N78" s="237"/>
      <c r="O78" s="237"/>
      <c r="P78" s="237"/>
      <c r="Q78" s="237"/>
      <c r="R78" s="237"/>
      <c r="S78" s="237"/>
      <c r="T78" s="237"/>
      <c r="U78" s="237"/>
      <c r="V78" s="237"/>
    </row>
    <row r="79" spans="2:25">
      <c r="B79" s="236" t="s">
        <v>140</v>
      </c>
      <c r="C79" s="187"/>
      <c r="D79" s="187"/>
      <c r="E79" s="187"/>
      <c r="F79" s="187"/>
      <c r="G79" s="187"/>
      <c r="H79" s="187"/>
      <c r="I79" s="187"/>
      <c r="J79" s="187"/>
      <c r="K79" s="187"/>
      <c r="L79" s="187"/>
      <c r="M79" s="187"/>
      <c r="N79" s="187"/>
      <c r="O79" s="187"/>
      <c r="P79" s="187"/>
      <c r="Q79" s="187"/>
      <c r="R79" s="187"/>
      <c r="S79" s="187"/>
      <c r="T79" s="187"/>
      <c r="U79" s="187"/>
      <c r="V79" s="187"/>
    </row>
    <row r="80" spans="2:25" ht="15" customHeight="1">
      <c r="B80" s="569" t="s">
        <v>141</v>
      </c>
      <c r="C80" s="569"/>
      <c r="D80" s="569"/>
      <c r="E80" s="569"/>
      <c r="F80" s="569"/>
      <c r="G80" s="569"/>
      <c r="H80" s="569"/>
      <c r="I80" s="569"/>
      <c r="J80" s="569"/>
      <c r="K80" s="569"/>
      <c r="L80" s="569"/>
      <c r="M80" s="569"/>
      <c r="N80" s="569"/>
      <c r="O80" s="569"/>
      <c r="P80" s="569"/>
      <c r="Q80" s="569"/>
      <c r="R80" s="569"/>
      <c r="S80" s="569"/>
      <c r="T80" s="569"/>
      <c r="U80" s="569"/>
      <c r="V80" s="569"/>
      <c r="W80" s="234"/>
      <c r="X80" s="234"/>
      <c r="Y80" s="234"/>
    </row>
    <row r="81" spans="2:25">
      <c r="B81" s="569"/>
      <c r="C81" s="569"/>
      <c r="D81" s="569"/>
      <c r="E81" s="569"/>
      <c r="F81" s="569"/>
      <c r="G81" s="569"/>
      <c r="H81" s="569"/>
      <c r="I81" s="569"/>
      <c r="J81" s="569"/>
      <c r="K81" s="569"/>
      <c r="L81" s="569"/>
      <c r="M81" s="569"/>
      <c r="N81" s="569"/>
      <c r="O81" s="569"/>
      <c r="P81" s="569"/>
      <c r="Q81" s="569"/>
      <c r="R81" s="569"/>
      <c r="S81" s="569"/>
      <c r="T81" s="569"/>
      <c r="U81" s="569"/>
      <c r="V81" s="569"/>
      <c r="W81" s="234"/>
      <c r="X81" s="234"/>
      <c r="Y81" s="234"/>
    </row>
    <row r="82" spans="2:25">
      <c r="B82" s="569"/>
      <c r="C82" s="569"/>
      <c r="D82" s="569"/>
      <c r="E82" s="569"/>
      <c r="F82" s="569"/>
      <c r="G82" s="569"/>
      <c r="H82" s="569"/>
      <c r="I82" s="569"/>
      <c r="J82" s="569"/>
      <c r="K82" s="569"/>
      <c r="L82" s="569"/>
      <c r="M82" s="569"/>
      <c r="N82" s="569"/>
      <c r="O82" s="569"/>
      <c r="P82" s="569"/>
      <c r="Q82" s="569"/>
      <c r="R82" s="569"/>
      <c r="S82" s="569"/>
      <c r="T82" s="569"/>
      <c r="U82" s="569"/>
      <c r="V82" s="569"/>
      <c r="W82" s="234"/>
      <c r="X82" s="234"/>
      <c r="Y82" s="234"/>
    </row>
    <row r="83" spans="2:25">
      <c r="B83" s="569"/>
      <c r="C83" s="569"/>
      <c r="D83" s="569"/>
      <c r="E83" s="569"/>
      <c r="F83" s="569"/>
      <c r="G83" s="569"/>
      <c r="H83" s="569"/>
      <c r="I83" s="569"/>
      <c r="J83" s="569"/>
      <c r="K83" s="569"/>
      <c r="L83" s="569"/>
      <c r="M83" s="569"/>
      <c r="N83" s="569"/>
      <c r="O83" s="569"/>
      <c r="P83" s="569"/>
      <c r="Q83" s="569"/>
      <c r="R83" s="569"/>
      <c r="S83" s="569"/>
      <c r="T83" s="569"/>
      <c r="U83" s="569"/>
      <c r="V83" s="569"/>
      <c r="W83" s="234"/>
      <c r="X83" s="234"/>
      <c r="Y83" s="234"/>
    </row>
    <row r="84" spans="2:25">
      <c r="B84" s="569"/>
      <c r="C84" s="569"/>
      <c r="D84" s="569"/>
      <c r="E84" s="569"/>
      <c r="F84" s="569"/>
      <c r="G84" s="569"/>
      <c r="H84" s="569"/>
      <c r="I84" s="569"/>
      <c r="J84" s="569"/>
      <c r="K84" s="569"/>
      <c r="L84" s="569"/>
      <c r="M84" s="569"/>
      <c r="N84" s="569"/>
      <c r="O84" s="569"/>
      <c r="P84" s="569"/>
      <c r="Q84" s="569"/>
      <c r="R84" s="569"/>
      <c r="S84" s="569"/>
      <c r="T84" s="569"/>
      <c r="U84" s="569"/>
      <c r="V84" s="569"/>
      <c r="W84" s="234"/>
      <c r="X84" s="234"/>
      <c r="Y84" s="234"/>
    </row>
    <row r="85" spans="2:25">
      <c r="B85" s="187"/>
      <c r="C85" s="237"/>
      <c r="D85" s="237"/>
      <c r="E85" s="237"/>
      <c r="F85" s="237"/>
      <c r="G85" s="237"/>
      <c r="H85" s="237"/>
      <c r="I85" s="237"/>
      <c r="J85" s="237"/>
      <c r="K85" s="237"/>
      <c r="L85" s="237"/>
      <c r="M85" s="237"/>
      <c r="N85" s="237"/>
      <c r="O85" s="237"/>
      <c r="P85" s="237"/>
      <c r="Q85" s="237"/>
      <c r="R85" s="237"/>
      <c r="S85" s="237"/>
      <c r="T85" s="237"/>
      <c r="U85" s="237"/>
      <c r="V85" s="237"/>
    </row>
    <row r="86" spans="2:25">
      <c r="B86" s="236" t="s">
        <v>142</v>
      </c>
      <c r="C86" s="187"/>
      <c r="D86" s="187"/>
      <c r="E86" s="187"/>
      <c r="F86" s="187"/>
      <c r="G86" s="187"/>
      <c r="H86" s="187"/>
      <c r="I86" s="187"/>
      <c r="J86" s="187"/>
      <c r="K86" s="187"/>
      <c r="L86" s="187"/>
      <c r="M86" s="187"/>
      <c r="N86" s="187"/>
      <c r="O86" s="187"/>
      <c r="P86" s="187"/>
      <c r="Q86" s="187"/>
      <c r="R86" s="187"/>
      <c r="S86" s="187"/>
      <c r="T86" s="187"/>
      <c r="U86" s="187"/>
      <c r="V86" s="187"/>
    </row>
    <row r="87" spans="2:25" ht="15" customHeight="1">
      <c r="B87" s="569" t="s">
        <v>143</v>
      </c>
      <c r="C87" s="569"/>
      <c r="D87" s="569"/>
      <c r="E87" s="569"/>
      <c r="F87" s="569"/>
      <c r="G87" s="569"/>
      <c r="H87" s="569"/>
      <c r="I87" s="569"/>
      <c r="J87" s="569"/>
      <c r="K87" s="569"/>
      <c r="L87" s="569"/>
      <c r="M87" s="569"/>
      <c r="N87" s="569"/>
      <c r="O87" s="569"/>
      <c r="P87" s="569"/>
      <c r="Q87" s="569"/>
      <c r="R87" s="569"/>
      <c r="S87" s="569"/>
      <c r="T87" s="569"/>
      <c r="U87" s="569"/>
      <c r="V87" s="569"/>
      <c r="W87" s="234"/>
      <c r="X87" s="234"/>
      <c r="Y87" s="234"/>
    </row>
    <row r="88" spans="2:25">
      <c r="B88" s="569"/>
      <c r="C88" s="569"/>
      <c r="D88" s="569"/>
      <c r="E88" s="569"/>
      <c r="F88" s="569"/>
      <c r="G88" s="569"/>
      <c r="H88" s="569"/>
      <c r="I88" s="569"/>
      <c r="J88" s="569"/>
      <c r="K88" s="569"/>
      <c r="L88" s="569"/>
      <c r="M88" s="569"/>
      <c r="N88" s="569"/>
      <c r="O88" s="569"/>
      <c r="P88" s="569"/>
      <c r="Q88" s="569"/>
      <c r="R88" s="569"/>
      <c r="S88" s="569"/>
      <c r="T88" s="569"/>
      <c r="U88" s="569"/>
      <c r="V88" s="569"/>
      <c r="W88" s="234"/>
      <c r="X88" s="234"/>
      <c r="Y88" s="234"/>
    </row>
    <row r="89" spans="2:25">
      <c r="B89" s="569"/>
      <c r="C89" s="569"/>
      <c r="D89" s="569"/>
      <c r="E89" s="569"/>
      <c r="F89" s="569"/>
      <c r="G89" s="569"/>
      <c r="H89" s="569"/>
      <c r="I89" s="569"/>
      <c r="J89" s="569"/>
      <c r="K89" s="569"/>
      <c r="L89" s="569"/>
      <c r="M89" s="569"/>
      <c r="N89" s="569"/>
      <c r="O89" s="569"/>
      <c r="P89" s="569"/>
      <c r="Q89" s="569"/>
      <c r="R89" s="569"/>
      <c r="S89" s="569"/>
      <c r="T89" s="569"/>
      <c r="U89" s="569"/>
      <c r="V89" s="569"/>
      <c r="W89" s="234"/>
      <c r="X89" s="234"/>
      <c r="Y89" s="234"/>
    </row>
    <row r="90" spans="2:25">
      <c r="B90" s="569"/>
      <c r="C90" s="569"/>
      <c r="D90" s="569"/>
      <c r="E90" s="569"/>
      <c r="F90" s="569"/>
      <c r="G90" s="569"/>
      <c r="H90" s="569"/>
      <c r="I90" s="569"/>
      <c r="J90" s="569"/>
      <c r="K90" s="569"/>
      <c r="L90" s="569"/>
      <c r="M90" s="569"/>
      <c r="N90" s="569"/>
      <c r="O90" s="569"/>
      <c r="P90" s="569"/>
      <c r="Q90" s="569"/>
      <c r="R90" s="569"/>
      <c r="S90" s="569"/>
      <c r="T90" s="569"/>
      <c r="U90" s="569"/>
      <c r="V90" s="569"/>
      <c r="W90" s="234"/>
      <c r="X90" s="234"/>
      <c r="Y90" s="234"/>
    </row>
    <row r="91" spans="2:25">
      <c r="B91" s="569"/>
      <c r="C91" s="569"/>
      <c r="D91" s="569"/>
      <c r="E91" s="569"/>
      <c r="F91" s="569"/>
      <c r="G91" s="569"/>
      <c r="H91" s="569"/>
      <c r="I91" s="569"/>
      <c r="J91" s="569"/>
      <c r="K91" s="569"/>
      <c r="L91" s="569"/>
      <c r="M91" s="569"/>
      <c r="N91" s="569"/>
      <c r="O91" s="569"/>
      <c r="P91" s="569"/>
      <c r="Q91" s="569"/>
      <c r="R91" s="569"/>
      <c r="S91" s="569"/>
      <c r="T91" s="569"/>
      <c r="U91" s="569"/>
      <c r="V91" s="569"/>
      <c r="W91" s="234"/>
      <c r="X91" s="234"/>
      <c r="Y91" s="234"/>
    </row>
    <row r="92" spans="2:25">
      <c r="B92" s="187"/>
      <c r="C92" s="237"/>
      <c r="D92" s="237"/>
      <c r="E92" s="237"/>
      <c r="F92" s="237"/>
      <c r="G92" s="237"/>
      <c r="H92" s="237"/>
      <c r="I92" s="237"/>
      <c r="J92" s="237"/>
      <c r="K92" s="237"/>
      <c r="L92" s="237"/>
      <c r="M92" s="237"/>
      <c r="N92" s="237"/>
      <c r="O92" s="237"/>
      <c r="P92" s="237"/>
      <c r="Q92" s="237"/>
      <c r="R92" s="237"/>
      <c r="S92" s="237"/>
      <c r="T92" s="237"/>
      <c r="U92" s="237"/>
      <c r="V92" s="237"/>
    </row>
    <row r="93" spans="2:25">
      <c r="B93" s="236" t="s">
        <v>144</v>
      </c>
      <c r="C93" s="187"/>
      <c r="D93" s="187"/>
      <c r="E93" s="187"/>
      <c r="F93" s="187"/>
      <c r="G93" s="187"/>
      <c r="H93" s="187"/>
      <c r="I93" s="187"/>
      <c r="J93" s="187"/>
      <c r="K93" s="187"/>
      <c r="L93" s="187"/>
      <c r="M93" s="187"/>
      <c r="N93" s="187"/>
      <c r="O93" s="187"/>
      <c r="P93" s="187"/>
      <c r="Q93" s="187"/>
      <c r="R93" s="187"/>
      <c r="S93" s="187"/>
      <c r="T93" s="187"/>
      <c r="U93" s="187"/>
      <c r="V93" s="187"/>
    </row>
    <row r="94" spans="2:25" ht="15" customHeight="1">
      <c r="B94" s="569" t="s">
        <v>145</v>
      </c>
      <c r="C94" s="569"/>
      <c r="D94" s="569"/>
      <c r="E94" s="569"/>
      <c r="F94" s="569"/>
      <c r="G94" s="569"/>
      <c r="H94" s="569"/>
      <c r="I94" s="569"/>
      <c r="J94" s="569"/>
      <c r="K94" s="569"/>
      <c r="L94" s="569"/>
      <c r="M94" s="569"/>
      <c r="N94" s="569"/>
      <c r="O94" s="569"/>
      <c r="P94" s="569"/>
      <c r="Q94" s="569"/>
      <c r="R94" s="569"/>
      <c r="S94" s="569"/>
      <c r="T94" s="569"/>
      <c r="U94" s="569"/>
      <c r="V94" s="569"/>
      <c r="W94" s="234"/>
      <c r="X94" s="234"/>
      <c r="Y94" s="234"/>
    </row>
    <row r="95" spans="2:25">
      <c r="B95" s="569"/>
      <c r="C95" s="569"/>
      <c r="D95" s="569"/>
      <c r="E95" s="569"/>
      <c r="F95" s="569"/>
      <c r="G95" s="569"/>
      <c r="H95" s="569"/>
      <c r="I95" s="569"/>
      <c r="J95" s="569"/>
      <c r="K95" s="569"/>
      <c r="L95" s="569"/>
      <c r="M95" s="569"/>
      <c r="N95" s="569"/>
      <c r="O95" s="569"/>
      <c r="P95" s="569"/>
      <c r="Q95" s="569"/>
      <c r="R95" s="569"/>
      <c r="S95" s="569"/>
      <c r="T95" s="569"/>
      <c r="U95" s="569"/>
      <c r="V95" s="569"/>
      <c r="W95" s="234"/>
      <c r="X95" s="234"/>
      <c r="Y95" s="234"/>
    </row>
    <row r="96" spans="2:25">
      <c r="B96" s="569"/>
      <c r="C96" s="569"/>
      <c r="D96" s="569"/>
      <c r="E96" s="569"/>
      <c r="F96" s="569"/>
      <c r="G96" s="569"/>
      <c r="H96" s="569"/>
      <c r="I96" s="569"/>
      <c r="J96" s="569"/>
      <c r="K96" s="569"/>
      <c r="L96" s="569"/>
      <c r="M96" s="569"/>
      <c r="N96" s="569"/>
      <c r="O96" s="569"/>
      <c r="P96" s="569"/>
      <c r="Q96" s="569"/>
      <c r="R96" s="569"/>
      <c r="S96" s="569"/>
      <c r="T96" s="569"/>
      <c r="U96" s="569"/>
      <c r="V96" s="569"/>
      <c r="W96" s="234"/>
      <c r="X96" s="234"/>
      <c r="Y96" s="234"/>
    </row>
    <row r="97" spans="2:25">
      <c r="B97" s="569"/>
      <c r="C97" s="569"/>
      <c r="D97" s="569"/>
      <c r="E97" s="569"/>
      <c r="F97" s="569"/>
      <c r="G97" s="569"/>
      <c r="H97" s="569"/>
      <c r="I97" s="569"/>
      <c r="J97" s="569"/>
      <c r="K97" s="569"/>
      <c r="L97" s="569"/>
      <c r="M97" s="569"/>
      <c r="N97" s="569"/>
      <c r="O97" s="569"/>
      <c r="P97" s="569"/>
      <c r="Q97" s="569"/>
      <c r="R97" s="569"/>
      <c r="S97" s="569"/>
      <c r="T97" s="569"/>
      <c r="U97" s="569"/>
      <c r="V97" s="569"/>
      <c r="W97" s="234"/>
      <c r="X97" s="234"/>
      <c r="Y97" s="234"/>
    </row>
    <row r="98" spans="2:25">
      <c r="B98" s="569"/>
      <c r="C98" s="569"/>
      <c r="D98" s="569"/>
      <c r="E98" s="569"/>
      <c r="F98" s="569"/>
      <c r="G98" s="569"/>
      <c r="H98" s="569"/>
      <c r="I98" s="569"/>
      <c r="J98" s="569"/>
      <c r="K98" s="569"/>
      <c r="L98" s="569"/>
      <c r="M98" s="569"/>
      <c r="N98" s="569"/>
      <c r="O98" s="569"/>
      <c r="P98" s="569"/>
      <c r="Q98" s="569"/>
      <c r="R98" s="569"/>
      <c r="S98" s="569"/>
      <c r="T98" s="569"/>
      <c r="U98" s="569"/>
      <c r="V98" s="569"/>
      <c r="W98" s="234"/>
      <c r="X98" s="234"/>
      <c r="Y98" s="234"/>
    </row>
    <row r="99" spans="2:25">
      <c r="B99" s="187"/>
      <c r="C99" s="187"/>
      <c r="D99" s="187"/>
      <c r="E99" s="187"/>
      <c r="F99" s="187"/>
      <c r="G99" s="187"/>
      <c r="H99" s="187"/>
      <c r="I99" s="187"/>
      <c r="J99" s="187"/>
      <c r="K99" s="187"/>
      <c r="L99" s="187"/>
      <c r="M99" s="187"/>
      <c r="N99" s="187"/>
      <c r="O99" s="187"/>
      <c r="P99" s="187"/>
      <c r="Q99" s="187"/>
      <c r="R99" s="187"/>
      <c r="S99" s="187"/>
      <c r="T99" s="187"/>
      <c r="U99" s="187"/>
      <c r="V99" s="187"/>
    </row>
    <row r="100" spans="2:25">
      <c r="B100" s="236" t="s">
        <v>146</v>
      </c>
      <c r="C100" s="187"/>
      <c r="D100" s="187"/>
      <c r="E100" s="187"/>
      <c r="F100" s="187"/>
      <c r="G100" s="187"/>
      <c r="H100" s="187"/>
      <c r="I100" s="187"/>
      <c r="J100" s="187"/>
      <c r="K100" s="187"/>
      <c r="L100" s="187"/>
      <c r="M100" s="187"/>
      <c r="N100" s="187"/>
      <c r="O100" s="187"/>
      <c r="P100" s="187"/>
      <c r="Q100" s="187"/>
      <c r="R100" s="187"/>
      <c r="S100" s="187"/>
      <c r="T100" s="187"/>
      <c r="U100" s="187"/>
      <c r="V100" s="187"/>
    </row>
    <row r="101" spans="2:25" ht="15" customHeight="1">
      <c r="B101" s="569" t="s">
        <v>147</v>
      </c>
      <c r="C101" s="569"/>
      <c r="D101" s="569"/>
      <c r="E101" s="569"/>
      <c r="F101" s="569"/>
      <c r="G101" s="569"/>
      <c r="H101" s="569"/>
      <c r="I101" s="569"/>
      <c r="J101" s="569"/>
      <c r="K101" s="569"/>
      <c r="L101" s="569"/>
      <c r="M101" s="569"/>
      <c r="N101" s="569"/>
      <c r="O101" s="569"/>
      <c r="P101" s="569"/>
      <c r="Q101" s="569"/>
      <c r="R101" s="569"/>
      <c r="S101" s="569"/>
      <c r="T101" s="569"/>
      <c r="U101" s="569"/>
      <c r="V101" s="569"/>
      <c r="W101" s="234"/>
      <c r="X101" s="234"/>
      <c r="Y101" s="234"/>
    </row>
    <row r="102" spans="2:25">
      <c r="B102" s="569"/>
      <c r="C102" s="569"/>
      <c r="D102" s="569"/>
      <c r="E102" s="569"/>
      <c r="F102" s="569"/>
      <c r="G102" s="569"/>
      <c r="H102" s="569"/>
      <c r="I102" s="569"/>
      <c r="J102" s="569"/>
      <c r="K102" s="569"/>
      <c r="L102" s="569"/>
      <c r="M102" s="569"/>
      <c r="N102" s="569"/>
      <c r="O102" s="569"/>
      <c r="P102" s="569"/>
      <c r="Q102" s="569"/>
      <c r="R102" s="569"/>
      <c r="S102" s="569"/>
      <c r="T102" s="569"/>
      <c r="U102" s="569"/>
      <c r="V102" s="569"/>
      <c r="W102" s="234"/>
      <c r="X102" s="234"/>
      <c r="Y102" s="234"/>
    </row>
    <row r="103" spans="2:25">
      <c r="B103" s="569"/>
      <c r="C103" s="569"/>
      <c r="D103" s="569"/>
      <c r="E103" s="569"/>
      <c r="F103" s="569"/>
      <c r="G103" s="569"/>
      <c r="H103" s="569"/>
      <c r="I103" s="569"/>
      <c r="J103" s="569"/>
      <c r="K103" s="569"/>
      <c r="L103" s="569"/>
      <c r="M103" s="569"/>
      <c r="N103" s="569"/>
      <c r="O103" s="569"/>
      <c r="P103" s="569"/>
      <c r="Q103" s="569"/>
      <c r="R103" s="569"/>
      <c r="S103" s="569"/>
      <c r="T103" s="569"/>
      <c r="U103" s="569"/>
      <c r="V103" s="569"/>
      <c r="W103" s="234"/>
      <c r="X103" s="234"/>
      <c r="Y103" s="234"/>
    </row>
    <row r="104" spans="2:25">
      <c r="B104" s="569"/>
      <c r="C104" s="569"/>
      <c r="D104" s="569"/>
      <c r="E104" s="569"/>
      <c r="F104" s="569"/>
      <c r="G104" s="569"/>
      <c r="H104" s="569"/>
      <c r="I104" s="569"/>
      <c r="J104" s="569"/>
      <c r="K104" s="569"/>
      <c r="L104" s="569"/>
      <c r="M104" s="569"/>
      <c r="N104" s="569"/>
      <c r="O104" s="569"/>
      <c r="P104" s="569"/>
      <c r="Q104" s="569"/>
      <c r="R104" s="569"/>
      <c r="S104" s="569"/>
      <c r="T104" s="569"/>
      <c r="U104" s="569"/>
      <c r="V104" s="569"/>
      <c r="W104" s="234"/>
      <c r="X104" s="234"/>
      <c r="Y104" s="234"/>
    </row>
    <row r="105" spans="2:25">
      <c r="B105" s="569"/>
      <c r="C105" s="569"/>
      <c r="D105" s="569"/>
      <c r="E105" s="569"/>
      <c r="F105" s="569"/>
      <c r="G105" s="569"/>
      <c r="H105" s="569"/>
      <c r="I105" s="569"/>
      <c r="J105" s="569"/>
      <c r="K105" s="569"/>
      <c r="L105" s="569"/>
      <c r="M105" s="569"/>
      <c r="N105" s="569"/>
      <c r="O105" s="569"/>
      <c r="P105" s="569"/>
      <c r="Q105" s="569"/>
      <c r="R105" s="569"/>
      <c r="S105" s="569"/>
      <c r="T105" s="569"/>
      <c r="U105" s="569"/>
      <c r="V105" s="569"/>
      <c r="W105" s="234"/>
      <c r="X105" s="234"/>
      <c r="Y105" s="234"/>
    </row>
    <row r="106" spans="2:25">
      <c r="B106" s="234"/>
      <c r="C106" s="234"/>
      <c r="D106" s="234"/>
      <c r="E106" s="234"/>
      <c r="F106" s="234"/>
      <c r="G106" s="234"/>
      <c r="H106" s="234"/>
      <c r="I106" s="234"/>
      <c r="J106" s="234"/>
      <c r="K106" s="234"/>
      <c r="L106" s="234"/>
      <c r="M106" s="234"/>
      <c r="N106" s="234"/>
      <c r="O106" s="234"/>
      <c r="P106" s="234"/>
      <c r="Q106" s="234"/>
      <c r="R106" s="234"/>
      <c r="S106" s="234"/>
      <c r="T106" s="234"/>
      <c r="U106" s="234"/>
      <c r="V106" s="234"/>
      <c r="X106" s="234"/>
      <c r="Y106" s="234"/>
    </row>
    <row r="107" spans="2:25" ht="15.75">
      <c r="B107" s="233" t="s">
        <v>148</v>
      </c>
      <c r="C107" s="187"/>
      <c r="D107" s="187"/>
      <c r="E107" s="187"/>
      <c r="F107" s="187"/>
      <c r="G107" s="187"/>
      <c r="H107" s="187"/>
      <c r="I107" s="187"/>
      <c r="J107" s="187"/>
      <c r="K107" s="187"/>
      <c r="L107" s="187"/>
      <c r="M107" s="187"/>
      <c r="N107" s="187"/>
      <c r="O107" s="187"/>
      <c r="P107" s="187"/>
      <c r="Q107" s="187"/>
      <c r="R107" s="187"/>
      <c r="S107" s="187"/>
      <c r="T107" s="187"/>
      <c r="U107" s="187"/>
      <c r="V107" s="187"/>
    </row>
    <row r="108" spans="2:25">
      <c r="B108" s="187" t="s">
        <v>149</v>
      </c>
      <c r="C108" s="187"/>
      <c r="D108" s="187"/>
      <c r="E108" s="187"/>
      <c r="F108" s="187"/>
      <c r="G108" s="187"/>
      <c r="H108" s="187"/>
      <c r="I108" s="187"/>
      <c r="J108" s="187"/>
      <c r="K108" s="187"/>
      <c r="L108" s="187"/>
      <c r="M108" s="187"/>
      <c r="N108" s="187"/>
      <c r="O108" s="187"/>
      <c r="P108" s="187"/>
      <c r="Q108" s="187"/>
      <c r="R108" s="187"/>
      <c r="S108" s="187"/>
      <c r="T108" s="187"/>
      <c r="U108" s="187"/>
      <c r="V108" s="187"/>
    </row>
    <row r="109" spans="2:25">
      <c r="B109" s="187" t="s">
        <v>150</v>
      </c>
      <c r="C109" s="187"/>
      <c r="D109" s="187"/>
      <c r="E109" s="187"/>
      <c r="F109" s="187"/>
      <c r="G109" s="187"/>
      <c r="H109" s="187"/>
      <c r="I109" s="187"/>
      <c r="J109" s="187"/>
      <c r="K109" s="187"/>
      <c r="L109" s="187"/>
      <c r="M109" s="187"/>
      <c r="N109" s="187"/>
      <c r="O109" s="187"/>
      <c r="P109" s="187"/>
      <c r="Q109" s="187"/>
      <c r="R109" s="187"/>
      <c r="S109" s="187"/>
      <c r="T109" s="187"/>
      <c r="U109" s="187"/>
      <c r="V109" s="187"/>
    </row>
    <row r="110" spans="2:25">
      <c r="B110" s="187" t="s">
        <v>151</v>
      </c>
      <c r="C110" s="187"/>
      <c r="D110" s="187"/>
      <c r="E110" s="187"/>
      <c r="F110" s="187"/>
      <c r="G110" s="187"/>
      <c r="H110" s="187"/>
      <c r="I110" s="187"/>
      <c r="J110" s="187"/>
      <c r="K110" s="187"/>
      <c r="L110" s="187"/>
      <c r="M110" s="187"/>
      <c r="N110" s="187"/>
      <c r="O110" s="187"/>
      <c r="P110" s="187"/>
      <c r="Q110" s="187"/>
      <c r="R110" s="187"/>
      <c r="S110" s="187"/>
      <c r="T110" s="187"/>
      <c r="U110" s="187"/>
      <c r="V110" s="187"/>
    </row>
    <row r="111" spans="2:25">
      <c r="B111" s="187" t="s">
        <v>152</v>
      </c>
      <c r="C111" s="187"/>
      <c r="D111" s="187"/>
      <c r="E111" s="187"/>
      <c r="F111" s="187"/>
      <c r="G111" s="187"/>
      <c r="H111" s="187"/>
      <c r="I111" s="187"/>
      <c r="J111" s="187"/>
      <c r="K111" s="187"/>
      <c r="L111" s="187"/>
      <c r="M111" s="187"/>
      <c r="N111" s="187"/>
      <c r="O111" s="187"/>
      <c r="P111" s="187"/>
      <c r="Q111" s="187"/>
      <c r="R111" s="187"/>
      <c r="S111" s="187"/>
      <c r="T111" s="187"/>
      <c r="U111" s="187"/>
      <c r="V111" s="187"/>
    </row>
    <row r="112" spans="2:25">
      <c r="B112" s="187" t="s">
        <v>153</v>
      </c>
      <c r="C112" s="187"/>
      <c r="D112" s="187"/>
      <c r="E112" s="187"/>
      <c r="F112" s="187"/>
      <c r="G112" s="187"/>
      <c r="H112" s="187"/>
      <c r="I112" s="187"/>
      <c r="J112" s="187"/>
      <c r="K112" s="187"/>
      <c r="L112" s="187"/>
      <c r="M112" s="187"/>
      <c r="N112" s="187"/>
      <c r="O112" s="187"/>
      <c r="P112" s="187"/>
      <c r="Q112" s="187"/>
      <c r="R112" s="187"/>
      <c r="S112" s="187"/>
      <c r="T112" s="187"/>
      <c r="U112" s="187"/>
      <c r="V112" s="187"/>
    </row>
    <row r="113" spans="2:25">
      <c r="B113" s="187" t="s">
        <v>154</v>
      </c>
      <c r="C113" s="187"/>
      <c r="D113" s="187"/>
      <c r="E113" s="187"/>
      <c r="F113" s="187"/>
      <c r="G113" s="187"/>
      <c r="H113" s="187"/>
      <c r="I113" s="187"/>
      <c r="J113" s="187"/>
      <c r="K113" s="187"/>
      <c r="L113" s="187"/>
      <c r="M113" s="187"/>
      <c r="N113" s="187"/>
      <c r="O113" s="187"/>
      <c r="P113" s="187"/>
      <c r="Q113" s="187"/>
      <c r="R113" s="187"/>
      <c r="S113" s="187"/>
      <c r="T113" s="187"/>
      <c r="U113" s="187"/>
      <c r="V113" s="187"/>
    </row>
    <row r="114" spans="2:25">
      <c r="B114" s="187" t="s">
        <v>155</v>
      </c>
      <c r="C114" s="187"/>
      <c r="D114" s="187"/>
      <c r="E114" s="187"/>
      <c r="F114" s="187"/>
      <c r="G114" s="187"/>
      <c r="H114" s="187"/>
      <c r="I114" s="187"/>
      <c r="J114" s="187"/>
      <c r="K114" s="187"/>
      <c r="L114" s="187"/>
      <c r="M114" s="187"/>
      <c r="N114" s="187"/>
      <c r="O114" s="187"/>
      <c r="P114" s="187"/>
      <c r="Q114" s="187"/>
      <c r="R114" s="187"/>
      <c r="S114" s="187"/>
      <c r="T114" s="187"/>
      <c r="U114" s="187"/>
      <c r="V114" s="187"/>
    </row>
    <row r="115" spans="2:25">
      <c r="B115" s="187"/>
      <c r="C115" s="187"/>
      <c r="D115" s="187"/>
      <c r="E115" s="187"/>
      <c r="F115" s="187"/>
      <c r="G115" s="187"/>
      <c r="H115" s="187"/>
      <c r="I115" s="187"/>
      <c r="J115" s="187"/>
      <c r="K115" s="187"/>
      <c r="L115" s="187"/>
      <c r="M115" s="187"/>
      <c r="N115" s="187"/>
      <c r="O115" s="187"/>
      <c r="P115" s="187"/>
      <c r="Q115" s="187"/>
      <c r="R115" s="187"/>
      <c r="S115" s="187"/>
      <c r="T115" s="187"/>
      <c r="U115" s="187"/>
      <c r="V115" s="187"/>
    </row>
    <row r="116" spans="2:25" ht="15.75">
      <c r="B116" s="233" t="s">
        <v>156</v>
      </c>
      <c r="C116" s="187"/>
      <c r="D116" s="187"/>
      <c r="E116" s="187"/>
      <c r="F116" s="187"/>
      <c r="G116" s="187"/>
      <c r="H116" s="187"/>
      <c r="I116" s="187"/>
      <c r="J116" s="187"/>
      <c r="K116" s="187"/>
      <c r="L116" s="187"/>
      <c r="M116" s="187"/>
      <c r="N116" s="187"/>
      <c r="O116" s="187"/>
      <c r="P116" s="187"/>
      <c r="Q116" s="187"/>
      <c r="R116" s="187"/>
      <c r="S116" s="187"/>
      <c r="T116" s="187"/>
      <c r="U116" s="187"/>
      <c r="V116" s="187"/>
    </row>
    <row r="117" spans="2:25">
      <c r="B117" s="187" t="s">
        <v>157</v>
      </c>
      <c r="C117" s="187"/>
      <c r="D117" s="187"/>
      <c r="E117" s="187"/>
      <c r="F117" s="187"/>
      <c r="G117" s="187"/>
      <c r="H117" s="187"/>
      <c r="I117" s="187"/>
      <c r="J117" s="187"/>
      <c r="K117" s="187"/>
      <c r="L117" s="187"/>
      <c r="M117" s="187"/>
      <c r="N117" s="187"/>
      <c r="O117" s="187"/>
      <c r="P117" s="187"/>
      <c r="Q117" s="187"/>
      <c r="R117" s="187"/>
      <c r="S117" s="187"/>
      <c r="T117" s="187"/>
      <c r="U117" s="187"/>
      <c r="V117" s="187"/>
    </row>
    <row r="118" spans="2:25">
      <c r="B118" s="187" t="s">
        <v>158</v>
      </c>
      <c r="C118" s="187"/>
      <c r="D118" s="187"/>
      <c r="E118" s="187"/>
      <c r="F118" s="187"/>
      <c r="G118" s="187"/>
      <c r="H118" s="187"/>
      <c r="I118" s="187"/>
      <c r="J118" s="187"/>
      <c r="K118" s="187"/>
      <c r="L118" s="187"/>
      <c r="M118" s="187"/>
      <c r="N118" s="187"/>
      <c r="O118" s="187"/>
      <c r="P118" s="187"/>
      <c r="Q118" s="187"/>
      <c r="R118" s="187"/>
      <c r="S118" s="187"/>
      <c r="T118" s="187"/>
      <c r="U118" s="187"/>
      <c r="V118" s="187"/>
    </row>
    <row r="119" spans="2:25">
      <c r="B119" s="187" t="s">
        <v>159</v>
      </c>
      <c r="C119" s="187"/>
      <c r="D119" s="187"/>
      <c r="E119" s="187"/>
      <c r="F119" s="187"/>
      <c r="G119" s="187"/>
      <c r="H119" s="187"/>
      <c r="I119" s="187"/>
      <c r="J119" s="187"/>
      <c r="K119" s="187"/>
      <c r="L119" s="187"/>
      <c r="M119" s="187"/>
      <c r="N119" s="187"/>
      <c r="O119" s="187"/>
      <c r="P119" s="187"/>
      <c r="Q119" s="187"/>
      <c r="R119" s="187"/>
      <c r="S119" s="187"/>
      <c r="T119" s="187"/>
      <c r="U119" s="187"/>
      <c r="V119" s="187"/>
    </row>
    <row r="120" spans="2:25">
      <c r="B120" s="187" t="s">
        <v>160</v>
      </c>
      <c r="C120" s="187"/>
      <c r="D120" s="187"/>
      <c r="E120" s="187"/>
      <c r="F120" s="187"/>
      <c r="G120" s="187"/>
      <c r="H120" s="187"/>
      <c r="I120" s="187"/>
      <c r="J120" s="187"/>
      <c r="K120" s="187"/>
      <c r="L120" s="187"/>
      <c r="M120" s="187"/>
      <c r="N120" s="187"/>
      <c r="O120" s="187"/>
      <c r="P120" s="187"/>
      <c r="Q120" s="187"/>
      <c r="R120" s="187"/>
      <c r="S120" s="187"/>
      <c r="T120" s="187"/>
      <c r="U120" s="187"/>
      <c r="V120" s="187"/>
    </row>
    <row r="121" spans="2:25">
      <c r="B121" s="187"/>
      <c r="C121" s="187"/>
      <c r="D121" s="187"/>
      <c r="E121" s="187"/>
      <c r="F121" s="187"/>
      <c r="G121" s="187"/>
      <c r="H121" s="187"/>
      <c r="I121" s="187"/>
      <c r="J121" s="187"/>
      <c r="K121" s="187"/>
      <c r="L121" s="187"/>
      <c r="M121" s="187"/>
      <c r="N121" s="187"/>
      <c r="O121" s="187"/>
      <c r="P121" s="187"/>
      <c r="Q121" s="187"/>
      <c r="R121" s="187"/>
      <c r="S121" s="187"/>
      <c r="T121" s="187"/>
      <c r="U121" s="187"/>
      <c r="V121" s="187"/>
    </row>
    <row r="122" spans="2:25" ht="15" customHeight="1">
      <c r="B122" s="567" t="s">
        <v>161</v>
      </c>
      <c r="C122" s="567"/>
      <c r="D122" s="567"/>
      <c r="E122" s="567"/>
      <c r="F122" s="567"/>
      <c r="G122" s="567"/>
      <c r="H122" s="567"/>
      <c r="I122" s="567"/>
      <c r="J122" s="567"/>
      <c r="K122" s="567"/>
      <c r="L122" s="567"/>
      <c r="M122" s="567"/>
      <c r="N122" s="567"/>
      <c r="O122" s="567"/>
      <c r="P122" s="567"/>
      <c r="Q122" s="567"/>
      <c r="R122" s="567"/>
      <c r="S122" s="567"/>
      <c r="T122" s="567"/>
      <c r="U122" s="567"/>
      <c r="V122" s="567"/>
      <c r="W122" s="232"/>
      <c r="X122" s="232"/>
      <c r="Y122" s="232"/>
    </row>
    <row r="123" spans="2:25">
      <c r="B123" s="567"/>
      <c r="C123" s="567"/>
      <c r="D123" s="567"/>
      <c r="E123" s="567"/>
      <c r="F123" s="567"/>
      <c r="G123" s="567"/>
      <c r="H123" s="567"/>
      <c r="I123" s="567"/>
      <c r="J123" s="567"/>
      <c r="K123" s="567"/>
      <c r="L123" s="567"/>
      <c r="M123" s="567"/>
      <c r="N123" s="567"/>
      <c r="O123" s="567"/>
      <c r="P123" s="567"/>
      <c r="Q123" s="567"/>
      <c r="R123" s="567"/>
      <c r="S123" s="567"/>
      <c r="T123" s="567"/>
      <c r="U123" s="567"/>
      <c r="V123" s="567"/>
      <c r="W123" s="232"/>
      <c r="X123" s="232"/>
      <c r="Y123" s="232"/>
    </row>
    <row r="124" spans="2:25">
      <c r="B124" s="567"/>
      <c r="C124" s="567"/>
      <c r="D124" s="567"/>
      <c r="E124" s="567"/>
      <c r="F124" s="567"/>
      <c r="G124" s="567"/>
      <c r="H124" s="567"/>
      <c r="I124" s="567"/>
      <c r="J124" s="567"/>
      <c r="K124" s="567"/>
      <c r="L124" s="567"/>
      <c r="M124" s="567"/>
      <c r="N124" s="567"/>
      <c r="O124" s="567"/>
      <c r="P124" s="567"/>
      <c r="Q124" s="567"/>
      <c r="R124" s="567"/>
      <c r="S124" s="567"/>
      <c r="T124" s="567"/>
      <c r="U124" s="567"/>
      <c r="V124" s="567"/>
      <c r="W124" s="232"/>
      <c r="X124" s="232"/>
      <c r="Y124" s="232"/>
    </row>
    <row r="125" spans="2:25">
      <c r="B125" s="567"/>
      <c r="C125" s="567"/>
      <c r="D125" s="567"/>
      <c r="E125" s="567"/>
      <c r="F125" s="567"/>
      <c r="G125" s="567"/>
      <c r="H125" s="567"/>
      <c r="I125" s="567"/>
      <c r="J125" s="567"/>
      <c r="K125" s="567"/>
      <c r="L125" s="567"/>
      <c r="M125" s="567"/>
      <c r="N125" s="567"/>
      <c r="O125" s="567"/>
      <c r="P125" s="567"/>
      <c r="Q125" s="567"/>
      <c r="R125" s="567"/>
      <c r="S125" s="567"/>
      <c r="T125" s="567"/>
      <c r="U125" s="567"/>
      <c r="V125" s="567"/>
      <c r="W125" s="232"/>
      <c r="X125" s="232"/>
      <c r="Y125" s="232"/>
    </row>
    <row r="126" spans="2:25">
      <c r="B126" s="567"/>
      <c r="C126" s="567"/>
      <c r="D126" s="567"/>
      <c r="E126" s="567"/>
      <c r="F126" s="567"/>
      <c r="G126" s="567"/>
      <c r="H126" s="567"/>
      <c r="I126" s="567"/>
      <c r="J126" s="567"/>
      <c r="K126" s="567"/>
      <c r="L126" s="567"/>
      <c r="M126" s="567"/>
      <c r="N126" s="567"/>
      <c r="O126" s="567"/>
      <c r="P126" s="567"/>
      <c r="Q126" s="567"/>
      <c r="R126" s="567"/>
      <c r="S126" s="567"/>
      <c r="T126" s="567"/>
      <c r="U126" s="567"/>
      <c r="V126" s="567"/>
      <c r="W126" s="232"/>
      <c r="X126" s="232"/>
      <c r="Y126" s="232"/>
    </row>
  </sheetData>
  <mergeCells count="29">
    <mergeCell ref="B122:V126"/>
    <mergeCell ref="S14:V14"/>
    <mergeCell ref="B63:V68"/>
    <mergeCell ref="B80:V84"/>
    <mergeCell ref="B87:V91"/>
    <mergeCell ref="B94:V98"/>
    <mergeCell ref="B101:V105"/>
    <mergeCell ref="B74:V77"/>
    <mergeCell ref="D14:G14"/>
    <mergeCell ref="I14:L14"/>
    <mergeCell ref="N14:Q14"/>
    <mergeCell ref="M11:N11"/>
    <mergeCell ref="R11:S11"/>
    <mergeCell ref="M12:N12"/>
    <mergeCell ref="R12:S12"/>
    <mergeCell ref="M13:N13"/>
    <mergeCell ref="R13:S13"/>
    <mergeCell ref="M7:N7"/>
    <mergeCell ref="R7:S7"/>
    <mergeCell ref="M9:N9"/>
    <mergeCell ref="R9:S9"/>
    <mergeCell ref="M10:N10"/>
    <mergeCell ref="R10:S10"/>
    <mergeCell ref="B6:G6"/>
    <mergeCell ref="B1:C1"/>
    <mergeCell ref="H1:I1"/>
    <mergeCell ref="M1:N1"/>
    <mergeCell ref="R1:S1"/>
    <mergeCell ref="B3:V5"/>
  </mergeCells>
  <hyperlinks>
    <hyperlink ref="B6" r:id="rId1" xr:uid="{F794C94D-7439-4D89-B099-7028BC9A3FE6}"/>
  </hyperlinks>
  <pageMargins left="0.7" right="0.7" top="0.75" bottom="0.75" header="0.3" footer="0.3"/>
  <pageSetup orientation="portrait" horizontalDpi="200" verticalDpi="2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40DCE-E172-4CB0-A579-3F619C443A02}">
  <sheetPr>
    <tabColor theme="5" tint="0.39997558519241921"/>
  </sheetPr>
  <dimension ref="A1:AF74"/>
  <sheetViews>
    <sheetView topLeftCell="A15" zoomScale="80" zoomScaleNormal="80" workbookViewId="0">
      <selection activeCell="V47" sqref="V47"/>
    </sheetView>
  </sheetViews>
  <sheetFormatPr defaultColWidth="8.7109375" defaultRowHeight="15"/>
  <cols>
    <col min="1" max="1" width="3.7109375" style="264" customWidth="1"/>
    <col min="2" max="2" width="6.7109375" style="264" customWidth="1"/>
    <col min="3" max="3" width="3.7109375" style="264" customWidth="1"/>
    <col min="4" max="6" width="9.7109375" style="264" customWidth="1"/>
    <col min="7" max="7" width="3.7109375" style="264" customWidth="1"/>
    <col min="8" max="10" width="9.7109375" style="264" customWidth="1"/>
    <col min="11" max="11" width="3.7109375" style="264" customWidth="1"/>
    <col min="12" max="14" width="9.7109375" style="264" customWidth="1"/>
    <col min="15" max="15" width="3.7109375" style="264" customWidth="1"/>
    <col min="16" max="18" width="9.7109375" style="264" customWidth="1"/>
    <col min="19" max="19" width="3.7109375" style="264" customWidth="1"/>
    <col min="20" max="22" width="9.7109375" style="264" customWidth="1"/>
    <col min="23" max="23" width="13.28515625" style="264" bestFit="1" customWidth="1"/>
    <col min="24" max="24" width="3.7109375" style="264" customWidth="1"/>
    <col min="25" max="25" width="8.7109375" style="264"/>
    <col min="26" max="26" width="3.7109375" style="264" customWidth="1"/>
    <col min="27" max="30" width="12.140625" style="264" customWidth="1"/>
    <col min="31" max="31" width="3.7109375" style="264" customWidth="1"/>
    <col min="32" max="16384" width="8.7109375" style="264"/>
  </cols>
  <sheetData>
    <row r="1" spans="1:32">
      <c r="A1" s="255"/>
      <c r="B1" s="255"/>
      <c r="C1" s="255"/>
      <c r="D1" s="255"/>
      <c r="E1" s="44"/>
      <c r="F1" s="255"/>
      <c r="G1" s="255"/>
      <c r="H1" s="255"/>
      <c r="I1" s="255"/>
      <c r="J1" s="255"/>
      <c r="K1" s="255"/>
      <c r="L1" s="255"/>
      <c r="M1" s="255"/>
      <c r="N1" s="255"/>
      <c r="O1" s="255"/>
      <c r="P1" s="255"/>
      <c r="Q1" s="255"/>
      <c r="R1" s="255"/>
      <c r="S1" s="255"/>
      <c r="T1" s="255"/>
      <c r="U1" s="255"/>
      <c r="V1" s="255"/>
      <c r="W1" s="255"/>
      <c r="X1" s="255"/>
      <c r="Y1" s="255"/>
      <c r="Z1" s="255"/>
      <c r="AA1" s="255"/>
      <c r="AB1" s="255"/>
      <c r="AC1" s="255"/>
      <c r="AD1" s="255"/>
      <c r="AE1" s="255"/>
      <c r="AF1" s="255"/>
    </row>
    <row r="2" spans="1:32">
      <c r="A2" s="255"/>
      <c r="B2" s="255"/>
      <c r="C2" s="255"/>
      <c r="D2" s="255"/>
      <c r="E2" s="44" t="s">
        <v>0</v>
      </c>
      <c r="F2" s="255"/>
      <c r="G2" s="255"/>
      <c r="H2" s="255"/>
      <c r="I2" s="255"/>
      <c r="J2" s="255"/>
      <c r="K2" s="255"/>
      <c r="L2" s="255"/>
      <c r="M2" s="255"/>
      <c r="N2" s="255"/>
      <c r="O2" s="255"/>
      <c r="P2" s="255"/>
      <c r="Q2" s="255"/>
      <c r="R2" s="255"/>
      <c r="S2" s="255"/>
      <c r="T2" s="255"/>
      <c r="U2" s="255"/>
      <c r="V2" s="255"/>
      <c r="W2" s="48"/>
      <c r="X2" s="255"/>
      <c r="Y2" s="255"/>
      <c r="Z2" s="255"/>
      <c r="AA2" s="255"/>
      <c r="AB2" s="255"/>
      <c r="AC2" s="255"/>
      <c r="AD2" s="255"/>
      <c r="AE2" s="255"/>
      <c r="AF2" s="255"/>
    </row>
    <row r="3" spans="1:32">
      <c r="A3" s="255"/>
      <c r="B3" s="255"/>
      <c r="C3" s="255"/>
      <c r="D3" s="255"/>
      <c r="E3" s="255"/>
      <c r="F3" s="255"/>
      <c r="G3" s="255"/>
      <c r="H3" s="255"/>
      <c r="I3" s="255"/>
      <c r="J3" s="255"/>
      <c r="K3" s="255"/>
      <c r="L3" s="255"/>
      <c r="M3" s="255"/>
      <c r="N3" s="255"/>
      <c r="O3" s="255"/>
      <c r="P3" s="255"/>
      <c r="Q3" s="255"/>
      <c r="R3" s="255"/>
      <c r="S3" s="255"/>
      <c r="T3" s="265"/>
      <c r="U3" s="255"/>
      <c r="V3" s="255"/>
      <c r="W3" s="255"/>
      <c r="X3" s="255"/>
      <c r="Y3" s="255"/>
      <c r="Z3" s="255"/>
      <c r="AA3" s="255"/>
      <c r="AB3" s="255"/>
      <c r="AC3" s="255"/>
      <c r="AD3" s="255"/>
      <c r="AE3" s="255"/>
      <c r="AF3" s="255"/>
    </row>
    <row r="4" spans="1:32">
      <c r="A4" s="255"/>
      <c r="B4" s="255"/>
      <c r="C4" s="255"/>
      <c r="D4" s="255"/>
      <c r="E4" s="255"/>
      <c r="F4" s="255"/>
      <c r="G4" s="255"/>
      <c r="H4" s="255"/>
      <c r="I4" s="255"/>
      <c r="J4" s="255"/>
      <c r="K4" s="255"/>
      <c r="L4" s="255"/>
      <c r="M4" s="255"/>
      <c r="N4" s="255"/>
      <c r="O4" s="255"/>
      <c r="P4" s="255"/>
      <c r="Q4" s="255"/>
      <c r="R4" s="255"/>
      <c r="S4" s="255"/>
      <c r="T4" s="255"/>
      <c r="U4" s="255"/>
      <c r="V4" s="255"/>
      <c r="W4" s="255"/>
      <c r="X4" s="255"/>
      <c r="Y4" s="255"/>
      <c r="Z4" s="255"/>
      <c r="AA4" s="255"/>
      <c r="AB4" s="255"/>
      <c r="AC4" s="255"/>
      <c r="AD4" s="255"/>
      <c r="AE4" s="255"/>
      <c r="AF4" s="255"/>
    </row>
    <row r="5" spans="1:32">
      <c r="A5" s="255"/>
      <c r="B5" s="255"/>
      <c r="C5" s="255"/>
      <c r="D5" s="255"/>
      <c r="E5" s="255"/>
      <c r="F5" s="255"/>
      <c r="G5" s="255"/>
      <c r="H5" s="255"/>
      <c r="I5" s="255"/>
      <c r="J5" s="255"/>
      <c r="K5" s="255"/>
      <c r="L5" s="255"/>
      <c r="M5" s="255"/>
      <c r="N5" s="255"/>
      <c r="O5" s="255"/>
      <c r="P5" s="255"/>
      <c r="Q5" s="255"/>
      <c r="R5" s="255"/>
      <c r="S5" s="255"/>
      <c r="T5" s="255"/>
      <c r="U5" s="255"/>
      <c r="V5" s="255"/>
      <c r="W5" s="255"/>
      <c r="X5" s="255"/>
      <c r="Y5" s="255"/>
      <c r="Z5" s="255"/>
      <c r="AA5" s="255"/>
      <c r="AB5" s="255"/>
      <c r="AC5" s="255"/>
      <c r="AD5" s="255"/>
      <c r="AE5" s="255"/>
      <c r="AF5" s="255"/>
    </row>
    <row r="6" spans="1:32" ht="18.75">
      <c r="A6" s="255"/>
      <c r="B6" s="188" t="s">
        <v>162</v>
      </c>
      <c r="C6" s="188"/>
      <c r="D6" s="188"/>
      <c r="E6" s="188"/>
      <c r="F6" s="188"/>
      <c r="G6" s="188"/>
      <c r="H6" s="188"/>
      <c r="I6" s="188"/>
      <c r="J6" s="188"/>
      <c r="K6" s="188"/>
      <c r="L6" s="188"/>
      <c r="M6" s="188"/>
      <c r="N6" s="188"/>
      <c r="O6" s="188"/>
      <c r="P6" s="188"/>
      <c r="Q6" s="188"/>
      <c r="R6" s="188"/>
      <c r="S6" s="188"/>
      <c r="T6" s="188"/>
      <c r="U6" s="188"/>
      <c r="V6" s="188"/>
      <c r="W6" s="188"/>
      <c r="X6" s="188"/>
      <c r="Y6" s="255"/>
      <c r="Z6" s="266"/>
      <c r="AA6" s="267" t="s">
        <v>163</v>
      </c>
      <c r="AB6" s="268"/>
      <c r="AC6" s="268"/>
      <c r="AD6" s="268"/>
      <c r="AE6" s="266"/>
      <c r="AF6" s="255"/>
    </row>
    <row r="7" spans="1:32">
      <c r="A7" s="255"/>
      <c r="B7" s="257" t="s">
        <v>164</v>
      </c>
      <c r="C7" s="257"/>
      <c r="D7" s="257"/>
      <c r="E7" s="257"/>
      <c r="F7" s="257"/>
      <c r="G7" s="257"/>
      <c r="H7" s="257"/>
      <c r="I7" s="257"/>
      <c r="J7" s="257"/>
      <c r="K7" s="257"/>
      <c r="L7" s="257"/>
      <c r="M7" s="257"/>
      <c r="N7" s="257"/>
      <c r="O7" s="257"/>
      <c r="P7" s="257"/>
      <c r="Q7" s="257"/>
      <c r="R7" s="257"/>
      <c r="S7" s="257"/>
      <c r="T7" s="257"/>
      <c r="U7" s="257"/>
      <c r="V7" s="257"/>
      <c r="W7" s="257"/>
      <c r="X7" s="257"/>
      <c r="Y7" s="255"/>
      <c r="Z7" s="269"/>
      <c r="AA7" s="270" t="s">
        <v>165</v>
      </c>
      <c r="AB7" s="270"/>
      <c r="AC7" s="270"/>
      <c r="AD7" s="270"/>
      <c r="AE7" s="270"/>
      <c r="AF7" s="255"/>
    </row>
    <row r="8" spans="1:32">
      <c r="A8" s="255"/>
      <c r="B8" s="257" t="s">
        <v>166</v>
      </c>
      <c r="C8" s="257"/>
      <c r="D8" s="257"/>
      <c r="E8" s="257"/>
      <c r="F8" s="257"/>
      <c r="G8" s="257"/>
      <c r="H8" s="257"/>
      <c r="I8" s="257"/>
      <c r="J8" s="257"/>
      <c r="K8" s="257"/>
      <c r="L8" s="257"/>
      <c r="M8" s="257"/>
      <c r="N8" s="257"/>
      <c r="O8" s="257"/>
      <c r="P8" s="257"/>
      <c r="Q8" s="257"/>
      <c r="R8" s="257"/>
      <c r="S8" s="257"/>
      <c r="T8" s="257"/>
      <c r="U8" s="257"/>
      <c r="V8" s="257"/>
      <c r="W8" s="257"/>
      <c r="X8" s="257"/>
      <c r="Y8" s="255"/>
      <c r="Z8" s="269"/>
      <c r="AA8" s="270" t="s">
        <v>167</v>
      </c>
      <c r="AB8" s="270"/>
      <c r="AC8" s="270"/>
      <c r="AD8" s="270"/>
      <c r="AE8" s="270"/>
      <c r="AF8" s="255"/>
    </row>
    <row r="9" spans="1:32" ht="15.75" thickBot="1">
      <c r="A9" s="255"/>
      <c r="B9" s="255"/>
      <c r="C9" s="255"/>
      <c r="D9" s="255"/>
      <c r="E9" s="255"/>
      <c r="F9" s="255"/>
      <c r="G9" s="255"/>
      <c r="H9" s="255"/>
      <c r="I9" s="255"/>
      <c r="J9" s="255"/>
      <c r="K9" s="255"/>
      <c r="L9" s="255"/>
      <c r="M9" s="255"/>
      <c r="N9" s="255"/>
      <c r="O9" s="255"/>
      <c r="P9" s="255"/>
      <c r="Q9" s="255"/>
      <c r="R9" s="255"/>
      <c r="S9" s="255"/>
      <c r="T9" s="255"/>
      <c r="U9" s="255"/>
      <c r="V9" s="255"/>
      <c r="W9" s="255"/>
      <c r="X9" s="255"/>
      <c r="Y9" s="255"/>
      <c r="Z9" s="269"/>
      <c r="AA9" s="270" t="s">
        <v>168</v>
      </c>
      <c r="AB9" s="270"/>
      <c r="AC9" s="270"/>
      <c r="AD9" s="270"/>
      <c r="AE9" s="270"/>
      <c r="AF9" s="255"/>
    </row>
    <row r="10" spans="1:32">
      <c r="A10" s="255"/>
      <c r="B10" s="271" t="s">
        <v>169</v>
      </c>
      <c r="C10" s="272"/>
      <c r="D10" s="272"/>
      <c r="E10" s="273"/>
      <c r="F10" s="255"/>
      <c r="G10" s="255"/>
      <c r="H10" s="255"/>
      <c r="I10" s="255"/>
      <c r="J10" s="255"/>
      <c r="K10" s="255"/>
      <c r="L10" s="255"/>
      <c r="M10" s="255"/>
      <c r="N10" s="255"/>
      <c r="O10" s="255"/>
      <c r="P10" s="255"/>
      <c r="Q10" s="255"/>
      <c r="R10" s="257"/>
      <c r="S10" s="257"/>
      <c r="T10" s="257"/>
      <c r="U10" s="257"/>
      <c r="V10" s="257"/>
      <c r="W10" s="257"/>
      <c r="X10" s="257"/>
      <c r="Y10" s="255"/>
      <c r="Z10" s="269"/>
      <c r="AA10" s="274" t="s">
        <v>170</v>
      </c>
      <c r="AB10" s="275"/>
      <c r="AC10" s="275"/>
      <c r="AD10" s="275"/>
      <c r="AE10" s="275"/>
      <c r="AF10" s="255"/>
    </row>
    <row r="11" spans="1:32">
      <c r="A11" s="255"/>
      <c r="B11" s="276" t="s">
        <v>171</v>
      </c>
      <c r="C11" s="277"/>
      <c r="D11" s="278"/>
      <c r="E11" s="279"/>
      <c r="F11" s="255"/>
      <c r="G11" s="255"/>
      <c r="H11" s="255"/>
      <c r="I11" s="255"/>
      <c r="J11" s="255"/>
      <c r="K11" s="255"/>
      <c r="L11" s="255"/>
      <c r="M11" s="255"/>
      <c r="N11" s="255"/>
      <c r="O11" s="255"/>
      <c r="P11" s="255"/>
      <c r="Q11" s="255"/>
      <c r="R11" s="255"/>
      <c r="S11" s="255"/>
      <c r="T11" s="255"/>
      <c r="U11" s="255"/>
      <c r="V11" s="255"/>
      <c r="W11" s="255"/>
      <c r="X11" s="255"/>
      <c r="Y11" s="255"/>
      <c r="Z11" s="269"/>
      <c r="AA11" s="275" t="s">
        <v>172</v>
      </c>
      <c r="AB11" s="275"/>
      <c r="AC11" s="275"/>
      <c r="AD11" s="275"/>
      <c r="AE11" s="275"/>
      <c r="AF11" s="255"/>
    </row>
    <row r="12" spans="1:32">
      <c r="A12" s="255"/>
      <c r="B12" s="276" t="s">
        <v>173</v>
      </c>
      <c r="C12" s="277"/>
      <c r="D12" s="278"/>
      <c r="E12" s="279"/>
      <c r="F12" s="255"/>
      <c r="G12" s="255"/>
      <c r="H12" s="255"/>
      <c r="I12" s="255"/>
      <c r="J12" s="255"/>
      <c r="K12" s="255"/>
      <c r="L12" s="255"/>
      <c r="M12" s="255"/>
      <c r="N12" s="255"/>
      <c r="O12" s="255"/>
      <c r="P12" s="255"/>
      <c r="Q12" s="255"/>
      <c r="R12" s="255"/>
      <c r="S12" s="280"/>
      <c r="T12" s="281"/>
      <c r="U12" s="281"/>
      <c r="V12" s="281"/>
      <c r="W12" s="281"/>
      <c r="X12" s="282"/>
      <c r="Y12" s="255"/>
      <c r="Z12" s="269"/>
      <c r="AA12" s="275" t="s">
        <v>174</v>
      </c>
      <c r="AB12" s="275"/>
      <c r="AC12" s="275"/>
      <c r="AD12" s="275"/>
      <c r="AE12" s="275"/>
      <c r="AF12" s="255"/>
    </row>
    <row r="13" spans="1:32">
      <c r="A13" s="255"/>
      <c r="B13" s="283" t="s">
        <v>175</v>
      </c>
      <c r="C13" s="278"/>
      <c r="D13" s="284">
        <v>6</v>
      </c>
      <c r="E13" s="279"/>
      <c r="F13" s="255"/>
      <c r="G13" s="255"/>
      <c r="H13" s="255"/>
      <c r="I13" s="255"/>
      <c r="J13" s="255"/>
      <c r="K13" s="255"/>
      <c r="L13" s="255"/>
      <c r="M13" s="255"/>
      <c r="N13" s="255"/>
      <c r="O13" s="255"/>
      <c r="P13" s="255"/>
      <c r="Q13" s="255"/>
      <c r="R13" s="255"/>
      <c r="S13" s="285"/>
      <c r="T13" s="286" t="s">
        <v>176</v>
      </c>
      <c r="U13" s="286"/>
      <c r="V13" s="286"/>
      <c r="W13" s="286"/>
      <c r="X13" s="287"/>
      <c r="Y13" s="255"/>
      <c r="Z13" s="269"/>
      <c r="AA13" s="288"/>
      <c r="AB13" s="288"/>
      <c r="AC13" s="288"/>
      <c r="AD13" s="288"/>
      <c r="AE13" s="269"/>
      <c r="AF13" s="255"/>
    </row>
    <row r="14" spans="1:32">
      <c r="A14" s="255"/>
      <c r="B14" s="283" t="s">
        <v>177</v>
      </c>
      <c r="C14" s="278"/>
      <c r="D14" s="284">
        <v>1.6</v>
      </c>
      <c r="E14" s="279"/>
      <c r="F14" s="255"/>
      <c r="G14" s="255"/>
      <c r="H14" s="255"/>
      <c r="I14" s="255"/>
      <c r="J14" s="255"/>
      <c r="K14" s="255"/>
      <c r="L14" s="255"/>
      <c r="M14" s="255"/>
      <c r="N14" s="255"/>
      <c r="O14" s="255"/>
      <c r="P14" s="255"/>
      <c r="Q14" s="255"/>
      <c r="R14" s="255"/>
      <c r="S14" s="285"/>
      <c r="T14" s="286" t="s">
        <v>178</v>
      </c>
      <c r="U14" s="286"/>
      <c r="V14" s="286"/>
      <c r="W14" s="286"/>
      <c r="X14" s="287"/>
      <c r="Y14" s="255"/>
      <c r="Z14" s="269"/>
      <c r="AA14" s="289" t="s">
        <v>179</v>
      </c>
      <c r="AB14" s="289"/>
      <c r="AC14" s="289"/>
      <c r="AD14" s="289"/>
      <c r="AE14" s="289"/>
      <c r="AF14" s="255"/>
    </row>
    <row r="15" spans="1:32">
      <c r="A15" s="255"/>
      <c r="B15" s="283" t="s">
        <v>180</v>
      </c>
      <c r="C15" s="278"/>
      <c r="D15" s="284">
        <v>0.6</v>
      </c>
      <c r="E15" s="279"/>
      <c r="F15" s="255"/>
      <c r="G15" s="255"/>
      <c r="H15" s="255"/>
      <c r="I15" s="255"/>
      <c r="J15" s="255"/>
      <c r="K15" s="255"/>
      <c r="L15" s="255"/>
      <c r="M15" s="255"/>
      <c r="N15" s="255"/>
      <c r="O15" s="255"/>
      <c r="P15" s="255"/>
      <c r="Q15" s="255"/>
      <c r="R15" s="255"/>
      <c r="S15" s="285"/>
      <c r="T15" s="286" t="s">
        <v>181</v>
      </c>
      <c r="U15" s="286"/>
      <c r="V15" s="286"/>
      <c r="W15" s="286"/>
      <c r="X15" s="287"/>
      <c r="Y15" s="255"/>
      <c r="Z15" s="269"/>
      <c r="AA15" s="289" t="s">
        <v>182</v>
      </c>
      <c r="AB15" s="289"/>
      <c r="AC15" s="289"/>
      <c r="AD15" s="289"/>
      <c r="AE15" s="289"/>
      <c r="AF15" s="255"/>
    </row>
    <row r="16" spans="1:32" ht="15.75" thickBot="1">
      <c r="A16" s="255"/>
      <c r="B16" s="290"/>
      <c r="C16" s="291"/>
      <c r="D16" s="291"/>
      <c r="E16" s="292"/>
      <c r="F16" s="255"/>
      <c r="G16" s="255"/>
      <c r="H16" s="255"/>
      <c r="I16" s="255"/>
      <c r="J16" s="255"/>
      <c r="K16" s="255"/>
      <c r="L16" s="255"/>
      <c r="M16" s="255"/>
      <c r="N16" s="255"/>
      <c r="O16" s="255"/>
      <c r="P16" s="255"/>
      <c r="Q16" s="255"/>
      <c r="R16" s="255"/>
      <c r="S16" s="285"/>
      <c r="T16" s="286" t="s">
        <v>183</v>
      </c>
      <c r="U16" s="293"/>
      <c r="V16" s="293"/>
      <c r="W16" s="293"/>
      <c r="X16" s="287"/>
      <c r="Y16" s="255"/>
      <c r="Z16" s="269"/>
      <c r="AA16" s="294"/>
      <c r="AB16" s="294"/>
      <c r="AC16" s="294"/>
      <c r="AD16" s="294"/>
      <c r="AE16" s="294"/>
      <c r="AF16" s="255"/>
    </row>
    <row r="17" spans="1:32">
      <c r="A17" s="255"/>
      <c r="B17" s="255"/>
      <c r="C17" s="255"/>
      <c r="D17" s="255"/>
      <c r="E17" s="255"/>
      <c r="F17" s="255"/>
      <c r="G17" s="255"/>
      <c r="H17" s="255"/>
      <c r="I17" s="255"/>
      <c r="J17" s="255"/>
      <c r="K17" s="255"/>
      <c r="L17" s="255"/>
      <c r="M17" s="255"/>
      <c r="N17" s="255"/>
      <c r="O17" s="255"/>
      <c r="P17" s="255"/>
      <c r="Q17" s="255"/>
      <c r="R17" s="255"/>
      <c r="S17" s="285"/>
      <c r="T17" s="293"/>
      <c r="U17" s="293"/>
      <c r="V17" s="293"/>
      <c r="W17" s="293"/>
      <c r="X17" s="287"/>
      <c r="Y17" s="255"/>
      <c r="Z17" s="269"/>
      <c r="AA17" s="289" t="s">
        <v>184</v>
      </c>
      <c r="AB17" s="289"/>
      <c r="AC17" s="289"/>
      <c r="AD17" s="289"/>
      <c r="AE17" s="289"/>
      <c r="AF17" s="255"/>
    </row>
    <row r="18" spans="1:32">
      <c r="A18" s="255"/>
      <c r="B18" s="295"/>
      <c r="C18" s="295"/>
      <c r="D18" s="573" t="s">
        <v>185</v>
      </c>
      <c r="E18" s="573"/>
      <c r="F18" s="573"/>
      <c r="G18" s="296"/>
      <c r="H18" s="573" t="s">
        <v>104</v>
      </c>
      <c r="I18" s="573"/>
      <c r="J18" s="573"/>
      <c r="K18" s="296"/>
      <c r="L18" s="573" t="s">
        <v>106</v>
      </c>
      <c r="M18" s="573"/>
      <c r="N18" s="573"/>
      <c r="O18" s="254"/>
      <c r="P18" s="573" t="s">
        <v>108</v>
      </c>
      <c r="Q18" s="573"/>
      <c r="R18" s="573"/>
      <c r="S18" s="297"/>
      <c r="T18" s="298"/>
      <c r="U18" s="298"/>
      <c r="V18" s="298"/>
      <c r="W18" s="298"/>
      <c r="X18" s="287"/>
      <c r="Y18" s="255"/>
      <c r="Z18" s="269"/>
      <c r="AA18" s="289" t="s">
        <v>186</v>
      </c>
      <c r="AB18" s="289"/>
      <c r="AC18" s="289"/>
      <c r="AD18" s="289"/>
      <c r="AE18" s="289"/>
      <c r="AF18" s="255"/>
    </row>
    <row r="19" spans="1:32">
      <c r="A19" s="255"/>
      <c r="B19" s="295"/>
      <c r="C19" s="295"/>
      <c r="D19" s="573" t="s">
        <v>103</v>
      </c>
      <c r="E19" s="573"/>
      <c r="F19" s="573"/>
      <c r="G19" s="296"/>
      <c r="H19" s="573" t="s">
        <v>105</v>
      </c>
      <c r="I19" s="573"/>
      <c r="J19" s="573"/>
      <c r="K19" s="296"/>
      <c r="L19" s="573" t="s">
        <v>107</v>
      </c>
      <c r="M19" s="573"/>
      <c r="N19" s="573"/>
      <c r="O19" s="254"/>
      <c r="P19" s="573" t="s">
        <v>109</v>
      </c>
      <c r="Q19" s="573"/>
      <c r="R19" s="573"/>
      <c r="S19" s="297"/>
      <c r="T19" s="570" t="s">
        <v>187</v>
      </c>
      <c r="U19" s="570"/>
      <c r="V19" s="570"/>
      <c r="W19" s="570"/>
      <c r="X19" s="287"/>
      <c r="Y19" s="255"/>
      <c r="Z19" s="269"/>
      <c r="AA19" s="289" t="s">
        <v>188</v>
      </c>
      <c r="AB19" s="289"/>
      <c r="AC19" s="289"/>
      <c r="AD19" s="289"/>
      <c r="AE19" s="289"/>
      <c r="AF19" s="255"/>
    </row>
    <row r="20" spans="1:32">
      <c r="A20" s="255"/>
      <c r="B20" s="296" t="s">
        <v>87</v>
      </c>
      <c r="C20" s="295"/>
      <c r="D20" s="299" t="s">
        <v>175</v>
      </c>
      <c r="E20" s="299" t="s">
        <v>177</v>
      </c>
      <c r="F20" s="299" t="s">
        <v>180</v>
      </c>
      <c r="G20" s="296"/>
      <c r="H20" s="299" t="s">
        <v>175</v>
      </c>
      <c r="I20" s="299" t="s">
        <v>177</v>
      </c>
      <c r="J20" s="299" t="s">
        <v>180</v>
      </c>
      <c r="K20" s="296"/>
      <c r="L20" s="299" t="s">
        <v>175</v>
      </c>
      <c r="M20" s="299" t="s">
        <v>177</v>
      </c>
      <c r="N20" s="299" t="s">
        <v>180</v>
      </c>
      <c r="O20" s="296"/>
      <c r="P20" s="299" t="s">
        <v>175</v>
      </c>
      <c r="Q20" s="299" t="s">
        <v>177</v>
      </c>
      <c r="R20" s="299" t="s">
        <v>180</v>
      </c>
      <c r="S20" s="300"/>
      <c r="T20" s="299" t="str">
        <f>D18</f>
        <v>SSP1‒ 2.6</v>
      </c>
      <c r="U20" s="299" t="str">
        <f>H18</f>
        <v>SSP2‒3.4</v>
      </c>
      <c r="V20" s="299" t="str">
        <f>L18</f>
        <v>SSP3‒6.0</v>
      </c>
      <c r="W20" s="299" t="str">
        <f>P18</f>
        <v>SSP5‒Baseline</v>
      </c>
      <c r="X20" s="287"/>
      <c r="Y20" s="255"/>
      <c r="Z20" s="269"/>
      <c r="AA20" s="289" t="s">
        <v>189</v>
      </c>
      <c r="AB20" s="289"/>
      <c r="AC20" s="289"/>
      <c r="AD20" s="289"/>
      <c r="AE20" s="289"/>
      <c r="AF20" s="255"/>
    </row>
    <row r="21" spans="1:32">
      <c r="A21" s="255"/>
      <c r="B21" s="266">
        <v>2020</v>
      </c>
      <c r="C21" s="266"/>
      <c r="D21" s="304">
        <f>ROUND($D$13,3)</f>
        <v>6</v>
      </c>
      <c r="E21" s="304">
        <f>ROUND($D$14,3)</f>
        <v>1.6</v>
      </c>
      <c r="F21" s="304">
        <f>ROUND($D$15,3)</f>
        <v>0.6</v>
      </c>
      <c r="G21" s="304"/>
      <c r="H21" s="304">
        <f>ROUND($D$13,3)</f>
        <v>6</v>
      </c>
      <c r="I21" s="304">
        <f>ROUND($D$14,3)</f>
        <v>1.6</v>
      </c>
      <c r="J21" s="304">
        <f>ROUND($D$15,3)</f>
        <v>0.6</v>
      </c>
      <c r="K21" s="304"/>
      <c r="L21" s="304">
        <f>ROUND($D$13,3)</f>
        <v>6</v>
      </c>
      <c r="M21" s="304">
        <f>ROUND($D$14,3)</f>
        <v>1.6</v>
      </c>
      <c r="N21" s="304">
        <f>ROUND($D$15,3)</f>
        <v>0.6</v>
      </c>
      <c r="O21" s="304"/>
      <c r="P21" s="304">
        <f>ROUND($D$13,3)</f>
        <v>6</v>
      </c>
      <c r="Q21" s="304">
        <f>ROUND($D$14,3)</f>
        <v>1.6</v>
      </c>
      <c r="R21" s="304">
        <f>ROUND($D$15,3)</f>
        <v>0.6</v>
      </c>
      <c r="S21" s="300"/>
      <c r="T21" s="306">
        <f>ROUND(('SSP Scenarios'!D19/'SSP Scenarios'!D$19)^2,5)</f>
        <v>1</v>
      </c>
      <c r="U21" s="306">
        <f>ROUND(('SSP Scenarios'!E19/'SSP Scenarios'!E$19)^2,5)</f>
        <v>1</v>
      </c>
      <c r="V21" s="306">
        <f>ROUND(('SSP Scenarios'!F19/'SSP Scenarios'!F$19)^2,5)</f>
        <v>1</v>
      </c>
      <c r="W21" s="306">
        <f>ROUND(('SSP Scenarios'!G19/'SSP Scenarios'!G$19)^2,5)</f>
        <v>1</v>
      </c>
      <c r="X21" s="287"/>
      <c r="Y21" s="255"/>
      <c r="Z21" s="269"/>
      <c r="AA21" s="289" t="s">
        <v>190</v>
      </c>
      <c r="AB21" s="289"/>
      <c r="AC21" s="289"/>
      <c r="AD21" s="289"/>
      <c r="AE21" s="289"/>
      <c r="AF21" s="255"/>
    </row>
    <row r="22" spans="1:32">
      <c r="A22" s="255"/>
      <c r="B22" s="255">
        <v>2021</v>
      </c>
      <c r="C22" s="255"/>
      <c r="D22" s="301">
        <f t="shared" ref="D22:F37" si="0">ROUND(D$21*$T22,3)</f>
        <v>6.0640000000000001</v>
      </c>
      <c r="E22" s="301">
        <f t="shared" si="0"/>
        <v>1.617</v>
      </c>
      <c r="F22" s="301">
        <f t="shared" si="0"/>
        <v>0.60599999999999998</v>
      </c>
      <c r="G22" s="301"/>
      <c r="H22" s="301">
        <f t="shared" ref="H22:J30" si="1">ROUND(H$21*$U22,3)</f>
        <v>6.0720000000000001</v>
      </c>
      <c r="I22" s="301">
        <f t="shared" si="1"/>
        <v>1.619</v>
      </c>
      <c r="J22" s="301">
        <f t="shared" si="1"/>
        <v>0.60699999999999998</v>
      </c>
      <c r="K22" s="301"/>
      <c r="L22" s="301">
        <f t="shared" ref="L22:N30" si="2">ROUND(L$21*$V22,3)</f>
        <v>6.0910000000000002</v>
      </c>
      <c r="M22" s="301">
        <f t="shared" si="2"/>
        <v>1.6240000000000001</v>
      </c>
      <c r="N22" s="301">
        <f t="shared" si="2"/>
        <v>0.60899999999999999</v>
      </c>
      <c r="O22" s="302"/>
      <c r="P22" s="301">
        <f t="shared" ref="P22:R30" si="3">ROUND(P$21*$W22,3)</f>
        <v>6.1029999999999998</v>
      </c>
      <c r="Q22" s="301">
        <f t="shared" si="3"/>
        <v>1.627</v>
      </c>
      <c r="R22" s="301">
        <f t="shared" si="3"/>
        <v>0.61</v>
      </c>
      <c r="S22" s="300"/>
      <c r="T22" s="303">
        <f>ROUND(('SSP Scenarios'!D20/'SSP Scenarios'!D$19)^2,5)</f>
        <v>1.01064</v>
      </c>
      <c r="U22" s="303">
        <f>ROUND(('SSP Scenarios'!E20/'SSP Scenarios'!E$19)^2,5)</f>
        <v>1.0120199999999999</v>
      </c>
      <c r="V22" s="303">
        <f>ROUND(('SSP Scenarios'!F20/'SSP Scenarios'!F$19)^2,5)</f>
        <v>1.01515</v>
      </c>
      <c r="W22" s="303">
        <f>ROUND(('SSP Scenarios'!G20/'SSP Scenarios'!G$19)^2,5)</f>
        <v>1.0170999999999999</v>
      </c>
      <c r="X22" s="287"/>
      <c r="Y22" s="255"/>
      <c r="Z22" s="269"/>
      <c r="AA22" s="289"/>
      <c r="AB22" s="289"/>
      <c r="AC22" s="289"/>
      <c r="AD22" s="289"/>
      <c r="AE22" s="289"/>
      <c r="AF22" s="255"/>
    </row>
    <row r="23" spans="1:32">
      <c r="A23" s="255"/>
      <c r="B23" s="266">
        <v>2022</v>
      </c>
      <c r="C23" s="266"/>
      <c r="D23" s="304">
        <f t="shared" si="0"/>
        <v>6.1280000000000001</v>
      </c>
      <c r="E23" s="304">
        <f t="shared" si="0"/>
        <v>1.6339999999999999</v>
      </c>
      <c r="F23" s="304">
        <f t="shared" si="0"/>
        <v>0.61299999999999999</v>
      </c>
      <c r="G23" s="304"/>
      <c r="H23" s="304">
        <f t="shared" si="1"/>
        <v>6.1449999999999996</v>
      </c>
      <c r="I23" s="304">
        <f t="shared" si="1"/>
        <v>1.639</v>
      </c>
      <c r="J23" s="304">
        <f t="shared" si="1"/>
        <v>0.61399999999999999</v>
      </c>
      <c r="K23" s="304"/>
      <c r="L23" s="304">
        <f t="shared" si="2"/>
        <v>6.1829999999999998</v>
      </c>
      <c r="M23" s="304">
        <f t="shared" si="2"/>
        <v>1.649</v>
      </c>
      <c r="N23" s="304">
        <f t="shared" si="2"/>
        <v>0.61799999999999999</v>
      </c>
      <c r="O23" s="305"/>
      <c r="P23" s="304">
        <f t="shared" si="3"/>
        <v>6.2060000000000004</v>
      </c>
      <c r="Q23" s="304">
        <f t="shared" si="3"/>
        <v>1.655</v>
      </c>
      <c r="R23" s="304">
        <f t="shared" si="3"/>
        <v>0.621</v>
      </c>
      <c r="S23" s="300"/>
      <c r="T23" s="306">
        <f>ROUND(('SSP Scenarios'!D21/'SSP Scenarios'!D$19)^2,5)</f>
        <v>1.0213300000000001</v>
      </c>
      <c r="U23" s="306">
        <f>ROUND(('SSP Scenarios'!E21/'SSP Scenarios'!E$19)^2,5)</f>
        <v>1.0241199999999999</v>
      </c>
      <c r="V23" s="306">
        <f>ROUND(('SSP Scenarios'!F21/'SSP Scenarios'!F$19)^2,5)</f>
        <v>1.0304199999999999</v>
      </c>
      <c r="W23" s="306">
        <f>ROUND(('SSP Scenarios'!G21/'SSP Scenarios'!G$19)^2,5)</f>
        <v>1.03434</v>
      </c>
      <c r="X23" s="287"/>
      <c r="Y23" s="255"/>
      <c r="Z23" s="269"/>
      <c r="AA23" s="289"/>
      <c r="AB23" s="289"/>
      <c r="AC23" s="289"/>
      <c r="AD23" s="289"/>
      <c r="AE23" s="289"/>
      <c r="AF23" s="255"/>
    </row>
    <row r="24" spans="1:32">
      <c r="A24" s="255"/>
      <c r="B24" s="255">
        <v>2023</v>
      </c>
      <c r="C24" s="255"/>
      <c r="D24" s="301">
        <f t="shared" si="0"/>
        <v>6.1920000000000002</v>
      </c>
      <c r="E24" s="301">
        <f t="shared" si="0"/>
        <v>1.651</v>
      </c>
      <c r="F24" s="301">
        <f t="shared" si="0"/>
        <v>0.61899999999999999</v>
      </c>
      <c r="G24" s="301"/>
      <c r="H24" s="301">
        <f t="shared" si="1"/>
        <v>6.218</v>
      </c>
      <c r="I24" s="301">
        <f t="shared" si="1"/>
        <v>1.6579999999999999</v>
      </c>
      <c r="J24" s="301">
        <f t="shared" si="1"/>
        <v>0.622</v>
      </c>
      <c r="K24" s="301"/>
      <c r="L24" s="301">
        <f t="shared" si="2"/>
        <v>6.2750000000000004</v>
      </c>
      <c r="M24" s="301">
        <f t="shared" si="2"/>
        <v>1.673</v>
      </c>
      <c r="N24" s="301">
        <f t="shared" si="2"/>
        <v>0.627</v>
      </c>
      <c r="O24" s="302"/>
      <c r="P24" s="301">
        <f t="shared" si="3"/>
        <v>6.31</v>
      </c>
      <c r="Q24" s="301">
        <f t="shared" si="3"/>
        <v>1.6830000000000001</v>
      </c>
      <c r="R24" s="301">
        <f t="shared" si="3"/>
        <v>0.63100000000000001</v>
      </c>
      <c r="S24" s="300"/>
      <c r="T24" s="303">
        <f>ROUND(('SSP Scenarios'!D22/'SSP Scenarios'!D$19)^2,5)</f>
        <v>1.0320800000000001</v>
      </c>
      <c r="U24" s="303">
        <f>ROUND(('SSP Scenarios'!E22/'SSP Scenarios'!E$19)^2,5)</f>
        <v>1.0362899999999999</v>
      </c>
      <c r="V24" s="303">
        <f>ROUND(('SSP Scenarios'!F22/'SSP Scenarios'!F$19)^2,5)</f>
        <v>1.0458000000000001</v>
      </c>
      <c r="W24" s="303">
        <f>ROUND(('SSP Scenarios'!G22/'SSP Scenarios'!G$19)^2,5)</f>
        <v>1.0517300000000001</v>
      </c>
      <c r="X24" s="287"/>
      <c r="Y24" s="255"/>
      <c r="Z24" s="269"/>
      <c r="AA24" s="289"/>
      <c r="AB24" s="289"/>
      <c r="AC24" s="289"/>
      <c r="AD24" s="289"/>
      <c r="AE24" s="289"/>
      <c r="AF24" s="255"/>
    </row>
    <row r="25" spans="1:32">
      <c r="A25" s="255"/>
      <c r="B25" s="266">
        <v>2024</v>
      </c>
      <c r="C25" s="266"/>
      <c r="D25" s="304">
        <f t="shared" si="0"/>
        <v>6.2569999999999997</v>
      </c>
      <c r="E25" s="304">
        <f t="shared" si="0"/>
        <v>1.669</v>
      </c>
      <c r="F25" s="304">
        <f t="shared" si="0"/>
        <v>0.626</v>
      </c>
      <c r="G25" s="304"/>
      <c r="H25" s="304">
        <f t="shared" si="1"/>
        <v>6.2910000000000004</v>
      </c>
      <c r="I25" s="304">
        <f t="shared" si="1"/>
        <v>1.6779999999999999</v>
      </c>
      <c r="J25" s="304">
        <f t="shared" si="1"/>
        <v>0.629</v>
      </c>
      <c r="K25" s="304"/>
      <c r="L25" s="304">
        <f t="shared" si="2"/>
        <v>6.3680000000000003</v>
      </c>
      <c r="M25" s="304">
        <f t="shared" si="2"/>
        <v>1.698</v>
      </c>
      <c r="N25" s="304">
        <f t="shared" si="2"/>
        <v>0.63700000000000001</v>
      </c>
      <c r="O25" s="305"/>
      <c r="P25" s="304">
        <f t="shared" si="3"/>
        <v>6.4160000000000004</v>
      </c>
      <c r="Q25" s="304">
        <f t="shared" si="3"/>
        <v>1.7110000000000001</v>
      </c>
      <c r="R25" s="304">
        <f t="shared" si="3"/>
        <v>0.64200000000000002</v>
      </c>
      <c r="S25" s="300"/>
      <c r="T25" s="306">
        <f>ROUND(('SSP Scenarios'!D23/'SSP Scenarios'!D$19)^2,5)</f>
        <v>1.0428900000000001</v>
      </c>
      <c r="U25" s="306">
        <f>ROUND(('SSP Scenarios'!E23/'SSP Scenarios'!E$19)^2,5)</f>
        <v>1.0485199999999999</v>
      </c>
      <c r="V25" s="306">
        <f>ROUND(('SSP Scenarios'!F23/'SSP Scenarios'!F$19)^2,5)</f>
        <v>1.0612900000000001</v>
      </c>
      <c r="W25" s="306">
        <f>ROUND(('SSP Scenarios'!G23/'SSP Scenarios'!G$19)^2,5)</f>
        <v>1.0692600000000001</v>
      </c>
      <c r="X25" s="287"/>
      <c r="Y25" s="255"/>
      <c r="Z25" s="269"/>
      <c r="AA25" s="289"/>
      <c r="AB25" s="289"/>
      <c r="AC25" s="289"/>
      <c r="AD25" s="289"/>
      <c r="AE25" s="289"/>
      <c r="AF25" s="255"/>
    </row>
    <row r="26" spans="1:32">
      <c r="A26" s="255"/>
      <c r="B26" s="255">
        <v>2025</v>
      </c>
      <c r="C26" s="255"/>
      <c r="D26" s="301">
        <f t="shared" si="0"/>
        <v>6.3230000000000004</v>
      </c>
      <c r="E26" s="301">
        <f t="shared" si="0"/>
        <v>1.6859999999999999</v>
      </c>
      <c r="F26" s="301">
        <f t="shared" si="0"/>
        <v>0.63200000000000001</v>
      </c>
      <c r="G26" s="301"/>
      <c r="H26" s="301">
        <f t="shared" si="1"/>
        <v>6.3650000000000002</v>
      </c>
      <c r="I26" s="301">
        <f t="shared" si="1"/>
        <v>1.6970000000000001</v>
      </c>
      <c r="J26" s="301">
        <f t="shared" si="1"/>
        <v>0.63600000000000001</v>
      </c>
      <c r="K26" s="301"/>
      <c r="L26" s="301">
        <f t="shared" si="2"/>
        <v>6.4610000000000003</v>
      </c>
      <c r="M26" s="301">
        <f t="shared" si="2"/>
        <v>1.7230000000000001</v>
      </c>
      <c r="N26" s="301">
        <f t="shared" si="2"/>
        <v>0.64600000000000002</v>
      </c>
      <c r="O26" s="302"/>
      <c r="P26" s="301">
        <f t="shared" si="3"/>
        <v>6.5220000000000002</v>
      </c>
      <c r="Q26" s="301">
        <f t="shared" si="3"/>
        <v>1.7390000000000001</v>
      </c>
      <c r="R26" s="301">
        <f t="shared" si="3"/>
        <v>0.65200000000000002</v>
      </c>
      <c r="S26" s="300"/>
      <c r="T26" s="303">
        <f>ROUND(('SSP Scenarios'!D24/'SSP Scenarios'!D$19)^2,5)</f>
        <v>1.05375</v>
      </c>
      <c r="U26" s="303">
        <f>ROUND(('SSP Scenarios'!E24/'SSP Scenarios'!E$19)^2,5)</f>
        <v>1.0608299999999999</v>
      </c>
      <c r="V26" s="303">
        <f>ROUND(('SSP Scenarios'!F24/'SSP Scenarios'!F$19)^2,5)</f>
        <v>1.0769</v>
      </c>
      <c r="W26" s="303">
        <f>ROUND(('SSP Scenarios'!G24/'SSP Scenarios'!G$19)^2,5)</f>
        <v>1.08694</v>
      </c>
      <c r="X26" s="287"/>
      <c r="Y26" s="255"/>
      <c r="Z26" s="269"/>
      <c r="AA26" s="289"/>
      <c r="AB26" s="289"/>
      <c r="AC26" s="289"/>
      <c r="AD26" s="289"/>
      <c r="AE26" s="289"/>
      <c r="AF26" s="255"/>
    </row>
    <row r="27" spans="1:32">
      <c r="A27" s="255"/>
      <c r="B27" s="266">
        <v>2026</v>
      </c>
      <c r="C27" s="266"/>
      <c r="D27" s="304">
        <f t="shared" si="0"/>
        <v>6.3879999999999999</v>
      </c>
      <c r="E27" s="304">
        <f t="shared" si="0"/>
        <v>1.7030000000000001</v>
      </c>
      <c r="F27" s="304">
        <f t="shared" si="0"/>
        <v>0.63900000000000001</v>
      </c>
      <c r="G27" s="304"/>
      <c r="H27" s="304">
        <f t="shared" si="1"/>
        <v>6.4390000000000001</v>
      </c>
      <c r="I27" s="304">
        <f t="shared" si="1"/>
        <v>1.7170000000000001</v>
      </c>
      <c r="J27" s="304">
        <f t="shared" si="1"/>
        <v>0.64400000000000002</v>
      </c>
      <c r="K27" s="304"/>
      <c r="L27" s="304">
        <f t="shared" si="2"/>
        <v>6.556</v>
      </c>
      <c r="M27" s="304">
        <f t="shared" si="2"/>
        <v>1.748</v>
      </c>
      <c r="N27" s="304">
        <f t="shared" si="2"/>
        <v>0.65600000000000003</v>
      </c>
      <c r="O27" s="305"/>
      <c r="P27" s="304">
        <f t="shared" si="3"/>
        <v>6.6289999999999996</v>
      </c>
      <c r="Q27" s="304">
        <f t="shared" si="3"/>
        <v>1.768</v>
      </c>
      <c r="R27" s="304">
        <f t="shared" si="3"/>
        <v>0.66300000000000003</v>
      </c>
      <c r="S27" s="300"/>
      <c r="T27" s="306">
        <f>ROUND(('SSP Scenarios'!D25/'SSP Scenarios'!D$19)^2,5)</f>
        <v>1.06467</v>
      </c>
      <c r="U27" s="306">
        <f>ROUND(('SSP Scenarios'!E25/'SSP Scenarios'!E$19)^2,5)</f>
        <v>1.0732200000000001</v>
      </c>
      <c r="V27" s="306">
        <f>ROUND(('SSP Scenarios'!F25/'SSP Scenarios'!F$19)^2,5)</f>
        <v>1.09263</v>
      </c>
      <c r="W27" s="306">
        <f>ROUND(('SSP Scenarios'!G25/'SSP Scenarios'!G$19)^2,5)</f>
        <v>1.10476</v>
      </c>
      <c r="X27" s="287"/>
      <c r="Y27" s="255"/>
      <c r="Z27" s="269"/>
      <c r="AA27" s="289"/>
      <c r="AB27" s="289"/>
      <c r="AC27" s="289"/>
      <c r="AD27" s="289"/>
      <c r="AE27" s="289"/>
      <c r="AF27" s="255"/>
    </row>
    <row r="28" spans="1:32">
      <c r="A28" s="255"/>
      <c r="B28" s="255">
        <v>2027</v>
      </c>
      <c r="C28" s="255"/>
      <c r="D28" s="301">
        <f t="shared" si="0"/>
        <v>6.4539999999999997</v>
      </c>
      <c r="E28" s="301">
        <f t="shared" si="0"/>
        <v>1.7210000000000001</v>
      </c>
      <c r="F28" s="301">
        <f t="shared" si="0"/>
        <v>0.64500000000000002</v>
      </c>
      <c r="G28" s="301"/>
      <c r="H28" s="301">
        <f t="shared" si="1"/>
        <v>6.5140000000000002</v>
      </c>
      <c r="I28" s="301">
        <f t="shared" si="1"/>
        <v>1.7370000000000001</v>
      </c>
      <c r="J28" s="301">
        <f t="shared" si="1"/>
        <v>0.65100000000000002</v>
      </c>
      <c r="K28" s="301"/>
      <c r="L28" s="301">
        <f t="shared" si="2"/>
        <v>6.6509999999999998</v>
      </c>
      <c r="M28" s="301">
        <f t="shared" si="2"/>
        <v>1.774</v>
      </c>
      <c r="N28" s="301">
        <f t="shared" si="2"/>
        <v>0.66500000000000004</v>
      </c>
      <c r="O28" s="302"/>
      <c r="P28" s="301">
        <f t="shared" si="3"/>
        <v>6.7359999999999998</v>
      </c>
      <c r="Q28" s="301">
        <f t="shared" si="3"/>
        <v>1.796</v>
      </c>
      <c r="R28" s="301">
        <f t="shared" si="3"/>
        <v>0.67400000000000004</v>
      </c>
      <c r="S28" s="300"/>
      <c r="T28" s="303">
        <f>ROUND(('SSP Scenarios'!D26/'SSP Scenarios'!D$19)^2,5)</f>
        <v>1.0756399999999999</v>
      </c>
      <c r="U28" s="303">
        <f>ROUND(('SSP Scenarios'!E26/'SSP Scenarios'!E$19)^2,5)</f>
        <v>1.0856699999999999</v>
      </c>
      <c r="V28" s="303">
        <f>ROUND(('SSP Scenarios'!F26/'SSP Scenarios'!F$19)^2,5)</f>
        <v>1.10846</v>
      </c>
      <c r="W28" s="303">
        <f>ROUND(('SSP Scenarios'!G26/'SSP Scenarios'!G$19)^2,5)</f>
        <v>1.12273</v>
      </c>
      <c r="X28" s="287"/>
      <c r="Y28" s="255"/>
      <c r="Z28" s="269"/>
      <c r="AA28" s="289"/>
      <c r="AB28" s="289"/>
      <c r="AC28" s="289"/>
      <c r="AD28" s="289"/>
      <c r="AE28" s="289"/>
      <c r="AF28" s="255"/>
    </row>
    <row r="29" spans="1:32">
      <c r="A29" s="255"/>
      <c r="B29" s="266">
        <v>2028</v>
      </c>
      <c r="C29" s="266"/>
      <c r="D29" s="304">
        <f t="shared" si="0"/>
        <v>6.52</v>
      </c>
      <c r="E29" s="304">
        <f t="shared" si="0"/>
        <v>1.7390000000000001</v>
      </c>
      <c r="F29" s="304">
        <f t="shared" si="0"/>
        <v>0.65200000000000002</v>
      </c>
      <c r="G29" s="304"/>
      <c r="H29" s="304">
        <f t="shared" si="1"/>
        <v>6.5890000000000004</v>
      </c>
      <c r="I29" s="304">
        <f t="shared" si="1"/>
        <v>1.7569999999999999</v>
      </c>
      <c r="J29" s="304">
        <f t="shared" si="1"/>
        <v>0.65900000000000003</v>
      </c>
      <c r="K29" s="304"/>
      <c r="L29" s="304">
        <f t="shared" si="2"/>
        <v>6.7460000000000004</v>
      </c>
      <c r="M29" s="304">
        <f t="shared" si="2"/>
        <v>1.7989999999999999</v>
      </c>
      <c r="N29" s="304">
        <f t="shared" si="2"/>
        <v>0.67500000000000004</v>
      </c>
      <c r="O29" s="305"/>
      <c r="P29" s="304">
        <f t="shared" si="3"/>
        <v>6.8449999999999998</v>
      </c>
      <c r="Q29" s="304">
        <f t="shared" si="3"/>
        <v>1.825</v>
      </c>
      <c r="R29" s="304">
        <f t="shared" si="3"/>
        <v>0.68500000000000005</v>
      </c>
      <c r="S29" s="300"/>
      <c r="T29" s="306">
        <f>ROUND(('SSP Scenarios'!D27/'SSP Scenarios'!D$19)^2,5)</f>
        <v>1.08667</v>
      </c>
      <c r="U29" s="306">
        <f>ROUND(('SSP Scenarios'!E27/'SSP Scenarios'!E$19)^2,5)</f>
        <v>1.0982000000000001</v>
      </c>
      <c r="V29" s="306">
        <f>ROUND(('SSP Scenarios'!F27/'SSP Scenarios'!F$19)^2,5)</f>
        <v>1.1244099999999999</v>
      </c>
      <c r="W29" s="306">
        <f>ROUND(('SSP Scenarios'!G27/'SSP Scenarios'!G$19)^2,5)</f>
        <v>1.1408400000000001</v>
      </c>
      <c r="X29" s="287"/>
      <c r="Y29" s="255"/>
      <c r="Z29" s="269"/>
      <c r="AA29" s="289"/>
      <c r="AB29" s="289"/>
      <c r="AC29" s="289"/>
      <c r="AD29" s="289"/>
      <c r="AE29" s="289"/>
      <c r="AF29" s="255"/>
    </row>
    <row r="30" spans="1:32">
      <c r="A30" s="255"/>
      <c r="B30" s="255">
        <v>2029</v>
      </c>
      <c r="C30" s="255"/>
      <c r="D30" s="301">
        <f>ROUND(D$21*$T30,3)</f>
        <v>6.5869999999999997</v>
      </c>
      <c r="E30" s="301">
        <f t="shared" si="0"/>
        <v>1.756</v>
      </c>
      <c r="F30" s="301">
        <f t="shared" si="0"/>
        <v>0.65900000000000003</v>
      </c>
      <c r="G30" s="301"/>
      <c r="H30" s="301">
        <f t="shared" si="1"/>
        <v>6.665</v>
      </c>
      <c r="I30" s="301">
        <f t="shared" si="1"/>
        <v>1.7769999999999999</v>
      </c>
      <c r="J30" s="301">
        <f t="shared" si="1"/>
        <v>0.66600000000000004</v>
      </c>
      <c r="K30" s="301"/>
      <c r="L30" s="301">
        <f t="shared" si="2"/>
        <v>6.843</v>
      </c>
      <c r="M30" s="301">
        <f t="shared" si="2"/>
        <v>1.825</v>
      </c>
      <c r="N30" s="301">
        <f t="shared" si="2"/>
        <v>0.68400000000000005</v>
      </c>
      <c r="O30" s="302"/>
      <c r="P30" s="301">
        <f t="shared" si="3"/>
        <v>6.9550000000000001</v>
      </c>
      <c r="Q30" s="301">
        <f t="shared" si="3"/>
        <v>1.855</v>
      </c>
      <c r="R30" s="301">
        <f t="shared" si="3"/>
        <v>0.69499999999999995</v>
      </c>
      <c r="S30" s="300"/>
      <c r="T30" s="303">
        <f>ROUND(('SSP Scenarios'!D28/'SSP Scenarios'!D$19)^2,5)</f>
        <v>1.0977600000000001</v>
      </c>
      <c r="U30" s="303">
        <f>ROUND(('SSP Scenarios'!E28/'SSP Scenarios'!E$19)^2,5)</f>
        <v>1.1108</v>
      </c>
      <c r="V30" s="303">
        <f>ROUND(('SSP Scenarios'!F28/'SSP Scenarios'!F$19)^2,5)</f>
        <v>1.1404799999999999</v>
      </c>
      <c r="W30" s="303">
        <f>ROUND(('SSP Scenarios'!G28/'SSP Scenarios'!G$19)^2,5)</f>
        <v>1.1591</v>
      </c>
      <c r="X30" s="287"/>
      <c r="Y30" s="255"/>
      <c r="Z30" s="269"/>
      <c r="AA30" s="289"/>
      <c r="AB30" s="289"/>
      <c r="AC30" s="289"/>
      <c r="AD30" s="289"/>
      <c r="AE30" s="289"/>
      <c r="AF30" s="255"/>
    </row>
    <row r="31" spans="1:32">
      <c r="A31" s="255"/>
      <c r="B31" s="266">
        <v>2030</v>
      </c>
      <c r="C31" s="266"/>
      <c r="D31" s="304">
        <f t="shared" si="0"/>
        <v>6.6529999999999996</v>
      </c>
      <c r="E31" s="304">
        <f t="shared" si="0"/>
        <v>1.774</v>
      </c>
      <c r="F31" s="304">
        <f t="shared" si="0"/>
        <v>0.66500000000000004</v>
      </c>
      <c r="G31" s="304"/>
      <c r="H31" s="304">
        <f t="shared" ref="H31:J43" si="4">ROUND(H$21*$U31,3)</f>
        <v>6.7409999999999997</v>
      </c>
      <c r="I31" s="304">
        <f t="shared" si="4"/>
        <v>1.798</v>
      </c>
      <c r="J31" s="304">
        <f t="shared" si="4"/>
        <v>0.67400000000000004</v>
      </c>
      <c r="K31" s="304"/>
      <c r="L31" s="304">
        <f>ROUND(L$21*$V31,3)</f>
        <v>6.94</v>
      </c>
      <c r="M31" s="304">
        <f>ROUND(M$21*$V31,3)</f>
        <v>1.851</v>
      </c>
      <c r="N31" s="304">
        <f>ROUND(N$21*$V31,3)</f>
        <v>0.69399999999999995</v>
      </c>
      <c r="O31" s="305"/>
      <c r="P31" s="304">
        <f>ROUND(P$21*$W31,3)</f>
        <v>7.0650000000000004</v>
      </c>
      <c r="Q31" s="304">
        <f>ROUND(Q$21*$W31,3)</f>
        <v>1.8839999999999999</v>
      </c>
      <c r="R31" s="304">
        <f>ROUND(R$21*$W31,3)</f>
        <v>0.70699999999999996</v>
      </c>
      <c r="S31" s="300"/>
      <c r="T31" s="306">
        <f>ROUND(('SSP Scenarios'!D29/'SSP Scenarios'!D$19)^2,5)</f>
        <v>1.1089</v>
      </c>
      <c r="U31" s="306">
        <f>ROUND(('SSP Scenarios'!E29/'SSP Scenarios'!E$19)^2,5)</f>
        <v>1.1234599999999999</v>
      </c>
      <c r="V31" s="306">
        <f>ROUND(('SSP Scenarios'!F29/'SSP Scenarios'!F$19)^2,5)</f>
        <v>1.15665</v>
      </c>
      <c r="W31" s="306">
        <f>ROUND(('SSP Scenarios'!G29/'SSP Scenarios'!G$19)^2,5)</f>
        <v>1.1775</v>
      </c>
      <c r="X31" s="287"/>
      <c r="Y31" s="255"/>
      <c r="Z31" s="269"/>
      <c r="AA31" s="289" t="s">
        <v>191</v>
      </c>
      <c r="AB31" s="289"/>
      <c r="AC31" s="289"/>
      <c r="AD31" s="289"/>
      <c r="AE31" s="289"/>
      <c r="AF31" s="255"/>
    </row>
    <row r="32" spans="1:32">
      <c r="A32" s="255"/>
      <c r="B32" s="255">
        <v>2040</v>
      </c>
      <c r="C32" s="255"/>
      <c r="D32" s="301">
        <f t="shared" si="0"/>
        <v>7.1420000000000003</v>
      </c>
      <c r="E32" s="301">
        <f t="shared" si="0"/>
        <v>1.905</v>
      </c>
      <c r="F32" s="301">
        <f t="shared" si="0"/>
        <v>0.71399999999999997</v>
      </c>
      <c r="G32" s="301"/>
      <c r="H32" s="301">
        <f t="shared" si="4"/>
        <v>7.49</v>
      </c>
      <c r="I32" s="301">
        <f t="shared" si="4"/>
        <v>1.9970000000000001</v>
      </c>
      <c r="J32" s="301">
        <f t="shared" si="4"/>
        <v>0.749</v>
      </c>
      <c r="K32" s="301"/>
      <c r="L32" s="301">
        <f t="shared" ref="L32:N43" si="5">ROUND(L$21*$V32,3)</f>
        <v>7.968</v>
      </c>
      <c r="M32" s="301">
        <f t="shared" si="5"/>
        <v>2.125</v>
      </c>
      <c r="N32" s="301">
        <f t="shared" si="5"/>
        <v>0.79700000000000004</v>
      </c>
      <c r="O32" s="302"/>
      <c r="P32" s="301">
        <f t="shared" ref="P32:R43" si="6">ROUND(P$21*$W32,3)</f>
        <v>8.6050000000000004</v>
      </c>
      <c r="Q32" s="301">
        <f t="shared" si="6"/>
        <v>2.2949999999999999</v>
      </c>
      <c r="R32" s="301">
        <f t="shared" si="6"/>
        <v>0.86</v>
      </c>
      <c r="S32" s="300"/>
      <c r="T32" s="303">
        <f>ROUND(('SSP Scenarios'!D30/'SSP Scenarios'!D$19)^2,5)</f>
        <v>1.1903600000000001</v>
      </c>
      <c r="U32" s="303">
        <f>ROUND(('SSP Scenarios'!E30/'SSP Scenarios'!E$19)^2,5)</f>
        <v>1.24834</v>
      </c>
      <c r="V32" s="303">
        <f>ROUND(('SSP Scenarios'!F30/'SSP Scenarios'!F$19)^2,5)</f>
        <v>1.32802</v>
      </c>
      <c r="W32" s="303">
        <f>ROUND(('SSP Scenarios'!G30/'SSP Scenarios'!G$19)^2,5)</f>
        <v>1.43414</v>
      </c>
      <c r="X32" s="287"/>
      <c r="Y32" s="255"/>
      <c r="Z32" s="269"/>
      <c r="AA32" s="289"/>
      <c r="AB32" s="289"/>
      <c r="AC32" s="289"/>
      <c r="AD32" s="289"/>
      <c r="AE32" s="289"/>
      <c r="AF32" s="255"/>
    </row>
    <row r="33" spans="1:32">
      <c r="A33" s="255"/>
      <c r="B33" s="266">
        <v>2050</v>
      </c>
      <c r="C33" s="266"/>
      <c r="D33" s="304">
        <f t="shared" si="0"/>
        <v>7.41</v>
      </c>
      <c r="E33" s="304">
        <f t="shared" si="0"/>
        <v>1.976</v>
      </c>
      <c r="F33" s="304">
        <f t="shared" si="0"/>
        <v>0.74099999999999999</v>
      </c>
      <c r="G33" s="304"/>
      <c r="H33" s="304">
        <f t="shared" si="4"/>
        <v>8.157</v>
      </c>
      <c r="I33" s="304">
        <f t="shared" si="4"/>
        <v>2.1749999999999998</v>
      </c>
      <c r="J33" s="304">
        <f t="shared" si="4"/>
        <v>0.81599999999999995</v>
      </c>
      <c r="K33" s="304"/>
      <c r="L33" s="304">
        <f t="shared" si="5"/>
        <v>9.0220000000000002</v>
      </c>
      <c r="M33" s="304">
        <f t="shared" si="5"/>
        <v>2.4060000000000001</v>
      </c>
      <c r="N33" s="304">
        <f t="shared" si="5"/>
        <v>0.90200000000000002</v>
      </c>
      <c r="O33" s="305"/>
      <c r="P33" s="304">
        <f t="shared" si="6"/>
        <v>10.795999999999999</v>
      </c>
      <c r="Q33" s="304">
        <f t="shared" si="6"/>
        <v>2.879</v>
      </c>
      <c r="R33" s="304">
        <f t="shared" si="6"/>
        <v>1.08</v>
      </c>
      <c r="S33" s="300"/>
      <c r="T33" s="306">
        <f>ROUND(('SSP Scenarios'!D31/'SSP Scenarios'!D$19)^2,5)</f>
        <v>1.23499</v>
      </c>
      <c r="U33" s="306">
        <f>ROUND(('SSP Scenarios'!E31/'SSP Scenarios'!E$19)^2,5)</f>
        <v>1.3595699999999999</v>
      </c>
      <c r="V33" s="306">
        <f>ROUND(('SSP Scenarios'!F31/'SSP Scenarios'!F$19)^2,5)</f>
        <v>1.5036799999999999</v>
      </c>
      <c r="W33" s="306">
        <f>ROUND(('SSP Scenarios'!G31/'SSP Scenarios'!G$19)^2,5)</f>
        <v>1.7992999999999999</v>
      </c>
      <c r="X33" s="287"/>
      <c r="Y33" s="255"/>
      <c r="Z33" s="269"/>
      <c r="AA33" s="289" t="s">
        <v>192</v>
      </c>
      <c r="AB33" s="289"/>
      <c r="AC33" s="289"/>
      <c r="AD33" s="289"/>
      <c r="AE33" s="289"/>
      <c r="AF33" s="255"/>
    </row>
    <row r="34" spans="1:32">
      <c r="A34" s="255"/>
      <c r="B34" s="255">
        <v>2060</v>
      </c>
      <c r="C34" s="255"/>
      <c r="D34" s="301">
        <f t="shared" si="0"/>
        <v>7.4809999999999999</v>
      </c>
      <c r="E34" s="301">
        <f t="shared" si="0"/>
        <v>1.9950000000000001</v>
      </c>
      <c r="F34" s="301">
        <f t="shared" si="0"/>
        <v>0.748</v>
      </c>
      <c r="G34" s="301"/>
      <c r="H34" s="301">
        <f t="shared" si="4"/>
        <v>8.6460000000000008</v>
      </c>
      <c r="I34" s="301">
        <f t="shared" si="4"/>
        <v>2.306</v>
      </c>
      <c r="J34" s="301">
        <f t="shared" si="4"/>
        <v>0.86499999999999999</v>
      </c>
      <c r="K34" s="301"/>
      <c r="L34" s="301">
        <f t="shared" si="5"/>
        <v>10.167999999999999</v>
      </c>
      <c r="M34" s="301">
        <f t="shared" si="5"/>
        <v>2.7120000000000002</v>
      </c>
      <c r="N34" s="301">
        <f t="shared" si="5"/>
        <v>1.0169999999999999</v>
      </c>
      <c r="O34" s="302"/>
      <c r="P34" s="301">
        <f t="shared" si="6"/>
        <v>13.930999999999999</v>
      </c>
      <c r="Q34" s="301">
        <f t="shared" si="6"/>
        <v>3.7149999999999999</v>
      </c>
      <c r="R34" s="301">
        <f t="shared" si="6"/>
        <v>1.393</v>
      </c>
      <c r="S34" s="300"/>
      <c r="T34" s="303">
        <f>ROUND(('SSP Scenarios'!D32/'SSP Scenarios'!D$19)^2,5)</f>
        <v>1.2468699999999999</v>
      </c>
      <c r="U34" s="303">
        <f>ROUND(('SSP Scenarios'!E32/'SSP Scenarios'!E$19)^2,5)</f>
        <v>1.4409400000000001</v>
      </c>
      <c r="V34" s="303">
        <f>ROUND(('SSP Scenarios'!F32/'SSP Scenarios'!F$19)^2,5)</f>
        <v>1.6947300000000001</v>
      </c>
      <c r="W34" s="303">
        <f>ROUND(('SSP Scenarios'!G32/'SSP Scenarios'!G$19)^2,5)</f>
        <v>2.32185</v>
      </c>
      <c r="X34" s="287"/>
      <c r="Y34" s="255"/>
      <c r="Z34" s="269"/>
      <c r="AA34" s="289" t="s">
        <v>193</v>
      </c>
      <c r="AB34" s="289"/>
      <c r="AC34" s="289"/>
      <c r="AD34" s="289"/>
      <c r="AE34" s="289"/>
      <c r="AF34" s="255"/>
    </row>
    <row r="35" spans="1:32">
      <c r="A35" s="255"/>
      <c r="B35" s="266">
        <v>2070</v>
      </c>
      <c r="C35" s="266"/>
      <c r="D35" s="304">
        <f t="shared" si="0"/>
        <v>7.4080000000000004</v>
      </c>
      <c r="E35" s="304">
        <f t="shared" si="0"/>
        <v>1.976</v>
      </c>
      <c r="F35" s="304">
        <f t="shared" si="0"/>
        <v>0.74099999999999999</v>
      </c>
      <c r="G35" s="304"/>
      <c r="H35" s="304">
        <f t="shared" si="4"/>
        <v>8.8829999999999991</v>
      </c>
      <c r="I35" s="304">
        <f t="shared" si="4"/>
        <v>2.3690000000000002</v>
      </c>
      <c r="J35" s="304">
        <f t="shared" si="4"/>
        <v>0.88800000000000001</v>
      </c>
      <c r="K35" s="304"/>
      <c r="L35" s="304">
        <f t="shared" si="5"/>
        <v>11.345000000000001</v>
      </c>
      <c r="M35" s="304">
        <f t="shared" si="5"/>
        <v>3.0249999999999999</v>
      </c>
      <c r="N35" s="304">
        <f t="shared" si="5"/>
        <v>1.1339999999999999</v>
      </c>
      <c r="O35" s="305"/>
      <c r="P35" s="304">
        <f t="shared" si="6"/>
        <v>18.367000000000001</v>
      </c>
      <c r="Q35" s="304">
        <f t="shared" si="6"/>
        <v>4.8979999999999997</v>
      </c>
      <c r="R35" s="304">
        <f t="shared" si="6"/>
        <v>1.837</v>
      </c>
      <c r="S35" s="300"/>
      <c r="T35" s="306">
        <f>ROUND(('SSP Scenarios'!D33/'SSP Scenarios'!D$19)^2,5)</f>
        <v>1.23472</v>
      </c>
      <c r="U35" s="306">
        <f>ROUND(('SSP Scenarios'!E33/'SSP Scenarios'!E$19)^2,5)</f>
        <v>1.48054</v>
      </c>
      <c r="V35" s="306">
        <f>ROUND(('SSP Scenarios'!F33/'SSP Scenarios'!F$19)^2,5)</f>
        <v>1.8908100000000001</v>
      </c>
      <c r="W35" s="306">
        <f>ROUND(('SSP Scenarios'!G33/'SSP Scenarios'!G$19)^2,5)</f>
        <v>3.0611799999999998</v>
      </c>
      <c r="X35" s="287"/>
      <c r="Y35" s="255"/>
      <c r="Z35" s="269"/>
      <c r="AA35" s="289"/>
      <c r="AB35" s="289"/>
      <c r="AC35" s="289"/>
      <c r="AD35" s="289"/>
      <c r="AE35" s="289"/>
      <c r="AF35" s="255"/>
    </row>
    <row r="36" spans="1:32">
      <c r="A36" s="255"/>
      <c r="B36" s="255">
        <v>2080</v>
      </c>
      <c r="C36" s="255"/>
      <c r="D36" s="301">
        <f t="shared" si="0"/>
        <v>7.1920000000000002</v>
      </c>
      <c r="E36" s="301">
        <f t="shared" si="0"/>
        <v>1.9179999999999999</v>
      </c>
      <c r="F36" s="301">
        <f t="shared" si="0"/>
        <v>0.71899999999999997</v>
      </c>
      <c r="G36" s="301"/>
      <c r="H36" s="301">
        <f t="shared" si="4"/>
        <v>8.9009999999999998</v>
      </c>
      <c r="I36" s="301">
        <f t="shared" si="4"/>
        <v>2.3740000000000001</v>
      </c>
      <c r="J36" s="301">
        <f t="shared" si="4"/>
        <v>0.89</v>
      </c>
      <c r="K36" s="301"/>
      <c r="L36" s="301">
        <f t="shared" si="5"/>
        <v>12.414999999999999</v>
      </c>
      <c r="M36" s="301">
        <f t="shared" si="5"/>
        <v>3.3109999999999999</v>
      </c>
      <c r="N36" s="301">
        <f t="shared" si="5"/>
        <v>1.242</v>
      </c>
      <c r="O36" s="302"/>
      <c r="P36" s="301">
        <f t="shared" si="6"/>
        <v>24.405000000000001</v>
      </c>
      <c r="Q36" s="301">
        <f t="shared" si="6"/>
        <v>6.508</v>
      </c>
      <c r="R36" s="301">
        <f t="shared" si="6"/>
        <v>2.4409999999999998</v>
      </c>
      <c r="S36" s="300"/>
      <c r="T36" s="303">
        <f>ROUND(('SSP Scenarios'!D34/'SSP Scenarios'!D$19)^2,5)</f>
        <v>1.1986399999999999</v>
      </c>
      <c r="U36" s="303">
        <f>ROUND(('SSP Scenarios'!E34/'SSP Scenarios'!E$19)^2,5)</f>
        <v>1.4834799999999999</v>
      </c>
      <c r="V36" s="303">
        <f>ROUND(('SSP Scenarios'!F34/'SSP Scenarios'!F$19)^2,5)</f>
        <v>2.0691799999999998</v>
      </c>
      <c r="W36" s="303">
        <f>ROUND(('SSP Scenarios'!G34/'SSP Scenarios'!G$19)^2,5)</f>
        <v>4.0675800000000004</v>
      </c>
      <c r="X36" s="287"/>
      <c r="Y36" s="255"/>
      <c r="Z36" s="269"/>
      <c r="AA36" s="307"/>
      <c r="AB36" s="307" t="s">
        <v>175</v>
      </c>
      <c r="AC36" s="307" t="s">
        <v>177</v>
      </c>
      <c r="AD36" s="307" t="s">
        <v>180</v>
      </c>
      <c r="AE36" s="269"/>
      <c r="AF36" s="255"/>
    </row>
    <row r="37" spans="1:32">
      <c r="A37" s="255"/>
      <c r="B37" s="266">
        <v>2090</v>
      </c>
      <c r="C37" s="266"/>
      <c r="D37" s="304">
        <f t="shared" si="0"/>
        <v>6.8550000000000004</v>
      </c>
      <c r="E37" s="304">
        <f t="shared" si="0"/>
        <v>1.8280000000000001</v>
      </c>
      <c r="F37" s="304">
        <f t="shared" si="0"/>
        <v>0.68500000000000005</v>
      </c>
      <c r="G37" s="304"/>
      <c r="H37" s="304">
        <f t="shared" si="4"/>
        <v>8.7579999999999991</v>
      </c>
      <c r="I37" s="304">
        <f t="shared" si="4"/>
        <v>2.335</v>
      </c>
      <c r="J37" s="304">
        <f t="shared" si="4"/>
        <v>0.876</v>
      </c>
      <c r="K37" s="304"/>
      <c r="L37" s="304">
        <f t="shared" si="5"/>
        <v>13.393000000000001</v>
      </c>
      <c r="M37" s="304">
        <f t="shared" si="5"/>
        <v>3.5720000000000001</v>
      </c>
      <c r="N37" s="304">
        <f t="shared" si="5"/>
        <v>1.339</v>
      </c>
      <c r="O37" s="305"/>
      <c r="P37" s="304">
        <f t="shared" si="6"/>
        <v>32.015999999999998</v>
      </c>
      <c r="Q37" s="304">
        <f t="shared" si="6"/>
        <v>8.5380000000000003</v>
      </c>
      <c r="R37" s="304">
        <f t="shared" si="6"/>
        <v>3.202</v>
      </c>
      <c r="S37" s="300"/>
      <c r="T37" s="306">
        <f>ROUND(('SSP Scenarios'!D35/'SSP Scenarios'!D$19)^2,5)</f>
        <v>1.1424300000000001</v>
      </c>
      <c r="U37" s="306">
        <f>ROUND(('SSP Scenarios'!E35/'SSP Scenarios'!E$19)^2,5)</f>
        <v>1.4596499999999999</v>
      </c>
      <c r="V37" s="306">
        <f>ROUND(('SSP Scenarios'!F35/'SSP Scenarios'!F$19)^2,5)</f>
        <v>2.2322299999999999</v>
      </c>
      <c r="W37" s="306">
        <f>ROUND(('SSP Scenarios'!G35/'SSP Scenarios'!G$19)^2,5)</f>
        <v>5.3360200000000004</v>
      </c>
      <c r="X37" s="287"/>
      <c r="Y37" s="255"/>
      <c r="Z37" s="269"/>
      <c r="AA37" s="308" t="s">
        <v>96</v>
      </c>
      <c r="AB37" s="309">
        <f>AVERAGE(AB42:AB72)</f>
        <v>5.967741935483871</v>
      </c>
      <c r="AC37" s="309">
        <f t="shared" ref="AC37:AD37" si="7">AVERAGE(AC42:AC72)</f>
        <v>1.6451612903225807</v>
      </c>
      <c r="AD37" s="309">
        <f t="shared" si="7"/>
        <v>0.61290322580645162</v>
      </c>
      <c r="AE37" s="269"/>
      <c r="AF37" s="255"/>
    </row>
    <row r="38" spans="1:32">
      <c r="A38" s="255"/>
      <c r="B38" s="255">
        <v>2100</v>
      </c>
      <c r="C38" s="255"/>
      <c r="D38" s="301">
        <f t="shared" ref="D38:F43" si="8">ROUND(D$21*$T38,3)</f>
        <v>6.5209999999999999</v>
      </c>
      <c r="E38" s="301">
        <f t="shared" si="8"/>
        <v>1.7390000000000001</v>
      </c>
      <c r="F38" s="301">
        <f t="shared" si="8"/>
        <v>0.65200000000000002</v>
      </c>
      <c r="G38" s="301"/>
      <c r="H38" s="301">
        <f t="shared" si="4"/>
        <v>8.5299999999999994</v>
      </c>
      <c r="I38" s="301">
        <f t="shared" si="4"/>
        <v>2.2749999999999999</v>
      </c>
      <c r="J38" s="301">
        <f t="shared" si="4"/>
        <v>0.85299999999999998</v>
      </c>
      <c r="K38" s="301"/>
      <c r="L38" s="301">
        <f t="shared" si="5"/>
        <v>14.353</v>
      </c>
      <c r="M38" s="301">
        <f t="shared" si="5"/>
        <v>3.827</v>
      </c>
      <c r="N38" s="301">
        <f t="shared" si="5"/>
        <v>1.4350000000000001</v>
      </c>
      <c r="O38" s="302"/>
      <c r="P38" s="301">
        <f t="shared" si="6"/>
        <v>40.869</v>
      </c>
      <c r="Q38" s="301">
        <f t="shared" si="6"/>
        <v>10.898</v>
      </c>
      <c r="R38" s="301">
        <f t="shared" si="6"/>
        <v>4.0869999999999997</v>
      </c>
      <c r="S38" s="300"/>
      <c r="T38" s="303">
        <f>ROUND(('SSP Scenarios'!D36/'SSP Scenarios'!D$19)^2,5)</f>
        <v>1.0868100000000001</v>
      </c>
      <c r="U38" s="303">
        <f>ROUND(('SSP Scenarios'!E36/'SSP Scenarios'!E$19)^2,5)</f>
        <v>1.4216599999999999</v>
      </c>
      <c r="V38" s="303">
        <f>ROUND(('SSP Scenarios'!F36/'SSP Scenarios'!F$19)^2,5)</f>
        <v>2.3921199999999998</v>
      </c>
      <c r="W38" s="303">
        <f>ROUND(('SSP Scenarios'!G36/'SSP Scenarios'!G$19)^2,5)</f>
        <v>6.8114400000000002</v>
      </c>
      <c r="X38" s="287"/>
      <c r="Y38" s="255"/>
      <c r="Z38" s="269"/>
      <c r="AA38" s="308" t="s">
        <v>194</v>
      </c>
      <c r="AB38" s="310">
        <f>ROUND(AB37,1)</f>
        <v>6</v>
      </c>
      <c r="AC38" s="310">
        <f t="shared" ref="AC38:AD38" si="9">ROUND(AC37,1)</f>
        <v>1.6</v>
      </c>
      <c r="AD38" s="310">
        <f t="shared" si="9"/>
        <v>0.6</v>
      </c>
      <c r="AE38" s="269"/>
      <c r="AF38" s="255"/>
    </row>
    <row r="39" spans="1:32">
      <c r="A39" s="255"/>
      <c r="B39" s="266">
        <v>2110</v>
      </c>
      <c r="C39" s="266"/>
      <c r="D39" s="304">
        <f t="shared" si="8"/>
        <v>6.1959999999999997</v>
      </c>
      <c r="E39" s="304">
        <f t="shared" si="8"/>
        <v>1.6519999999999999</v>
      </c>
      <c r="F39" s="304">
        <f t="shared" si="8"/>
        <v>0.62</v>
      </c>
      <c r="G39" s="304"/>
      <c r="H39" s="304">
        <f t="shared" si="4"/>
        <v>8.3049999999999997</v>
      </c>
      <c r="I39" s="304">
        <f t="shared" si="4"/>
        <v>2.2149999999999999</v>
      </c>
      <c r="J39" s="304">
        <f t="shared" si="4"/>
        <v>0.83</v>
      </c>
      <c r="K39" s="304"/>
      <c r="L39" s="304">
        <f t="shared" si="5"/>
        <v>15.345000000000001</v>
      </c>
      <c r="M39" s="304">
        <f t="shared" si="5"/>
        <v>4.0919999999999996</v>
      </c>
      <c r="N39" s="304">
        <f t="shared" si="5"/>
        <v>1.5349999999999999</v>
      </c>
      <c r="O39" s="305"/>
      <c r="P39" s="304">
        <f t="shared" si="6"/>
        <v>50.8</v>
      </c>
      <c r="Q39" s="304">
        <f t="shared" si="6"/>
        <v>13.547000000000001</v>
      </c>
      <c r="R39" s="304">
        <f t="shared" si="6"/>
        <v>5.08</v>
      </c>
      <c r="S39" s="300"/>
      <c r="T39" s="306">
        <f>ROUND(('SSP Scenarios'!D37/'SSP Scenarios'!D$19)^2,5)</f>
        <v>1.0325899999999999</v>
      </c>
      <c r="U39" s="306">
        <f>ROUND(('SSP Scenarios'!E37/'SSP Scenarios'!E$19)^2,5)</f>
        <v>1.3841600000000001</v>
      </c>
      <c r="V39" s="306">
        <f>ROUND(('SSP Scenarios'!F37/'SSP Scenarios'!F$19)^2,5)</f>
        <v>2.5575299999999999</v>
      </c>
      <c r="W39" s="306">
        <f>ROUND(('SSP Scenarios'!G37/'SSP Scenarios'!G$19)^2,5)</f>
        <v>8.4667399999999997</v>
      </c>
      <c r="X39" s="287"/>
      <c r="Y39" s="255"/>
      <c r="Z39" s="269"/>
      <c r="AA39" s="311"/>
      <c r="AB39" s="312"/>
      <c r="AC39" s="312"/>
      <c r="AD39" s="312"/>
      <c r="AE39" s="269"/>
      <c r="AF39" s="255"/>
    </row>
    <row r="40" spans="1:32">
      <c r="A40" s="255"/>
      <c r="B40" s="255">
        <v>2120</v>
      </c>
      <c r="C40" s="255"/>
      <c r="D40" s="301">
        <f t="shared" si="8"/>
        <v>5.8780000000000001</v>
      </c>
      <c r="E40" s="301">
        <f t="shared" si="8"/>
        <v>1.5680000000000001</v>
      </c>
      <c r="F40" s="301">
        <f t="shared" si="8"/>
        <v>0.58799999999999997</v>
      </c>
      <c r="G40" s="301"/>
      <c r="H40" s="301">
        <f t="shared" si="4"/>
        <v>8.0830000000000002</v>
      </c>
      <c r="I40" s="301">
        <f t="shared" si="4"/>
        <v>2.1549999999999998</v>
      </c>
      <c r="J40" s="301">
        <f t="shared" si="4"/>
        <v>0.80800000000000005</v>
      </c>
      <c r="K40" s="301"/>
      <c r="L40" s="301">
        <f t="shared" si="5"/>
        <v>16.370999999999999</v>
      </c>
      <c r="M40" s="301">
        <f t="shared" si="5"/>
        <v>4.3659999999999997</v>
      </c>
      <c r="N40" s="301">
        <f t="shared" si="5"/>
        <v>1.637</v>
      </c>
      <c r="O40" s="302"/>
      <c r="P40" s="301">
        <f t="shared" si="6"/>
        <v>61.811</v>
      </c>
      <c r="Q40" s="301">
        <f t="shared" si="6"/>
        <v>16.483000000000001</v>
      </c>
      <c r="R40" s="301">
        <f t="shared" si="6"/>
        <v>6.181</v>
      </c>
      <c r="S40" s="300"/>
      <c r="T40" s="303">
        <f>ROUND(('SSP Scenarios'!D38/'SSP Scenarios'!D$19)^2,5)</f>
        <v>0.97974000000000006</v>
      </c>
      <c r="U40" s="303">
        <f>ROUND(('SSP Scenarios'!E38/'SSP Scenarios'!E$19)^2,5)</f>
        <v>1.34717</v>
      </c>
      <c r="V40" s="303">
        <f>ROUND(('SSP Scenarios'!F38/'SSP Scenarios'!F$19)^2,5)</f>
        <v>2.7284700000000002</v>
      </c>
      <c r="W40" s="303">
        <f>ROUND(('SSP Scenarios'!G38/'SSP Scenarios'!G$19)^2,5)</f>
        <v>10.301909999999999</v>
      </c>
      <c r="X40" s="287"/>
      <c r="Y40" s="255"/>
      <c r="Z40" s="269"/>
      <c r="AA40" s="313" t="s">
        <v>195</v>
      </c>
      <c r="AB40" s="314"/>
      <c r="AC40" s="314"/>
      <c r="AD40" s="314"/>
      <c r="AE40" s="269"/>
      <c r="AF40" s="255"/>
    </row>
    <row r="41" spans="1:32">
      <c r="A41" s="255"/>
      <c r="B41" s="266">
        <v>2130</v>
      </c>
      <c r="C41" s="266"/>
      <c r="D41" s="304">
        <f t="shared" si="8"/>
        <v>5.5860000000000003</v>
      </c>
      <c r="E41" s="304">
        <f t="shared" si="8"/>
        <v>1.49</v>
      </c>
      <c r="F41" s="304">
        <f t="shared" si="8"/>
        <v>0.55900000000000005</v>
      </c>
      <c r="G41" s="304"/>
      <c r="H41" s="304">
        <f t="shared" si="4"/>
        <v>7.8639999999999999</v>
      </c>
      <c r="I41" s="304">
        <f t="shared" si="4"/>
        <v>2.097</v>
      </c>
      <c r="J41" s="304">
        <f t="shared" si="4"/>
        <v>0.78600000000000003</v>
      </c>
      <c r="K41" s="304"/>
      <c r="L41" s="304">
        <f t="shared" si="5"/>
        <v>17.43</v>
      </c>
      <c r="M41" s="304">
        <f t="shared" si="5"/>
        <v>4.6479999999999997</v>
      </c>
      <c r="N41" s="304">
        <f t="shared" si="5"/>
        <v>1.7430000000000001</v>
      </c>
      <c r="O41" s="305"/>
      <c r="P41" s="304">
        <f t="shared" si="6"/>
        <v>73.902000000000001</v>
      </c>
      <c r="Q41" s="304">
        <f t="shared" si="6"/>
        <v>19.707000000000001</v>
      </c>
      <c r="R41" s="304">
        <f t="shared" si="6"/>
        <v>7.39</v>
      </c>
      <c r="S41" s="300"/>
      <c r="T41" s="306">
        <f>ROUND(('SSP Scenarios'!D39/'SSP Scenarios'!D$19)^2,5)</f>
        <v>0.93103999999999998</v>
      </c>
      <c r="U41" s="306">
        <f>ROUND(('SSP Scenarios'!E39/'SSP Scenarios'!E$19)^2,5)</f>
        <v>1.31067</v>
      </c>
      <c r="V41" s="306">
        <f>ROUND(('SSP Scenarios'!F39/'SSP Scenarios'!F$19)^2,5)</f>
        <v>2.9049499999999999</v>
      </c>
      <c r="W41" s="306">
        <f>ROUND(('SSP Scenarios'!G39/'SSP Scenarios'!G$19)^2,5)</f>
        <v>12.31695</v>
      </c>
      <c r="X41" s="287"/>
      <c r="Y41" s="255"/>
      <c r="Z41" s="269"/>
      <c r="AA41" s="307"/>
      <c r="AB41" s="307" t="s">
        <v>175</v>
      </c>
      <c r="AC41" s="307" t="s">
        <v>177</v>
      </c>
      <c r="AD41" s="307" t="s">
        <v>180</v>
      </c>
      <c r="AE41" s="269"/>
      <c r="AF41" s="255"/>
    </row>
    <row r="42" spans="1:32">
      <c r="A42" s="255"/>
      <c r="B42" s="255">
        <v>2140</v>
      </c>
      <c r="C42" s="255"/>
      <c r="D42" s="301">
        <f t="shared" si="8"/>
        <v>5.5860000000000003</v>
      </c>
      <c r="E42" s="301">
        <f t="shared" si="8"/>
        <v>1.49</v>
      </c>
      <c r="F42" s="301">
        <f t="shared" si="8"/>
        <v>0.55900000000000005</v>
      </c>
      <c r="G42" s="301"/>
      <c r="H42" s="301">
        <f t="shared" si="4"/>
        <v>7.6479999999999997</v>
      </c>
      <c r="I42" s="301">
        <f t="shared" si="4"/>
        <v>2.0390000000000001</v>
      </c>
      <c r="J42" s="301">
        <f t="shared" si="4"/>
        <v>0.76500000000000001</v>
      </c>
      <c r="K42" s="301"/>
      <c r="L42" s="301">
        <f t="shared" si="5"/>
        <v>18.521999999999998</v>
      </c>
      <c r="M42" s="301">
        <f t="shared" si="5"/>
        <v>4.9390000000000001</v>
      </c>
      <c r="N42" s="301">
        <f t="shared" si="5"/>
        <v>1.8520000000000001</v>
      </c>
      <c r="O42" s="302"/>
      <c r="P42" s="301">
        <f t="shared" si="6"/>
        <v>87.070999999999998</v>
      </c>
      <c r="Q42" s="301">
        <f t="shared" si="6"/>
        <v>23.219000000000001</v>
      </c>
      <c r="R42" s="301">
        <f t="shared" si="6"/>
        <v>8.7070000000000007</v>
      </c>
      <c r="S42" s="300"/>
      <c r="T42" s="303">
        <f>ROUND(('SSP Scenarios'!D40/'SSP Scenarios'!D$19)^2,5)</f>
        <v>0.93103999999999998</v>
      </c>
      <c r="U42" s="303">
        <f>ROUND(('SSP Scenarios'!E40/'SSP Scenarios'!E$19)^2,5)</f>
        <v>1.27468</v>
      </c>
      <c r="V42" s="303">
        <f>ROUND(('SSP Scenarios'!F40/'SSP Scenarios'!F$19)^2,5)</f>
        <v>3.0869499999999999</v>
      </c>
      <c r="W42" s="303">
        <f>ROUND(('SSP Scenarios'!G40/'SSP Scenarios'!G$19)^2,5)</f>
        <v>14.511850000000001</v>
      </c>
      <c r="X42" s="287"/>
      <c r="Y42" s="255"/>
      <c r="Z42" s="269"/>
      <c r="AA42" s="314">
        <v>1990</v>
      </c>
      <c r="AB42" s="312">
        <v>9</v>
      </c>
      <c r="AC42" s="312">
        <v>4</v>
      </c>
      <c r="AD42" s="312">
        <v>0</v>
      </c>
      <c r="AE42" s="269"/>
      <c r="AF42" s="255"/>
    </row>
    <row r="43" spans="1:32">
      <c r="A43" s="255"/>
      <c r="B43" s="266">
        <v>2150</v>
      </c>
      <c r="C43" s="266"/>
      <c r="D43" s="304">
        <f t="shared" si="8"/>
        <v>5.5860000000000003</v>
      </c>
      <c r="E43" s="304">
        <f t="shared" si="8"/>
        <v>1.49</v>
      </c>
      <c r="F43" s="304">
        <f t="shared" si="8"/>
        <v>0.55900000000000005</v>
      </c>
      <c r="G43" s="304"/>
      <c r="H43" s="304">
        <f t="shared" si="4"/>
        <v>7.4349999999999996</v>
      </c>
      <c r="I43" s="304">
        <f t="shared" si="4"/>
        <v>1.9830000000000001</v>
      </c>
      <c r="J43" s="304">
        <f t="shared" si="4"/>
        <v>0.74399999999999999</v>
      </c>
      <c r="K43" s="304"/>
      <c r="L43" s="304">
        <f t="shared" si="5"/>
        <v>19.646999999999998</v>
      </c>
      <c r="M43" s="304">
        <f t="shared" si="5"/>
        <v>5.2389999999999999</v>
      </c>
      <c r="N43" s="304">
        <f t="shared" si="5"/>
        <v>1.9650000000000001</v>
      </c>
      <c r="O43" s="305"/>
      <c r="P43" s="304">
        <f t="shared" si="6"/>
        <v>101.32</v>
      </c>
      <c r="Q43" s="304">
        <f t="shared" si="6"/>
        <v>27.018999999999998</v>
      </c>
      <c r="R43" s="304">
        <f t="shared" si="6"/>
        <v>10.132</v>
      </c>
      <c r="S43" s="300"/>
      <c r="T43" s="306">
        <f>ROUND(('SSP Scenarios'!D41/'SSP Scenarios'!D$19)^2,5)</f>
        <v>0.93103999999999998</v>
      </c>
      <c r="U43" s="306">
        <f>ROUND(('SSP Scenarios'!E41/'SSP Scenarios'!E$19)^2,5)</f>
        <v>1.23919</v>
      </c>
      <c r="V43" s="306">
        <f>ROUND(('SSP Scenarios'!F41/'SSP Scenarios'!F$19)^2,5)</f>
        <v>3.2744800000000001</v>
      </c>
      <c r="W43" s="306">
        <f>ROUND(('SSP Scenarios'!G41/'SSP Scenarios'!G$19)^2,5)</f>
        <v>16.88663</v>
      </c>
      <c r="X43" s="287"/>
      <c r="Y43" s="255"/>
      <c r="Z43" s="269"/>
      <c r="AA43" s="314">
        <v>1991</v>
      </c>
      <c r="AB43" s="312">
        <v>7</v>
      </c>
      <c r="AC43" s="312">
        <v>3</v>
      </c>
      <c r="AD43" s="312">
        <v>0</v>
      </c>
      <c r="AE43" s="269"/>
      <c r="AF43" s="255"/>
    </row>
    <row r="44" spans="1:32">
      <c r="A44" s="255"/>
      <c r="B44" s="255"/>
      <c r="C44" s="255"/>
      <c r="D44" s="301"/>
      <c r="E44" s="301"/>
      <c r="F44" s="301"/>
      <c r="G44" s="301"/>
      <c r="H44" s="301"/>
      <c r="I44" s="301"/>
      <c r="J44" s="301"/>
      <c r="K44" s="301"/>
      <c r="L44" s="301"/>
      <c r="M44" s="301"/>
      <c r="N44" s="301"/>
      <c r="O44" s="302"/>
      <c r="P44" s="301"/>
      <c r="Q44" s="301"/>
      <c r="R44" s="301"/>
      <c r="S44" s="315"/>
      <c r="T44" s="316"/>
      <c r="U44" s="316"/>
      <c r="V44" s="316"/>
      <c r="W44" s="316"/>
      <c r="X44" s="317"/>
      <c r="Y44" s="255"/>
      <c r="Z44" s="269"/>
      <c r="AA44" s="314">
        <v>1992</v>
      </c>
      <c r="AB44" s="312">
        <v>7</v>
      </c>
      <c r="AC44" s="312">
        <v>3</v>
      </c>
      <c r="AD44" s="312">
        <v>0</v>
      </c>
      <c r="AE44" s="269"/>
      <c r="AF44" s="255"/>
    </row>
    <row r="45" spans="1:32">
      <c r="A45" s="255"/>
      <c r="B45" s="255"/>
      <c r="C45" s="255"/>
      <c r="D45" s="255"/>
      <c r="E45" s="255"/>
      <c r="F45" s="255"/>
      <c r="G45" s="255"/>
      <c r="H45" s="255"/>
      <c r="I45" s="255"/>
      <c r="J45" s="255"/>
      <c r="K45" s="255"/>
      <c r="L45" s="255"/>
      <c r="M45" s="255"/>
      <c r="N45" s="255"/>
      <c r="O45" s="255"/>
      <c r="P45" s="255"/>
      <c r="Q45" s="255"/>
      <c r="R45" s="255"/>
      <c r="S45" s="255"/>
      <c r="T45" s="255"/>
      <c r="U45" s="255"/>
      <c r="V45" s="255"/>
      <c r="W45" s="255"/>
      <c r="X45" s="255"/>
      <c r="Y45" s="255"/>
      <c r="Z45" s="269"/>
      <c r="AA45" s="314">
        <v>1993</v>
      </c>
      <c r="AB45" s="312">
        <v>13</v>
      </c>
      <c r="AC45" s="312">
        <v>4</v>
      </c>
      <c r="AD45" s="312">
        <v>2</v>
      </c>
      <c r="AE45" s="269"/>
      <c r="AF45" s="255"/>
    </row>
    <row r="46" spans="1:32">
      <c r="A46" s="255"/>
      <c r="B46" s="255"/>
      <c r="C46" s="255"/>
      <c r="D46" s="255"/>
      <c r="E46" s="255"/>
      <c r="F46" s="255"/>
      <c r="G46" s="255"/>
      <c r="H46" s="255"/>
      <c r="I46" s="255"/>
      <c r="J46" s="255"/>
      <c r="K46" s="255"/>
      <c r="L46" s="255"/>
      <c r="M46" s="255"/>
      <c r="N46" s="255"/>
      <c r="O46" s="255"/>
      <c r="P46" s="255"/>
      <c r="Q46" s="255"/>
      <c r="R46" s="255"/>
      <c r="S46" s="255"/>
      <c r="T46" s="255"/>
      <c r="U46" s="255"/>
      <c r="V46" s="255"/>
      <c r="W46" s="255"/>
      <c r="X46" s="255"/>
      <c r="Y46" s="255"/>
      <c r="Z46" s="269"/>
      <c r="AA46" s="314">
        <v>1994</v>
      </c>
      <c r="AB46" s="312">
        <v>16</v>
      </c>
      <c r="AC46" s="312">
        <v>3</v>
      </c>
      <c r="AD46" s="312">
        <v>0</v>
      </c>
      <c r="AE46" s="269"/>
      <c r="AF46" s="255"/>
    </row>
    <row r="47" spans="1:32">
      <c r="A47" s="255"/>
      <c r="B47" s="255"/>
      <c r="C47" s="255"/>
      <c r="D47" s="255"/>
      <c r="E47" s="255"/>
      <c r="F47" s="255"/>
      <c r="G47" s="255"/>
      <c r="H47" s="255"/>
      <c r="I47" s="255"/>
      <c r="J47" s="255"/>
      <c r="K47" s="255"/>
      <c r="L47" s="255"/>
      <c r="M47" s="255"/>
      <c r="N47" s="255"/>
      <c r="O47" s="255"/>
      <c r="P47" s="255"/>
      <c r="Q47" s="255"/>
      <c r="R47" s="255"/>
      <c r="S47" s="255"/>
      <c r="T47" s="255"/>
      <c r="U47" s="255"/>
      <c r="V47" s="255"/>
      <c r="W47" s="255"/>
      <c r="X47" s="255"/>
      <c r="Y47" s="255"/>
      <c r="Z47" s="269"/>
      <c r="AA47" s="314">
        <v>1995</v>
      </c>
      <c r="AB47" s="312">
        <v>14</v>
      </c>
      <c r="AC47" s="312">
        <v>4</v>
      </c>
      <c r="AD47" s="312">
        <v>3</v>
      </c>
      <c r="AE47" s="269"/>
      <c r="AF47" s="255"/>
    </row>
    <row r="48" spans="1:32">
      <c r="A48" s="255"/>
      <c r="B48" s="255"/>
      <c r="C48" s="255"/>
      <c r="D48" s="255"/>
      <c r="E48" s="255"/>
      <c r="F48" s="255"/>
      <c r="G48" s="255"/>
      <c r="H48" s="255"/>
      <c r="I48" s="255"/>
      <c r="J48" s="255"/>
      <c r="K48" s="255"/>
      <c r="L48" s="255"/>
      <c r="M48" s="255"/>
      <c r="N48" s="255"/>
      <c r="O48" s="255"/>
      <c r="P48" s="255"/>
      <c r="Q48" s="255"/>
      <c r="R48" s="257"/>
      <c r="S48" s="257"/>
      <c r="T48" s="257"/>
      <c r="U48" s="257"/>
      <c r="V48" s="257"/>
      <c r="W48" s="257"/>
      <c r="X48" s="257"/>
      <c r="Y48" s="255"/>
      <c r="Z48" s="269"/>
      <c r="AA48" s="314">
        <v>1996</v>
      </c>
      <c r="AB48" s="312">
        <v>16</v>
      </c>
      <c r="AC48" s="312">
        <v>2</v>
      </c>
      <c r="AD48" s="312">
        <v>1</v>
      </c>
      <c r="AE48" s="269"/>
      <c r="AF48" s="255"/>
    </row>
    <row r="49" spans="1:32">
      <c r="A49" s="255"/>
      <c r="B49" s="571" t="s">
        <v>196</v>
      </c>
      <c r="C49" s="571"/>
      <c r="D49" s="571"/>
      <c r="E49" s="571"/>
      <c r="F49" s="571"/>
      <c r="G49" s="571"/>
      <c r="H49" s="571"/>
      <c r="I49" s="571"/>
      <c r="J49" s="571"/>
      <c r="K49" s="571"/>
      <c r="L49" s="571"/>
      <c r="M49" s="571"/>
      <c r="N49" s="571"/>
      <c r="O49" s="571"/>
      <c r="P49" s="571"/>
      <c r="Q49" s="571"/>
      <c r="R49" s="571"/>
      <c r="S49" s="571"/>
      <c r="T49" s="571"/>
      <c r="U49" s="571"/>
      <c r="V49" s="571"/>
      <c r="W49" s="571"/>
      <c r="X49" s="318"/>
      <c r="Y49" s="255"/>
      <c r="Z49" s="269"/>
      <c r="AA49" s="314">
        <v>1997</v>
      </c>
      <c r="AB49" s="312">
        <v>3</v>
      </c>
      <c r="AC49" s="312">
        <v>2</v>
      </c>
      <c r="AD49" s="312">
        <v>0</v>
      </c>
      <c r="AE49" s="269"/>
      <c r="AF49" s="255"/>
    </row>
    <row r="50" spans="1:32">
      <c r="A50" s="255"/>
      <c r="B50" s="571"/>
      <c r="C50" s="571"/>
      <c r="D50" s="571"/>
      <c r="E50" s="571"/>
      <c r="F50" s="571"/>
      <c r="G50" s="571"/>
      <c r="H50" s="571"/>
      <c r="I50" s="571"/>
      <c r="J50" s="571"/>
      <c r="K50" s="571"/>
      <c r="L50" s="571"/>
      <c r="M50" s="571"/>
      <c r="N50" s="571"/>
      <c r="O50" s="571"/>
      <c r="P50" s="571"/>
      <c r="Q50" s="571"/>
      <c r="R50" s="571"/>
      <c r="S50" s="571"/>
      <c r="T50" s="571"/>
      <c r="U50" s="571"/>
      <c r="V50" s="571"/>
      <c r="W50" s="571"/>
      <c r="X50" s="318"/>
      <c r="Y50" s="255"/>
      <c r="Z50" s="269"/>
      <c r="AA50" s="314">
        <v>1998</v>
      </c>
      <c r="AB50" s="312">
        <v>4</v>
      </c>
      <c r="AC50" s="312">
        <v>1</v>
      </c>
      <c r="AD50" s="312">
        <v>0</v>
      </c>
      <c r="AE50" s="269"/>
      <c r="AF50" s="255"/>
    </row>
    <row r="51" spans="1:32">
      <c r="A51" s="255"/>
      <c r="B51" s="571"/>
      <c r="C51" s="571"/>
      <c r="D51" s="571"/>
      <c r="E51" s="571"/>
      <c r="F51" s="571"/>
      <c r="G51" s="571"/>
      <c r="H51" s="571"/>
      <c r="I51" s="571"/>
      <c r="J51" s="571"/>
      <c r="K51" s="571"/>
      <c r="L51" s="571"/>
      <c r="M51" s="571"/>
      <c r="N51" s="571"/>
      <c r="O51" s="571"/>
      <c r="P51" s="571"/>
      <c r="Q51" s="571"/>
      <c r="R51" s="571"/>
      <c r="S51" s="571"/>
      <c r="T51" s="571"/>
      <c r="U51" s="571"/>
      <c r="V51" s="571"/>
      <c r="W51" s="571"/>
      <c r="X51" s="318"/>
      <c r="Y51" s="255"/>
      <c r="Z51" s="269"/>
      <c r="AA51" s="314">
        <v>1999</v>
      </c>
      <c r="AB51" s="312">
        <v>5</v>
      </c>
      <c r="AC51" s="312">
        <v>1</v>
      </c>
      <c r="AD51" s="312">
        <v>1</v>
      </c>
      <c r="AE51" s="269"/>
      <c r="AF51" s="255"/>
    </row>
    <row r="52" spans="1:32">
      <c r="A52" s="255"/>
      <c r="B52" s="571"/>
      <c r="C52" s="571"/>
      <c r="D52" s="571"/>
      <c r="E52" s="571"/>
      <c r="F52" s="571"/>
      <c r="G52" s="571"/>
      <c r="H52" s="571"/>
      <c r="I52" s="571"/>
      <c r="J52" s="571"/>
      <c r="K52" s="571"/>
      <c r="L52" s="571"/>
      <c r="M52" s="571"/>
      <c r="N52" s="571"/>
      <c r="O52" s="571"/>
      <c r="P52" s="571"/>
      <c r="Q52" s="571"/>
      <c r="R52" s="571"/>
      <c r="S52" s="571"/>
      <c r="T52" s="571"/>
      <c r="U52" s="571"/>
      <c r="V52" s="571"/>
      <c r="W52" s="571"/>
      <c r="X52" s="257"/>
      <c r="Y52" s="255"/>
      <c r="Z52" s="269"/>
      <c r="AA52" s="314">
        <v>2000</v>
      </c>
      <c r="AB52" s="312">
        <v>4</v>
      </c>
      <c r="AC52" s="312">
        <v>1</v>
      </c>
      <c r="AD52" s="312">
        <v>1</v>
      </c>
      <c r="AE52" s="269"/>
      <c r="AF52" s="255"/>
    </row>
    <row r="53" spans="1:32">
      <c r="A53" s="255"/>
      <c r="B53" s="571"/>
      <c r="C53" s="571"/>
      <c r="D53" s="571"/>
      <c r="E53" s="571"/>
      <c r="F53" s="571"/>
      <c r="G53" s="571"/>
      <c r="H53" s="571"/>
      <c r="I53" s="571"/>
      <c r="J53" s="571"/>
      <c r="K53" s="571"/>
      <c r="L53" s="571"/>
      <c r="M53" s="571"/>
      <c r="N53" s="571"/>
      <c r="O53" s="571"/>
      <c r="P53" s="571"/>
      <c r="Q53" s="571"/>
      <c r="R53" s="571"/>
      <c r="S53" s="571"/>
      <c r="T53" s="571"/>
      <c r="U53" s="571"/>
      <c r="V53" s="571"/>
      <c r="W53" s="571"/>
      <c r="Z53" s="269"/>
      <c r="AA53" s="314">
        <v>2001</v>
      </c>
      <c r="AB53" s="312">
        <v>0</v>
      </c>
      <c r="AC53" s="312">
        <v>0</v>
      </c>
      <c r="AD53" s="312">
        <v>0</v>
      </c>
      <c r="AE53" s="269"/>
      <c r="AF53" s="255"/>
    </row>
    <row r="54" spans="1:32">
      <c r="A54" s="255"/>
      <c r="B54" s="572" t="s">
        <v>197</v>
      </c>
      <c r="C54" s="572"/>
      <c r="D54" s="572"/>
      <c r="E54" s="572"/>
      <c r="F54" s="572"/>
      <c r="G54" s="572"/>
      <c r="H54" s="572"/>
      <c r="I54" s="572"/>
      <c r="J54" s="572"/>
      <c r="K54" s="572"/>
      <c r="L54" s="572"/>
      <c r="M54" s="572"/>
      <c r="N54" s="572"/>
      <c r="O54" s="572"/>
      <c r="P54" s="572"/>
      <c r="Q54" s="572"/>
      <c r="R54" s="572"/>
      <c r="S54" s="572"/>
      <c r="T54" s="572"/>
      <c r="U54" s="572"/>
      <c r="V54" s="572"/>
      <c r="W54" s="572"/>
      <c r="X54" s="257"/>
      <c r="Y54" s="255"/>
      <c r="Z54" s="269"/>
      <c r="AA54" s="314">
        <v>2002</v>
      </c>
      <c r="AB54" s="312">
        <v>9</v>
      </c>
      <c r="AC54" s="312">
        <v>2</v>
      </c>
      <c r="AD54" s="312">
        <v>1</v>
      </c>
      <c r="AE54" s="269"/>
      <c r="AF54" s="255"/>
    </row>
    <row r="55" spans="1:32">
      <c r="A55" s="255"/>
      <c r="B55" s="255"/>
      <c r="C55" s="255"/>
      <c r="D55" s="255"/>
      <c r="E55" s="255"/>
      <c r="F55" s="255"/>
      <c r="G55" s="255"/>
      <c r="H55" s="255"/>
      <c r="I55" s="255"/>
      <c r="J55" s="255"/>
      <c r="K55" s="255"/>
      <c r="L55" s="255"/>
      <c r="M55" s="255"/>
      <c r="N55" s="255"/>
      <c r="O55" s="255"/>
      <c r="P55" s="255"/>
      <c r="Q55" s="255"/>
      <c r="R55" s="257"/>
      <c r="S55" s="257"/>
      <c r="T55" s="257"/>
      <c r="U55" s="257"/>
      <c r="V55" s="257"/>
      <c r="W55" s="257"/>
      <c r="X55" s="257"/>
      <c r="Y55" s="255"/>
      <c r="Z55" s="269"/>
      <c r="AA55" s="314">
        <v>2003</v>
      </c>
      <c r="AB55" s="312">
        <v>9</v>
      </c>
      <c r="AC55" s="312">
        <v>3</v>
      </c>
      <c r="AD55" s="312">
        <v>1</v>
      </c>
      <c r="AE55" s="269"/>
      <c r="AF55" s="255"/>
    </row>
    <row r="56" spans="1:32">
      <c r="A56" s="255"/>
      <c r="B56" s="255"/>
      <c r="C56" s="255"/>
      <c r="D56" s="255"/>
      <c r="E56" s="255"/>
      <c r="F56" s="255"/>
      <c r="G56" s="255"/>
      <c r="H56" s="255"/>
      <c r="I56" s="255"/>
      <c r="J56" s="255"/>
      <c r="K56" s="255"/>
      <c r="L56" s="255"/>
      <c r="M56" s="255"/>
      <c r="N56" s="255"/>
      <c r="O56" s="255"/>
      <c r="P56" s="255"/>
      <c r="Q56" s="255"/>
      <c r="R56" s="257"/>
      <c r="S56" s="257"/>
      <c r="T56" s="257"/>
      <c r="U56" s="257"/>
      <c r="V56" s="257"/>
      <c r="W56" s="257"/>
      <c r="X56" s="257"/>
      <c r="Y56" s="255"/>
      <c r="Z56" s="269"/>
      <c r="AA56" s="314">
        <v>2004</v>
      </c>
      <c r="AB56" s="312">
        <v>12</v>
      </c>
      <c r="AC56" s="312">
        <v>1</v>
      </c>
      <c r="AD56" s="312">
        <v>1</v>
      </c>
      <c r="AE56" s="269"/>
      <c r="AF56" s="255"/>
    </row>
    <row r="57" spans="1:32">
      <c r="A57" s="255"/>
      <c r="B57" s="255"/>
      <c r="C57" s="255"/>
      <c r="D57" s="255"/>
      <c r="E57" s="255"/>
      <c r="F57" s="255"/>
      <c r="G57" s="255"/>
      <c r="H57" s="255"/>
      <c r="I57" s="255"/>
      <c r="J57" s="255"/>
      <c r="K57" s="255"/>
      <c r="L57" s="255"/>
      <c r="M57" s="255"/>
      <c r="N57" s="255"/>
      <c r="O57" s="255"/>
      <c r="P57" s="255"/>
      <c r="Q57" s="255"/>
      <c r="R57" s="257"/>
      <c r="S57" s="257"/>
      <c r="T57" s="257"/>
      <c r="U57" s="257"/>
      <c r="V57" s="257"/>
      <c r="W57" s="257"/>
      <c r="X57" s="257"/>
      <c r="Y57" s="255"/>
      <c r="Z57" s="269"/>
      <c r="AA57" s="314">
        <v>2005</v>
      </c>
      <c r="AB57" s="312">
        <v>4</v>
      </c>
      <c r="AC57" s="312">
        <v>3</v>
      </c>
      <c r="AD57" s="312">
        <v>0</v>
      </c>
      <c r="AE57" s="269"/>
      <c r="AF57" s="255"/>
    </row>
    <row r="58" spans="1:32">
      <c r="A58" s="255"/>
      <c r="B58" s="255"/>
      <c r="C58" s="255"/>
      <c r="D58" s="255"/>
      <c r="E58" s="255"/>
      <c r="F58" s="255"/>
      <c r="G58" s="255"/>
      <c r="H58" s="255"/>
      <c r="I58" s="255"/>
      <c r="J58" s="255"/>
      <c r="K58" s="255"/>
      <c r="L58" s="255"/>
      <c r="M58" s="255"/>
      <c r="N58" s="255"/>
      <c r="O58" s="255"/>
      <c r="P58" s="255"/>
      <c r="Q58" s="255"/>
      <c r="R58" s="257"/>
      <c r="S58" s="257"/>
      <c r="T58" s="257"/>
      <c r="U58" s="257"/>
      <c r="V58" s="257"/>
      <c r="W58" s="257"/>
      <c r="X58" s="257"/>
      <c r="Y58" s="255"/>
      <c r="Z58" s="269"/>
      <c r="AA58" s="314">
        <v>2006</v>
      </c>
      <c r="AB58" s="312">
        <v>2</v>
      </c>
      <c r="AC58" s="312">
        <v>0</v>
      </c>
      <c r="AD58" s="312">
        <v>0</v>
      </c>
      <c r="AE58" s="269"/>
      <c r="AF58" s="255"/>
    </row>
    <row r="59" spans="1:32">
      <c r="A59" s="255"/>
      <c r="B59" s="255"/>
      <c r="C59" s="255"/>
      <c r="D59" s="255"/>
      <c r="E59" s="255"/>
      <c r="F59" s="255"/>
      <c r="G59" s="255"/>
      <c r="H59" s="255"/>
      <c r="I59" s="255"/>
      <c r="J59" s="255"/>
      <c r="K59" s="255"/>
      <c r="L59" s="255"/>
      <c r="M59" s="255"/>
      <c r="N59" s="255"/>
      <c r="O59" s="255"/>
      <c r="P59" s="255"/>
      <c r="Q59" s="255"/>
      <c r="R59" s="257"/>
      <c r="S59" s="257"/>
      <c r="T59" s="257"/>
      <c r="U59" s="257"/>
      <c r="V59" s="257"/>
      <c r="W59" s="257"/>
      <c r="X59" s="257"/>
      <c r="Y59" s="255"/>
      <c r="Z59" s="269"/>
      <c r="AA59" s="314">
        <v>2007</v>
      </c>
      <c r="AB59" s="312">
        <v>5</v>
      </c>
      <c r="AC59" s="312">
        <v>0</v>
      </c>
      <c r="AD59" s="312">
        <v>1</v>
      </c>
      <c r="AE59" s="269"/>
      <c r="AF59" s="255"/>
    </row>
    <row r="60" spans="1:32">
      <c r="A60" s="255"/>
      <c r="B60" s="255"/>
      <c r="C60" s="255"/>
      <c r="D60" s="255"/>
      <c r="E60" s="255"/>
      <c r="F60" s="255"/>
      <c r="G60" s="255"/>
      <c r="H60" s="255"/>
      <c r="I60" s="255"/>
      <c r="J60" s="255"/>
      <c r="K60" s="255"/>
      <c r="L60" s="255"/>
      <c r="M60" s="255"/>
      <c r="N60" s="255"/>
      <c r="O60" s="255"/>
      <c r="P60" s="255"/>
      <c r="Q60" s="255"/>
      <c r="R60" s="257"/>
      <c r="S60" s="257"/>
      <c r="T60" s="257"/>
      <c r="U60" s="257"/>
      <c r="V60" s="257"/>
      <c r="W60" s="257"/>
      <c r="X60" s="257"/>
      <c r="Y60" s="255"/>
      <c r="Z60" s="269"/>
      <c r="AA60" s="314">
        <v>2008</v>
      </c>
      <c r="AB60" s="312">
        <v>2</v>
      </c>
      <c r="AC60" s="312">
        <v>1</v>
      </c>
      <c r="AD60" s="312">
        <v>1</v>
      </c>
      <c r="AE60" s="269"/>
      <c r="AF60" s="255"/>
    </row>
    <row r="61" spans="1:32">
      <c r="A61" s="255"/>
      <c r="B61" s="255"/>
      <c r="C61" s="255"/>
      <c r="D61" s="255"/>
      <c r="E61" s="255"/>
      <c r="F61" s="255"/>
      <c r="G61" s="255"/>
      <c r="H61" s="255"/>
      <c r="I61" s="255"/>
      <c r="J61" s="255"/>
      <c r="K61" s="255"/>
      <c r="L61" s="255"/>
      <c r="M61" s="255"/>
      <c r="N61" s="255"/>
      <c r="O61" s="255"/>
      <c r="P61" s="255"/>
      <c r="Q61" s="255"/>
      <c r="R61" s="257"/>
      <c r="S61" s="257"/>
      <c r="T61" s="257"/>
      <c r="U61" s="257"/>
      <c r="V61" s="257"/>
      <c r="W61" s="257"/>
      <c r="X61" s="257"/>
      <c r="Y61" s="255"/>
      <c r="Z61" s="269"/>
      <c r="AA61" s="314">
        <v>2009</v>
      </c>
      <c r="AB61" s="312">
        <v>1</v>
      </c>
      <c r="AC61" s="312">
        <v>1</v>
      </c>
      <c r="AD61" s="312">
        <v>0</v>
      </c>
      <c r="AE61" s="269"/>
      <c r="AF61" s="255"/>
    </row>
    <row r="62" spans="1:32">
      <c r="A62" s="255"/>
      <c r="B62" s="255"/>
      <c r="C62" s="255"/>
      <c r="D62" s="255"/>
      <c r="E62" s="255"/>
      <c r="F62" s="255"/>
      <c r="G62" s="255"/>
      <c r="H62" s="255"/>
      <c r="I62" s="255"/>
      <c r="J62" s="255"/>
      <c r="K62" s="255"/>
      <c r="L62" s="255"/>
      <c r="M62" s="255"/>
      <c r="N62" s="255"/>
      <c r="O62" s="255"/>
      <c r="P62" s="255"/>
      <c r="Q62" s="255"/>
      <c r="R62" s="257"/>
      <c r="S62" s="257"/>
      <c r="T62" s="257"/>
      <c r="U62" s="257"/>
      <c r="V62" s="257"/>
      <c r="W62" s="257"/>
      <c r="X62" s="257"/>
      <c r="Y62" s="255"/>
      <c r="Z62" s="269"/>
      <c r="AA62" s="314">
        <v>2010</v>
      </c>
      <c r="AB62" s="312">
        <v>1</v>
      </c>
      <c r="AC62" s="312">
        <v>0</v>
      </c>
      <c r="AD62" s="312">
        <v>0</v>
      </c>
      <c r="AE62" s="269"/>
      <c r="AF62" s="255"/>
    </row>
    <row r="63" spans="1:32">
      <c r="A63" s="255"/>
      <c r="B63" s="255"/>
      <c r="C63" s="255"/>
      <c r="D63" s="255"/>
      <c r="E63" s="255"/>
      <c r="F63" s="255"/>
      <c r="G63" s="255"/>
      <c r="H63" s="255"/>
      <c r="I63" s="255"/>
      <c r="J63" s="255"/>
      <c r="K63" s="255"/>
      <c r="L63" s="255"/>
      <c r="M63" s="255"/>
      <c r="N63" s="255"/>
      <c r="O63" s="255"/>
      <c r="P63" s="255"/>
      <c r="Q63" s="255"/>
      <c r="R63" s="257"/>
      <c r="S63" s="257"/>
      <c r="T63" s="257"/>
      <c r="U63" s="257"/>
      <c r="V63" s="257"/>
      <c r="W63" s="257"/>
      <c r="X63" s="257"/>
      <c r="Y63" s="255"/>
      <c r="Z63" s="269"/>
      <c r="AA63" s="314">
        <v>2011</v>
      </c>
      <c r="AB63" s="312">
        <v>1</v>
      </c>
      <c r="AC63" s="312">
        <v>0</v>
      </c>
      <c r="AD63" s="312">
        <v>0</v>
      </c>
      <c r="AE63" s="269"/>
      <c r="AF63" s="255"/>
    </row>
    <row r="64" spans="1:32">
      <c r="A64" s="255"/>
      <c r="B64" s="255"/>
      <c r="C64" s="255"/>
      <c r="D64" s="255"/>
      <c r="E64" s="255"/>
      <c r="F64" s="255"/>
      <c r="G64" s="255"/>
      <c r="H64" s="255"/>
      <c r="I64" s="255"/>
      <c r="J64" s="255"/>
      <c r="K64" s="255"/>
      <c r="L64" s="255"/>
      <c r="M64" s="255"/>
      <c r="N64" s="255"/>
      <c r="O64" s="255"/>
      <c r="P64" s="255"/>
      <c r="Q64" s="255"/>
      <c r="R64" s="257"/>
      <c r="S64" s="257"/>
      <c r="T64" s="257"/>
      <c r="U64" s="257"/>
      <c r="V64" s="257"/>
      <c r="W64" s="257"/>
      <c r="X64" s="257"/>
      <c r="Y64" s="255"/>
      <c r="Z64" s="269"/>
      <c r="AA64" s="314">
        <v>2012</v>
      </c>
      <c r="AB64" s="312">
        <v>1</v>
      </c>
      <c r="AC64" s="312">
        <v>0</v>
      </c>
      <c r="AD64" s="312">
        <v>0</v>
      </c>
      <c r="AE64" s="269"/>
      <c r="AF64" s="255"/>
    </row>
    <row r="65" spans="1:32">
      <c r="A65" s="255"/>
      <c r="B65" s="255"/>
      <c r="C65" s="255"/>
      <c r="D65" s="255"/>
      <c r="E65" s="255"/>
      <c r="F65" s="255"/>
      <c r="G65" s="255"/>
      <c r="H65" s="255"/>
      <c r="I65" s="255"/>
      <c r="J65" s="255"/>
      <c r="K65" s="255"/>
      <c r="L65" s="255"/>
      <c r="M65" s="255"/>
      <c r="N65" s="255"/>
      <c r="O65" s="255"/>
      <c r="P65" s="255"/>
      <c r="Q65" s="255"/>
      <c r="R65" s="257"/>
      <c r="S65" s="257"/>
      <c r="T65" s="257"/>
      <c r="U65" s="257"/>
      <c r="V65" s="257"/>
      <c r="W65" s="257"/>
      <c r="X65" s="257"/>
      <c r="Y65" s="255"/>
      <c r="Z65" s="269"/>
      <c r="AA65" s="314">
        <v>2013</v>
      </c>
      <c r="AB65" s="312">
        <v>2</v>
      </c>
      <c r="AC65" s="312">
        <v>0</v>
      </c>
      <c r="AD65" s="312">
        <v>1</v>
      </c>
      <c r="AE65" s="269"/>
      <c r="AF65" s="255"/>
    </row>
    <row r="66" spans="1:32">
      <c r="A66" s="255"/>
      <c r="B66" s="255"/>
      <c r="C66" s="255"/>
      <c r="D66" s="255"/>
      <c r="E66" s="255"/>
      <c r="F66" s="255"/>
      <c r="G66" s="255"/>
      <c r="H66" s="255"/>
      <c r="I66" s="255"/>
      <c r="J66" s="255"/>
      <c r="K66" s="255"/>
      <c r="L66" s="255"/>
      <c r="M66" s="255"/>
      <c r="N66" s="255"/>
      <c r="O66" s="255"/>
      <c r="P66" s="255"/>
      <c r="Q66" s="255"/>
      <c r="R66" s="257"/>
      <c r="S66" s="257"/>
      <c r="T66" s="257"/>
      <c r="U66" s="257"/>
      <c r="V66" s="257"/>
      <c r="W66" s="257"/>
      <c r="X66" s="257"/>
      <c r="Y66" s="255"/>
      <c r="Z66" s="269"/>
      <c r="AA66" s="314">
        <v>2014</v>
      </c>
      <c r="AB66" s="312">
        <v>5</v>
      </c>
      <c r="AC66" s="312">
        <v>2</v>
      </c>
      <c r="AD66" s="312">
        <v>1</v>
      </c>
      <c r="AE66" s="269"/>
      <c r="AF66" s="255"/>
    </row>
    <row r="67" spans="1:32">
      <c r="A67" s="255"/>
      <c r="B67" s="255"/>
      <c r="C67" s="255"/>
      <c r="D67" s="255"/>
      <c r="E67" s="255"/>
      <c r="F67" s="255"/>
      <c r="G67" s="255"/>
      <c r="H67" s="255"/>
      <c r="I67" s="255"/>
      <c r="J67" s="255"/>
      <c r="K67" s="255"/>
      <c r="L67" s="255"/>
      <c r="M67" s="255"/>
      <c r="N67" s="255"/>
      <c r="O67" s="255"/>
      <c r="P67" s="255"/>
      <c r="Q67" s="255"/>
      <c r="R67" s="257"/>
      <c r="S67" s="257"/>
      <c r="T67" s="257"/>
      <c r="U67" s="257"/>
      <c r="V67" s="257"/>
      <c r="W67" s="257"/>
      <c r="X67" s="257"/>
      <c r="Y67" s="255"/>
      <c r="Z67" s="269"/>
      <c r="AA67" s="314">
        <v>2015</v>
      </c>
      <c r="AB67" s="312">
        <v>8</v>
      </c>
      <c r="AC67" s="312">
        <v>1</v>
      </c>
      <c r="AD67" s="312">
        <v>0</v>
      </c>
      <c r="AE67" s="269"/>
      <c r="AF67" s="255"/>
    </row>
    <row r="68" spans="1:32">
      <c r="A68" s="255"/>
      <c r="B68" s="255"/>
      <c r="C68" s="255"/>
      <c r="D68" s="255"/>
      <c r="E68" s="255"/>
      <c r="F68" s="255"/>
      <c r="G68" s="255"/>
      <c r="H68" s="255"/>
      <c r="I68" s="255"/>
      <c r="J68" s="255"/>
      <c r="K68" s="255"/>
      <c r="L68" s="255"/>
      <c r="M68" s="255"/>
      <c r="N68" s="255"/>
      <c r="O68" s="255"/>
      <c r="P68" s="255"/>
      <c r="Q68" s="255"/>
      <c r="R68" s="257"/>
      <c r="S68" s="257"/>
      <c r="T68" s="257"/>
      <c r="U68" s="257"/>
      <c r="V68" s="257"/>
      <c r="W68" s="257"/>
      <c r="X68" s="257"/>
      <c r="Y68" s="255"/>
      <c r="Z68" s="269"/>
      <c r="AA68" s="314">
        <v>2016</v>
      </c>
      <c r="AB68" s="312">
        <v>1</v>
      </c>
      <c r="AC68" s="312">
        <v>1</v>
      </c>
      <c r="AD68" s="312">
        <v>1</v>
      </c>
      <c r="AE68" s="269"/>
      <c r="AF68" s="255"/>
    </row>
    <row r="69" spans="1:32">
      <c r="A69" s="255"/>
      <c r="B69" s="255"/>
      <c r="C69" s="255"/>
      <c r="D69" s="255"/>
      <c r="E69" s="255"/>
      <c r="F69" s="255"/>
      <c r="G69" s="255"/>
      <c r="H69" s="255"/>
      <c r="I69" s="255"/>
      <c r="J69" s="255"/>
      <c r="K69" s="255"/>
      <c r="L69" s="255"/>
      <c r="M69" s="255"/>
      <c r="N69" s="255"/>
      <c r="O69" s="255"/>
      <c r="P69" s="255"/>
      <c r="Q69" s="255"/>
      <c r="R69" s="257"/>
      <c r="S69" s="257"/>
      <c r="T69" s="257"/>
      <c r="U69" s="257"/>
      <c r="V69" s="257"/>
      <c r="W69" s="257"/>
      <c r="X69" s="257"/>
      <c r="Y69" s="255"/>
      <c r="Z69" s="269"/>
      <c r="AA69" s="314">
        <v>2017</v>
      </c>
      <c r="AB69" s="312">
        <v>13</v>
      </c>
      <c r="AC69" s="312">
        <v>2</v>
      </c>
      <c r="AD69" s="312">
        <v>0</v>
      </c>
      <c r="AE69" s="269"/>
      <c r="AF69" s="255"/>
    </row>
    <row r="70" spans="1:32">
      <c r="A70" s="255"/>
      <c r="B70" s="255"/>
      <c r="C70" s="255"/>
      <c r="D70" s="255"/>
      <c r="E70" s="255"/>
      <c r="F70" s="255"/>
      <c r="G70" s="255"/>
      <c r="H70" s="255"/>
      <c r="I70" s="255"/>
      <c r="J70" s="255"/>
      <c r="K70" s="255"/>
      <c r="L70" s="255"/>
      <c r="M70" s="255"/>
      <c r="N70" s="255"/>
      <c r="O70" s="255"/>
      <c r="P70" s="255"/>
      <c r="Q70" s="255"/>
      <c r="R70" s="257"/>
      <c r="S70" s="257"/>
      <c r="T70" s="257"/>
      <c r="U70" s="257"/>
      <c r="V70" s="257"/>
      <c r="W70" s="257"/>
      <c r="X70" s="257"/>
      <c r="Y70" s="255"/>
      <c r="Z70" s="269"/>
      <c r="AA70" s="314">
        <v>2018</v>
      </c>
      <c r="AB70" s="312">
        <v>6</v>
      </c>
      <c r="AC70" s="312">
        <v>0</v>
      </c>
      <c r="AD70" s="312">
        <v>0</v>
      </c>
      <c r="AE70" s="269"/>
      <c r="AF70" s="255"/>
    </row>
    <row r="71" spans="1:32">
      <c r="A71" s="255"/>
      <c r="B71" s="255"/>
      <c r="C71" s="255"/>
      <c r="D71" s="255"/>
      <c r="E71" s="255"/>
      <c r="F71" s="255"/>
      <c r="G71" s="255"/>
      <c r="H71" s="255"/>
      <c r="I71" s="255"/>
      <c r="J71" s="255"/>
      <c r="K71" s="255"/>
      <c r="L71" s="255"/>
      <c r="M71" s="255"/>
      <c r="N71" s="255"/>
      <c r="O71" s="255"/>
      <c r="P71" s="255"/>
      <c r="Q71" s="255"/>
      <c r="R71" s="257"/>
      <c r="S71" s="257"/>
      <c r="T71" s="257"/>
      <c r="U71" s="257"/>
      <c r="V71" s="257"/>
      <c r="W71" s="257"/>
      <c r="X71" s="257"/>
      <c r="Y71" s="255"/>
      <c r="Z71" s="269"/>
      <c r="AA71" s="314">
        <v>2019</v>
      </c>
      <c r="AB71" s="312">
        <v>0</v>
      </c>
      <c r="AC71" s="312">
        <v>1</v>
      </c>
      <c r="AD71" s="312">
        <v>0</v>
      </c>
      <c r="AE71" s="269"/>
      <c r="AF71" s="255"/>
    </row>
    <row r="72" spans="1:32">
      <c r="A72" s="255"/>
      <c r="B72" s="255"/>
      <c r="C72" s="255"/>
      <c r="D72" s="255"/>
      <c r="E72" s="255"/>
      <c r="F72" s="255"/>
      <c r="G72" s="255"/>
      <c r="H72" s="255"/>
      <c r="I72" s="255"/>
      <c r="J72" s="255"/>
      <c r="K72" s="255"/>
      <c r="L72" s="255"/>
      <c r="M72" s="255"/>
      <c r="N72" s="255"/>
      <c r="O72" s="255"/>
      <c r="P72" s="255"/>
      <c r="Q72" s="255"/>
      <c r="R72" s="257"/>
      <c r="S72" s="257"/>
      <c r="T72" s="257"/>
      <c r="U72" s="257"/>
      <c r="V72" s="257"/>
      <c r="W72" s="257"/>
      <c r="X72" s="257"/>
      <c r="Y72" s="255"/>
      <c r="Z72" s="269"/>
      <c r="AA72" s="314">
        <v>2020</v>
      </c>
      <c r="AB72" s="312">
        <v>5</v>
      </c>
      <c r="AC72" s="312">
        <v>5</v>
      </c>
      <c r="AD72" s="312">
        <v>3</v>
      </c>
      <c r="AE72" s="269"/>
      <c r="AF72" s="255"/>
    </row>
    <row r="73" spans="1:32">
      <c r="A73" s="255"/>
      <c r="B73" s="255"/>
      <c r="C73" s="255"/>
      <c r="D73" s="255"/>
      <c r="E73" s="255"/>
      <c r="F73" s="255"/>
      <c r="G73" s="255"/>
      <c r="H73" s="255"/>
      <c r="I73" s="255"/>
      <c r="J73" s="255"/>
      <c r="K73" s="255"/>
      <c r="L73" s="255"/>
      <c r="M73" s="255"/>
      <c r="N73" s="255"/>
      <c r="O73" s="255"/>
      <c r="P73" s="255"/>
      <c r="Q73" s="255"/>
      <c r="R73" s="255"/>
      <c r="S73" s="255"/>
      <c r="T73" s="255"/>
      <c r="U73" s="255"/>
      <c r="V73" s="255"/>
      <c r="W73" s="255"/>
      <c r="X73" s="255"/>
      <c r="Y73" s="255"/>
      <c r="Z73" s="255"/>
      <c r="AA73" s="255"/>
      <c r="AB73" s="255"/>
      <c r="AC73" s="255"/>
      <c r="AD73" s="255"/>
      <c r="AE73" s="255"/>
      <c r="AF73" s="255"/>
    </row>
    <row r="74" spans="1:32">
      <c r="A74" s="255"/>
      <c r="B74" s="255"/>
      <c r="C74" s="255"/>
      <c r="D74" s="255"/>
      <c r="E74" s="255"/>
      <c r="F74" s="255"/>
      <c r="G74" s="255"/>
      <c r="H74" s="255"/>
      <c r="I74" s="255"/>
      <c r="J74" s="255"/>
      <c r="K74" s="255"/>
      <c r="L74" s="255"/>
      <c r="M74" s="255"/>
      <c r="N74" s="255"/>
      <c r="O74" s="255"/>
      <c r="P74" s="255"/>
      <c r="Q74" s="255"/>
      <c r="R74" s="255"/>
      <c r="S74" s="255"/>
      <c r="T74" s="255"/>
      <c r="U74" s="255"/>
      <c r="V74" s="255"/>
      <c r="W74" s="255"/>
      <c r="X74" s="255"/>
      <c r="Y74" s="255"/>
      <c r="Z74" s="255"/>
      <c r="AA74" s="255"/>
      <c r="AB74" s="255"/>
      <c r="AC74" s="255"/>
      <c r="AD74" s="255"/>
      <c r="AE74" s="255"/>
      <c r="AF74" s="255"/>
    </row>
  </sheetData>
  <mergeCells count="11">
    <mergeCell ref="T19:W19"/>
    <mergeCell ref="B49:W53"/>
    <mergeCell ref="B54:W54"/>
    <mergeCell ref="D18:F18"/>
    <mergeCell ref="H18:J18"/>
    <mergeCell ref="L18:N18"/>
    <mergeCell ref="P18:R18"/>
    <mergeCell ref="D19:F19"/>
    <mergeCell ref="H19:J19"/>
    <mergeCell ref="L19:N19"/>
    <mergeCell ref="P19:R19"/>
  </mergeCells>
  <pageMargins left="0.7" right="0.7" top="0.75" bottom="0.75" header="0.3" footer="0.3"/>
  <pageSetup orientation="portrait" horizontalDpi="200" verticalDpi="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DDADC-3DEC-4096-AE2F-B8CDC498243C}">
  <sheetPr>
    <tabColor rgb="FF4472C4"/>
  </sheetPr>
  <dimension ref="A1:Q22"/>
  <sheetViews>
    <sheetView workbookViewId="0">
      <selection activeCell="H20" sqref="H20"/>
    </sheetView>
  </sheetViews>
  <sheetFormatPr defaultColWidth="8.7109375" defaultRowHeight="15"/>
  <sheetData>
    <row r="1" spans="1:17">
      <c r="A1" s="574" t="s">
        <v>198</v>
      </c>
      <c r="B1" s="574"/>
      <c r="C1" s="574"/>
      <c r="D1" s="574"/>
      <c r="E1" s="574"/>
      <c r="G1" s="574" t="s">
        <v>199</v>
      </c>
      <c r="H1" s="574"/>
      <c r="I1" s="574"/>
      <c r="J1" s="574"/>
      <c r="K1" s="574"/>
      <c r="M1" s="574" t="s">
        <v>200</v>
      </c>
      <c r="N1" s="574"/>
      <c r="O1" s="574"/>
      <c r="P1" s="574"/>
      <c r="Q1" s="574"/>
    </row>
    <row r="2" spans="1:17">
      <c r="B2" s="1" t="s">
        <v>201</v>
      </c>
      <c r="C2" s="1" t="s">
        <v>202</v>
      </c>
      <c r="D2" s="1" t="s">
        <v>203</v>
      </c>
      <c r="E2" s="1" t="s">
        <v>204</v>
      </c>
      <c r="G2" s="1"/>
      <c r="H2" s="1" t="s">
        <v>201</v>
      </c>
      <c r="I2" s="1" t="s">
        <v>202</v>
      </c>
      <c r="J2" s="1" t="s">
        <v>203</v>
      </c>
      <c r="K2" s="1" t="s">
        <v>204</v>
      </c>
      <c r="M2" s="1"/>
      <c r="N2" s="1" t="s">
        <v>201</v>
      </c>
      <c r="O2" s="1" t="s">
        <v>202</v>
      </c>
      <c r="P2" s="1" t="s">
        <v>203</v>
      </c>
      <c r="Q2" s="1" t="s">
        <v>204</v>
      </c>
    </row>
    <row r="3" spans="1:17">
      <c r="A3" s="1">
        <v>2020</v>
      </c>
      <c r="B3">
        <v>1</v>
      </c>
      <c r="C3">
        <v>1</v>
      </c>
      <c r="D3">
        <v>1</v>
      </c>
      <c r="E3">
        <v>1</v>
      </c>
      <c r="G3" s="1">
        <v>2020</v>
      </c>
      <c r="H3">
        <v>1</v>
      </c>
      <c r="I3">
        <v>1</v>
      </c>
      <c r="J3">
        <v>1</v>
      </c>
      <c r="K3">
        <v>1</v>
      </c>
      <c r="M3" s="1">
        <v>2020</v>
      </c>
      <c r="N3">
        <v>1</v>
      </c>
      <c r="O3">
        <v>1</v>
      </c>
      <c r="P3">
        <v>1</v>
      </c>
      <c r="Q3">
        <v>1</v>
      </c>
    </row>
    <row r="4" spans="1:17">
      <c r="A4" s="1">
        <v>2021</v>
      </c>
      <c r="B4">
        <f>'SSP Scenarios'!I20/'SSP Scenarios'!I$19</f>
        <v>1.0063324538258576</v>
      </c>
      <c r="C4">
        <f>'SSP Scenarios'!J20/'SSP Scenarios'!J$19</f>
        <v>1.0085413929040736</v>
      </c>
      <c r="D4">
        <f>'SSP Scenarios'!K20/'SSP Scenarios'!K$19</f>
        <v>1.0105194805194806</v>
      </c>
      <c r="E4">
        <f>'SSP Scenarios'!L20/'SSP Scenarios'!L$19</f>
        <v>1.0066225165562914</v>
      </c>
      <c r="G4" s="1">
        <v>2021</v>
      </c>
      <c r="H4">
        <f>'SSP Scenarios'!N20/'SSP Scenarios'!N$19</f>
        <v>1.0530642309958751</v>
      </c>
      <c r="I4">
        <f>'SSP Scenarios'!O20/'SSP Scenarios'!O$19</f>
        <v>1.0412514827995256</v>
      </c>
      <c r="J4">
        <f>'SSP Scenarios'!P20/'SSP Scenarios'!P$19</f>
        <v>1.03370636550308</v>
      </c>
      <c r="K4">
        <f>'SSP Scenarios'!Q20/'SSP Scenarios'!Q$19</f>
        <v>1.0627085377821393</v>
      </c>
      <c r="M4" s="1">
        <v>2021</v>
      </c>
      <c r="N4">
        <f>'SSP Scenarios'!S20/'SSP Scenarios'!S$19</f>
        <v>1.0439547349612865</v>
      </c>
      <c r="O4">
        <f>'SSP Scenarios'!T20/'SSP Scenarios'!T$19</f>
        <v>1.0301361618897165</v>
      </c>
      <c r="P4">
        <f>'SSP Scenarios'!U20/'SSP Scenarios'!U$19</f>
        <v>1.0209818958020396</v>
      </c>
      <c r="Q4">
        <f>'SSP Scenarios'!V20/'SSP Scenarios'!V$19</f>
        <v>1.0526081802015412</v>
      </c>
    </row>
    <row r="5" spans="1:17">
      <c r="A5" s="1">
        <v>2022</v>
      </c>
      <c r="B5">
        <f>'SSP Scenarios'!I21/'SSP Scenarios'!I$19</f>
        <v>1.0126649076517151</v>
      </c>
      <c r="C5">
        <f>'SSP Scenarios'!J21/'SSP Scenarios'!J$19</f>
        <v>1.0170827858081473</v>
      </c>
      <c r="D5">
        <f>'SSP Scenarios'!K21/'SSP Scenarios'!K$19</f>
        <v>1.021038961038961</v>
      </c>
      <c r="E5">
        <f>'SSP Scenarios'!L21/'SSP Scenarios'!L$19</f>
        <v>1.0132450331125826</v>
      </c>
      <c r="G5" s="1">
        <v>2022</v>
      </c>
      <c r="H5">
        <f>'SSP Scenarios'!N21/'SSP Scenarios'!N$19</f>
        <v>1.1061284619917502</v>
      </c>
      <c r="I5">
        <f>'SSP Scenarios'!O21/'SSP Scenarios'!O$19</f>
        <v>1.082502965599051</v>
      </c>
      <c r="J5">
        <f>'SSP Scenarios'!P21/'SSP Scenarios'!P$19</f>
        <v>1.0674127310061601</v>
      </c>
      <c r="K5">
        <f>'SSP Scenarios'!Q21/'SSP Scenarios'!Q$19</f>
        <v>1.1254170755642787</v>
      </c>
      <c r="M5" s="1">
        <v>2022</v>
      </c>
      <c r="N5">
        <f>'SSP Scenarios'!S21/'SSP Scenarios'!S$19</f>
        <v>1.0879094699225729</v>
      </c>
      <c r="O5">
        <f>'SSP Scenarios'!T21/'SSP Scenarios'!T$19</f>
        <v>1.0602723237794329</v>
      </c>
      <c r="P5">
        <f>'SSP Scenarios'!U21/'SSP Scenarios'!U$19</f>
        <v>1.0419637916040794</v>
      </c>
      <c r="Q5">
        <f>'SSP Scenarios'!V21/'SSP Scenarios'!V$19</f>
        <v>1.1052163604030825</v>
      </c>
    </row>
    <row r="6" spans="1:17">
      <c r="A6" s="1">
        <v>2023</v>
      </c>
      <c r="B6">
        <f>'SSP Scenarios'!I22/'SSP Scenarios'!I$19</f>
        <v>1.0189973614775725</v>
      </c>
      <c r="C6">
        <f>'SSP Scenarios'!J22/'SSP Scenarios'!J$19</f>
        <v>1.0256241787122207</v>
      </c>
      <c r="D6">
        <f>'SSP Scenarios'!K22/'SSP Scenarios'!K$19</f>
        <v>1.0315584415584416</v>
      </c>
      <c r="E6">
        <f>'SSP Scenarios'!L22/'SSP Scenarios'!L$19</f>
        <v>1.0198675496688741</v>
      </c>
      <c r="G6" s="1">
        <v>2023</v>
      </c>
      <c r="H6">
        <f>'SSP Scenarios'!N22/'SSP Scenarios'!N$19</f>
        <v>1.1591926929876255</v>
      </c>
      <c r="I6">
        <f>'SSP Scenarios'!O22/'SSP Scenarios'!O$19</f>
        <v>1.1237544483985766</v>
      </c>
      <c r="J6">
        <f>'SSP Scenarios'!P22/'SSP Scenarios'!P$19</f>
        <v>1.1011190965092403</v>
      </c>
      <c r="K6">
        <f>'SSP Scenarios'!Q22/'SSP Scenarios'!Q$19</f>
        <v>1.188125613346418</v>
      </c>
      <c r="M6" s="1">
        <v>2023</v>
      </c>
      <c r="N6">
        <f>'SSP Scenarios'!S22/'SSP Scenarios'!S$19</f>
        <v>1.1318642048838594</v>
      </c>
      <c r="O6">
        <f>'SSP Scenarios'!T22/'SSP Scenarios'!T$19</f>
        <v>1.0904084856691492</v>
      </c>
      <c r="P6">
        <f>'SSP Scenarios'!U22/'SSP Scenarios'!U$19</f>
        <v>1.0629456874061189</v>
      </c>
      <c r="Q6">
        <f>'SSP Scenarios'!V22/'SSP Scenarios'!V$19</f>
        <v>1.1578245406046237</v>
      </c>
    </row>
    <row r="7" spans="1:17">
      <c r="A7" s="1">
        <v>2024</v>
      </c>
      <c r="B7">
        <f>'SSP Scenarios'!I23/'SSP Scenarios'!I$19</f>
        <v>1.02532981530343</v>
      </c>
      <c r="C7">
        <f>'SSP Scenarios'!J23/'SSP Scenarios'!J$19</f>
        <v>1.0341655716162943</v>
      </c>
      <c r="D7">
        <f>'SSP Scenarios'!K23/'SSP Scenarios'!K$19</f>
        <v>1.0420779220779219</v>
      </c>
      <c r="E7">
        <f>'SSP Scenarios'!L23/'SSP Scenarios'!L$19</f>
        <v>1.0264900662251655</v>
      </c>
      <c r="G7" s="1">
        <v>2024</v>
      </c>
      <c r="H7">
        <f>'SSP Scenarios'!N23/'SSP Scenarios'!N$19</f>
        <v>1.2122569239835006</v>
      </c>
      <c r="I7">
        <f>'SSP Scenarios'!O23/'SSP Scenarios'!O$19</f>
        <v>1.165005931198102</v>
      </c>
      <c r="J7">
        <f>'SSP Scenarios'!P23/'SSP Scenarios'!P$19</f>
        <v>1.1348254620123204</v>
      </c>
      <c r="K7">
        <f>'SSP Scenarios'!Q23/'SSP Scenarios'!Q$19</f>
        <v>1.2508341511285574</v>
      </c>
      <c r="M7" s="1">
        <v>2024</v>
      </c>
      <c r="N7">
        <f>'SSP Scenarios'!S23/'SSP Scenarios'!S$19</f>
        <v>1.1758189398451457</v>
      </c>
      <c r="O7">
        <f>'SSP Scenarios'!T23/'SSP Scenarios'!T$19</f>
        <v>1.1205446475588656</v>
      </c>
      <c r="P7">
        <f>'SSP Scenarios'!U23/'SSP Scenarios'!U$19</f>
        <v>1.0839275832081587</v>
      </c>
      <c r="Q7">
        <f>'SSP Scenarios'!V23/'SSP Scenarios'!V$19</f>
        <v>1.2104327208061647</v>
      </c>
    </row>
    <row r="8" spans="1:17">
      <c r="A8" s="1">
        <v>2025</v>
      </c>
      <c r="B8">
        <f>'SSP Scenarios'!I24/'SSP Scenarios'!I$19</f>
        <v>1.0316622691292876</v>
      </c>
      <c r="C8">
        <f>'SSP Scenarios'!J24/'SSP Scenarios'!J$19</f>
        <v>1.0427069645203677</v>
      </c>
      <c r="D8">
        <f>'SSP Scenarios'!K24/'SSP Scenarios'!K$19</f>
        <v>1.0525974025974023</v>
      </c>
      <c r="E8">
        <f>'SSP Scenarios'!L24/'SSP Scenarios'!L$19</f>
        <v>1.0331125827814569</v>
      </c>
      <c r="G8" s="1">
        <v>2025</v>
      </c>
      <c r="H8">
        <f>'SSP Scenarios'!N24/'SSP Scenarios'!N$19</f>
        <v>1.2653211549793755</v>
      </c>
      <c r="I8">
        <f>'SSP Scenarios'!O24/'SSP Scenarios'!O$19</f>
        <v>1.2062574139976276</v>
      </c>
      <c r="J8">
        <f>'SSP Scenarios'!P24/'SSP Scenarios'!P$19</f>
        <v>1.1685318275154004</v>
      </c>
      <c r="K8">
        <f>'SSP Scenarios'!Q24/'SSP Scenarios'!Q$19</f>
        <v>1.3135426889106969</v>
      </c>
      <c r="M8" s="1">
        <v>2025</v>
      </c>
      <c r="N8">
        <f>'SSP Scenarios'!S24/'SSP Scenarios'!S$19</f>
        <v>1.2197736748064323</v>
      </c>
      <c r="O8">
        <f>'SSP Scenarios'!T24/'SSP Scenarios'!T$19</f>
        <v>1.1506808094485821</v>
      </c>
      <c r="P8">
        <f>'SSP Scenarios'!U24/'SSP Scenarios'!U$19</f>
        <v>1.1049094790101983</v>
      </c>
      <c r="Q8">
        <f>'SSP Scenarios'!V24/'SSP Scenarios'!V$19</f>
        <v>1.2630409010077059</v>
      </c>
    </row>
    <row r="9" spans="1:17">
      <c r="A9" s="1">
        <v>2026</v>
      </c>
      <c r="B9">
        <f>'SSP Scenarios'!I25/'SSP Scenarios'!I$19</f>
        <v>1.0379947229551452</v>
      </c>
      <c r="C9">
        <f>'SSP Scenarios'!J25/'SSP Scenarios'!J$19</f>
        <v>1.0512483574244413</v>
      </c>
      <c r="D9">
        <f>'SSP Scenarios'!K25/'SSP Scenarios'!K$19</f>
        <v>1.0631168831168829</v>
      </c>
      <c r="E9">
        <f>'SSP Scenarios'!L25/'SSP Scenarios'!L$19</f>
        <v>1.0397350993377481</v>
      </c>
      <c r="G9" s="1">
        <v>2026</v>
      </c>
      <c r="H9">
        <f>'SSP Scenarios'!N25/'SSP Scenarios'!N$19</f>
        <v>1.3183853859752506</v>
      </c>
      <c r="I9">
        <f>'SSP Scenarios'!O25/'SSP Scenarios'!O$19</f>
        <v>1.247508896797153</v>
      </c>
      <c r="J9">
        <f>'SSP Scenarios'!P25/'SSP Scenarios'!P$19</f>
        <v>1.2022381930184804</v>
      </c>
      <c r="K9">
        <f>'SSP Scenarios'!Q25/'SSP Scenarios'!Q$19</f>
        <v>1.3762512266928362</v>
      </c>
      <c r="M9" s="1">
        <v>2026</v>
      </c>
      <c r="N9">
        <f>'SSP Scenarios'!S25/'SSP Scenarios'!S$19</f>
        <v>1.2637284097677186</v>
      </c>
      <c r="O9">
        <f>'SSP Scenarios'!T25/'SSP Scenarios'!T$19</f>
        <v>1.1808169713382985</v>
      </c>
      <c r="P9">
        <f>'SSP Scenarios'!U25/'SSP Scenarios'!U$19</f>
        <v>1.1258913748122379</v>
      </c>
      <c r="Q9">
        <f>'SSP Scenarios'!V25/'SSP Scenarios'!V$19</f>
        <v>1.3156490812092472</v>
      </c>
    </row>
    <row r="10" spans="1:17">
      <c r="A10" s="1">
        <v>2027</v>
      </c>
      <c r="B10">
        <f>'SSP Scenarios'!I26/'SSP Scenarios'!I$19</f>
        <v>1.0443271767810027</v>
      </c>
      <c r="C10">
        <f>'SSP Scenarios'!J26/'SSP Scenarios'!J$19</f>
        <v>1.0597897503285147</v>
      </c>
      <c r="D10">
        <f>'SSP Scenarios'!K26/'SSP Scenarios'!K$19</f>
        <v>1.0736363636363633</v>
      </c>
      <c r="E10">
        <f>'SSP Scenarios'!L26/'SSP Scenarios'!L$19</f>
        <v>1.0463576158940395</v>
      </c>
      <c r="G10" s="1">
        <v>2027</v>
      </c>
      <c r="H10">
        <f>'SSP Scenarios'!N26/'SSP Scenarios'!N$19</f>
        <v>1.3714496169711254</v>
      </c>
      <c r="I10">
        <f>'SSP Scenarios'!O26/'SSP Scenarios'!O$19</f>
        <v>1.2887603795966787</v>
      </c>
      <c r="J10">
        <f>'SSP Scenarios'!P26/'SSP Scenarios'!P$19</f>
        <v>1.2359445585215607</v>
      </c>
      <c r="K10">
        <f>'SSP Scenarios'!Q26/'SSP Scenarios'!Q$19</f>
        <v>1.4389597644749754</v>
      </c>
      <c r="M10" s="1">
        <v>2027</v>
      </c>
      <c r="N10">
        <f>'SSP Scenarios'!S26/'SSP Scenarios'!S$19</f>
        <v>1.3076831447290054</v>
      </c>
      <c r="O10">
        <f>'SSP Scenarios'!T26/'SSP Scenarios'!T$19</f>
        <v>1.210953133228015</v>
      </c>
      <c r="P10">
        <f>'SSP Scenarios'!U26/'SSP Scenarios'!U$19</f>
        <v>1.1468732706142777</v>
      </c>
      <c r="Q10">
        <f>'SSP Scenarios'!V26/'SSP Scenarios'!V$19</f>
        <v>1.3682572614107884</v>
      </c>
    </row>
    <row r="11" spans="1:17">
      <c r="A11" s="1">
        <v>2028</v>
      </c>
      <c r="B11">
        <f>'SSP Scenarios'!I27/'SSP Scenarios'!I$19</f>
        <v>1.0506596306068603</v>
      </c>
      <c r="C11">
        <f>'SSP Scenarios'!J27/'SSP Scenarios'!J$19</f>
        <v>1.0683311432325884</v>
      </c>
      <c r="D11">
        <f>'SSP Scenarios'!K27/'SSP Scenarios'!K$19</f>
        <v>1.0841558441558439</v>
      </c>
      <c r="E11">
        <f>'SSP Scenarios'!L27/'SSP Scenarios'!L$19</f>
        <v>1.052980132450331</v>
      </c>
      <c r="G11" s="1">
        <v>2028</v>
      </c>
      <c r="H11">
        <f>'SSP Scenarios'!N27/'SSP Scenarios'!N$19</f>
        <v>1.4245138479670005</v>
      </c>
      <c r="I11">
        <f>'SSP Scenarios'!O27/'SSP Scenarios'!O$19</f>
        <v>1.3300118623962043</v>
      </c>
      <c r="J11">
        <f>'SSP Scenarios'!P27/'SSP Scenarios'!P$19</f>
        <v>1.2696509240246407</v>
      </c>
      <c r="K11">
        <f>'SSP Scenarios'!Q27/'SSP Scenarios'!Q$19</f>
        <v>1.5016683022571145</v>
      </c>
      <c r="M11" s="1">
        <v>2028</v>
      </c>
      <c r="N11">
        <f>'SSP Scenarios'!S27/'SSP Scenarios'!S$19</f>
        <v>1.3516378796902919</v>
      </c>
      <c r="O11">
        <f>'SSP Scenarios'!T27/'SSP Scenarios'!T$19</f>
        <v>1.2410892951177313</v>
      </c>
      <c r="P11">
        <f>'SSP Scenarios'!U27/'SSP Scenarios'!U$19</f>
        <v>1.1678551664163173</v>
      </c>
      <c r="Q11">
        <f>'SSP Scenarios'!V27/'SSP Scenarios'!V$19</f>
        <v>1.4208654416123296</v>
      </c>
    </row>
    <row r="12" spans="1:17">
      <c r="A12" s="1">
        <v>2029</v>
      </c>
      <c r="B12">
        <f>'SSP Scenarios'!I28/'SSP Scenarios'!I$19</f>
        <v>1.0569920844327176</v>
      </c>
      <c r="C12">
        <f>'SSP Scenarios'!J28/'SSP Scenarios'!J$19</f>
        <v>1.0768725361366618</v>
      </c>
      <c r="D12">
        <f>'SSP Scenarios'!K28/'SSP Scenarios'!K$19</f>
        <v>1.0946753246753242</v>
      </c>
      <c r="E12">
        <f>'SSP Scenarios'!L28/'SSP Scenarios'!L$19</f>
        <v>1.0596026490066224</v>
      </c>
      <c r="G12" s="1">
        <v>2029</v>
      </c>
      <c r="H12">
        <f>'SSP Scenarios'!N28/'SSP Scenarios'!N$19</f>
        <v>1.4775780789628754</v>
      </c>
      <c r="I12">
        <f>'SSP Scenarios'!O28/'SSP Scenarios'!O$19</f>
        <v>1.3712633451957297</v>
      </c>
      <c r="J12">
        <f>'SSP Scenarios'!P28/'SSP Scenarios'!P$19</f>
        <v>1.3033572895277208</v>
      </c>
      <c r="K12">
        <f>'SSP Scenarios'!Q28/'SSP Scenarios'!Q$19</f>
        <v>1.5643768400392537</v>
      </c>
      <c r="M12" s="1">
        <v>2029</v>
      </c>
      <c r="N12">
        <f>'SSP Scenarios'!S28/'SSP Scenarios'!S$19</f>
        <v>1.3955926146515785</v>
      </c>
      <c r="O12">
        <f>'SSP Scenarios'!T28/'SSP Scenarios'!T$19</f>
        <v>1.2712254570074477</v>
      </c>
      <c r="P12">
        <f>'SSP Scenarios'!U28/'SSP Scenarios'!U$19</f>
        <v>1.1888370622183568</v>
      </c>
      <c r="Q12">
        <f>'SSP Scenarios'!V28/'SSP Scenarios'!V$19</f>
        <v>1.4734736218138709</v>
      </c>
    </row>
    <row r="13" spans="1:17">
      <c r="A13" s="1">
        <v>2030</v>
      </c>
      <c r="B13">
        <f>'SSP Scenarios'!I29/'SSP Scenarios'!I$19</f>
        <v>1.0633245382585752</v>
      </c>
      <c r="C13">
        <f>'SSP Scenarios'!J29/'SSP Scenarios'!J$19</f>
        <v>1.0854139290407359</v>
      </c>
      <c r="D13">
        <f>'SSP Scenarios'!K29/'SSP Scenarios'!K$19</f>
        <v>1.1051948051948051</v>
      </c>
      <c r="E13">
        <f>'SSP Scenarios'!L29/'SSP Scenarios'!L$19</f>
        <v>1.066225165562914</v>
      </c>
      <c r="G13" s="1">
        <v>2030</v>
      </c>
      <c r="H13">
        <f>'SSP Scenarios'!N29/'SSP Scenarios'!N$19</f>
        <v>1.5306423099587507</v>
      </c>
      <c r="I13">
        <f>'SSP Scenarios'!O29/'SSP Scenarios'!O$19</f>
        <v>1.4125148279952549</v>
      </c>
      <c r="J13">
        <f>'SSP Scenarios'!P29/'SSP Scenarios'!P$19</f>
        <v>1.3370636550308006</v>
      </c>
      <c r="K13">
        <f>'SSP Scenarios'!Q29/'SSP Scenarios'!Q$19</f>
        <v>1.6270853778213936</v>
      </c>
      <c r="M13" s="1">
        <v>2030</v>
      </c>
      <c r="N13">
        <f>'SSP Scenarios'!S29/'SSP Scenarios'!S$19</f>
        <v>1.4395473496128648</v>
      </c>
      <c r="O13">
        <f>'SSP Scenarios'!T29/'SSP Scenarios'!T$19</f>
        <v>1.301361618897164</v>
      </c>
      <c r="P13">
        <f>'SSP Scenarios'!U29/'SSP Scenarios'!U$19</f>
        <v>1.2098189580203969</v>
      </c>
      <c r="Q13">
        <f>'SSP Scenarios'!V29/'SSP Scenarios'!V$19</f>
        <v>1.5260818020154119</v>
      </c>
    </row>
    <row r="14" spans="1:17">
      <c r="A14" s="1">
        <v>2040</v>
      </c>
      <c r="B14">
        <f>'SSP Scenarios'!I30/'SSP Scenarios'!I$19</f>
        <v>1.1068601583113458</v>
      </c>
      <c r="C14">
        <f>'SSP Scenarios'!J30/'SSP Scenarios'!J$19</f>
        <v>1.155059132720105</v>
      </c>
      <c r="D14">
        <f>'SSP Scenarios'!K30/'SSP Scenarios'!K$19</f>
        <v>1.2025974025974024</v>
      </c>
      <c r="E14">
        <f>'SSP Scenarios'!L30/'SSP Scenarios'!L$19</f>
        <v>1.1125827814569538</v>
      </c>
      <c r="G14" s="1">
        <v>2040</v>
      </c>
      <c r="H14">
        <f>'SSP Scenarios'!N30/'SSP Scenarios'!N$19</f>
        <v>2.1921037124337066</v>
      </c>
      <c r="I14">
        <f>'SSP Scenarios'!O30/'SSP Scenarios'!O$19</f>
        <v>1.8326413602214313</v>
      </c>
      <c r="J14">
        <f>'SSP Scenarios'!P30/'SSP Scenarios'!P$19</f>
        <v>1.5746406570841889</v>
      </c>
      <c r="K14">
        <f>'SSP Scenarios'!Q30/'SSP Scenarios'!Q$19</f>
        <v>2.5534838076545632</v>
      </c>
      <c r="M14" s="1">
        <v>2040</v>
      </c>
      <c r="N14">
        <f>'SSP Scenarios'!S30/'SSP Scenarios'!S$19</f>
        <v>1.9805687909469922</v>
      </c>
      <c r="O14">
        <f>'SSP Scenarios'!T30/'SSP Scenarios'!T$19</f>
        <v>1.5866245392311742</v>
      </c>
      <c r="P14">
        <f>'SSP Scenarios'!U30/'SSP Scenarios'!U$19</f>
        <v>1.3093525179856116</v>
      </c>
      <c r="Q14">
        <f>'SSP Scenarios'!V30/'SSP Scenarios'!V$19</f>
        <v>2.2951985773562535</v>
      </c>
    </row>
    <row r="15" spans="1:17">
      <c r="A15" s="1">
        <v>2050</v>
      </c>
      <c r="B15">
        <f>'SSP Scenarios'!I31/'SSP Scenarios'!I$19</f>
        <v>1.1253298153034299</v>
      </c>
      <c r="C15">
        <f>'SSP Scenarios'!J31/'SSP Scenarios'!J$19</f>
        <v>1.204993429697766</v>
      </c>
      <c r="D15">
        <f>'SSP Scenarios'!K31/'SSP Scenarios'!K$19</f>
        <v>1.2935064935064935</v>
      </c>
      <c r="E15">
        <f>'SSP Scenarios'!L31/'SSP Scenarios'!L$19</f>
        <v>1.1364238410596026</v>
      </c>
      <c r="G15" s="1">
        <v>2050</v>
      </c>
      <c r="H15">
        <f>'SSP Scenarios'!N31/'SSP Scenarios'!N$19</f>
        <v>2.860931054802593</v>
      </c>
      <c r="I15">
        <f>'SSP Scenarios'!O31/'SSP Scenarios'!O$19</f>
        <v>2.2755041518386716</v>
      </c>
      <c r="J15">
        <f>'SSP Scenarios'!P31/'SSP Scenarios'!P$19</f>
        <v>1.7607802874743326</v>
      </c>
      <c r="K15">
        <f>'SSP Scenarios'!Q31/'SSP Scenarios'!Q$19</f>
        <v>3.5789990186457308</v>
      </c>
      <c r="M15" s="1">
        <v>2050</v>
      </c>
      <c r="N15">
        <f>'SSP Scenarios'!S31/'SSP Scenarios'!S$19</f>
        <v>2.5424359737939248</v>
      </c>
      <c r="O15">
        <f>'SSP Scenarios'!T31/'SSP Scenarios'!T$19</f>
        <v>1.8883622959452344</v>
      </c>
      <c r="P15">
        <f>'SSP Scenarios'!U31/'SSP Scenarios'!U$19</f>
        <v>1.3612143252431022</v>
      </c>
      <c r="Q15">
        <f>'SSP Scenarios'!V31/'SSP Scenarios'!V$19</f>
        <v>3.1494516893894486</v>
      </c>
    </row>
    <row r="16" spans="1:17">
      <c r="A16" s="1">
        <v>2060</v>
      </c>
      <c r="B16">
        <f>'SSP Scenarios'!I32/'SSP Scenarios'!I$19</f>
        <v>1.1200527704485488</v>
      </c>
      <c r="C16">
        <f>'SSP Scenarios'!J32/'SSP Scenarios'!J$19</f>
        <v>1.2325886990801578</v>
      </c>
      <c r="D16">
        <f>'SSP Scenarios'!K32/'SSP Scenarios'!K$19</f>
        <v>1.3727272727272728</v>
      </c>
      <c r="E16">
        <f>'SSP Scenarios'!L32/'SSP Scenarios'!L$19</f>
        <v>1.1377483443708609</v>
      </c>
      <c r="G16" s="1">
        <v>2060</v>
      </c>
      <c r="H16">
        <f>'SSP Scenarios'!N32/'SSP Scenarios'!N$19</f>
        <v>3.499214299744648</v>
      </c>
      <c r="I16">
        <f>'SSP Scenarios'!O32/'SSP Scenarios'!O$19</f>
        <v>2.754250691973112</v>
      </c>
      <c r="J16">
        <f>'SSP Scenarios'!P32/'SSP Scenarios'!P$19</f>
        <v>1.9241273100616014</v>
      </c>
      <c r="K16">
        <f>'SSP Scenarios'!Q32/'SSP Scenarios'!Q$19</f>
        <v>4.6938174681059861</v>
      </c>
      <c r="M16" s="1">
        <v>2060</v>
      </c>
      <c r="N16">
        <f>'SSP Scenarios'!S32/'SSP Scenarios'!S$19</f>
        <v>3.1242555092316855</v>
      </c>
      <c r="O16">
        <f>'SSP Scenarios'!T32/'SSP Scenarios'!T$19</f>
        <v>2.2344843150530354</v>
      </c>
      <c r="P16">
        <f>'SSP Scenarios'!U32/'SSP Scenarios'!U$19</f>
        <v>1.4016918333465096</v>
      </c>
      <c r="Q16">
        <f>'SSP Scenarios'!V32/'SSP Scenarios'!V$19</f>
        <v>4.1257409602845287</v>
      </c>
    </row>
    <row r="17" spans="1:17">
      <c r="A17" s="1">
        <v>2070</v>
      </c>
      <c r="B17">
        <f>'SSP Scenarios'!I33/'SSP Scenarios'!I$19</f>
        <v>1.0949868073878628</v>
      </c>
      <c r="C17">
        <f>'SSP Scenarios'!J33/'SSP Scenarios'!J$19</f>
        <v>1.2431011826544021</v>
      </c>
      <c r="D17">
        <f>'SSP Scenarios'!K33/'SSP Scenarios'!K$19</f>
        <v>1.444155844155844</v>
      </c>
      <c r="E17">
        <f>'SSP Scenarios'!L33/'SSP Scenarios'!L$19</f>
        <v>1.1205298013245035</v>
      </c>
      <c r="G17" s="1">
        <v>2070</v>
      </c>
      <c r="H17">
        <f>'SSP Scenarios'!N33/'SSP Scenarios'!N$19</f>
        <v>4.1179532508348071</v>
      </c>
      <c r="I17">
        <f>'SSP Scenarios'!O33/'SSP Scenarios'!O$19</f>
        <v>3.3035784895215503</v>
      </c>
      <c r="J17">
        <f>'SSP Scenarios'!P33/'SSP Scenarios'!P$19</f>
        <v>2.095277207392197</v>
      </c>
      <c r="K17">
        <f>'SSP Scenarios'!Q33/'SSP Scenarios'!Q$19</f>
        <v>5.945044160942099</v>
      </c>
      <c r="M17" s="1">
        <v>2070</v>
      </c>
      <c r="N17">
        <f>'SSP Scenarios'!S33/'SSP Scenarios'!S$19</f>
        <v>3.7608695652173911</v>
      </c>
      <c r="O17">
        <f>'SSP Scenarios'!T33/'SSP Scenarios'!T$19</f>
        <v>2.6574889039344014</v>
      </c>
      <c r="P17">
        <f>'SSP Scenarios'!U33/'SSP Scenarios'!U$19</f>
        <v>1.4508656810815084</v>
      </c>
      <c r="Q17">
        <f>'SSP Scenarios'!V33/'SSP Scenarios'!V$19</f>
        <v>5.3057943094250151</v>
      </c>
    </row>
    <row r="18" spans="1:17">
      <c r="A18" s="1">
        <v>2080</v>
      </c>
      <c r="B18">
        <f>'SSP Scenarios'!I34/'SSP Scenarios'!I$19</f>
        <v>1.0514511873350922</v>
      </c>
      <c r="C18">
        <f>'SSP Scenarios'!J34/'SSP Scenarios'!J$19</f>
        <v>1.2365308804204993</v>
      </c>
      <c r="D18">
        <f>'SSP Scenarios'!K34/'SSP Scenarios'!K$19</f>
        <v>1.5103896103896104</v>
      </c>
      <c r="E18">
        <f>'SSP Scenarios'!L34/'SSP Scenarios'!L$19</f>
        <v>1.0860927152317881</v>
      </c>
      <c r="G18" s="1">
        <v>2080</v>
      </c>
      <c r="H18">
        <f>'SSP Scenarios'!N34/'SSP Scenarios'!N$19</f>
        <v>4.6692201924965628</v>
      </c>
      <c r="I18">
        <f>'SSP Scenarios'!O34/'SSP Scenarios'!O$19</f>
        <v>3.899565045472519</v>
      </c>
      <c r="J18">
        <f>'SSP Scenarios'!P34/'SSP Scenarios'!P$19</f>
        <v>2.2725872689938398</v>
      </c>
      <c r="K18">
        <f>'SSP Scenarios'!Q34/'SSP Scenarios'!Q$19</f>
        <v>7.2679097154072618</v>
      </c>
      <c r="M18" s="1">
        <v>2080</v>
      </c>
      <c r="N18">
        <f>'SSP Scenarios'!S34/'SSP Scenarios'!S$19</f>
        <v>4.4409618820726626</v>
      </c>
      <c r="O18">
        <f>'SSP Scenarios'!T34/'SSP Scenarios'!T$19</f>
        <v>3.1536146844203716</v>
      </c>
      <c r="P18">
        <f>'SSP Scenarios'!U34/'SSP Scenarios'!U$19</f>
        <v>1.5046248715313464</v>
      </c>
      <c r="Q18">
        <f>'SSP Scenarios'!V34/'SSP Scenarios'!V$19</f>
        <v>6.6921310017783044</v>
      </c>
    </row>
    <row r="19" spans="1:17">
      <c r="A19" s="1">
        <v>2090</v>
      </c>
      <c r="B19">
        <f>'SSP Scenarios'!I35/'SSP Scenarios'!I$19</f>
        <v>0.99076517150395771</v>
      </c>
      <c r="C19">
        <f>'SSP Scenarios'!J35/'SSP Scenarios'!J$19</f>
        <v>1.2155059132720105</v>
      </c>
      <c r="D19">
        <f>'SSP Scenarios'!K35/'SSP Scenarios'!K$19</f>
        <v>1.5753246753246755</v>
      </c>
      <c r="E19">
        <f>'SSP Scenarios'!L35/'SSP Scenarios'!L$19</f>
        <v>1.0370860927152319</v>
      </c>
      <c r="G19" s="1">
        <v>2090</v>
      </c>
      <c r="H19">
        <f>'SSP Scenarios'!N35/'SSP Scenarios'!N$19</f>
        <v>5.1549793753682973</v>
      </c>
      <c r="I19">
        <f>'SSP Scenarios'!O35/'SSP Scenarios'!O$19</f>
        <v>4.5462633451957295</v>
      </c>
      <c r="J19">
        <f>'SSP Scenarios'!P35/'SSP Scenarios'!P$19</f>
        <v>2.4649897330595483</v>
      </c>
      <c r="K19">
        <f>'SSP Scenarios'!Q35/'SSP Scenarios'!Q$19</f>
        <v>8.6584887144259071</v>
      </c>
      <c r="M19" s="1">
        <v>2090</v>
      </c>
      <c r="N19">
        <f>'SSP Scenarios'!S35/'SSP Scenarios'!S$19</f>
        <v>5.2032459797498509</v>
      </c>
      <c r="O19">
        <f>'SSP Scenarios'!T35/'SSP Scenarios'!T$19</f>
        <v>3.7401639960881665</v>
      </c>
      <c r="P19">
        <f>'SSP Scenarios'!U35/'SSP Scenarios'!U$19</f>
        <v>1.5647877302553561</v>
      </c>
      <c r="Q19">
        <f>'SSP Scenarios'!V35/'SSP Scenarios'!V$19</f>
        <v>8.3492145820983996</v>
      </c>
    </row>
    <row r="20" spans="1:17">
      <c r="A20" s="1">
        <v>2100</v>
      </c>
      <c r="B20">
        <f>'SSP Scenarios'!I36/'SSP Scenarios'!I$19</f>
        <v>0.91820580474934033</v>
      </c>
      <c r="C20">
        <f>'SSP Scenarios'!J36/'SSP Scenarios'!J$19</f>
        <v>1.1865965834428382</v>
      </c>
      <c r="D20">
        <f>'SSP Scenarios'!K36/'SSP Scenarios'!K$19</f>
        <v>1.6389610389610387</v>
      </c>
      <c r="E20">
        <f>'SSP Scenarios'!L36/'SSP Scenarios'!L$19</f>
        <v>0.97748344370860929</v>
      </c>
      <c r="G20" s="1">
        <v>2100</v>
      </c>
      <c r="H20">
        <f>'SSP Scenarios'!N36/'SSP Scenarios'!N$19</f>
        <v>5.5528383421724614</v>
      </c>
      <c r="I20">
        <f>'SSP Scenarios'!O36/'SSP Scenarios'!O$19</f>
        <v>5.2583036773428233</v>
      </c>
      <c r="J20">
        <f>'SSP Scenarios'!P36/'SSP Scenarios'!P$19</f>
        <v>2.6852156057494869</v>
      </c>
      <c r="K20">
        <f>'SSP Scenarios'!Q36/'SSP Scenarios'!Q$19</f>
        <v>10.117762512266928</v>
      </c>
      <c r="M20" s="1">
        <v>2100</v>
      </c>
      <c r="N20">
        <f>'SSP Scenarios'!S36/'SSP Scenarios'!S$19</f>
        <v>6.0477963073257888</v>
      </c>
      <c r="O20">
        <f>'SSP Scenarios'!T36/'SSP Scenarios'!T$19</f>
        <v>4.4313548484164595</v>
      </c>
      <c r="P20">
        <f>'SSP Scenarios'!U36/'SSP Scenarios'!U$19</f>
        <v>1.6383903865918255</v>
      </c>
      <c r="Q20">
        <f>'SSP Scenarios'!V36/'SSP Scenarios'!V$19</f>
        <v>10.35128927089508</v>
      </c>
    </row>
    <row r="22" spans="1:17">
      <c r="A22" s="575" t="s">
        <v>205</v>
      </c>
      <c r="B22" s="575"/>
      <c r="C22" s="575"/>
      <c r="D22" s="575"/>
      <c r="E22" s="575"/>
      <c r="F22" s="575"/>
      <c r="G22" s="575"/>
      <c r="H22" s="575"/>
      <c r="I22" s="575"/>
      <c r="J22" s="575"/>
      <c r="K22" s="575"/>
      <c r="L22" s="575"/>
      <c r="M22" s="575"/>
      <c r="N22" s="575"/>
      <c r="O22" s="575"/>
      <c r="P22" s="575"/>
      <c r="Q22" s="575"/>
    </row>
  </sheetData>
  <mergeCells count="4">
    <mergeCell ref="A1:E1"/>
    <mergeCell ref="G1:K1"/>
    <mergeCell ref="M1:Q1"/>
    <mergeCell ref="A22:Q2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98D09-676E-4A2A-A9A3-0ABCD11ED01A}">
  <dimension ref="A1:S41"/>
  <sheetViews>
    <sheetView topLeftCell="A5" workbookViewId="0">
      <selection activeCell="E2" sqref="E2"/>
    </sheetView>
  </sheetViews>
  <sheetFormatPr defaultColWidth="8.7109375" defaultRowHeight="15"/>
  <cols>
    <col min="1" max="1" width="10" bestFit="1" customWidth="1"/>
    <col min="2" max="2" width="12.140625" bestFit="1" customWidth="1"/>
    <col min="3" max="4" width="12.42578125" bestFit="1" customWidth="1"/>
    <col min="5" max="5" width="8.7109375" bestFit="1" customWidth="1"/>
    <col min="6" max="6" width="11.140625" customWidth="1"/>
    <col min="7" max="7" width="11.42578125" bestFit="1" customWidth="1"/>
    <col min="8" max="8" width="12.42578125" bestFit="1" customWidth="1"/>
    <col min="9" max="9" width="12.140625" customWidth="1"/>
    <col min="10" max="10" width="8.7109375" bestFit="1" customWidth="1"/>
    <col min="11" max="11" width="14.140625" customWidth="1"/>
    <col min="12" max="14" width="12.42578125" bestFit="1" customWidth="1"/>
    <col min="15" max="15" width="8.7109375" bestFit="1" customWidth="1"/>
    <col min="16" max="16" width="11" customWidth="1"/>
    <col min="17" max="17" width="13" customWidth="1"/>
    <col min="18" max="18" width="12.42578125" customWidth="1"/>
    <col min="19" max="19" width="13.7109375" customWidth="1"/>
  </cols>
  <sheetData>
    <row r="1" spans="1:19">
      <c r="A1" s="578" t="s">
        <v>206</v>
      </c>
      <c r="B1" s="578"/>
      <c r="C1" s="578"/>
      <c r="D1" s="578"/>
      <c r="E1" s="197"/>
      <c r="F1" s="579" t="s">
        <v>207</v>
      </c>
      <c r="G1" s="579"/>
      <c r="H1" s="579"/>
      <c r="I1" s="579"/>
      <c r="K1" s="578" t="s">
        <v>208</v>
      </c>
      <c r="L1" s="578"/>
      <c r="M1" s="578"/>
      <c r="N1" s="578"/>
      <c r="P1" s="576" t="s">
        <v>209</v>
      </c>
      <c r="Q1" s="576"/>
      <c r="R1" s="576"/>
      <c r="S1" s="576"/>
    </row>
    <row r="2" spans="1:19">
      <c r="A2" s="220" t="s">
        <v>210</v>
      </c>
      <c r="B2" s="220" t="s">
        <v>211</v>
      </c>
      <c r="C2" s="220" t="s">
        <v>212</v>
      </c>
      <c r="D2" s="220" t="s">
        <v>96</v>
      </c>
      <c r="E2" s="197"/>
      <c r="F2" s="365" t="s">
        <v>210</v>
      </c>
      <c r="G2" s="365" t="s">
        <v>213</v>
      </c>
      <c r="H2" s="365" t="s">
        <v>212</v>
      </c>
      <c r="I2" s="365" t="s">
        <v>96</v>
      </c>
      <c r="J2" s="198"/>
      <c r="K2" s="220" t="s">
        <v>210</v>
      </c>
      <c r="L2" s="220" t="s">
        <v>213</v>
      </c>
      <c r="M2" s="220" t="s">
        <v>212</v>
      </c>
      <c r="N2" s="220" t="s">
        <v>96</v>
      </c>
      <c r="P2" s="224" t="s">
        <v>210</v>
      </c>
      <c r="Q2" s="224" t="s">
        <v>211</v>
      </c>
      <c r="R2" s="224" t="s">
        <v>212</v>
      </c>
      <c r="S2" s="224" t="s">
        <v>96</v>
      </c>
    </row>
    <row r="3" spans="1:19">
      <c r="A3" s="342">
        <v>1</v>
      </c>
      <c r="B3" s="366">
        <v>637301.5</v>
      </c>
      <c r="C3" s="366">
        <v>818859.4</v>
      </c>
      <c r="D3" s="366">
        <v>728080.4</v>
      </c>
      <c r="E3" s="343"/>
      <c r="F3" s="408">
        <v>1</v>
      </c>
      <c r="G3" s="366">
        <v>4869045.72</v>
      </c>
      <c r="H3" s="366">
        <v>6607315.7999999998</v>
      </c>
      <c r="I3" s="366">
        <v>5738180.75</v>
      </c>
      <c r="J3" s="344"/>
      <c r="K3" s="342">
        <v>1</v>
      </c>
      <c r="L3" s="366">
        <v>7273781.9270000001</v>
      </c>
      <c r="M3" s="366">
        <v>18772259.289999999</v>
      </c>
      <c r="N3" s="366">
        <v>13023020.6</v>
      </c>
      <c r="O3" s="62"/>
      <c r="P3" s="345">
        <v>1</v>
      </c>
      <c r="Q3" s="346">
        <f t="shared" ref="Q3:Q8" si="0">SUM($B3,$G3,$L3)</f>
        <v>12780129.147</v>
      </c>
      <c r="R3" s="346">
        <f t="shared" ref="R3:R8" si="1">SUM($C3,$H3,$M3)</f>
        <v>26198434.489999998</v>
      </c>
      <c r="S3" s="346">
        <f>SUM(D3,I3,N3)</f>
        <v>19489281.75</v>
      </c>
    </row>
    <row r="4" spans="1:19">
      <c r="A4" s="347">
        <v>2</v>
      </c>
      <c r="B4" s="199">
        <v>957089.4</v>
      </c>
      <c r="C4" s="199">
        <v>1161032.8</v>
      </c>
      <c r="D4" s="199">
        <v>1059061.1000000001</v>
      </c>
      <c r="E4" s="343"/>
      <c r="F4" s="409">
        <v>2</v>
      </c>
      <c r="G4" s="199">
        <v>6708810.2599999998</v>
      </c>
      <c r="H4" s="199">
        <v>8793270</v>
      </c>
      <c r="I4" s="199">
        <v>7751040.1100000003</v>
      </c>
      <c r="J4" s="344"/>
      <c r="K4" s="347">
        <v>2</v>
      </c>
      <c r="L4" s="199">
        <v>14309831.567</v>
      </c>
      <c r="M4" s="199">
        <v>27353014.949999999</v>
      </c>
      <c r="N4" s="199">
        <v>20831423.300000001</v>
      </c>
      <c r="O4" s="62"/>
      <c r="P4" s="348">
        <v>2</v>
      </c>
      <c r="Q4" s="349">
        <f t="shared" si="0"/>
        <v>21975731.226999998</v>
      </c>
      <c r="R4" s="349">
        <f t="shared" si="1"/>
        <v>37307317.75</v>
      </c>
      <c r="S4" s="349">
        <f t="shared" ref="S4:S8" si="2">SUM(D4,I4,N4)</f>
        <v>29641524.510000002</v>
      </c>
    </row>
    <row r="5" spans="1:19">
      <c r="A5" s="350">
        <v>3</v>
      </c>
      <c r="B5" s="368">
        <v>708746.3</v>
      </c>
      <c r="C5" s="368">
        <v>1075256.7</v>
      </c>
      <c r="D5" s="368">
        <v>892001.5</v>
      </c>
      <c r="E5" s="343"/>
      <c r="F5" s="410">
        <v>3</v>
      </c>
      <c r="G5" s="368">
        <v>200408.99</v>
      </c>
      <c r="H5" s="368">
        <v>660668.19999999995</v>
      </c>
      <c r="I5" s="368">
        <v>430538.62</v>
      </c>
      <c r="J5" s="351"/>
      <c r="K5" s="350">
        <v>3</v>
      </c>
      <c r="L5" s="352">
        <v>0</v>
      </c>
      <c r="M5" s="368">
        <v>515764.13</v>
      </c>
      <c r="N5" s="368">
        <v>184239.4</v>
      </c>
      <c r="O5" s="62"/>
      <c r="P5" s="353">
        <v>3</v>
      </c>
      <c r="Q5" s="354">
        <f t="shared" si="0"/>
        <v>909155.29</v>
      </c>
      <c r="R5" s="354">
        <f t="shared" si="1"/>
        <v>2251689.0299999998</v>
      </c>
      <c r="S5" s="354">
        <f t="shared" si="2"/>
        <v>1506779.52</v>
      </c>
    </row>
    <row r="6" spans="1:19">
      <c r="A6" s="347">
        <v>4</v>
      </c>
      <c r="B6" s="199">
        <v>159923</v>
      </c>
      <c r="C6" s="199">
        <v>216557.3</v>
      </c>
      <c r="D6" s="199">
        <v>188240.2</v>
      </c>
      <c r="E6" s="343"/>
      <c r="F6" s="409">
        <v>4</v>
      </c>
      <c r="G6" s="199">
        <v>89789.32</v>
      </c>
      <c r="H6" s="199">
        <v>287276.5</v>
      </c>
      <c r="I6" s="199">
        <v>188532.92</v>
      </c>
      <c r="J6" s="351"/>
      <c r="K6" s="347">
        <v>4</v>
      </c>
      <c r="L6" s="199">
        <v>4214.5749999999998</v>
      </c>
      <c r="M6" s="199">
        <v>33540.629999999997</v>
      </c>
      <c r="N6" s="199">
        <v>18877.599999999999</v>
      </c>
      <c r="O6" s="62"/>
      <c r="P6" s="348">
        <v>4</v>
      </c>
      <c r="Q6" s="349">
        <f t="shared" si="0"/>
        <v>253926.89500000002</v>
      </c>
      <c r="R6" s="349">
        <f t="shared" si="1"/>
        <v>537374.42999999993</v>
      </c>
      <c r="S6" s="349">
        <f t="shared" si="2"/>
        <v>395650.72</v>
      </c>
    </row>
    <row r="7" spans="1:19">
      <c r="A7" s="350">
        <v>5</v>
      </c>
      <c r="B7" s="368">
        <v>110462.8</v>
      </c>
      <c r="C7" s="368">
        <v>157262.9</v>
      </c>
      <c r="D7" s="368">
        <v>133862.79999999999</v>
      </c>
      <c r="E7" s="343"/>
      <c r="F7" s="410">
        <v>5</v>
      </c>
      <c r="G7" s="368">
        <v>54646.879999999997</v>
      </c>
      <c r="H7" s="368">
        <v>124653.1</v>
      </c>
      <c r="I7" s="368">
        <v>89650.01</v>
      </c>
      <c r="J7" s="351"/>
      <c r="K7" s="350">
        <v>5</v>
      </c>
      <c r="L7" s="368">
        <v>2398.027</v>
      </c>
      <c r="M7" s="368">
        <v>279181.07</v>
      </c>
      <c r="N7" s="368">
        <v>140789.5</v>
      </c>
      <c r="O7" s="62"/>
      <c r="P7" s="353">
        <v>5</v>
      </c>
      <c r="Q7" s="354">
        <f t="shared" si="0"/>
        <v>167507.70699999999</v>
      </c>
      <c r="R7" s="354">
        <f t="shared" si="1"/>
        <v>561097.07000000007</v>
      </c>
      <c r="S7" s="354">
        <f t="shared" si="2"/>
        <v>364302.31</v>
      </c>
    </row>
    <row r="8" spans="1:19">
      <c r="A8" s="355">
        <v>6</v>
      </c>
      <c r="B8" s="370">
        <v>152230.79999999999</v>
      </c>
      <c r="C8" s="370">
        <v>227168</v>
      </c>
      <c r="D8" s="370">
        <v>189699.4</v>
      </c>
      <c r="E8" s="343"/>
      <c r="F8" s="411">
        <v>6</v>
      </c>
      <c r="G8" s="370">
        <v>206918.18</v>
      </c>
      <c r="H8" s="370">
        <v>515738.9</v>
      </c>
      <c r="I8" s="370">
        <v>361328.54</v>
      </c>
      <c r="J8" s="351"/>
      <c r="K8" s="355">
        <v>6</v>
      </c>
      <c r="L8" s="356">
        <v>0</v>
      </c>
      <c r="M8" s="370">
        <v>241269.43</v>
      </c>
      <c r="N8" s="370">
        <v>107315.4</v>
      </c>
      <c r="O8" s="62"/>
      <c r="P8" s="357">
        <v>6</v>
      </c>
      <c r="Q8" s="358">
        <f t="shared" si="0"/>
        <v>359148.98</v>
      </c>
      <c r="R8" s="358">
        <f t="shared" si="1"/>
        <v>984176.33000000007</v>
      </c>
      <c r="S8" s="358">
        <f t="shared" si="2"/>
        <v>658343.34</v>
      </c>
    </row>
    <row r="9" spans="1:19">
      <c r="A9" s="343"/>
      <c r="B9" s="343"/>
      <c r="C9" s="343"/>
      <c r="D9" s="343"/>
      <c r="E9" s="343"/>
      <c r="F9" s="343"/>
      <c r="G9" s="343"/>
      <c r="H9" s="344"/>
      <c r="I9" s="344"/>
      <c r="J9" s="62"/>
      <c r="K9" s="62"/>
      <c r="L9" s="62"/>
      <c r="M9" s="62"/>
      <c r="N9" s="62"/>
      <c r="O9" s="62"/>
      <c r="P9" s="62"/>
      <c r="Q9" s="62"/>
      <c r="R9" s="62"/>
      <c r="S9" s="62"/>
    </row>
    <row r="10" spans="1:19">
      <c r="A10" s="577" t="s">
        <v>214</v>
      </c>
      <c r="B10" s="577"/>
      <c r="C10" s="577"/>
      <c r="D10" s="577"/>
      <c r="E10" s="343"/>
      <c r="F10" s="577" t="s">
        <v>215</v>
      </c>
      <c r="G10" s="577"/>
      <c r="H10" s="577"/>
      <c r="I10" s="577"/>
      <c r="J10" s="62"/>
      <c r="K10" s="577" t="s">
        <v>216</v>
      </c>
      <c r="L10" s="577"/>
      <c r="M10" s="577"/>
      <c r="N10" s="577"/>
      <c r="O10" s="62"/>
      <c r="P10" s="200"/>
      <c r="Q10" s="62"/>
      <c r="R10" s="62"/>
      <c r="S10" s="62"/>
    </row>
    <row r="11" spans="1:19">
      <c r="A11" s="359" t="s">
        <v>210</v>
      </c>
      <c r="B11" s="359" t="s">
        <v>213</v>
      </c>
      <c r="C11" s="359" t="s">
        <v>212</v>
      </c>
      <c r="D11" s="359" t="s">
        <v>96</v>
      </c>
      <c r="E11" s="343"/>
      <c r="F11" s="359" t="s">
        <v>217</v>
      </c>
      <c r="G11" s="359" t="s">
        <v>211</v>
      </c>
      <c r="H11" s="359" t="s">
        <v>218</v>
      </c>
      <c r="I11" s="359" t="s">
        <v>96</v>
      </c>
      <c r="J11" s="62"/>
      <c r="K11" s="359" t="s">
        <v>210</v>
      </c>
      <c r="L11" s="359" t="s">
        <v>211</v>
      </c>
      <c r="M11" s="359" t="s">
        <v>218</v>
      </c>
      <c r="N11" s="359" t="s">
        <v>96</v>
      </c>
      <c r="O11" s="62"/>
      <c r="P11" s="200"/>
      <c r="R11" s="62"/>
      <c r="S11" s="62"/>
    </row>
    <row r="12" spans="1:19">
      <c r="A12" s="345">
        <v>1</v>
      </c>
      <c r="B12" s="360">
        <v>4.7530260000000002</v>
      </c>
      <c r="C12" s="360">
        <v>5.9086670000000003</v>
      </c>
      <c r="D12" s="360">
        <v>5.3308470000000003</v>
      </c>
      <c r="E12" s="343"/>
      <c r="F12" s="345">
        <v>1</v>
      </c>
      <c r="G12" s="360">
        <v>2.8920706200000001</v>
      </c>
      <c r="H12" s="360">
        <v>3.7699460999999999</v>
      </c>
      <c r="I12" s="360">
        <v>3.3310084</v>
      </c>
      <c r="J12" s="62"/>
      <c r="K12" s="345">
        <v>1</v>
      </c>
      <c r="L12" s="360">
        <v>0.63511821820000003</v>
      </c>
      <c r="M12" s="360">
        <v>1.251157351</v>
      </c>
      <c r="N12" s="360">
        <v>0.94313778500000001</v>
      </c>
      <c r="O12" s="62"/>
      <c r="P12" s="198"/>
      <c r="Q12" s="343"/>
      <c r="R12" s="343"/>
      <c r="S12" s="343"/>
    </row>
    <row r="13" spans="1:19">
      <c r="A13" s="348">
        <v>2</v>
      </c>
      <c r="B13" s="361">
        <v>17.033252999999998</v>
      </c>
      <c r="C13" s="361">
        <v>19.260826000000002</v>
      </c>
      <c r="D13" s="361">
        <v>18.147038999999999</v>
      </c>
      <c r="E13" s="343"/>
      <c r="F13" s="348">
        <v>2</v>
      </c>
      <c r="G13" s="361">
        <v>3.7669011800000001</v>
      </c>
      <c r="H13" s="361">
        <v>4.7119344999999999</v>
      </c>
      <c r="I13" s="361">
        <v>4.2394179000000003</v>
      </c>
      <c r="J13" s="62"/>
      <c r="K13" s="348">
        <v>2</v>
      </c>
      <c r="L13" s="361">
        <v>0.91317766639999998</v>
      </c>
      <c r="M13" s="361">
        <v>1.624797595</v>
      </c>
      <c r="N13" s="361">
        <v>1.2689876309999999</v>
      </c>
      <c r="O13" s="62"/>
      <c r="P13" s="198"/>
      <c r="Q13" s="343"/>
      <c r="R13" s="343"/>
      <c r="S13" s="343"/>
    </row>
    <row r="14" spans="1:19">
      <c r="A14" s="353">
        <v>3</v>
      </c>
      <c r="B14" s="362">
        <v>21.49466</v>
      </c>
      <c r="C14" s="362">
        <v>24.505776000000001</v>
      </c>
      <c r="D14" s="362">
        <v>23.000218</v>
      </c>
      <c r="E14" s="343"/>
      <c r="F14" s="353">
        <v>3</v>
      </c>
      <c r="G14" s="362">
        <v>0.18268762</v>
      </c>
      <c r="H14" s="362">
        <v>0.75034350000000005</v>
      </c>
      <c r="I14" s="362">
        <v>0.46651559999999997</v>
      </c>
      <c r="J14" s="62"/>
      <c r="K14" s="353">
        <v>3</v>
      </c>
      <c r="L14" s="354">
        <v>2.7280540000000002E-6</v>
      </c>
      <c r="M14" s="362">
        <v>9.8897711999999999E-2</v>
      </c>
      <c r="N14" s="362">
        <v>3.4936916999999998E-2</v>
      </c>
      <c r="O14" s="62"/>
      <c r="P14" s="198"/>
      <c r="Q14" s="343"/>
      <c r="R14" s="343"/>
      <c r="S14" s="343"/>
    </row>
    <row r="15" spans="1:19">
      <c r="A15" s="348">
        <v>4</v>
      </c>
      <c r="B15" s="361">
        <v>6.274451</v>
      </c>
      <c r="C15" s="361">
        <v>7.146808</v>
      </c>
      <c r="D15" s="361">
        <v>6.7106300000000001</v>
      </c>
      <c r="E15" s="343"/>
      <c r="F15" s="348">
        <v>4</v>
      </c>
      <c r="G15" s="361">
        <v>9.1125059999999994E-2</v>
      </c>
      <c r="H15" s="361">
        <v>0.26610260000000002</v>
      </c>
      <c r="I15" s="361">
        <v>0.17861379999999999</v>
      </c>
      <c r="J15" s="62"/>
      <c r="K15" s="348">
        <v>4</v>
      </c>
      <c r="L15" s="361">
        <v>3.9726179999999999E-4</v>
      </c>
      <c r="M15" s="361">
        <v>4.6575740000000003E-3</v>
      </c>
      <c r="N15" s="361">
        <v>2.527418E-3</v>
      </c>
      <c r="O15" s="62"/>
      <c r="P15" s="198"/>
      <c r="Q15" s="343"/>
      <c r="R15" s="343"/>
      <c r="S15" s="343"/>
    </row>
    <row r="16" spans="1:19">
      <c r="A16" s="353">
        <v>5</v>
      </c>
      <c r="B16" s="362">
        <v>5.1468119999999997</v>
      </c>
      <c r="C16" s="362">
        <v>5.7959129999999996</v>
      </c>
      <c r="D16" s="362">
        <v>5.4713630000000002</v>
      </c>
      <c r="E16" s="343"/>
      <c r="F16" s="353">
        <v>5</v>
      </c>
      <c r="G16" s="362">
        <v>4.384714E-2</v>
      </c>
      <c r="H16" s="362">
        <v>0.10517170000000001</v>
      </c>
      <c r="I16" s="362">
        <v>7.4509400000000003E-2</v>
      </c>
      <c r="J16" s="62"/>
      <c r="K16" s="353">
        <v>5</v>
      </c>
      <c r="L16" s="362">
        <v>2.1685743E-3</v>
      </c>
      <c r="M16" s="362">
        <v>1.0526101E-2</v>
      </c>
      <c r="N16" s="362">
        <v>6.3473380000000001E-3</v>
      </c>
      <c r="O16" s="62"/>
      <c r="P16" s="198"/>
      <c r="Q16" s="343"/>
      <c r="R16" s="343"/>
      <c r="S16" s="343"/>
    </row>
    <row r="17" spans="1:19">
      <c r="A17" s="357">
        <v>6</v>
      </c>
      <c r="B17" s="363">
        <v>3.3105859999999998</v>
      </c>
      <c r="C17" s="363">
        <v>4.162998</v>
      </c>
      <c r="D17" s="363">
        <v>3.7367919999999999</v>
      </c>
      <c r="E17" s="343"/>
      <c r="F17" s="357">
        <v>6</v>
      </c>
      <c r="G17" s="363">
        <v>0.18766701</v>
      </c>
      <c r="H17" s="363">
        <v>0.38405420000000001</v>
      </c>
      <c r="I17" s="363">
        <v>0.28586060000000002</v>
      </c>
      <c r="J17" s="62"/>
      <c r="K17" s="357">
        <v>6</v>
      </c>
      <c r="L17" s="363">
        <v>0</v>
      </c>
      <c r="M17" s="363">
        <v>2.0822798999999999E-2</v>
      </c>
      <c r="N17" s="363">
        <v>9.6160510000000005E-3</v>
      </c>
      <c r="O17" s="62"/>
      <c r="P17" s="198"/>
      <c r="Q17" s="343"/>
      <c r="R17" s="343"/>
      <c r="S17" s="343"/>
    </row>
    <row r="18" spans="1:19">
      <c r="A18" s="343"/>
      <c r="B18" s="343"/>
      <c r="C18" s="343"/>
      <c r="D18" s="343"/>
      <c r="E18" s="343"/>
      <c r="F18" s="62"/>
      <c r="G18" s="62"/>
      <c r="H18" s="62"/>
      <c r="I18" s="62"/>
      <c r="J18" s="62"/>
      <c r="K18" s="62"/>
      <c r="L18" s="62"/>
      <c r="M18" s="62"/>
      <c r="N18" s="62"/>
      <c r="O18" s="62"/>
      <c r="P18" s="200"/>
      <c r="Q18" s="62"/>
      <c r="R18" s="62"/>
      <c r="S18" s="62"/>
    </row>
    <row r="19" spans="1:19">
      <c r="A19" s="577" t="s">
        <v>219</v>
      </c>
      <c r="B19" s="577"/>
      <c r="C19" s="577"/>
      <c r="D19" s="577"/>
      <c r="E19" s="343"/>
      <c r="F19" s="577" t="s">
        <v>220</v>
      </c>
      <c r="G19" s="577"/>
      <c r="H19" s="577"/>
      <c r="I19" s="577"/>
      <c r="J19" s="62"/>
      <c r="K19" s="577" t="s">
        <v>221</v>
      </c>
      <c r="L19" s="577"/>
      <c r="M19" s="577"/>
      <c r="N19" s="577"/>
      <c r="O19" s="62"/>
      <c r="P19" s="62"/>
      <c r="Q19" s="62"/>
      <c r="R19" s="62"/>
      <c r="S19" s="62"/>
    </row>
    <row r="20" spans="1:19">
      <c r="A20" s="359" t="s">
        <v>210</v>
      </c>
      <c r="B20" s="359" t="s">
        <v>213</v>
      </c>
      <c r="C20" s="359" t="s">
        <v>212</v>
      </c>
      <c r="D20" s="359" t="s">
        <v>96</v>
      </c>
      <c r="E20" s="343"/>
      <c r="F20" s="359" t="s">
        <v>210</v>
      </c>
      <c r="G20" s="359" t="s">
        <v>211</v>
      </c>
      <c r="H20" s="359" t="s">
        <v>212</v>
      </c>
      <c r="I20" s="359" t="s">
        <v>96</v>
      </c>
      <c r="J20" s="62"/>
      <c r="K20" s="364" t="s">
        <v>210</v>
      </c>
      <c r="L20" s="359" t="s">
        <v>211</v>
      </c>
      <c r="M20" s="359" t="s">
        <v>218</v>
      </c>
      <c r="N20" s="359" t="s">
        <v>96</v>
      </c>
      <c r="O20" s="62"/>
      <c r="P20" s="62"/>
      <c r="Q20" s="62"/>
      <c r="R20" s="62"/>
      <c r="S20" s="62"/>
    </row>
    <row r="21" spans="1:19">
      <c r="A21" s="345">
        <v>1</v>
      </c>
      <c r="B21" s="360">
        <v>115378.04</v>
      </c>
      <c r="C21" s="360">
        <v>128504.4</v>
      </c>
      <c r="D21" s="360">
        <v>121941.22</v>
      </c>
      <c r="E21" s="343"/>
      <c r="F21" s="345">
        <v>1</v>
      </c>
      <c r="G21" s="367">
        <v>1618092</v>
      </c>
      <c r="H21" s="367">
        <v>1760330</v>
      </c>
      <c r="I21" s="367">
        <v>1689211</v>
      </c>
      <c r="J21" s="412"/>
      <c r="K21" s="408">
        <v>1</v>
      </c>
      <c r="L21" s="367">
        <v>13474916</v>
      </c>
      <c r="M21" s="367">
        <v>17761482</v>
      </c>
      <c r="N21" s="367">
        <v>15618199</v>
      </c>
      <c r="O21" s="62"/>
      <c r="P21" s="62"/>
      <c r="Q21" s="62"/>
      <c r="R21" s="62"/>
      <c r="S21" s="62"/>
    </row>
    <row r="22" spans="1:19">
      <c r="A22" s="348">
        <v>2</v>
      </c>
      <c r="B22" s="361">
        <v>62700.04</v>
      </c>
      <c r="C22" s="361">
        <v>71005.100000000006</v>
      </c>
      <c r="D22" s="361">
        <v>66852.570000000007</v>
      </c>
      <c r="E22" s="343"/>
      <c r="F22" s="348">
        <v>2</v>
      </c>
      <c r="G22" s="65">
        <v>1722249</v>
      </c>
      <c r="H22" s="65">
        <v>1879415</v>
      </c>
      <c r="I22" s="65">
        <v>1800832</v>
      </c>
      <c r="J22" s="412"/>
      <c r="K22" s="409">
        <v>2</v>
      </c>
      <c r="L22" s="65">
        <v>21894899</v>
      </c>
      <c r="M22" s="65">
        <v>32170861</v>
      </c>
      <c r="N22" s="65">
        <v>27032880</v>
      </c>
      <c r="O22" s="62"/>
      <c r="P22" s="62"/>
      <c r="Q22" s="62"/>
      <c r="R22" s="62"/>
      <c r="S22" s="62"/>
    </row>
    <row r="23" spans="1:19">
      <c r="A23" s="353">
        <v>3</v>
      </c>
      <c r="B23" s="362">
        <v>19922.48</v>
      </c>
      <c r="C23" s="362">
        <v>24836.39</v>
      </c>
      <c r="D23" s="362">
        <v>22379.439999999999</v>
      </c>
      <c r="E23" s="343"/>
      <c r="F23" s="353">
        <v>3</v>
      </c>
      <c r="G23" s="369">
        <v>1151122</v>
      </c>
      <c r="H23" s="369">
        <v>1372402</v>
      </c>
      <c r="I23" s="369">
        <v>1261762</v>
      </c>
      <c r="J23" s="412"/>
      <c r="K23" s="410">
        <v>3</v>
      </c>
      <c r="L23" s="369">
        <v>6836080</v>
      </c>
      <c r="M23" s="369">
        <v>7683538</v>
      </c>
      <c r="N23" s="369">
        <v>7259809</v>
      </c>
      <c r="O23" s="62"/>
      <c r="P23" s="62"/>
      <c r="Q23" s="62"/>
      <c r="R23" s="62"/>
      <c r="S23" s="62"/>
    </row>
    <row r="24" spans="1:19">
      <c r="A24" s="348">
        <v>4</v>
      </c>
      <c r="B24" s="361">
        <v>22788.400000000001</v>
      </c>
      <c r="C24" s="361">
        <v>28557.58</v>
      </c>
      <c r="D24" s="361">
        <v>25672.99</v>
      </c>
      <c r="E24" s="343"/>
      <c r="F24" s="348">
        <v>4</v>
      </c>
      <c r="G24" s="65">
        <v>1175298</v>
      </c>
      <c r="H24" s="65">
        <v>1415357</v>
      </c>
      <c r="I24" s="65">
        <v>1295328</v>
      </c>
      <c r="J24" s="412"/>
      <c r="K24" s="409">
        <v>4</v>
      </c>
      <c r="L24" s="65">
        <v>9431026</v>
      </c>
      <c r="M24" s="65">
        <v>12029764</v>
      </c>
      <c r="N24" s="65">
        <v>10730395</v>
      </c>
      <c r="O24" s="62"/>
      <c r="P24" s="62"/>
      <c r="Q24" s="62"/>
      <c r="R24" s="62"/>
      <c r="S24" s="62"/>
    </row>
    <row r="25" spans="1:19">
      <c r="A25" s="353">
        <v>5</v>
      </c>
      <c r="B25" s="362">
        <v>24317.79</v>
      </c>
      <c r="C25" s="362">
        <v>30150.38</v>
      </c>
      <c r="D25" s="362">
        <v>27234.080000000002</v>
      </c>
      <c r="E25" s="343"/>
      <c r="F25" s="353">
        <v>5</v>
      </c>
      <c r="G25" s="369">
        <v>1289242</v>
      </c>
      <c r="H25" s="369">
        <v>1592576</v>
      </c>
      <c r="I25" s="369">
        <v>1440909</v>
      </c>
      <c r="J25" s="412"/>
      <c r="K25" s="410">
        <v>5</v>
      </c>
      <c r="L25" s="369">
        <v>12965270</v>
      </c>
      <c r="M25" s="369">
        <v>19099580</v>
      </c>
      <c r="N25" s="369">
        <v>16032425</v>
      </c>
      <c r="O25" s="62"/>
      <c r="P25" s="62"/>
      <c r="Q25" s="62"/>
      <c r="R25" s="62"/>
      <c r="S25" s="62"/>
    </row>
    <row r="26" spans="1:19">
      <c r="A26" s="357">
        <v>6</v>
      </c>
      <c r="B26" s="363">
        <v>35287.4</v>
      </c>
      <c r="C26" s="363">
        <v>42355.05</v>
      </c>
      <c r="D26" s="363">
        <v>38821.230000000003</v>
      </c>
      <c r="E26" s="343"/>
      <c r="F26" s="357">
        <v>6</v>
      </c>
      <c r="G26" s="371">
        <v>1223742</v>
      </c>
      <c r="H26" s="371">
        <v>1473160</v>
      </c>
      <c r="I26" s="371">
        <v>1348451</v>
      </c>
      <c r="J26" s="412"/>
      <c r="K26" s="411">
        <v>6</v>
      </c>
      <c r="L26" s="371">
        <v>8927984</v>
      </c>
      <c r="M26" s="371">
        <v>10621326</v>
      </c>
      <c r="N26" s="371">
        <v>9774655</v>
      </c>
      <c r="O26" s="62"/>
      <c r="P26" s="62"/>
      <c r="Q26" s="62"/>
      <c r="R26" s="62"/>
      <c r="S26" s="62"/>
    </row>
    <row r="27" spans="1:19">
      <c r="A27" s="197"/>
      <c r="B27" s="197"/>
      <c r="C27" s="197"/>
      <c r="D27" s="197"/>
      <c r="E27" s="197"/>
    </row>
    <row r="28" spans="1:19">
      <c r="E28" s="197"/>
    </row>
    <row r="29" spans="1:19">
      <c r="E29" s="197"/>
      <c r="K29" s="200"/>
    </row>
    <row r="30" spans="1:19">
      <c r="E30" s="197"/>
      <c r="K30" s="200"/>
    </row>
    <row r="31" spans="1:19">
      <c r="E31" s="197"/>
      <c r="K31" s="200"/>
    </row>
    <row r="32" spans="1:19">
      <c r="E32" s="197"/>
      <c r="F32" s="197"/>
      <c r="G32" s="197"/>
      <c r="H32" s="197"/>
      <c r="I32" s="197"/>
      <c r="K32" s="200"/>
    </row>
    <row r="33" spans="5:11">
      <c r="E33" s="197"/>
      <c r="K33" s="200"/>
    </row>
    <row r="34" spans="5:11">
      <c r="E34" s="197"/>
      <c r="K34" s="200"/>
    </row>
    <row r="35" spans="5:11">
      <c r="E35" s="197"/>
      <c r="K35" s="200"/>
    </row>
    <row r="41" spans="5:11">
      <c r="F41" s="197"/>
      <c r="G41" s="197"/>
      <c r="H41" s="197"/>
      <c r="I41" s="197"/>
    </row>
  </sheetData>
  <mergeCells count="10">
    <mergeCell ref="P1:S1"/>
    <mergeCell ref="A10:D10"/>
    <mergeCell ref="F10:I10"/>
    <mergeCell ref="K10:N10"/>
    <mergeCell ref="A19:D19"/>
    <mergeCell ref="F19:I19"/>
    <mergeCell ref="K19:N19"/>
    <mergeCell ref="A1:D1"/>
    <mergeCell ref="F1:I1"/>
    <mergeCell ref="K1:N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7591D-98F9-4E8D-8ACA-EA95C3DEBF33}">
  <sheetPr>
    <tabColor rgb="FF4472C4"/>
  </sheetPr>
  <dimension ref="A1:P99"/>
  <sheetViews>
    <sheetView workbookViewId="0">
      <selection activeCell="M8" sqref="M8"/>
    </sheetView>
  </sheetViews>
  <sheetFormatPr defaultColWidth="8.7109375" defaultRowHeight="15"/>
  <cols>
    <col min="1" max="1" width="10" bestFit="1" customWidth="1"/>
    <col min="2" max="2" width="12.140625" bestFit="1" customWidth="1"/>
    <col min="3" max="4" width="12.42578125" bestFit="1" customWidth="1"/>
    <col min="6" max="6" width="9.42578125" bestFit="1" customWidth="1"/>
    <col min="7" max="7" width="10.42578125" bestFit="1" customWidth="1"/>
    <col min="8" max="8" width="9.7109375" bestFit="1" customWidth="1"/>
    <col min="9" max="9" width="10.7109375" bestFit="1" customWidth="1"/>
    <col min="10" max="10" width="10.140625" bestFit="1" customWidth="1"/>
  </cols>
  <sheetData>
    <row r="1" spans="1:16">
      <c r="A1" s="580" t="s">
        <v>209</v>
      </c>
      <c r="B1" s="580"/>
      <c r="C1" s="580"/>
      <c r="D1" s="580"/>
      <c r="E1" s="580"/>
      <c r="F1" s="580"/>
      <c r="G1" s="580"/>
      <c r="H1" s="197"/>
      <c r="I1" s="579" t="s">
        <v>222</v>
      </c>
      <c r="J1" s="579"/>
      <c r="K1" s="579"/>
      <c r="L1" s="579"/>
      <c r="M1" s="579"/>
      <c r="N1" s="579"/>
      <c r="O1" s="579"/>
      <c r="P1" s="197"/>
    </row>
    <row r="2" spans="1:16">
      <c r="A2" s="387" t="str" cm="1">
        <f t="array" ref="A2:G5">TRANSPOSE('Prediction Results'!$P$2:$S$8)</f>
        <v>Region</v>
      </c>
      <c r="B2" s="387">
        <v>1</v>
      </c>
      <c r="C2" s="387">
        <v>2</v>
      </c>
      <c r="D2" s="387">
        <v>3</v>
      </c>
      <c r="E2" s="387">
        <v>4</v>
      </c>
      <c r="F2" s="387">
        <v>5</v>
      </c>
      <c r="G2" s="387">
        <v>6</v>
      </c>
      <c r="H2" s="197"/>
      <c r="I2" s="413" t="s">
        <v>217</v>
      </c>
      <c r="J2" s="398">
        <v>1</v>
      </c>
      <c r="K2" s="413">
        <v>2</v>
      </c>
      <c r="L2" s="413">
        <v>3</v>
      </c>
      <c r="M2" s="413">
        <v>4</v>
      </c>
      <c r="N2" s="413">
        <v>5</v>
      </c>
      <c r="O2" s="413">
        <v>6</v>
      </c>
      <c r="P2" s="197"/>
    </row>
    <row r="3" spans="1:16">
      <c r="A3" s="387" t="str">
        <v xml:space="preserve">Lower </v>
      </c>
      <c r="B3" s="396">
        <v>12780129.147</v>
      </c>
      <c r="C3" s="396">
        <v>21975731.226999998</v>
      </c>
      <c r="D3" s="396">
        <v>909155.29</v>
      </c>
      <c r="E3" s="397">
        <v>253926.89500000002</v>
      </c>
      <c r="F3" s="397">
        <v>167507.70699999999</v>
      </c>
      <c r="G3" s="397">
        <v>359148.98</v>
      </c>
      <c r="H3" s="198"/>
      <c r="I3" s="413" t="s">
        <v>175</v>
      </c>
      <c r="J3" s="399">
        <f>IF('Involuntary Costs'!$B$4 = "lower", B9/B$3, IF('Involuntary Costs'!$B$4 = "upper", B10/B$4, IF('Involuntary Costs'!$B$4 = "average", B11/B$5, "Invalid")))</f>
        <v>3.1256043192678572E-2</v>
      </c>
      <c r="K3" s="399">
        <f>IF('Involuntary Costs'!$B$4 = "lower", C9/C$3, IF('Involuntary Costs'!$B$4 = "upper", C10/C$4, IF('Involuntary Costs'!$B$4 = "average", C11/C$5, "Invalid")))</f>
        <v>3.1120779247122369E-2</v>
      </c>
      <c r="L3" s="399">
        <f>IF('Involuntary Costs'!$B$4 = "lower", D9/D$3, IF('Involuntary Costs'!$B$4 = "upper", D10/D$4, IF('Involuntary Costs'!$B$4 = "average", D11/D$5, "Invalid")))</f>
        <v>0.47753339190003519</v>
      </c>
      <c r="M3" s="399">
        <f>IF('Involuntary Costs'!$B$4 = "lower", E9/E$3, IF('Involuntary Costs'!$B$4 = "upper", E10/E$4, IF('Involuntary Costs'!$B$4 = "average", E11/E$5, "Invalid")))</f>
        <v>0.40299144862549569</v>
      </c>
      <c r="N3" s="399">
        <f>IF('Involuntary Costs'!$B$4 = "lower", F9/F$3, IF('Involuntary Costs'!$B$4 = "upper", F10/F$4, IF('Involuntary Costs'!$B$4 = "average", F11/F$5, "Invalid")))</f>
        <v>0.28027752844975645</v>
      </c>
      <c r="O3" s="399">
        <f>IF('Involuntary Costs'!$B$4 = "lower", G9/G$3, IF('Involuntary Costs'!$B$4 = "upper", G10/G$4, IF('Involuntary Costs'!$B$4 = "average", G11/G$5, "Invalid")))</f>
        <v>0.23082042625430749</v>
      </c>
      <c r="P3" s="197"/>
    </row>
    <row r="4" spans="1:16">
      <c r="A4" s="387" t="str">
        <v>Upper</v>
      </c>
      <c r="B4" s="396">
        <v>26198434.489999998</v>
      </c>
      <c r="C4" s="396">
        <v>37307317.75</v>
      </c>
      <c r="D4" s="396">
        <v>2251689.0299999998</v>
      </c>
      <c r="E4" s="397">
        <v>537374.42999999993</v>
      </c>
      <c r="F4" s="397">
        <v>561097.07000000007</v>
      </c>
      <c r="G4" s="397">
        <v>984176.33000000007</v>
      </c>
      <c r="H4" s="198"/>
      <c r="I4" s="398" t="s">
        <v>223</v>
      </c>
      <c r="J4" s="399">
        <f>IF('Involuntary Costs'!$B$4 = "lower", B15/B$3, IF('Involuntary Costs'!$B$4 = "upper", B16/B$4, IF('Involuntary Costs'!$B$4 = "average", B17/B$5, "Invalid")))</f>
        <v>0.25220269564282655</v>
      </c>
      <c r="K4" s="399">
        <f>IF('Involuntary Costs'!$B$4 = "lower", C15/C$3, IF('Involuntary Costs'!$B$4 = "upper", C16/C$4, IF('Involuntary Costs'!$B$4 = "average", C17/C$5, "Invalid")))</f>
        <v>0.2356982632448831</v>
      </c>
      <c r="L4" s="399">
        <f>IF('Involuntary Costs'!$B$4 = "lower", D15/D$3, IF('Involuntary Costs'!$B$4 = "upper", D16/D$4, IF('Involuntary Costs'!$B$4 = "average", D17/D$5, "Invalid")))</f>
        <v>0.29341005405173554</v>
      </c>
      <c r="M4" s="399">
        <f>IF('Involuntary Costs'!$B$4 = "lower", E15/E$3, IF('Involuntary Costs'!$B$4 = "upper", E16/E$4, IF('Involuntary Costs'!$B$4 = "average", E17/E$5, "Invalid")))</f>
        <v>0.53459279780022295</v>
      </c>
      <c r="N4" s="399">
        <f>IF('Involuntary Costs'!$B$4 = "lower", F15/F$3, IF('Involuntary Costs'!$B$4 = "upper", F16/F$4, IF('Involuntary Costs'!$B$4 = "average", F17/F$5, "Invalid")))</f>
        <v>0.22215959887297218</v>
      </c>
      <c r="O4" s="399">
        <f>IF('Involuntary Costs'!$B$4 = "lower", G15/G$3, IF('Involuntary Costs'!$B$4 = "upper", G16/G$4, IF('Involuntary Costs'!$B$4 = "average", G17/G$5, "Invalid")))</f>
        <v>0.52403099351109161</v>
      </c>
      <c r="P4" s="197"/>
    </row>
    <row r="5" spans="1:16">
      <c r="A5" s="387" t="str">
        <v>Average</v>
      </c>
      <c r="B5" s="396">
        <v>19489281.75</v>
      </c>
      <c r="C5" s="396">
        <v>29641524.510000002</v>
      </c>
      <c r="D5" s="396">
        <v>1506779.52</v>
      </c>
      <c r="E5" s="397">
        <v>395650.72</v>
      </c>
      <c r="F5" s="397">
        <v>364302.31</v>
      </c>
      <c r="G5" s="397">
        <v>658343.34</v>
      </c>
      <c r="H5" s="198"/>
      <c r="I5" s="398" t="s">
        <v>180</v>
      </c>
      <c r="J5" s="399">
        <f>IF('Involuntary Costs'!$B$4 = "lower", B21/B$3, IF('Involuntary Costs'!$B$4 = "upper", B22/B$4, IF('Involuntary Costs'!$B$4 = "average", B23/B$5, "Invalid")))</f>
        <v>0.7165412611644949</v>
      </c>
      <c r="K5" s="399">
        <f>IF('Involuntary Costs'!$B$4 = "lower", C21/C$3, IF('Involuntary Costs'!$B$4 = "upper", C22/C$4, IF('Involuntary Costs'!$B$4 = "average", C23/C$5, "Invalid")))</f>
        <v>0.7331809575079945</v>
      </c>
      <c r="L5" s="399">
        <f>IF('Involuntary Costs'!$B$4 = "lower", D21/D$3, IF('Involuntary Costs'!$B$4 = "upper", D22/D$4, IF('Involuntary Costs'!$B$4 = "average", D23/D$5, "Invalid")))</f>
        <v>0.22905655404822933</v>
      </c>
      <c r="M5" s="399">
        <f>IF('Involuntary Costs'!$B$4 = "lower", E21/E$3, IF('Involuntary Costs'!$B$4 = "upper", E22/E$4, IF('Involuntary Costs'!$B$4 = "average", E23/E$5, "Invalid")))</f>
        <v>6.2415753574281536E-2</v>
      </c>
      <c r="N5" s="399">
        <f>IF('Involuntary Costs'!$B$4 = "lower", F21/F$3, IF('Involuntary Costs'!$B$4 = "upper", F22/F$4, IF('Involuntary Costs'!$B$4 = "average", F23/F$5, "Invalid")))</f>
        <v>0.49756287267727128</v>
      </c>
      <c r="O5" s="399">
        <f>IF('Involuntary Costs'!$B$4 = "lower", G21/G$3, IF('Involuntary Costs'!$B$4 = "upper", G22/G$4, IF('Involuntary Costs'!$B$4 = "average", G23/G$5, "Invalid")))</f>
        <v>0.24514858023460082</v>
      </c>
      <c r="P5" s="197"/>
    </row>
    <row r="6" spans="1:16">
      <c r="A6" s="197"/>
      <c r="B6" s="400"/>
      <c r="C6" s="400"/>
      <c r="D6" s="400"/>
      <c r="E6" s="197"/>
      <c r="F6" s="197"/>
      <c r="G6" s="197"/>
      <c r="H6" s="198"/>
      <c r="I6" s="198"/>
      <c r="J6" s="198"/>
      <c r="K6" s="197"/>
      <c r="L6" s="197"/>
      <c r="M6" s="197"/>
      <c r="N6" s="197"/>
      <c r="O6" s="197"/>
      <c r="P6" s="197"/>
    </row>
    <row r="7" spans="1:16">
      <c r="A7" s="576" t="s">
        <v>224</v>
      </c>
      <c r="B7" s="576"/>
      <c r="C7" s="576"/>
      <c r="D7" s="576"/>
      <c r="E7" s="576"/>
      <c r="F7" s="576"/>
      <c r="G7" s="576"/>
      <c r="H7" s="198"/>
      <c r="I7" s="198"/>
      <c r="J7" s="198"/>
      <c r="K7" s="198"/>
      <c r="L7" s="198"/>
      <c r="M7" s="198"/>
      <c r="N7" s="198"/>
      <c r="O7" s="198"/>
      <c r="P7" s="197"/>
    </row>
    <row r="8" spans="1:16">
      <c r="A8" s="387" t="str" cm="1">
        <f t="array" ref="A8:G11">TRANSPOSE('Prediction Results'!$A$2:$D$8)</f>
        <v>Region</v>
      </c>
      <c r="B8" s="401">
        <v>1</v>
      </c>
      <c r="C8" s="401">
        <v>2</v>
      </c>
      <c r="D8" s="401">
        <v>3</v>
      </c>
      <c r="E8" s="387">
        <v>4</v>
      </c>
      <c r="F8" s="387">
        <v>5</v>
      </c>
      <c r="G8" s="387">
        <v>6</v>
      </c>
      <c r="H8" s="198"/>
      <c r="I8" s="198"/>
      <c r="J8" s="198"/>
      <c r="K8" s="197"/>
      <c r="L8" s="197"/>
      <c r="M8" s="197"/>
      <c r="N8" s="197"/>
      <c r="O8" s="197"/>
      <c r="P8" s="197"/>
    </row>
    <row r="9" spans="1:16">
      <c r="A9" s="387" t="str">
        <v xml:space="preserve">Lower </v>
      </c>
      <c r="B9" s="397">
        <v>637301.5</v>
      </c>
      <c r="C9" s="397">
        <v>957089.4</v>
      </c>
      <c r="D9" s="397">
        <v>708746.3</v>
      </c>
      <c r="E9" s="397">
        <v>159923</v>
      </c>
      <c r="F9" s="397">
        <v>110462.8</v>
      </c>
      <c r="G9" s="397">
        <v>152230.79999999999</v>
      </c>
      <c r="H9" s="198"/>
      <c r="I9" s="198"/>
      <c r="J9" s="197"/>
      <c r="K9" s="197"/>
      <c r="L9" s="197"/>
      <c r="M9" s="197"/>
      <c r="N9" s="197"/>
      <c r="O9" s="197"/>
      <c r="P9" s="197"/>
    </row>
    <row r="10" spans="1:16">
      <c r="A10" s="387" t="str">
        <v>Upper</v>
      </c>
      <c r="B10" s="397">
        <v>818859.4</v>
      </c>
      <c r="C10" s="397">
        <v>1161032.8</v>
      </c>
      <c r="D10" s="397">
        <v>1075256.7</v>
      </c>
      <c r="E10" s="397">
        <v>216557.3</v>
      </c>
      <c r="F10" s="397">
        <v>157262.9</v>
      </c>
      <c r="G10" s="397">
        <v>227168</v>
      </c>
      <c r="H10" s="197"/>
      <c r="I10" s="197"/>
      <c r="J10" s="197"/>
      <c r="K10" s="197"/>
      <c r="L10" s="197"/>
      <c r="M10" s="197"/>
      <c r="N10" s="197"/>
      <c r="O10" s="197"/>
      <c r="P10" s="197"/>
    </row>
    <row r="11" spans="1:16">
      <c r="A11" s="387" t="str">
        <v>Average</v>
      </c>
      <c r="B11" s="397">
        <v>728080.4</v>
      </c>
      <c r="C11" s="397">
        <v>1059061.1000000001</v>
      </c>
      <c r="D11" s="397">
        <v>892001.5</v>
      </c>
      <c r="E11" s="397">
        <v>188240.2</v>
      </c>
      <c r="F11" s="397">
        <v>133862.79999999999</v>
      </c>
      <c r="G11" s="397">
        <v>189699.4</v>
      </c>
      <c r="H11" s="197"/>
      <c r="I11" s="197"/>
      <c r="J11" s="197"/>
      <c r="K11" s="197"/>
      <c r="L11" s="197"/>
      <c r="M11" s="197"/>
      <c r="N11" s="197"/>
      <c r="O11" s="197"/>
      <c r="P11" s="197"/>
    </row>
    <row r="12" spans="1:16">
      <c r="A12" s="197"/>
      <c r="B12" s="400"/>
      <c r="C12" s="400"/>
      <c r="D12" s="400"/>
      <c r="E12" s="197"/>
      <c r="F12" s="197"/>
      <c r="G12" s="402"/>
      <c r="H12" s="402"/>
      <c r="I12" s="402"/>
      <c r="J12" s="197"/>
      <c r="K12" s="197"/>
      <c r="L12" s="197"/>
      <c r="M12" s="197"/>
      <c r="N12" s="197"/>
      <c r="O12" s="197"/>
      <c r="P12" s="197"/>
    </row>
    <row r="13" spans="1:16">
      <c r="A13" s="576" t="s">
        <v>225</v>
      </c>
      <c r="B13" s="576"/>
      <c r="C13" s="576"/>
      <c r="D13" s="576"/>
      <c r="E13" s="576"/>
      <c r="F13" s="576"/>
      <c r="G13" s="576"/>
      <c r="H13" s="402"/>
      <c r="I13" s="402"/>
      <c r="J13" s="197"/>
      <c r="K13" s="197"/>
      <c r="L13" s="197"/>
      <c r="M13" s="197"/>
      <c r="N13" s="197"/>
      <c r="O13" s="197"/>
      <c r="P13" s="197"/>
    </row>
    <row r="14" spans="1:16">
      <c r="A14" s="387" t="str" cm="1">
        <f t="array" ref="A14:G17">TRANSPOSE('Prediction Results'!$F$2:$I$8)</f>
        <v>Region</v>
      </c>
      <c r="B14" s="401">
        <v>1</v>
      </c>
      <c r="C14" s="401">
        <v>2</v>
      </c>
      <c r="D14" s="401">
        <v>3</v>
      </c>
      <c r="E14" s="387">
        <v>4</v>
      </c>
      <c r="F14" s="387">
        <v>5</v>
      </c>
      <c r="G14" s="403">
        <v>6</v>
      </c>
      <c r="H14" s="406"/>
      <c r="I14" s="406"/>
      <c r="J14" s="197"/>
      <c r="K14" s="197"/>
      <c r="L14" s="197"/>
      <c r="M14" s="197"/>
      <c r="N14" s="197"/>
      <c r="O14" s="197"/>
      <c r="P14" s="197"/>
    </row>
    <row r="15" spans="1:16">
      <c r="A15" s="387" t="str">
        <v>Lower</v>
      </c>
      <c r="B15" s="396">
        <v>4869045.72</v>
      </c>
      <c r="C15" s="396">
        <v>6708810.2599999998</v>
      </c>
      <c r="D15" s="396">
        <v>200408.99</v>
      </c>
      <c r="E15" s="397">
        <v>89789.32</v>
      </c>
      <c r="F15" s="397">
        <v>54646.879999999997</v>
      </c>
      <c r="G15" s="404">
        <v>206918.18</v>
      </c>
      <c r="H15" s="406"/>
      <c r="I15" s="406"/>
      <c r="J15" s="197"/>
      <c r="K15" s="197"/>
      <c r="L15" s="197"/>
      <c r="M15" s="197"/>
      <c r="N15" s="197"/>
      <c r="O15" s="197"/>
      <c r="P15" s="197"/>
    </row>
    <row r="16" spans="1:16">
      <c r="A16" s="387" t="str">
        <v>Upper</v>
      </c>
      <c r="B16" s="396">
        <v>6607315.7999999998</v>
      </c>
      <c r="C16" s="396">
        <v>8793270</v>
      </c>
      <c r="D16" s="396">
        <v>660668.19999999995</v>
      </c>
      <c r="E16" s="397">
        <v>287276.5</v>
      </c>
      <c r="F16" s="397">
        <v>124653.1</v>
      </c>
      <c r="G16" s="404">
        <v>515738.9</v>
      </c>
      <c r="H16" s="406"/>
      <c r="I16" s="406"/>
      <c r="J16" s="197"/>
      <c r="K16" s="197"/>
      <c r="L16" s="197"/>
      <c r="M16" s="197"/>
      <c r="N16" s="197"/>
      <c r="O16" s="197"/>
      <c r="P16" s="197"/>
    </row>
    <row r="17" spans="1:16">
      <c r="A17" s="387" t="str">
        <v>Average</v>
      </c>
      <c r="B17" s="396">
        <v>5738180.75</v>
      </c>
      <c r="C17" s="396">
        <v>7751040.1100000003</v>
      </c>
      <c r="D17" s="396">
        <v>430538.62</v>
      </c>
      <c r="E17" s="397">
        <v>188532.92</v>
      </c>
      <c r="F17" s="397">
        <v>89650.01</v>
      </c>
      <c r="G17" s="405">
        <v>361328.54</v>
      </c>
      <c r="H17" s="402"/>
      <c r="I17" s="402"/>
      <c r="J17" s="197"/>
      <c r="K17" s="197"/>
      <c r="L17" s="197"/>
      <c r="M17" s="197"/>
      <c r="N17" s="197"/>
      <c r="O17" s="197"/>
      <c r="P17" s="197"/>
    </row>
    <row r="18" spans="1:16">
      <c r="A18" s="197"/>
      <c r="B18" s="197"/>
      <c r="C18" s="197"/>
      <c r="D18" s="197"/>
      <c r="E18" s="197"/>
      <c r="F18" s="197"/>
      <c r="G18" s="197"/>
      <c r="H18" s="197"/>
      <c r="I18" s="197"/>
      <c r="J18" s="197"/>
      <c r="K18" s="197"/>
      <c r="L18" s="197"/>
      <c r="M18" s="197"/>
      <c r="N18" s="197"/>
      <c r="O18" s="197"/>
      <c r="P18" s="197"/>
    </row>
    <row r="19" spans="1:16">
      <c r="A19" s="576" t="s">
        <v>226</v>
      </c>
      <c r="B19" s="576"/>
      <c r="C19" s="576"/>
      <c r="D19" s="576"/>
      <c r="E19" s="576"/>
      <c r="F19" s="576"/>
      <c r="G19" s="576"/>
      <c r="H19" s="197"/>
      <c r="I19" s="197"/>
      <c r="J19" s="197"/>
      <c r="K19" s="197"/>
      <c r="L19" s="197"/>
      <c r="M19" s="197"/>
      <c r="N19" s="197"/>
      <c r="O19" s="197"/>
      <c r="P19" s="197"/>
    </row>
    <row r="20" spans="1:16">
      <c r="A20" s="387" t="str" cm="1">
        <f t="array" ref="A20:G23">TRANSPOSE('Prediction Results'!$K$2:$N$8)</f>
        <v>Region</v>
      </c>
      <c r="B20" s="387">
        <v>1</v>
      </c>
      <c r="C20" s="387">
        <v>2</v>
      </c>
      <c r="D20" s="387">
        <v>3</v>
      </c>
      <c r="E20" s="387">
        <v>4</v>
      </c>
      <c r="F20" s="387">
        <v>5</v>
      </c>
      <c r="G20" s="387">
        <v>6</v>
      </c>
      <c r="H20" s="197"/>
      <c r="I20" s="197"/>
      <c r="J20" s="197"/>
      <c r="K20" s="198"/>
      <c r="L20" s="197"/>
      <c r="M20" s="197"/>
      <c r="N20" s="197"/>
      <c r="O20" s="197"/>
      <c r="P20" s="197"/>
    </row>
    <row r="21" spans="1:16">
      <c r="A21" s="387" t="str">
        <v>Lower</v>
      </c>
      <c r="B21" s="396">
        <v>7273781.9270000001</v>
      </c>
      <c r="C21" s="396">
        <v>14309831.567</v>
      </c>
      <c r="D21" s="396">
        <v>0</v>
      </c>
      <c r="E21" s="397">
        <v>4214.5749999999998</v>
      </c>
      <c r="F21" s="397">
        <v>2398.027</v>
      </c>
      <c r="G21" s="396">
        <v>0</v>
      </c>
      <c r="H21" s="400"/>
      <c r="I21" s="400"/>
      <c r="J21" s="197"/>
      <c r="K21" s="198"/>
      <c r="L21" s="197"/>
      <c r="M21" s="197"/>
      <c r="N21" s="197"/>
      <c r="O21" s="197"/>
      <c r="P21" s="197"/>
    </row>
    <row r="22" spans="1:16">
      <c r="A22" s="387" t="str">
        <v>Upper</v>
      </c>
      <c r="B22" s="396">
        <v>18772259.289999999</v>
      </c>
      <c r="C22" s="396">
        <v>27353014.949999999</v>
      </c>
      <c r="D22" s="396">
        <v>515764.13</v>
      </c>
      <c r="E22" s="397">
        <v>33540.629999999997</v>
      </c>
      <c r="F22" s="397">
        <v>279181.07</v>
      </c>
      <c r="G22" s="396">
        <v>241269.43</v>
      </c>
      <c r="H22" s="400"/>
      <c r="I22" s="400"/>
      <c r="J22" s="197"/>
      <c r="K22" s="198"/>
      <c r="L22" s="197"/>
      <c r="M22" s="197"/>
      <c r="N22" s="197"/>
      <c r="O22" s="197"/>
      <c r="P22" s="197"/>
    </row>
    <row r="23" spans="1:16">
      <c r="A23" s="387" t="str">
        <v>Average</v>
      </c>
      <c r="B23" s="396">
        <v>13023020.6</v>
      </c>
      <c r="C23" s="396">
        <v>20831423.300000001</v>
      </c>
      <c r="D23" s="396">
        <v>184239.4</v>
      </c>
      <c r="E23" s="397">
        <v>18877.599999999999</v>
      </c>
      <c r="F23" s="397">
        <v>140789.5</v>
      </c>
      <c r="G23" s="396">
        <v>107315.4</v>
      </c>
      <c r="H23" s="400"/>
      <c r="I23" s="400"/>
      <c r="J23" s="197"/>
      <c r="K23" s="198"/>
      <c r="L23" s="197"/>
      <c r="M23" s="197"/>
      <c r="N23" s="197"/>
      <c r="O23" s="197"/>
      <c r="P23" s="197"/>
    </row>
    <row r="24" spans="1:16">
      <c r="A24" s="197"/>
      <c r="B24" s="400"/>
      <c r="C24" s="400"/>
      <c r="D24" s="400"/>
      <c r="E24" s="197"/>
      <c r="F24" s="197"/>
      <c r="G24" s="400"/>
      <c r="H24" s="400"/>
      <c r="I24" s="400"/>
      <c r="J24" s="197"/>
      <c r="K24" s="198"/>
      <c r="L24" s="197"/>
      <c r="M24" s="197"/>
      <c r="N24" s="197"/>
      <c r="O24" s="197"/>
      <c r="P24" s="197"/>
    </row>
    <row r="25" spans="1:16">
      <c r="A25" s="197"/>
      <c r="B25" s="400"/>
      <c r="C25" s="400"/>
      <c r="D25" s="400"/>
      <c r="E25" s="197"/>
      <c r="F25" s="197"/>
      <c r="G25" s="400"/>
      <c r="H25" s="400"/>
      <c r="I25" s="400"/>
      <c r="J25" s="197"/>
      <c r="K25" s="198"/>
      <c r="L25" s="197"/>
      <c r="M25" s="197"/>
      <c r="N25" s="197"/>
      <c r="O25" s="197"/>
      <c r="P25" s="197"/>
    </row>
    <row r="26" spans="1:16">
      <c r="A26" s="197"/>
      <c r="B26" s="400"/>
      <c r="C26" s="400"/>
      <c r="D26" s="400"/>
      <c r="E26" s="197"/>
      <c r="F26" s="197"/>
      <c r="G26" s="400"/>
      <c r="H26" s="400"/>
      <c r="I26" s="400"/>
      <c r="J26" s="197"/>
      <c r="K26" s="198"/>
      <c r="L26" s="197"/>
      <c r="M26" s="197"/>
      <c r="N26" s="197"/>
      <c r="O26" s="197"/>
      <c r="P26" s="197"/>
    </row>
    <row r="27" spans="1:16">
      <c r="A27" s="197"/>
      <c r="B27" s="197"/>
      <c r="C27" s="197"/>
      <c r="D27" s="197"/>
      <c r="E27" s="197"/>
      <c r="F27" s="197"/>
      <c r="G27" s="197"/>
      <c r="H27" s="197"/>
      <c r="I27" s="197"/>
      <c r="J27" s="197"/>
      <c r="K27" s="197"/>
      <c r="L27" s="197"/>
      <c r="M27" s="197"/>
      <c r="N27" s="197"/>
      <c r="O27" s="197"/>
      <c r="P27" s="197"/>
    </row>
    <row r="28" spans="1:16">
      <c r="A28" s="197"/>
      <c r="B28" s="197"/>
      <c r="C28" s="197"/>
      <c r="D28" s="197"/>
      <c r="E28" s="197"/>
      <c r="F28" s="197"/>
      <c r="G28" s="197"/>
      <c r="H28" s="197"/>
      <c r="I28" s="197"/>
      <c r="J28" s="197"/>
      <c r="K28" s="197"/>
      <c r="L28" s="197"/>
      <c r="M28" s="197"/>
      <c r="N28" s="197"/>
      <c r="O28" s="197"/>
      <c r="P28" s="197"/>
    </row>
    <row r="29" spans="1:16">
      <c r="A29" s="197"/>
      <c r="B29" s="197"/>
      <c r="C29" s="197"/>
      <c r="D29" s="197"/>
      <c r="E29" s="197"/>
      <c r="F29" s="65"/>
      <c r="G29" s="197"/>
      <c r="H29" s="197"/>
      <c r="I29" s="197"/>
      <c r="J29" s="197"/>
      <c r="K29" s="198"/>
      <c r="L29" s="197"/>
      <c r="M29" s="197"/>
      <c r="N29" s="197"/>
      <c r="O29" s="197"/>
      <c r="P29" s="197"/>
    </row>
    <row r="30" spans="1:16">
      <c r="A30" s="197"/>
      <c r="B30" s="400"/>
      <c r="C30" s="400"/>
      <c r="D30" s="400"/>
      <c r="E30" s="197"/>
      <c r="F30" s="198"/>
      <c r="G30" s="400"/>
      <c r="H30" s="400"/>
      <c r="I30" s="400"/>
      <c r="J30" s="197"/>
      <c r="K30" s="198"/>
      <c r="L30" s="197"/>
      <c r="M30" s="197"/>
      <c r="N30" s="197"/>
      <c r="O30" s="197"/>
      <c r="P30" s="197"/>
    </row>
    <row r="31" spans="1:16">
      <c r="A31" s="197"/>
      <c r="B31" s="400"/>
      <c r="C31" s="400"/>
      <c r="D31" s="400"/>
      <c r="E31" s="197"/>
      <c r="F31" s="198"/>
      <c r="G31" s="400"/>
      <c r="H31" s="400"/>
      <c r="I31" s="400"/>
      <c r="J31" s="197"/>
      <c r="K31" s="198"/>
      <c r="L31" s="197"/>
      <c r="M31" s="197"/>
      <c r="N31" s="197"/>
      <c r="O31" s="197"/>
      <c r="P31" s="197"/>
    </row>
    <row r="32" spans="1:16">
      <c r="A32" s="197"/>
      <c r="B32" s="400"/>
      <c r="C32" s="400"/>
      <c r="D32" s="400"/>
      <c r="E32" s="197"/>
      <c r="F32" s="198"/>
      <c r="G32" s="400"/>
      <c r="H32" s="400"/>
      <c r="I32" s="400"/>
      <c r="J32" s="197"/>
      <c r="K32" s="198"/>
      <c r="L32" s="197"/>
      <c r="M32" s="197"/>
      <c r="N32" s="197"/>
      <c r="O32" s="197"/>
      <c r="P32" s="197"/>
    </row>
    <row r="33" spans="1:16">
      <c r="A33" s="197"/>
      <c r="B33" s="197"/>
      <c r="C33" s="400"/>
      <c r="D33" s="400"/>
      <c r="E33" s="197"/>
      <c r="F33" s="198"/>
      <c r="G33" s="400"/>
      <c r="H33" s="400"/>
      <c r="I33" s="400"/>
      <c r="J33" s="197"/>
      <c r="K33" s="198"/>
      <c r="L33" s="197"/>
      <c r="M33" s="197"/>
      <c r="N33" s="197"/>
      <c r="O33" s="197"/>
      <c r="P33" s="197"/>
    </row>
    <row r="34" spans="1:16">
      <c r="A34" s="197"/>
      <c r="B34" s="400"/>
      <c r="C34" s="400"/>
      <c r="D34" s="400"/>
      <c r="E34" s="197"/>
      <c r="F34" s="198"/>
      <c r="G34" s="400"/>
      <c r="H34" s="400"/>
      <c r="I34" s="400"/>
      <c r="J34" s="197"/>
      <c r="K34" s="198"/>
      <c r="L34" s="197"/>
      <c r="M34" s="197"/>
      <c r="N34" s="197"/>
      <c r="O34" s="197"/>
      <c r="P34" s="197"/>
    </row>
    <row r="35" spans="1:16">
      <c r="A35" s="197"/>
      <c r="B35" s="400"/>
      <c r="C35" s="400"/>
      <c r="D35" s="400"/>
      <c r="E35" s="197"/>
      <c r="F35" s="198"/>
      <c r="G35" s="400"/>
      <c r="H35" s="400"/>
      <c r="I35" s="400"/>
      <c r="K35" s="200"/>
    </row>
    <row r="80" spans="1:1">
      <c r="A80" t="e" vm="1">
        <v>#VALUE!</v>
      </c>
    </row>
    <row r="99" spans="4:4">
      <c r="D99" t="s">
        <v>227</v>
      </c>
    </row>
  </sheetData>
  <mergeCells count="5">
    <mergeCell ref="A1:G1"/>
    <mergeCell ref="I1:O1"/>
    <mergeCell ref="A7:G7"/>
    <mergeCell ref="A13:G13"/>
    <mergeCell ref="A19:G19"/>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34A65-4A18-49EB-AA1E-EA8D848D6D26}">
  <sheetPr>
    <tabColor theme="9" tint="0.79998168889431442"/>
  </sheetPr>
  <dimension ref="B1:AN269"/>
  <sheetViews>
    <sheetView topLeftCell="B1" zoomScale="90" zoomScaleNormal="90" workbookViewId="0">
      <pane xSplit="4" ySplit="3" topLeftCell="F4" activePane="bottomRight" state="frozen"/>
      <selection pane="bottomRight" activeCell="C4" sqref="C4"/>
      <selection pane="bottomLeft" activeCell="B4" sqref="B4"/>
      <selection pane="topRight" activeCell="G1" sqref="G1"/>
    </sheetView>
  </sheetViews>
  <sheetFormatPr defaultColWidth="8.7109375" defaultRowHeight="15"/>
  <cols>
    <col min="1" max="1" width="1.7109375" customWidth="1"/>
    <col min="2" max="2" width="39.28515625" bestFit="1" customWidth="1"/>
    <col min="4" max="4" width="3.7109375" customWidth="1"/>
    <col min="5" max="5" width="5.42578125" bestFit="1" customWidth="1"/>
    <col min="6" max="11" width="19.7109375" customWidth="1"/>
    <col min="12" max="12" width="9.7109375" bestFit="1" customWidth="1"/>
    <col min="13" max="13" width="9.42578125" customWidth="1"/>
    <col min="14" max="14" width="5.42578125" bestFit="1" customWidth="1"/>
    <col min="15" max="20" width="19.7109375" customWidth="1"/>
    <col min="23" max="23" width="5.42578125" bestFit="1" customWidth="1"/>
    <col min="24" max="29" width="15.7109375" customWidth="1"/>
    <col min="34" max="39" width="15.7109375" customWidth="1"/>
  </cols>
  <sheetData>
    <row r="1" spans="2:39" ht="7.35" customHeight="1"/>
    <row r="2" spans="2:39">
      <c r="B2" s="582" t="s">
        <v>228</v>
      </c>
      <c r="C2" s="582"/>
      <c r="D2" s="321"/>
      <c r="F2" s="582" t="s">
        <v>201</v>
      </c>
      <c r="G2" s="582"/>
      <c r="H2" s="582"/>
      <c r="I2" s="582"/>
      <c r="J2" s="582"/>
      <c r="K2" s="582"/>
      <c r="O2" s="582" t="s">
        <v>202</v>
      </c>
      <c r="P2" s="582"/>
      <c r="Q2" s="582"/>
      <c r="R2" s="582"/>
      <c r="S2" s="582"/>
      <c r="T2" s="582"/>
      <c r="X2" s="582" t="s">
        <v>203</v>
      </c>
      <c r="Y2" s="582"/>
      <c r="Z2" s="582"/>
      <c r="AA2" s="582"/>
      <c r="AB2" s="582"/>
      <c r="AC2" s="582"/>
      <c r="AH2" s="582" t="s">
        <v>204</v>
      </c>
      <c r="AI2" s="582"/>
      <c r="AJ2" s="582"/>
      <c r="AK2" s="582"/>
      <c r="AL2" s="582"/>
      <c r="AM2" s="582"/>
    </row>
    <row r="3" spans="2:39">
      <c r="B3" t="s">
        <v>229</v>
      </c>
      <c r="C3" s="195">
        <f>'Voluntary Costs (2)'!C3</f>
        <v>5.0000000000000001E-3</v>
      </c>
      <c r="F3" s="1" t="s">
        <v>230</v>
      </c>
      <c r="G3" s="1" t="s">
        <v>3</v>
      </c>
      <c r="H3" s="1" t="s">
        <v>231</v>
      </c>
      <c r="I3" s="1" t="s">
        <v>5</v>
      </c>
      <c r="J3" s="1" t="s">
        <v>232</v>
      </c>
      <c r="K3" s="1" t="s">
        <v>233</v>
      </c>
      <c r="O3" t="s">
        <v>230</v>
      </c>
      <c r="P3" t="s">
        <v>3</v>
      </c>
      <c r="Q3" t="s">
        <v>231</v>
      </c>
      <c r="R3" t="s">
        <v>5</v>
      </c>
      <c r="S3" t="s">
        <v>232</v>
      </c>
      <c r="T3" t="s">
        <v>233</v>
      </c>
      <c r="X3" t="s">
        <v>230</v>
      </c>
      <c r="Y3" t="s">
        <v>3</v>
      </c>
      <c r="Z3" t="s">
        <v>231</v>
      </c>
      <c r="AA3" t="s">
        <v>5</v>
      </c>
      <c r="AB3" t="s">
        <v>232</v>
      </c>
      <c r="AC3" t="s">
        <v>233</v>
      </c>
      <c r="AH3" t="s">
        <v>230</v>
      </c>
      <c r="AI3" t="s">
        <v>3</v>
      </c>
      <c r="AJ3" t="s">
        <v>231</v>
      </c>
      <c r="AK3" t="s">
        <v>5</v>
      </c>
      <c r="AL3" t="s">
        <v>232</v>
      </c>
      <c r="AM3" t="s">
        <v>233</v>
      </c>
    </row>
    <row r="4" spans="2:39">
      <c r="B4" t="s">
        <v>234</v>
      </c>
      <c r="C4" s="195">
        <f>'Voluntary Costs (2)'!C4</f>
        <v>2.5000000000000001E-3</v>
      </c>
      <c r="F4" s="581" t="s">
        <v>235</v>
      </c>
      <c r="G4" s="581"/>
      <c r="H4" s="581"/>
      <c r="I4" s="581"/>
      <c r="J4" s="581"/>
      <c r="K4" s="581"/>
      <c r="O4" s="581" t="s">
        <v>235</v>
      </c>
      <c r="P4" s="581"/>
      <c r="Q4" s="581"/>
      <c r="R4" s="581"/>
      <c r="S4" s="581"/>
      <c r="T4" s="581"/>
      <c r="X4" s="581" t="s">
        <v>235</v>
      </c>
      <c r="Y4" s="581"/>
      <c r="Z4" s="581"/>
      <c r="AA4" s="581"/>
      <c r="AB4" s="581"/>
      <c r="AC4" s="581"/>
      <c r="AH4" s="581" t="s">
        <v>235</v>
      </c>
      <c r="AI4" s="581"/>
      <c r="AJ4" s="581"/>
      <c r="AK4" s="581"/>
      <c r="AL4" s="581"/>
      <c r="AM4" s="581"/>
    </row>
    <row r="5" spans="2:39">
      <c r="B5" t="s">
        <v>236</v>
      </c>
      <c r="C5">
        <v>0.25</v>
      </c>
      <c r="E5">
        <v>2020</v>
      </c>
      <c r="F5" s="61">
        <f>'Demographic-Economic'!C10</f>
        <v>6306408</v>
      </c>
      <c r="G5" s="61">
        <f>'Demographic-Economic'!D10</f>
        <v>4212348</v>
      </c>
      <c r="H5" s="61">
        <f>'Demographic-Economic'!E10</f>
        <v>4993764</v>
      </c>
      <c r="I5" s="61">
        <f>'Demographic-Economic'!F10</f>
        <v>1010676</v>
      </c>
      <c r="J5" s="61">
        <f>'Demographic-Economic'!G10</f>
        <v>1266672</v>
      </c>
      <c r="K5" s="61">
        <f>'Demographic-Economic'!H10</f>
        <v>307884</v>
      </c>
      <c r="N5">
        <v>2020</v>
      </c>
      <c r="O5" s="61">
        <f>'Demographic-Economic'!C10</f>
        <v>6306408</v>
      </c>
      <c r="P5" s="61">
        <f>'Demographic-Economic'!D10</f>
        <v>4212348</v>
      </c>
      <c r="Q5" s="61">
        <f>'Demographic-Economic'!E10</f>
        <v>4993764</v>
      </c>
      <c r="R5" s="61">
        <f>'Demographic-Economic'!F10</f>
        <v>1010676</v>
      </c>
      <c r="S5" s="61">
        <f>'Demographic-Economic'!G10</f>
        <v>1266672</v>
      </c>
      <c r="T5" s="61">
        <f>'Demographic-Economic'!H10</f>
        <v>307884</v>
      </c>
      <c r="W5">
        <v>2020</v>
      </c>
      <c r="X5" s="61">
        <f>'Demographic-Economic'!C10</f>
        <v>6306408</v>
      </c>
      <c r="Y5" s="61">
        <f>'Demographic-Economic'!D10</f>
        <v>4212348</v>
      </c>
      <c r="Z5" s="61">
        <f>'Demographic-Economic'!E10</f>
        <v>4993764</v>
      </c>
      <c r="AA5" s="61">
        <f>'Demographic-Economic'!F10</f>
        <v>1010676</v>
      </c>
      <c r="AB5" s="61">
        <f>'Demographic-Economic'!G10</f>
        <v>1266672</v>
      </c>
      <c r="AC5" s="61">
        <f>'Demographic-Economic'!H10</f>
        <v>307884</v>
      </c>
      <c r="AG5">
        <v>2020</v>
      </c>
      <c r="AH5" s="61">
        <f>'Demographic-Economic'!C10</f>
        <v>6306408</v>
      </c>
      <c r="AI5" s="61">
        <f>'Demographic-Economic'!D10</f>
        <v>4212348</v>
      </c>
      <c r="AJ5" s="61">
        <f>'Demographic-Economic'!E10</f>
        <v>4993764</v>
      </c>
      <c r="AK5" s="61">
        <f>'Demographic-Economic'!F10</f>
        <v>1010676</v>
      </c>
      <c r="AL5" s="61">
        <f>'Demographic-Economic'!G10</f>
        <v>1266672</v>
      </c>
      <c r="AM5" s="61">
        <f>'Demographic-Economic'!H10</f>
        <v>307884</v>
      </c>
    </row>
    <row r="6" spans="2:39">
      <c r="B6" t="s">
        <v>237</v>
      </c>
      <c r="C6" s="180">
        <f>'Inflation-Interest'!C70</f>
        <v>3.7539166666666658E-2</v>
      </c>
      <c r="E6">
        <v>2021</v>
      </c>
      <c r="F6" s="61">
        <f>(F5+0.5*F81)*('Economic Projections'!$B4/'Economic Projections'!$B3)</f>
        <v>6338410.1086701853</v>
      </c>
      <c r="G6" s="61">
        <f>(G5+0.5*G81)*('Economic Projections'!$B4/'Economic Projections'!$B3)</f>
        <v>4228424.9429604225</v>
      </c>
      <c r="H6" s="61">
        <f>(H5+0.5*H81)*('Economic Projections'!$B4/'Economic Projections'!$B3)</f>
        <v>5035144.8928728383</v>
      </c>
      <c r="I6" s="61">
        <f>(I5+0.5*I81)*('Economic Projections'!$B4/'Economic Projections'!$B3)</f>
        <v>1021796.1881853121</v>
      </c>
      <c r="J6" s="61">
        <f>(J5+0.5*J81)*('Economic Projections'!$B4/'Economic Projections'!$B3)</f>
        <v>1277758.2979495313</v>
      </c>
      <c r="K6" s="61">
        <f>(K5+0.5*K81)*('Economic Projections'!$B4/'Economic Projections'!$B3)</f>
        <v>310820.74825353286</v>
      </c>
      <c r="N6">
        <v>2021</v>
      </c>
      <c r="O6" s="61">
        <f>(O5+0.5*O81)*'Economic Projections'!$C4/'Economic Projections'!$C3</f>
        <v>6352323.1666557165</v>
      </c>
      <c r="P6" s="61">
        <f>(P5+0.5*P81)*'Economic Projections'!$C4/'Economic Projections'!$C3</f>
        <v>4237706.5010183966</v>
      </c>
      <c r="Q6" s="61">
        <f>(Q5+0.5*Q81)*'Economic Projections'!$C4/'Economic Projections'!$C3</f>
        <v>5046197.232759187</v>
      </c>
      <c r="R6" s="61">
        <f>(R5+0.5*R81)*'Economic Projections'!$C4/'Economic Projections'!$C3</f>
        <v>1024039.0707649941</v>
      </c>
      <c r="S6" s="61">
        <f>(S5+0.5*S81)*'Economic Projections'!$C4/'Economic Projections'!$C3</f>
        <v>1280563.0273668575</v>
      </c>
      <c r="T6" s="61">
        <f>(T5+0.5*T81)*'Economic Projections'!$C4/'Economic Projections'!$C3</f>
        <v>311503.01194733242</v>
      </c>
      <c r="W6">
        <v>2021</v>
      </c>
      <c r="X6" s="61">
        <f>(X5+0.5*X81)*'Economic Projections'!$D4/'Economic Projections'!$D3</f>
        <v>6364782.2009337666</v>
      </c>
      <c r="Y6" s="61">
        <f>(Y5+0.5*Y81)*'Economic Projections'!$D4/'Economic Projections'!$D3</f>
        <v>4246018.0634454545</v>
      </c>
      <c r="Z6" s="61">
        <f>(Z5+0.5*Z81)*'Economic Projections'!$D4/'Economic Projections'!$D3</f>
        <v>5056094.5164217632</v>
      </c>
      <c r="AA6" s="61">
        <f>(AA5+0.5*AA81)*'Economic Projections'!$D4/'Economic Projections'!$D3</f>
        <v>1026047.5545196771</v>
      </c>
      <c r="AB6" s="61">
        <f>(AB5+0.5*AB81)*'Economic Projections'!$D4/'Economic Projections'!$D3</f>
        <v>1283074.6405569604</v>
      </c>
      <c r="AC6" s="61">
        <f>(AC5+0.5*AC81)*'Economic Projections'!$D4/'Economic Projections'!$D3</f>
        <v>312113.97373276862</v>
      </c>
      <c r="AG6">
        <v>2021</v>
      </c>
      <c r="AH6" s="61">
        <f>(AH5+0.5*AH81)*'Economic Projections'!$E4/'Economic Projections'!$E3</f>
        <v>6340237.0760264909</v>
      </c>
      <c r="AI6" s="61">
        <f>(AI5+0.5*AI81)*'Economic Projections'!$E4/'Economic Projections'!$E3</f>
        <v>4229643.7335099336</v>
      </c>
      <c r="AJ6" s="61">
        <f>(AJ5+0.5*AJ81)*'Economic Projections'!$E4/'Economic Projections'!$E3</f>
        <v>5036596.2103476981</v>
      </c>
      <c r="AK6" s="61">
        <f>(AK5+0.5*AK81)*'Economic Projections'!$E4/'Economic Projections'!$E3</f>
        <v>1022090.7081435675</v>
      </c>
      <c r="AL6" s="61">
        <f>(AL5+0.5*AL81)*'Economic Projections'!$E4/'Economic Projections'!$E3</f>
        <v>1278126.5957812555</v>
      </c>
      <c r="AM6" s="61">
        <f>(AM5+0.5*AM81)*'Economic Projections'!$E4/'Economic Projections'!$E3</f>
        <v>310910.33844271058</v>
      </c>
    </row>
    <row r="7" spans="2:39">
      <c r="B7" t="s">
        <v>238</v>
      </c>
      <c r="C7" s="417">
        <v>1</v>
      </c>
      <c r="E7">
        <v>2022</v>
      </c>
      <c r="F7" s="61">
        <f>(F6+0.5*F82)*('Economic Projections'!$B5/'Economic Projections'!$B4)</f>
        <v>6370322.3583061956</v>
      </c>
      <c r="G7" s="61">
        <f>(G6+0.5*G82)*('Economic Projections'!$B5/'Economic Projections'!$B4)</f>
        <v>4244395.1740310425</v>
      </c>
      <c r="H7" s="61">
        <f>(H6+0.5*H82)*('Economic Projections'!$B5/'Economic Projections'!$B4)</f>
        <v>5077194.3132385723</v>
      </c>
      <c r="I7" s="61">
        <f>(I6+0.5*I82)*('Economic Projections'!$B5/'Economic Projections'!$B4)</f>
        <v>1032549.0737663142</v>
      </c>
      <c r="J7" s="61">
        <f>(J6+0.5*J82)*('Economic Projections'!$B5/'Economic Projections'!$B4)</f>
        <v>1288723.1944521328</v>
      </c>
      <c r="K7" s="61">
        <f>(K6+0.5*K82)*('Economic Projections'!$B5/'Economic Projections'!$B4)</f>
        <v>313774.24398938793</v>
      </c>
      <c r="N7">
        <v>2022</v>
      </c>
      <c r="O7" s="61">
        <f>(O6+0.5*O82)*'Economic Projections'!$C5/'Economic Projections'!$C4</f>
        <v>6398113.6916322932</v>
      </c>
      <c r="P7" s="61">
        <f>(P6+0.5*P82)*'Economic Projections'!$C5/'Economic Projections'!$C4</f>
        <v>4262911.8823567014</v>
      </c>
      <c r="Q7" s="61">
        <f>(Q6+0.5*Q82)*'Economic Projections'!$C5/'Economic Projections'!$C4</f>
        <v>5099308.6911082612</v>
      </c>
      <c r="R7" s="61">
        <f>(R6+0.5*R82)*'Economic Projections'!$C5/'Economic Projections'!$C4</f>
        <v>1037087.0616690813</v>
      </c>
      <c r="S7" s="61">
        <f>(S6+0.5*S82)*'Economic Projections'!$C5/'Economic Projections'!$C4</f>
        <v>1294342.3786048125</v>
      </c>
      <c r="T7" s="61">
        <f>(T6+0.5*T82)*'Economic Projections'!$C5/'Economic Projections'!$C4</f>
        <v>315148.31565381843</v>
      </c>
      <c r="W7">
        <v>2022</v>
      </c>
      <c r="X7" s="61">
        <f>(X6+0.5*X82)*'Economic Projections'!$D5/'Economic Projections'!$D4</f>
        <v>6423000.6126026968</v>
      </c>
      <c r="Y7" s="61">
        <f>(Y6+0.5*Y82)*'Economic Projections'!$D5/'Economic Projections'!$D4</f>
        <v>4279493.4493986815</v>
      </c>
      <c r="Z7" s="61">
        <f>(Z6+0.5*Z82)*'Economic Projections'!$D5/'Economic Projections'!$D4</f>
        <v>5119110.5765183847</v>
      </c>
      <c r="AA7" s="61">
        <f>(AA6+0.5*AA82)*'Economic Projections'!$D5/'Economic Projections'!$D4</f>
        <v>1041152.0776659516</v>
      </c>
      <c r="AB7" s="61">
        <f>(AB6+0.5*AB82)*'Economic Projections'!$D5/'Economic Projections'!$D4</f>
        <v>1299374.1972526126</v>
      </c>
      <c r="AC7" s="61">
        <f>(AC6+0.5*AC82)*'Economic Projections'!$D5/'Economic Projections'!$D4</f>
        <v>316378.98578244977</v>
      </c>
      <c r="AG7">
        <v>2022</v>
      </c>
      <c r="AH7" s="61">
        <f>(AH6+0.5*AH82)*'Economic Projections'!$E5/'Economic Projections'!$E4</f>
        <v>6373971.725600414</v>
      </c>
      <c r="AI7" s="61">
        <f>(AI6+0.5*AI82)*'Economic Projections'!$E5/'Economic Projections'!$E4</f>
        <v>4246826.6611773167</v>
      </c>
      <c r="AJ7" s="61">
        <f>(AJ6+0.5*AJ82)*'Economic Projections'!$E5/'Economic Projections'!$E4</f>
        <v>5080098.3106432902</v>
      </c>
      <c r="AK7" s="61">
        <f>(AK6+0.5*AK82)*'Economic Projections'!$E5/'Economic Projections'!$E4</f>
        <v>1033144.8876553202</v>
      </c>
      <c r="AL7" s="61">
        <f>(AL6+0.5*AL82)*'Economic Projections'!$E5/'Economic Projections'!$E4</f>
        <v>1289461.0747742001</v>
      </c>
      <c r="AM7" s="61">
        <f>(AM6+0.5*AM82)*'Economic Projections'!$E5/'Economic Projections'!$E4</f>
        <v>313954.66465276695</v>
      </c>
    </row>
    <row r="8" spans="2:39">
      <c r="B8" s="60"/>
      <c r="E8">
        <v>2023</v>
      </c>
      <c r="F8" s="61">
        <f>(F7+0.5*F83)*('Economic Projections'!$B6/'Economic Projections'!$B5)</f>
        <v>6402144.9235523185</v>
      </c>
      <c r="G8" s="61">
        <f>(G7+0.5*G83)*('Economic Projections'!$B6/'Economic Projections'!$B5)</f>
        <v>4260259.1262904154</v>
      </c>
      <c r="H8" s="61">
        <f>(H7+0.5*H83)*('Economic Projections'!$B6/'Economic Projections'!$B5)</f>
        <v>5119863.5089486204</v>
      </c>
      <c r="I8" s="61">
        <f>(I7+0.5*I83)*('Economic Projections'!$B6/'Economic Projections'!$B5)</f>
        <v>1042971.00600192</v>
      </c>
      <c r="J8" s="61">
        <f>(J7+0.5*J83)*('Economic Projections'!$B6/'Economic Projections'!$B5)</f>
        <v>1299579.2320587563</v>
      </c>
      <c r="K8" s="61">
        <f>(K7+0.5*K83)*('Economic Projections'!$B6/'Economic Projections'!$B5)</f>
        <v>316743.73982343136</v>
      </c>
      <c r="N8">
        <v>2023</v>
      </c>
      <c r="O8" s="61">
        <f>(O7+0.5*O83)*'Economic Projections'!$C6/'Economic Projections'!$C5</f>
        <v>6443779.8147914791</v>
      </c>
      <c r="P8" s="61">
        <f>(P7+0.5*P83)*'Economic Projections'!$C6/'Economic Projections'!$C5</f>
        <v>4287964.7511226833</v>
      </c>
      <c r="Q8" s="61">
        <f>(Q7+0.5*Q83)*'Economic Projections'!$C6/'Economic Projections'!$C5</f>
        <v>5153073.1877313079</v>
      </c>
      <c r="R8" s="61">
        <f>(R7+0.5*R83)*'Economic Projections'!$C6/'Economic Projections'!$C5</f>
        <v>1049838.2695428936</v>
      </c>
      <c r="S8" s="61">
        <f>(S7+0.5*S83)*'Economic Projections'!$C6/'Economic Projections'!$C5</f>
        <v>1308016.9948806257</v>
      </c>
      <c r="T8" s="61">
        <f>(T7+0.5*T83)*'Economic Projections'!$C6/'Economic Projections'!$C5</f>
        <v>318819.01346845936</v>
      </c>
      <c r="W8">
        <v>2023</v>
      </c>
      <c r="X8" s="61">
        <f>(X7+0.5*X83)*'Economic Projections'!$D6/'Economic Projections'!$D5</f>
        <v>6481063.5332702678</v>
      </c>
      <c r="Y8" s="61">
        <f>(Y7+0.5*Y83)*'Economic Projections'!$D6/'Economic Projections'!$D5</f>
        <v>4312774.9208092466</v>
      </c>
      <c r="Z8" s="61">
        <f>(Z7+0.5*Z83)*'Economic Projections'!$D6/'Economic Projections'!$D5</f>
        <v>5182807.0838979911</v>
      </c>
      <c r="AA8" s="61">
        <f>(AA7+0.5*AA83)*'Economic Projections'!$D6/'Economic Projections'!$D5</f>
        <v>1055992.9087791531</v>
      </c>
      <c r="AB8" s="61">
        <f>(AB7+0.5*AB83)*'Economic Projections'!$D6/'Economic Projections'!$D5</f>
        <v>1315572.0480083907</v>
      </c>
      <c r="AC8" s="61">
        <f>(AC7+0.5*AC83)*'Economic Projections'!$D6/'Economic Projections'!$D5</f>
        <v>320678.35406611883</v>
      </c>
      <c r="AG8">
        <v>2023</v>
      </c>
      <c r="AH8" s="61">
        <f>(AH7+0.5*AH83)*'Economic Projections'!$E6/'Economic Projections'!$E5</f>
        <v>6407612.1319299722</v>
      </c>
      <c r="AI8" s="61">
        <f>(AI7+0.5*AI83)*'Economic Projections'!$E6/'Economic Projections'!$E5</f>
        <v>4263897.2389330287</v>
      </c>
      <c r="AJ8" s="61">
        <f>(AJ7+0.5*AJ83)*'Economic Projections'!$E6/'Economic Projections'!$E5</f>
        <v>5124224.7021967117</v>
      </c>
      <c r="AK8" s="61">
        <f>(AK7+0.5*AK83)*'Economic Projections'!$E6/'Economic Projections'!$E5</f>
        <v>1043872.4454322809</v>
      </c>
      <c r="AL8" s="61">
        <f>(AL7+0.5*AL83)*'Economic Projections'!$E6/'Economic Projections'!$E5</f>
        <v>1300687.278174514</v>
      </c>
      <c r="AM8" s="61">
        <f>(AM7+0.5*AM83)*'Economic Projections'!$E6/'Economic Projections'!$E5</f>
        <v>317016.19008845597</v>
      </c>
    </row>
    <row r="9" spans="2:39">
      <c r="B9" s="60"/>
      <c r="E9">
        <v>2024</v>
      </c>
      <c r="F9" s="61">
        <f>(F8+0.5*F84)*('Economic Projections'!$B7/'Economic Projections'!$B6)</f>
        <v>6433877.9787566429</v>
      </c>
      <c r="G9" s="61">
        <f>(G8+0.5*G84)*('Economic Projections'!$B7/'Economic Projections'!$B6)</f>
        <v>4276017.2313186545</v>
      </c>
      <c r="H9" s="61">
        <f>(H8+0.5*H84)*('Economic Projections'!$B7/'Economic Projections'!$B6)</f>
        <v>5163109.6541965809</v>
      </c>
      <c r="I9" s="61">
        <f>(I8+0.5*I84)*('Economic Projections'!$B7/'Economic Projections'!$B6)</f>
        <v>1053093.8703669731</v>
      </c>
      <c r="J9" s="61">
        <f>(J8+0.5*J84)*('Economic Projections'!$B7/'Economic Projections'!$B6)</f>
        <v>1310337.40423835</v>
      </c>
      <c r="K9" s="61">
        <f>(K8+0.5*K84)*('Economic Projections'!$B7/'Economic Projections'!$B6)</f>
        <v>319728.5766900825</v>
      </c>
      <c r="N9">
        <v>2024</v>
      </c>
      <c r="O9" s="61">
        <f>(O8+0.5*O84)*'Economic Projections'!$C7/'Economic Projections'!$C6</f>
        <v>6489321.7755901255</v>
      </c>
      <c r="P9" s="61">
        <f>(P8+0.5*P84)*'Economic Projections'!$C7/'Economic Projections'!$C6</f>
        <v>4312865.7123455713</v>
      </c>
      <c r="Q9" s="61">
        <f>(Q8+0.5*Q84)*'Economic Projections'!$C7/'Economic Projections'!$C6</f>
        <v>5207466.5543226153</v>
      </c>
      <c r="R9" s="61">
        <f>(R8+0.5*R84)*'Economic Projections'!$C7/'Economic Projections'!$C6</f>
        <v>1062310.21717248</v>
      </c>
      <c r="S9" s="61">
        <f>(S8+0.5*S84)*'Economic Projections'!$C7/'Economic Projections'!$C6</f>
        <v>1321593.5273818269</v>
      </c>
      <c r="T9" s="61">
        <f>(T8+0.5*T84)*'Economic Projections'!$C7/'Economic Projections'!$C6</f>
        <v>322514.25523731502</v>
      </c>
      <c r="W9">
        <v>2024</v>
      </c>
      <c r="X9" s="61">
        <f>(X8+0.5*X84)*'Economic Projections'!$D7/'Economic Projections'!$D6</f>
        <v>6538971.2606977113</v>
      </c>
      <c r="Y9" s="61">
        <f>(Y8+0.5*Y84)*'Economic Projections'!$D7/'Economic Projections'!$D6</f>
        <v>4345863.2380286995</v>
      </c>
      <c r="Z9" s="61">
        <f>(Z8+0.5*Z84)*'Economic Projections'!$D7/'Economic Projections'!$D6</f>
        <v>5247177.3092370499</v>
      </c>
      <c r="AA9" s="61">
        <f>(AA8+0.5*AA84)*'Economic Projections'!$D7/'Economic Projections'!$D6</f>
        <v>1070574.5486571689</v>
      </c>
      <c r="AB9" s="61">
        <f>(AB8+0.5*AB84)*'Economic Projections'!$D7/'Economic Projections'!$D6</f>
        <v>1331670.0826711624</v>
      </c>
      <c r="AC9" s="61">
        <f>(AC8+0.5*AC84)*'Economic Projections'!$D7/'Economic Projections'!$D6</f>
        <v>325011.35914976377</v>
      </c>
      <c r="AG9">
        <v>2024</v>
      </c>
      <c r="AH9" s="61">
        <f>(AH8+0.5*AH84)*'Economic Projections'!$E7/'Economic Projections'!$E6</f>
        <v>6441158.4779128842</v>
      </c>
      <c r="AI9" s="61">
        <f>(AI8+0.5*AI84)*'Economic Projections'!$E7/'Economic Projections'!$E6</f>
        <v>4280855.921133331</v>
      </c>
      <c r="AJ9" s="61">
        <f>(AJ8+0.5*AJ84)*'Economic Projections'!$E7/'Economic Projections'!$E6</f>
        <v>5168934.9569130382</v>
      </c>
      <c r="AK9" s="61">
        <f>(AK8+0.5*AK84)*'Economic Projections'!$E7/'Economic Projections'!$E6</f>
        <v>1054303.3984759464</v>
      </c>
      <c r="AL9" s="61">
        <f>(AL8+0.5*AL84)*'Economic Projections'!$E7/'Economic Projections'!$E6</f>
        <v>1311815.6808210651</v>
      </c>
      <c r="AM9" s="61">
        <f>(AM8+0.5*AM84)*'Economic Projections'!$E7/'Economic Projections'!$E6</f>
        <v>320094.21375035454</v>
      </c>
    </row>
    <row r="10" spans="2:39">
      <c r="B10" s="60"/>
      <c r="E10">
        <v>2025</v>
      </c>
      <c r="F10" s="61">
        <f>(F9+0.5*F85)*('Economic Projections'!$B8/'Economic Projections'!$B7)</f>
        <v>6465521.6979715144</v>
      </c>
      <c r="G10" s="61">
        <f>(G9+0.5*G85)*('Economic Projections'!$B8/'Economic Projections'!$B7)</f>
        <v>4291669.9192022132</v>
      </c>
      <c r="H10" s="61">
        <f>(H9+0.5*H85)*('Economic Projections'!$B8/'Economic Projections'!$B7)</f>
        <v>5206894.9781836271</v>
      </c>
      <c r="I10" s="61">
        <f>(I9+0.5*I85)*('Economic Projections'!$B8/'Economic Projections'!$B7)</f>
        <v>1062945.7449061794</v>
      </c>
      <c r="J10" s="61">
        <f>(J9+0.5*J85)*('Economic Projections'!$B8/'Economic Projections'!$B7)</f>
        <v>1321007.3831980384</v>
      </c>
      <c r="K10" s="61">
        <f>(K9+0.5*K85)*('Economic Projections'!$B8/'Economic Projections'!$B7)</f>
        <v>322728.17099753488</v>
      </c>
      <c r="N10">
        <v>2025</v>
      </c>
      <c r="O10" s="61">
        <f>(O9+0.5*O85)*'Economic Projections'!$C8/'Economic Projections'!$C7</f>
        <v>6534739.8130808137</v>
      </c>
      <c r="P10" s="61">
        <f>(P9+0.5*P85)*'Economic Projections'!$C8/'Economic Projections'!$C7</f>
        <v>4337615.3689826494</v>
      </c>
      <c r="Q10" s="61">
        <f>(Q9+0.5*Q85)*'Economic Projections'!$C8/'Economic Projections'!$C7</f>
        <v>5262465.6790257795</v>
      </c>
      <c r="R10" s="61">
        <f>(R9+0.5*R85)*'Economic Projections'!$C8/'Economic Projections'!$C7</f>
        <v>1074519.6275496806</v>
      </c>
      <c r="S10" s="61">
        <f>(S9+0.5*S85)*'Economic Projections'!$C8/'Economic Projections'!$C7</f>
        <v>1335078.3260936127</v>
      </c>
      <c r="T10" s="61">
        <f>(T9+0.5*T85)*'Economic Projections'!$C8/'Economic Projections'!$C7</f>
        <v>326233.23782987928</v>
      </c>
      <c r="W10">
        <v>2025</v>
      </c>
      <c r="X10" s="61">
        <f>(X9+0.5*X85)*'Economic Projections'!$D8/'Economic Projections'!$D7</f>
        <v>6596724.0921448162</v>
      </c>
      <c r="Y10" s="61">
        <f>(Y9+0.5*Y85)*'Economic Projections'!$D8/'Economic Projections'!$D7</f>
        <v>4378759.1588187991</v>
      </c>
      <c r="Z10" s="61">
        <f>(Z9+0.5*Z85)*'Economic Projections'!$D8/'Economic Projections'!$D7</f>
        <v>5312213.0937521122</v>
      </c>
      <c r="AA10" s="61">
        <f>(AA9+0.5*AA85)*'Economic Projections'!$D8/'Economic Projections'!$D7</f>
        <v>1084902.5122166961</v>
      </c>
      <c r="AB10" s="61">
        <f>(AB9+0.5*AB85)*'Economic Projections'!$D8/'Economic Projections'!$D7</f>
        <v>1347670.6376052704</v>
      </c>
      <c r="AC10" s="61">
        <f>(AC9+0.5*AC85)*'Economic Projections'!$D8/'Economic Projections'!$D7</f>
        <v>329377.25351424899</v>
      </c>
      <c r="AG10">
        <v>2025</v>
      </c>
      <c r="AH10" s="61">
        <f>(AH9+0.5*AH85)*'Economic Projections'!$E8/'Economic Projections'!$E7</f>
        <v>6474610.9461368835</v>
      </c>
      <c r="AI10" s="61">
        <f>(AI9+0.5*AI85)*'Economic Projections'!$E8/'Economic Projections'!$E7</f>
        <v>4297703.1605648883</v>
      </c>
      <c r="AJ10" s="61">
        <f>(AJ9+0.5*AJ85)*'Economic Projections'!$E8/'Economic Projections'!$E7</f>
        <v>5214193.1155351773</v>
      </c>
      <c r="AK10" s="61">
        <f>(AK9+0.5*AK85)*'Economic Projections'!$E8/'Economic Projections'!$E7</f>
        <v>1064464.4019642235</v>
      </c>
      <c r="AL10" s="61">
        <f>(AL9+0.5*AL85)*'Economic Projections'!$E8/'Economic Projections'!$E7</f>
        <v>1322855.5766585241</v>
      </c>
      <c r="AM10" s="61">
        <f>(AM9+0.5*AM85)*'Economic Projections'!$E8/'Economic Projections'!$E7</f>
        <v>323188.11039857886</v>
      </c>
    </row>
    <row r="11" spans="2:39">
      <c r="B11" s="60"/>
      <c r="E11">
        <v>2026</v>
      </c>
      <c r="F11" s="61">
        <f>(F10+0.5*F86)*('Economic Projections'!$B9/'Economic Projections'!$B8)</f>
        <v>6497076.2549540065</v>
      </c>
      <c r="G11" s="61">
        <f>(G10+0.5*G86)*('Economic Projections'!$B9/'Economic Projections'!$B8)</f>
        <v>4307217.6185386581</v>
      </c>
      <c r="H11" s="61">
        <f>(H10+0.5*H86)*('Economic Projections'!$B9/'Economic Projections'!$B8)</f>
        <v>5251186.0422354201</v>
      </c>
      <c r="I11" s="61">
        <f>(I10+0.5*I86)*('Economic Projections'!$B9/'Economic Projections'!$B8)</f>
        <v>1072551.444793385</v>
      </c>
      <c r="J11" s="61">
        <f>(J10+0.5*J86)*('Economic Projections'!$B9/'Economic Projections'!$B8)</f>
        <v>1331597.7088879927</v>
      </c>
      <c r="K11" s="61">
        <f>(K10+0.5*K86)*('Economic Projections'!$B9/'Economic Projections'!$B8)</f>
        <v>325742.00394146587</v>
      </c>
      <c r="N11">
        <v>2026</v>
      </c>
      <c r="O11" s="61">
        <f>(O10+0.5*O86)*'Economic Projections'!$C9/'Economic Projections'!$C8</f>
        <v>6580034.1659125015</v>
      </c>
      <c r="P11" s="61">
        <f>(P10+0.5*P86)*'Economic Projections'!$C9/'Economic Projections'!$C8</f>
        <v>4362214.3219258403</v>
      </c>
      <c r="Q11" s="61">
        <f>(Q10+0.5*Q86)*'Economic Projections'!$C9/'Economic Projections'!$C8</f>
        <v>5318048.5253749657</v>
      </c>
      <c r="R11" s="61">
        <f>(R10+0.5*R86)*'Economic Projections'!$C9/'Economic Projections'!$C8</f>
        <v>1086482.4117090444</v>
      </c>
      <c r="S11" s="61">
        <f>(S10+0.5*S86)*'Economic Projections'!$C9/'Economic Projections'!$C8</f>
        <v>1348477.4339539248</v>
      </c>
      <c r="T11" s="61">
        <f>(T10+0.5*T86)*'Economic Projections'!$C9/'Economic Projections'!$C8</f>
        <v>329975.2041986222</v>
      </c>
      <c r="W11">
        <v>2026</v>
      </c>
      <c r="X11" s="61">
        <f>(X10+0.5*X86)*'Economic Projections'!$D9/'Economic Projections'!$D8</f>
        <v>6654322.3243707092</v>
      </c>
      <c r="Y11" s="61">
        <f>(Y10+0.5*Y86)*'Economic Projections'!$D9/'Economic Projections'!$D8</f>
        <v>4411463.4383597113</v>
      </c>
      <c r="Z11" s="61">
        <f>(Z10+0.5*Z86)*'Economic Projections'!$D9/'Economic Projections'!$D8</f>
        <v>5377905.051392585</v>
      </c>
      <c r="AA11" s="61">
        <f>(AA10+0.5*AA86)*'Economic Projections'!$D9/'Economic Projections'!$D8</f>
        <v>1098983.1823822032</v>
      </c>
      <c r="AB11" s="61">
        <f>(AB10+0.5*AB86)*'Economic Projections'!$D9/'Economic Projections'!$D8</f>
        <v>1363576.4308936642</v>
      </c>
      <c r="AC11" s="61">
        <f>(AC10+0.5*AC86)*'Economic Projections'!$D9/'Economic Projections'!$D8</f>
        <v>333775.27026346058</v>
      </c>
      <c r="AG11">
        <v>2026</v>
      </c>
      <c r="AH11" s="61">
        <f>(AH10+0.5*AH86)*'Economic Projections'!$E9/'Economic Projections'!$E8</f>
        <v>6507969.7188801998</v>
      </c>
      <c r="AI11" s="61">
        <f>(AI10+0.5*AI86)*'Economic Projections'!$E9/'Economic Projections'!$E8</f>
        <v>4314439.4084497793</v>
      </c>
      <c r="AJ11" s="61">
        <f>(AJ10+0.5*AJ86)*'Economic Projections'!$E9/'Economic Projections'!$E8</f>
        <v>5259967.0953283682</v>
      </c>
      <c r="AK11" s="61">
        <f>(AK10+0.5*AK86)*'Economic Projections'!$E9/'Economic Projections'!$E8</f>
        <v>1074379.1949889401</v>
      </c>
      <c r="AL11" s="61">
        <f>(AL10+0.5*AL86)*'Economic Projections'!$E9/'Economic Projections'!$E8</f>
        <v>1333815.2352800667</v>
      </c>
      <c r="AM11" s="61">
        <f>(AM10+0.5*AM86)*'Economic Projections'!$E9/'Economic Projections'!$E8</f>
        <v>326297.320582574</v>
      </c>
    </row>
    <row r="12" spans="2:39">
      <c r="E12">
        <v>2027</v>
      </c>
      <c r="F12" s="61">
        <f>(F11+0.5*F87)*('Economic Projections'!$B10/'Economic Projections'!$B9)</f>
        <v>6528541.823166389</v>
      </c>
      <c r="G12" s="61">
        <f>(G11+0.5*G87)*('Economic Projections'!$B10/'Economic Projections'!$B9)</f>
        <v>4322660.7564414255</v>
      </c>
      <c r="H12" s="61">
        <f>(H11+0.5*H87)*('Economic Projections'!$B10/'Economic Projections'!$B9)</f>
        <v>5295953.1367806215</v>
      </c>
      <c r="I12" s="61">
        <f>(I11+0.5*I87)*('Economic Projections'!$B10/'Economic Projections'!$B9)</f>
        <v>1081932.97661969</v>
      </c>
      <c r="J12" s="61">
        <f>(J11+0.5*J87)*('Economic Projections'!$B10/'Economic Projections'!$B9)</f>
        <v>1342115.94666727</v>
      </c>
      <c r="K12" s="61">
        <f>(K11+0.5*K87)*('Economic Projections'!$B10/'Economic Projections'!$B9)</f>
        <v>328769.61256735382</v>
      </c>
      <c r="N12">
        <v>2027</v>
      </c>
      <c r="O12" s="61">
        <f>(O11+0.5*O87)*'Economic Projections'!$C10/'Economic Projections'!$C9</f>
        <v>6625205.072331151</v>
      </c>
      <c r="P12" s="61">
        <f>(P11+0.5*P87)*'Economic Projections'!$C10/'Economic Projections'!$C9</f>
        <v>4386663.170008258</v>
      </c>
      <c r="Q12" s="61">
        <f>(Q11+0.5*Q87)*'Economic Projections'!$C10/'Economic Projections'!$C9</f>
        <v>5374194.1359103769</v>
      </c>
      <c r="R12" s="61">
        <f>(R11+0.5*R87)*'Economic Projections'!$C10/'Economic Projections'!$C9</f>
        <v>1098213.667793398</v>
      </c>
      <c r="S12" s="61">
        <f>(S11+0.5*S87)*'Economic Projections'!$C10/'Economic Projections'!$C9</f>
        <v>1361796.5854699761</v>
      </c>
      <c r="T12" s="61">
        <f>(T11+0.5*T87)*'Economic Projections'!$C10/'Economic Projections'!$C9</f>
        <v>333739.44207421865</v>
      </c>
      <c r="W12">
        <v>2027</v>
      </c>
      <c r="X12" s="61">
        <f>(X11+0.5*X87)*'Economic Projections'!$D10/'Economic Projections'!$D9</f>
        <v>6711766.2536346419</v>
      </c>
      <c r="Y12" s="61">
        <f>(Y11+0.5*Y87)*'Economic Projections'!$D10/'Economic Projections'!$D9</f>
        <v>4443976.8292581765</v>
      </c>
      <c r="Z12" s="61">
        <f>(Z11+0.5*Z87)*'Economic Projections'!$D10/'Economic Projections'!$D9</f>
        <v>5444242.765843221</v>
      </c>
      <c r="AA12" s="61">
        <f>(AA11+0.5*AA87)*'Economic Projections'!$D10/'Economic Projections'!$D9</f>
        <v>1112823.6679932282</v>
      </c>
      <c r="AB12" s="61">
        <f>(AB11+0.5*AB87)*'Economic Projections'!$D10/'Economic Projections'!$D9</f>
        <v>1379390.4993781284</v>
      </c>
      <c r="AC12" s="61">
        <f>(AC11+0.5*AC87)*'Economic Projections'!$D10/'Economic Projections'!$D9</f>
        <v>338204.63116532419</v>
      </c>
      <c r="AG12">
        <v>2027</v>
      </c>
      <c r="AH12" s="61">
        <f>(AH11+0.5*AH87)*'Economic Projections'!$E10/'Economic Projections'!$E9</f>
        <v>6541234.978112055</v>
      </c>
      <c r="AI12" s="61">
        <f>(AI11+0.5*AI87)*'Economic Projections'!$E10/'Economic Projections'!$E9</f>
        <v>4331065.1144504929</v>
      </c>
      <c r="AJ12" s="61">
        <f>(AJ11+0.5*AJ87)*'Economic Projections'!$E10/'Economic Projections'!$E9</f>
        <v>5306228.1880318942</v>
      </c>
      <c r="AK12" s="61">
        <f>(AK11+0.5*AK87)*'Economic Projections'!$E10/'Economic Projections'!$E9</f>
        <v>1084068.9783789953</v>
      </c>
      <c r="AL12" s="61">
        <f>(AL11+0.5*AL87)*'Economic Projections'!$E10/'Economic Projections'!$E9</f>
        <v>1344702.0346172969</v>
      </c>
      <c r="AM12" s="61">
        <f>(AM11+0.5*AM87)*'Economic Projections'!$E10/'Economic Projections'!$E9</f>
        <v>329421.34217084775</v>
      </c>
    </row>
    <row r="13" spans="2:39">
      <c r="E13">
        <v>2028</v>
      </c>
      <c r="F13" s="61">
        <f>(F12+0.5*F88)*('Economic Projections'!$B11/'Economic Projections'!$B10)</f>
        <v>6559918.5757765919</v>
      </c>
      <c r="G13" s="61">
        <f>(G12+0.5*G88)*('Economic Projections'!$B11/'Economic Projections'!$B10)</f>
        <v>4337999.7585445633</v>
      </c>
      <c r="H13" s="61">
        <f>(H12+0.5*H88)*('Economic Projections'!$B11/'Economic Projections'!$B10)</f>
        <v>5341169.775712138</v>
      </c>
      <c r="I13" s="61">
        <f>(I12+0.5*I88)*('Economic Projections'!$B11/'Economic Projections'!$B10)</f>
        <v>1091109.9193346987</v>
      </c>
      <c r="J13" s="61">
        <f>(J12+0.5*J88)*('Economic Projections'!$B11/'Economic Projections'!$B10)</f>
        <v>1352568.8195086136</v>
      </c>
      <c r="K13" s="61">
        <f>(K12+0.5*K88)*('Economic Projections'!$B11/'Economic Projections'!$B10)</f>
        <v>331810.5822579657</v>
      </c>
      <c r="N13">
        <v>2028</v>
      </c>
      <c r="O13" s="61">
        <f>(O12+0.5*O88)*'Economic Projections'!$C11/'Economic Projections'!$C10</f>
        <v>6670252.7701803707</v>
      </c>
      <c r="P13" s="61">
        <f>(P12+0.5*P88)*'Economic Projections'!$C11/'Economic Projections'!$C10</f>
        <v>4410962.5100107528</v>
      </c>
      <c r="Q13" s="61">
        <f>(Q12+0.5*Q88)*'Economic Projections'!$C11/'Economic Projections'!$C10</f>
        <v>5430882.6233051866</v>
      </c>
      <c r="R13" s="61">
        <f>(R12+0.5*R88)*'Economic Projections'!$C11/'Economic Projections'!$C10</f>
        <v>1109727.6892425471</v>
      </c>
      <c r="S13" s="61">
        <f>(S12+0.5*S88)*'Economic Projections'!$C11/'Economic Projections'!$C10</f>
        <v>1375041.2089755733</v>
      </c>
      <c r="T13" s="61">
        <f>(T12+0.5*T88)*'Economic Projections'!$C11/'Economic Projections'!$C10</f>
        <v>337525.28238543216</v>
      </c>
      <c r="W13">
        <v>2028</v>
      </c>
      <c r="X13" s="61">
        <f>(X12+0.5*X88)*'Economic Projections'!$D11/'Economic Projections'!$D10</f>
        <v>6769056.1756967846</v>
      </c>
      <c r="Y13" s="61">
        <f>(Y12+0.5*Y88)*'Economic Projections'!$D11/'Economic Projections'!$D10</f>
        <v>4476300.081555659</v>
      </c>
      <c r="Z13" s="61">
        <f>(Z12+0.5*Z88)*'Economic Projections'!$D11/'Economic Projections'!$D10</f>
        <v>5511214.9790920634</v>
      </c>
      <c r="AA13" s="61">
        <f>(AA12+0.5*AA88)*'Economic Projections'!$D11/'Economic Projections'!$D10</f>
        <v>1126431.6680362823</v>
      </c>
      <c r="AB13" s="61">
        <f>(AB12+0.5*AB88)*'Economic Projections'!$D11/'Economic Projections'!$D10</f>
        <v>1395116.1385532175</v>
      </c>
      <c r="AC13" s="61">
        <f>(AC12+0.5*AC88)*'Economic Projections'!$D11/'Economic Projections'!$D10</f>
        <v>342664.55394910311</v>
      </c>
      <c r="AG13">
        <v>2028</v>
      </c>
      <c r="AH13" s="61">
        <f>(AH12+0.5*AH88)*'Economic Projections'!$E11/'Economic Projections'!$E10</f>
        <v>6574406.9054931458</v>
      </c>
      <c r="AI13" s="61">
        <f>(AI12+0.5*AI88)*'Economic Projections'!$E11/'Economic Projections'!$E10</f>
        <v>4347580.7266749013</v>
      </c>
      <c r="AJ13" s="61">
        <f>(AJ12+0.5*AJ88)*'Economic Projections'!$E11/'Economic Projections'!$E10</f>
        <v>5352950.6326154973</v>
      </c>
      <c r="AK13" s="61">
        <f>(AK12+0.5*AK88)*'Economic Projections'!$E11/'Economic Projections'!$E10</f>
        <v>1093552.7362386817</v>
      </c>
      <c r="AL13" s="61">
        <f>(AL12+0.5*AL88)*'Economic Projections'!$E11/'Economic Projections'!$E10</f>
        <v>1355522.5738634195</v>
      </c>
      <c r="AM13" s="61">
        <f>(AM12+0.5*AM88)*'Economic Projections'!$E11/'Economic Projections'!$E10</f>
        <v>332559.72312759428</v>
      </c>
    </row>
    <row r="14" spans="2:39">
      <c r="E14">
        <v>2029</v>
      </c>
      <c r="F14" s="61">
        <f>(F13+0.5*F89)*('Economic Projections'!$B12/'Economic Projections'!$B11)</f>
        <v>6591206.68565867</v>
      </c>
      <c r="G14" s="61">
        <f>(G13+0.5*G89)*('Economic Projections'!$B12/'Economic Projections'!$B11)</f>
        <v>4353235.0490074577</v>
      </c>
      <c r="H14" s="61">
        <f>(H13+0.5*H89)*('Economic Projections'!$B12/'Economic Projections'!$B11)</f>
        <v>5386812.270333779</v>
      </c>
      <c r="I14" s="61">
        <f>(I13+0.5*I89)*('Economic Projections'!$B12/'Economic Projections'!$B11)</f>
        <v>1100099.7452415819</v>
      </c>
      <c r="J14" s="61">
        <f>(J13+0.5*J89)*('Economic Projections'!$B12/'Economic Projections'!$B11)</f>
        <v>1362962.3193958511</v>
      </c>
      <c r="K14" s="61">
        <f>(K13+0.5*K89)*('Economic Projections'!$B12/'Economic Projections'!$B11)</f>
        <v>334864.5403890498</v>
      </c>
      <c r="N14">
        <v>2029</v>
      </c>
      <c r="O14" s="61">
        <f>(O13+0.5*O89)*'Economic Projections'!$C12/'Economic Projections'!$C11</f>
        <v>6715177.4969020411</v>
      </c>
      <c r="P14" s="61">
        <f>(P13+0.5*P89)*'Economic Projections'!$C12/'Economic Projections'!$C11</f>
        <v>4435112.9366684221</v>
      </c>
      <c r="Q14" s="61">
        <f>(Q13+0.5*Q89)*'Economic Projections'!$C12/'Economic Projections'!$C11</f>
        <v>5488095.1515051574</v>
      </c>
      <c r="R14" s="61">
        <f>(R13+0.5*R89)*'Economic Projections'!$C12/'Economic Projections'!$C11</f>
        <v>1121037.9802518671</v>
      </c>
      <c r="S14" s="61">
        <f>(S13+0.5*S89)*'Economic Projections'!$C12/'Economic Projections'!$C11</f>
        <v>1388216.4318051215</v>
      </c>
      <c r="T14" s="61">
        <f>(T13+0.5*T89)*'Economic Projections'!$C12/'Economic Projections'!$C11</f>
        <v>341332.09747973375</v>
      </c>
      <c r="W14">
        <v>2029</v>
      </c>
      <c r="X14" s="61">
        <f>(X13+0.5*X89)*'Economic Projections'!$D12/'Economic Projections'!$D11</f>
        <v>6826192.3858189993</v>
      </c>
      <c r="Y14" s="61">
        <f>(Y13+0.5*Y89)*'Economic Projections'!$D12/'Economic Projections'!$D11</f>
        <v>4508433.942736472</v>
      </c>
      <c r="Z14" s="61">
        <f>(Z13+0.5*Z89)*'Economic Projections'!$D12/'Economic Projections'!$D11</f>
        <v>5578809.7690012464</v>
      </c>
      <c r="AA14" s="61">
        <f>(AA13+0.5*AA89)*'Economic Projections'!$D12/'Economic Projections'!$D11</f>
        <v>1139815.3440143247</v>
      </c>
      <c r="AB14" s="61">
        <f>(AB13+0.5*AB89)*'Economic Projections'!$D12/'Economic Projections'!$D11</f>
        <v>1410756.8461095293</v>
      </c>
      <c r="AC14" s="61">
        <f>(AC13+0.5*AC89)*'Economic Projections'!$D12/'Economic Projections'!$D11</f>
        <v>347154.25881292654</v>
      </c>
      <c r="AG14">
        <v>2029</v>
      </c>
      <c r="AH14" s="61">
        <f>(AH13+0.5*AH89)*'Economic Projections'!$E12/'Economic Projections'!$E11</f>
        <v>6607485.6823761305</v>
      </c>
      <c r="AI14" s="61">
        <f>(AI13+0.5*AI89)*'Economic Projections'!$E12/'Economic Projections'!$E11</f>
        <v>4363986.6916812221</v>
      </c>
      <c r="AJ14" s="61">
        <f>(AJ13+0.5*AJ89)*'Economic Projections'!$E12/'Economic Projections'!$E11</f>
        <v>5400111.2503059842</v>
      </c>
      <c r="AK14" s="61">
        <f>(AK13+0.5*AK89)*'Economic Projections'!$E12/'Economic Projections'!$E11</f>
        <v>1102847.5106293752</v>
      </c>
      <c r="AL14" s="61">
        <f>(AL13+0.5*AL89)*'Economic Projections'!$E12/'Economic Projections'!$E11</f>
        <v>1366282.7699418622</v>
      </c>
      <c r="AM14" s="61">
        <f>(AM13+0.5*AM89)*'Economic Projections'!$E12/'Economic Projections'!$E11</f>
        <v>335712.05533032247</v>
      </c>
    </row>
    <row r="15" spans="2:39">
      <c r="E15">
        <v>2030</v>
      </c>
      <c r="F15" s="61">
        <f>(F14+0.5*F90)*('Economic Projections'!$B13/'Economic Projections'!$B12)</f>
        <v>6622406.3253932698</v>
      </c>
      <c r="G15" s="61">
        <f>(G14+0.5*G90)*('Economic Projections'!$B13/'Economic Projections'!$B12)</f>
        <v>4368367.0505195474</v>
      </c>
      <c r="H15" s="61">
        <f>(H14+0.5*H90)*('Economic Projections'!$B13/'Economic Projections'!$B12)</f>
        <v>5432859.3687088974</v>
      </c>
      <c r="I15" s="61">
        <f>(I14+0.5*I90)*('Economic Projections'!$B13/'Economic Projections'!$B12)</f>
        <v>1108918.0917263031</v>
      </c>
      <c r="J15" s="61">
        <f>(J14+0.5*J90)*('Economic Projections'!$B13/'Economic Projections'!$B12)</f>
        <v>1373301.8016224266</v>
      </c>
      <c r="K15" s="61">
        <f>(K14+0.5*K90)*('Economic Projections'!$B13/'Economic Projections'!$B12)</f>
        <v>337931.15094776958</v>
      </c>
      <c r="N15">
        <v>2030</v>
      </c>
      <c r="O15" s="61">
        <f>(O14+0.5*O90)*'Economic Projections'!$C13/'Economic Projections'!$C12</f>
        <v>6759979.4895369578</v>
      </c>
      <c r="P15" s="61">
        <f>(P14+0.5*P90)*'Economic Projections'!$C13/'Economic Projections'!$C12</f>
        <v>4459115.0426771175</v>
      </c>
      <c r="Q15" s="61">
        <f>(Q14+0.5*Q90)*'Economic Projections'!$C13/'Economic Projections'!$C12</f>
        <v>5545813.9090571469</v>
      </c>
      <c r="R15" s="61">
        <f>(R14+0.5*R90)*'Economic Projections'!$C13/'Economic Projections'!$C12</f>
        <v>1132157.2768910192</v>
      </c>
      <c r="S15" s="61">
        <f>(S14+0.5*S90)*'Economic Projections'!$C13/'Economic Projections'!$C12</f>
        <v>1401327.0877538021</v>
      </c>
      <c r="T15" s="61">
        <f>(T14+0.5*T90)*'Economic Projections'!$C13/'Economic Projections'!$C12</f>
        <v>345159.29920879228</v>
      </c>
      <c r="W15">
        <v>2030</v>
      </c>
      <c r="X15" s="61">
        <f>(X14+0.5*X90)*'Economic Projections'!$D13/'Economic Projections'!$D12</f>
        <v>6883175.1787656369</v>
      </c>
      <c r="Y15" s="61">
        <f>(Y14+0.5*Y90)*'Economic Projections'!$D13/'Economic Projections'!$D12</f>
        <v>4540379.157735873</v>
      </c>
      <c r="Z15" s="61">
        <f>(Z14+0.5*Z90)*'Economic Projections'!$D13/'Economic Projections'!$D12</f>
        <v>5647014.7139816144</v>
      </c>
      <c r="AA15" s="61">
        <f>(AA14+0.5*AA90)*'Economic Projections'!$D13/'Economic Projections'!$D12</f>
        <v>1152983.2017881002</v>
      </c>
      <c r="AB15" s="61">
        <f>(AB14+0.5*AB90)*'Economic Projections'!$D13/'Economic Projections'!$D12</f>
        <v>1426316.269709795</v>
      </c>
      <c r="AC15" s="61">
        <f>(AC14+0.5*AC90)*'Economic Projections'!$D13/'Economic Projections'!$D12</f>
        <v>351672.97412287461</v>
      </c>
      <c r="AG15">
        <v>2030</v>
      </c>
      <c r="AH15" s="61">
        <f>(AH14+0.5*AH90)*'Economic Projections'!$E13/'Economic Projections'!$E12</f>
        <v>6640471.4898061184</v>
      </c>
      <c r="AI15" s="61">
        <f>(AI14+0.5*AI90)*'Economic Projections'!$E13/'Economic Projections'!$E12</f>
        <v>4380283.4544829698</v>
      </c>
      <c r="AJ15" s="61">
        <f>(AJ14+0.5*AJ90)*'Economic Projections'!$E13/'Economic Projections'!$E12</f>
        <v>5447689.1316723572</v>
      </c>
      <c r="AK15" s="61">
        <f>(AK14+0.5*AK90)*'Economic Projections'!$E13/'Economic Projections'!$E12</f>
        <v>1111968.6370762566</v>
      </c>
      <c r="AL15" s="61">
        <f>(AL14+0.5*AL90)*'Economic Projections'!$E13/'Economic Projections'!$E12</f>
        <v>1376987.9402186838</v>
      </c>
      <c r="AM15" s="61">
        <f>(AM14+0.5*AM90)*'Economic Projections'!$E13/'Economic Projections'!$E12</f>
        <v>338877.9692601696</v>
      </c>
    </row>
    <row r="16" spans="2:39">
      <c r="E16">
        <v>2040</v>
      </c>
      <c r="F16" s="61">
        <f>(F15+5*F91)*('Economic Projections'!$B14/'Economic Projections'!$B13)</f>
        <v>6807377.6931357216</v>
      </c>
      <c r="G16" s="61">
        <f>(G15+5*G91)*('Economic Projections'!$B14/'Economic Projections'!$B13)</f>
        <v>4433540.2686119759</v>
      </c>
      <c r="H16" s="61">
        <f>(H15+5*H91)*('Economic Projections'!$B14/'Economic Projections'!$B13)</f>
        <v>5800973.789866806</v>
      </c>
      <c r="I16" s="61">
        <f>(I15+5*I91)*('Economic Projections'!$B14/'Economic Projections'!$B13)</f>
        <v>1175605.0708126798</v>
      </c>
      <c r="J16" s="61">
        <f>(J15+5*J91)*('Economic Projections'!$B14/'Economic Projections'!$B13)</f>
        <v>1451381.1999381683</v>
      </c>
      <c r="K16" s="61">
        <f>(K15+5*K91)*('Economic Projections'!$B14/'Economic Projections'!$B13)</f>
        <v>362802.62143412902</v>
      </c>
      <c r="N16">
        <v>2040</v>
      </c>
      <c r="O16" s="61">
        <f>(O15+5*O91)*('Economic Projections'!$C14/'Economic Projections'!$C13)</f>
        <v>7103809.5601231214</v>
      </c>
      <c r="P16" s="61">
        <f>(P15+5*P91)*('Economic Projections'!$C14/'Economic Projections'!$C13)</f>
        <v>4626601.7789955884</v>
      </c>
      <c r="Q16" s="61">
        <f>(Q15+5*Q91)*('Economic Projections'!$C14/'Economic Projections'!$C13)</f>
        <v>6055463.2550545894</v>
      </c>
      <c r="R16" s="61">
        <f>(R15+5*R91)*('Economic Projections'!$C14/'Economic Projections'!$C13)</f>
        <v>1226246.8977387561</v>
      </c>
      <c r="S16" s="61">
        <f>(S15+5*S91)*('Economic Projections'!$C14/'Economic Projections'!$C13)</f>
        <v>1512605.3117318219</v>
      </c>
      <c r="T16" s="61">
        <f>(T15+5*T91)*('Economic Projections'!$C14/'Economic Projections'!$C13)</f>
        <v>379246.92565966846</v>
      </c>
      <c r="W16">
        <v>2040</v>
      </c>
      <c r="X16" s="61">
        <f>(X15+5*X91)*('Economic Projections'!$D14/'Economic Projections'!$D13)</f>
        <v>7396177.9821889158</v>
      </c>
      <c r="Y16" s="61">
        <f>(Y15+5*Y91)*('Economic Projections'!$D14/'Economic Projections'!$D13)</f>
        <v>4817016.830272425</v>
      </c>
      <c r="Z16" s="61">
        <f>(Z15+5*Z91)*('Economic Projections'!$D14/'Economic Projections'!$D13)</f>
        <v>6306945.5424010037</v>
      </c>
      <c r="AA16" s="61">
        <f>(AA15+5*AA91)*('Economic Projections'!$D14/'Economic Projections'!$D13)</f>
        <v>1276008.7658002232</v>
      </c>
      <c r="AB16" s="61">
        <f>(AB15+5*AB91)*('Economic Projections'!$D14/'Economic Projections'!$D13)</f>
        <v>1572563.05359984</v>
      </c>
      <c r="AC16" s="61">
        <f>(AC15+5*AC91)*('Economic Projections'!$D14/'Economic Projections'!$D13)</f>
        <v>395597.37378953933</v>
      </c>
      <c r="AG16">
        <v>2040</v>
      </c>
      <c r="AH16" s="61">
        <f>(AH15+5*AH91)*('Economic Projections'!$E14/'Economic Projections'!$E13)</f>
        <v>6842572.7960176086</v>
      </c>
      <c r="AI16" s="61">
        <f>(AI15+5*AI91)*('Economic Projections'!$E14/'Economic Projections'!$E13)</f>
        <v>4456462.2971696304</v>
      </c>
      <c r="AJ16" s="61">
        <f>(AJ15+5*AJ91)*('Economic Projections'!$E14/'Economic Projections'!$E13)</f>
        <v>5831178.6637859372</v>
      </c>
      <c r="AK16" s="61">
        <f>(AK15+5*AK91)*('Economic Projections'!$E14/'Economic Projections'!$E13)</f>
        <v>1181622.8155634506</v>
      </c>
      <c r="AL16" s="61">
        <f>(AL15+5*AL91)*('Economic Projections'!$E14/'Economic Projections'!$E13)</f>
        <v>1458657.7118567992</v>
      </c>
      <c r="AM16" s="61">
        <f>(AM15+5*AM91)*('Economic Projections'!$E14/'Economic Projections'!$E13)</f>
        <v>364752.97388471867</v>
      </c>
    </row>
    <row r="17" spans="2:39">
      <c r="E17">
        <v>2050</v>
      </c>
      <c r="F17" s="61">
        <f>(F16+5*F92)*('Economic Projections'!$B15/'Economic Projections'!$B14)</f>
        <v>6834457.1008244455</v>
      </c>
      <c r="G17" s="61">
        <f>(G16+5*G92)*('Economic Projections'!$B15/'Economic Projections'!$B14)</f>
        <v>4394832.6613800526</v>
      </c>
      <c r="H17" s="61">
        <f>(H16+5*H92)*('Economic Projections'!$B15/'Economic Projections'!$B14)</f>
        <v>6058709.0185049605</v>
      </c>
      <c r="I17" s="61">
        <f>(I16+5*I92)*('Economic Projections'!$B15/'Economic Projections'!$B14)</f>
        <v>1205025.6136083906</v>
      </c>
      <c r="J17" s="61">
        <f>(J16+5*J92)*('Economic Projections'!$B15/'Economic Projections'!$B14)</f>
        <v>1493196.976481243</v>
      </c>
      <c r="K17" s="61">
        <f>(K16+5*K92)*('Economic Projections'!$B15/'Economic Projections'!$B14)</f>
        <v>379718.54476819397</v>
      </c>
      <c r="N17">
        <v>2050</v>
      </c>
      <c r="O17" s="61">
        <f>(O16+5*O92)*('Economic Projections'!$C15/'Economic Projections'!$C14)</f>
        <v>7318277.5307735968</v>
      </c>
      <c r="P17" s="61">
        <f>(P16+5*P92)*('Economic Projections'!$C15/'Economic Projections'!$C14)</f>
        <v>4705948.7890278511</v>
      </c>
      <c r="Q17" s="61">
        <f>(Q16+5*Q92)*('Economic Projections'!$C15/'Economic Projections'!$C14)</f>
        <v>6495078.9423017306</v>
      </c>
      <c r="R17" s="61">
        <f>(R16+5*R92)*('Economic Projections'!$C15/'Economic Projections'!$C14)</f>
        <v>1286492.7685233001</v>
      </c>
      <c r="S17" s="61">
        <f>(S16+5*S92)*('Economic Projections'!$C15/'Economic Projections'!$C14)</f>
        <v>1594037.1152295703</v>
      </c>
      <c r="T17" s="61">
        <f>(T16+5*T92)*('Economic Projections'!$C15/'Economic Projections'!$C14)</f>
        <v>407837.10644355684</v>
      </c>
      <c r="W17">
        <v>2050</v>
      </c>
      <c r="X17" s="61">
        <f>(X16+5*X92)*('Economic Projections'!$D15/'Economic Projections'!$D14)</f>
        <v>7855843.2552720401</v>
      </c>
      <c r="Y17" s="61">
        <f>(Y16+5*Y92)*('Economic Projections'!$D15/'Economic Projections'!$D14)</f>
        <v>5051625.3173623681</v>
      </c>
      <c r="Z17" s="61">
        <f>(Z16+5*Z92)*('Economic Projections'!$D15/'Economic Projections'!$D14)</f>
        <v>6982999.742187961</v>
      </c>
      <c r="AA17" s="61">
        <f>(AA16+5*AA92)*('Economic Projections'!$D15/'Economic Projections'!$D14)</f>
        <v>1375240.6820656424</v>
      </c>
      <c r="AB17" s="61">
        <f>(AB16+5*AB92)*('Economic Projections'!$D15/'Economic Projections'!$D14)</f>
        <v>1704407.5678638597</v>
      </c>
      <c r="AC17" s="61">
        <f>(AC16+5*AC92)*('Economic Projections'!$D15/'Economic Projections'!$D14)</f>
        <v>439443.16511826077</v>
      </c>
      <c r="AG17">
        <v>2050</v>
      </c>
      <c r="AH17" s="61">
        <f>(AH16+5*AH92)*('Economic Projections'!$E15/'Economic Projections'!$E14)</f>
        <v>6901834.363983118</v>
      </c>
      <c r="AI17" s="61">
        <f>(AI16+5*AI92)*('Economic Projections'!$E15/'Economic Projections'!$E14)</f>
        <v>4438158.9698776836</v>
      </c>
      <c r="AJ17" s="61">
        <f>(AJ16+5*AJ92)*('Economic Projections'!$E15/'Economic Projections'!$E14)</f>
        <v>6119186.4631758975</v>
      </c>
      <c r="AK17" s="61">
        <f>(AK16+5*AK92)*('Economic Projections'!$E15/'Economic Projections'!$E14)</f>
        <v>1216529.2805731725</v>
      </c>
      <c r="AL17" s="61">
        <f>(AL16+5*AL92)*('Economic Projections'!$E15/'Economic Projections'!$E14)</f>
        <v>1507415.1355622406</v>
      </c>
      <c r="AM17" s="61">
        <f>(AM16+5*AM92)*('Economic Projections'!$E15/'Economic Projections'!$E14)</f>
        <v>383592.62921199109</v>
      </c>
    </row>
    <row r="18" spans="2:39">
      <c r="E18">
        <v>2060</v>
      </c>
      <c r="F18" s="61">
        <f>(F17+5*F93)*('Economic Projections'!$B16/'Economic Projections'!$B15)</f>
        <v>6717377.96320921</v>
      </c>
      <c r="G18" s="61">
        <f>(G17+5*G93)*('Economic Projections'!$B16/'Economic Projections'!$B15)</f>
        <v>4264868.2371323258</v>
      </c>
      <c r="H18" s="61">
        <f>(H17+5*H93)*('Economic Projections'!$B16/'Economic Projections'!$B15)</f>
        <v>6192376.5074913092</v>
      </c>
      <c r="I18" s="61">
        <f>(I17+5*I93)*('Economic Projections'!$B16/'Economic Projections'!$B15)</f>
        <v>1205393.6350122322</v>
      </c>
      <c r="J18" s="61">
        <f>(J17+5*J93)*('Economic Projections'!$B16/'Economic Projections'!$B15)</f>
        <v>1502124.4047512761</v>
      </c>
      <c r="K18" s="61">
        <f>(K17+5*K93)*('Economic Projections'!$B16/'Economic Projections'!$B15)</f>
        <v>388296.51889441937</v>
      </c>
      <c r="N18">
        <v>2060</v>
      </c>
      <c r="O18" s="61">
        <f>(O17+5*O93)*('Economic Projections'!$C16/'Economic Projections'!$C15)</f>
        <v>7392298.2767909644</v>
      </c>
      <c r="P18" s="61">
        <f>(P17+5*P93)*('Economic Projections'!$C16/'Economic Projections'!$C15)</f>
        <v>4693375.6434083115</v>
      </c>
      <c r="Q18" s="61">
        <f>(Q17+5*Q93)*('Economic Projections'!$C16/'Economic Projections'!$C15)</f>
        <v>6828868.5979763409</v>
      </c>
      <c r="R18" s="61">
        <f>(R17+5*R93)*('Economic Projections'!$C16/'Economic Projections'!$C15)</f>
        <v>1318508.3106165947</v>
      </c>
      <c r="S18" s="61">
        <f>(S17+5*S93)*('Economic Projections'!$C16/'Economic Projections'!$C15)</f>
        <v>1644917.4806762156</v>
      </c>
      <c r="T18" s="61">
        <f>(T17+5*T93)*('Economic Projections'!$C16/'Economic Projections'!$C15)</f>
        <v>429116.28448689874</v>
      </c>
      <c r="W18">
        <v>2060</v>
      </c>
      <c r="X18" s="61">
        <f>(X17+5*X93)*('Economic Projections'!$D16/'Economic Projections'!$D15)</f>
        <v>8232762.0399721535</v>
      </c>
      <c r="Y18" s="61">
        <f>(Y17+5*Y93)*('Economic Projections'!$D16/'Economic Projections'!$D15)</f>
        <v>5226986.7082738187</v>
      </c>
      <c r="Z18" s="61">
        <f>(Z17+5*Z93)*('Economic Projections'!$D16/'Economic Projections'!$D15)</f>
        <v>7624969.8408750743</v>
      </c>
      <c r="AA18" s="61">
        <f>(AA17+5*AA93)*('Economic Projections'!$D16/'Economic Projections'!$D15)</f>
        <v>1459467.2700234782</v>
      </c>
      <c r="AB18" s="61">
        <f>(AB17+5*AB93)*('Economic Projections'!$D16/'Economic Projections'!$D15)</f>
        <v>1818717.3588495424</v>
      </c>
      <c r="AC18" s="61">
        <f>(AC17+5*AC93)*('Economic Projections'!$D16/'Economic Projections'!$D15)</f>
        <v>480374.52746048308</v>
      </c>
      <c r="AG18">
        <v>2060</v>
      </c>
      <c r="AH18" s="61">
        <f>(AH17+5*AH93)*('Economic Projections'!$E16/'Economic Projections'!$E15)</f>
        <v>6823504.9792287061</v>
      </c>
      <c r="AI18" s="61">
        <f>(AI17+5*AI93)*('Economic Projections'!$E16/'Economic Projections'!$E15)</f>
        <v>4332248.3580965111</v>
      </c>
      <c r="AJ18" s="61">
        <f>(AJ17+5*AJ93)*('Economic Projections'!$E16/'Economic Projections'!$E15)</f>
        <v>6291705.23143466</v>
      </c>
      <c r="AK18" s="61">
        <f>(AK17+5*AK93)*('Economic Projections'!$E16/'Economic Projections'!$E15)</f>
        <v>1223607.0354564239</v>
      </c>
      <c r="AL18" s="61">
        <f>(AL17+5*AL93)*('Economic Projections'!$E16/'Economic Projections'!$E15)</f>
        <v>1524998.612754791</v>
      </c>
      <c r="AM18" s="61">
        <f>(AM17+5*AM93)*('Economic Projections'!$E16/'Economic Projections'!$E15)</f>
        <v>394623.15786334203</v>
      </c>
    </row>
    <row r="19" spans="2:39">
      <c r="E19">
        <v>2070</v>
      </c>
      <c r="F19" s="61">
        <f>(F18+5*F94)*('Economic Projections'!$B17/'Economic Projections'!$B16)</f>
        <v>6484959.8505245568</v>
      </c>
      <c r="G19" s="61">
        <f>(G18+5*G94)*('Economic Projections'!$B17/'Economic Projections'!$B16)</f>
        <v>4065188.010482138</v>
      </c>
      <c r="H19" s="61">
        <f>(H18+5*H94)*('Economic Projections'!$B17/'Economic Projections'!$B16)</f>
        <v>6210754.4980766336</v>
      </c>
      <c r="I19" s="61">
        <f>(I18+5*I94)*('Economic Projections'!$B17/'Economic Projections'!$B16)</f>
        <v>1183190.16829503</v>
      </c>
      <c r="J19" s="61">
        <f>(J18+5*J94)*('Economic Projections'!$B17/'Economic Projections'!$B16)</f>
        <v>1483367.489574464</v>
      </c>
      <c r="K19" s="61">
        <f>(K18+5*K94)*('Economic Projections'!$B17/'Economic Projections'!$B16)</f>
        <v>389339.66642449505</v>
      </c>
      <c r="N19">
        <v>2070</v>
      </c>
      <c r="O19" s="61">
        <f>(O18+5*O94)*('Economic Projections'!$C17/'Economic Projections'!$C16)</f>
        <v>7362153.7768882718</v>
      </c>
      <c r="P19" s="61">
        <f>(P18+5*P94)*('Economic Projections'!$C17/'Economic Projections'!$C16)</f>
        <v>4615069.3227053909</v>
      </c>
      <c r="Q19" s="61">
        <f>(Q18+5*Q94)*('Economic Projections'!$C17/'Economic Projections'!$C16)</f>
        <v>7071667.8958266852</v>
      </c>
      <c r="R19" s="61">
        <f>(R18+5*R94)*('Economic Projections'!$C17/'Economic Projections'!$C16)</f>
        <v>1331299.7498524266</v>
      </c>
      <c r="S19" s="61">
        <f>(S18+5*S94)*('Economic Projections'!$C17/'Economic Projections'!$C16)</f>
        <v>1672863.1988754512</v>
      </c>
      <c r="T19" s="61">
        <f>(T18+5*T94)*('Economic Projections'!$C17/'Economic Projections'!$C16)</f>
        <v>444282.97043784981</v>
      </c>
      <c r="W19">
        <v>2070</v>
      </c>
      <c r="X19" s="61">
        <f>(X18+5*X94)*('Economic Projections'!$D17/'Economic Projections'!$D16)</f>
        <v>8552881.7370798681</v>
      </c>
      <c r="Y19" s="61">
        <f>(Y18+5*Y94)*('Economic Projections'!$D17/'Economic Projections'!$D16)</f>
        <v>5361493.8402180448</v>
      </c>
      <c r="Z19" s="61">
        <f>(Z18+5*Z94)*('Economic Projections'!$D17/'Economic Projections'!$D16)</f>
        <v>8244027.0117263328</v>
      </c>
      <c r="AA19" s="61">
        <f>(AA18+5*AA94)*('Economic Projections'!$D17/'Economic Projections'!$D16)</f>
        <v>1535409.2755592314</v>
      </c>
      <c r="AB19" s="61">
        <f>(AB18+5*AB94)*('Economic Projections'!$D17/'Economic Projections'!$D16)</f>
        <v>1922810.5219672641</v>
      </c>
      <c r="AC19" s="61">
        <f>(AC18+5*AC94)*('Economic Projections'!$D17/'Economic Projections'!$D16)</f>
        <v>519351.93033237662</v>
      </c>
      <c r="AG19">
        <v>2070</v>
      </c>
      <c r="AH19" s="61">
        <f>(AH18+5*AH94)*('Economic Projections'!$E17/'Economic Projections'!$E16)</f>
        <v>6636235.9106776984</v>
      </c>
      <c r="AI19" s="61">
        <f>(AI18+5*AI94)*('Economic Projections'!$E17/'Economic Projections'!$E16)</f>
        <v>4160017.5298904628</v>
      </c>
      <c r="AJ19" s="61">
        <f>(AJ18+5*AJ94)*('Economic Projections'!$E17/'Economic Projections'!$E16)</f>
        <v>6357909.581243027</v>
      </c>
      <c r="AK19" s="61">
        <f>(AK18+5*AK94)*('Economic Projections'!$E17/'Economic Projections'!$E16)</f>
        <v>1209486.3731175547</v>
      </c>
      <c r="AL19" s="61">
        <f>(AL18+5*AL94)*('Economic Projections'!$E17/'Economic Projections'!$E16)</f>
        <v>1516751.4143521581</v>
      </c>
      <c r="AM19" s="61">
        <f>(AM18+5*AM94)*('Economic Projections'!$E17/'Economic Projections'!$E16)</f>
        <v>398669.6436992322</v>
      </c>
    </row>
    <row r="20" spans="2:39">
      <c r="E20">
        <v>2080</v>
      </c>
      <c r="F20" s="61">
        <f>(F19+5*F95)*('Economic Projections'!$B18/'Economic Projections'!$B17)</f>
        <v>6149285.0462135179</v>
      </c>
      <c r="G20" s="61">
        <f>(G19+5*G95)*('Economic Projections'!$B18/'Economic Projections'!$B17)</f>
        <v>3805971.0521029001</v>
      </c>
      <c r="H20" s="61">
        <f>(H19+5*H95)*('Economic Projections'!$B18/'Economic Projections'!$B17)</f>
        <v>6112227.6050437465</v>
      </c>
      <c r="I20" s="61">
        <f>(I19+5*I95)*('Economic Projections'!$B18/'Economic Projections'!$B17)</f>
        <v>1140394.5088800706</v>
      </c>
      <c r="J20" s="61">
        <f>(J19+5*J95)*('Economic Projections'!$B18/'Economic Projections'!$B17)</f>
        <v>1438134.2665749548</v>
      </c>
      <c r="K20" s="61">
        <f>(K19+5*K95)*('Economic Projections'!$B18/'Economic Projections'!$B17)</f>
        <v>382890.34968085837</v>
      </c>
      <c r="N20">
        <v>2080</v>
      </c>
      <c r="O20" s="61">
        <f>(O19+5*O95)*('Economic Projections'!$C18/'Economic Projections'!$C17)</f>
        <v>7231701.2370520253</v>
      </c>
      <c r="P20" s="61">
        <f>(P19+5*P95)*('Economic Projections'!$C18/'Economic Projections'!$C17)</f>
        <v>4475909.8592485506</v>
      </c>
      <c r="Q20" s="61">
        <f>(Q19+5*Q95)*('Economic Projections'!$C18/'Economic Projections'!$C17)</f>
        <v>7214553.0530416071</v>
      </c>
      <c r="R20" s="61">
        <f>(R19+5*R95)*('Economic Projections'!$C18/'Economic Projections'!$C17)</f>
        <v>1325805.2988205831</v>
      </c>
      <c r="S20" s="61">
        <f>(S19+5*S95)*('Economic Projections'!$C18/'Economic Projections'!$C17)</f>
        <v>1677521.2890951047</v>
      </c>
      <c r="T20" s="61">
        <f>(T19+5*T95)*('Economic Projections'!$C18/'Economic Projections'!$C17)</f>
        <v>452938.47693398839</v>
      </c>
      <c r="W20">
        <v>2080</v>
      </c>
      <c r="X20" s="61">
        <f>(X19+5*X95)*('Economic Projections'!$D18/'Economic Projections'!$D17)</f>
        <v>8833330.8830675241</v>
      </c>
      <c r="Y20" s="61">
        <f>(Y19+5*Y95)*('Economic Projections'!$D18/'Economic Projections'!$D17)</f>
        <v>5467204.9485334959</v>
      </c>
      <c r="Z20" s="61">
        <f>(Z19+5*Z95)*('Economic Projections'!$D18/'Economic Projections'!$D17)</f>
        <v>8850439.6582054049</v>
      </c>
      <c r="AA20" s="61">
        <f>(AA19+5*AA95)*('Economic Projections'!$D18/'Economic Projections'!$D17)</f>
        <v>1605828.2261469301</v>
      </c>
      <c r="AB20" s="61">
        <f>(AB19+5*AB95)*('Economic Projections'!$D18/'Economic Projections'!$D17)</f>
        <v>2020670.3700187732</v>
      </c>
      <c r="AC20" s="61">
        <f>(AC19+5*AC95)*('Economic Projections'!$D18/'Economic Projections'!$D17)</f>
        <v>557182.50623566634</v>
      </c>
      <c r="AG20">
        <v>2080</v>
      </c>
      <c r="AH20" s="61">
        <f>(AH19+5*AH95)*('Economic Projections'!$E18/'Economic Projections'!$E17)</f>
        <v>6351881.8305806918</v>
      </c>
      <c r="AI20" s="61">
        <f>(AI19+5*AI95)*('Economic Projections'!$E18/'Economic Projections'!$E17)</f>
        <v>3931364.0840986106</v>
      </c>
      <c r="AJ20" s="61">
        <f>(AJ19+5*AJ95)*('Economic Projections'!$E18/'Economic Projections'!$E17)</f>
        <v>6316594.7256000824</v>
      </c>
      <c r="AK20" s="61">
        <f>(AK19+5*AK95)*('Economic Projections'!$E18/'Economic Projections'!$E17)</f>
        <v>1176229.8896664791</v>
      </c>
      <c r="AL20" s="61">
        <f>(AL19+5*AL95)*('Economic Projections'!$E18/'Economic Projections'!$E17)</f>
        <v>1483967.0458396862</v>
      </c>
      <c r="AM20" s="61">
        <f>(AM19+5*AM95)*('Economic Projections'!$E18/'Economic Projections'!$E17)</f>
        <v>395799.03348597017</v>
      </c>
    </row>
    <row r="21" spans="2:39">
      <c r="E21">
        <v>2090</v>
      </c>
      <c r="F21" s="61">
        <f>(F20+5*F96)*('Economic Projections'!$B19/'Economic Projections'!$B18)</f>
        <v>5721940.5976600032</v>
      </c>
      <c r="G21" s="61">
        <f>(G20+5*G96)*('Economic Projections'!$B19/'Economic Projections'!$B18)</f>
        <v>3496646.3659047005</v>
      </c>
      <c r="H21" s="61">
        <f>(H20+5*H96)*('Economic Projections'!$B19/'Economic Projections'!$B18)</f>
        <v>5896916.1889745845</v>
      </c>
      <c r="I21" s="61">
        <f>(I20+5*I96)*('Economic Projections'!$B19/'Economic Projections'!$B18)</f>
        <v>1078471.3113990049</v>
      </c>
      <c r="J21" s="61">
        <f>(J20+5*J96)*('Economic Projections'!$B19/'Economic Projections'!$B18)</f>
        <v>1367601.0968328274</v>
      </c>
      <c r="K21" s="61">
        <f>(K20+5*K96)*('Economic Projections'!$B19/'Economic Projections'!$B18)</f>
        <v>369046.8033449807</v>
      </c>
      <c r="N21">
        <v>2090</v>
      </c>
      <c r="O21" s="61">
        <f>(O20+5*O96)*('Economic Projections'!$C19/'Economic Projections'!$C18)</f>
        <v>7019880.0198934218</v>
      </c>
      <c r="P21" s="61">
        <f>(P20+5*P96)*('Economic Projections'!$C19/'Economic Projections'!$C18)</f>
        <v>4289809.9939530147</v>
      </c>
      <c r="Q21" s="61">
        <f>(Q20+5*Q96)*('Economic Projections'!$C19/'Economic Projections'!$C18)</f>
        <v>7265545.4229067201</v>
      </c>
      <c r="R21" s="61">
        <f>(R20+5*R96)*('Economic Projections'!$C19/'Economic Projections'!$C18)</f>
        <v>1305059.1933513456</v>
      </c>
      <c r="S21" s="61">
        <f>(S20+5*S96)*('Economic Projections'!$C19/'Economic Projections'!$C18)</f>
        <v>1661944.7056398843</v>
      </c>
      <c r="T21" s="61">
        <f>(T20+5*T96)*('Economic Projections'!$C19/'Economic Projections'!$C18)</f>
        <v>455685.23718597676</v>
      </c>
      <c r="W21">
        <v>2090</v>
      </c>
      <c r="X21" s="61">
        <f>(X20+5*X96)*('Economic Projections'!$D19/'Economic Projections'!$D18)</f>
        <v>9097932.0564457402</v>
      </c>
      <c r="Y21" s="61">
        <f>(Y20+5*Y96)*('Economic Projections'!$D19/'Economic Projections'!$D18)</f>
        <v>5559696.1414504321</v>
      </c>
      <c r="Z21" s="61">
        <f>(Z20+5*Z96)*('Economic Projections'!$D19/'Economic Projections'!$D18)</f>
        <v>9464592.4735627882</v>
      </c>
      <c r="AA21" s="61">
        <f>(AA20+5*AA96)*('Economic Projections'!$D19/'Economic Projections'!$D18)</f>
        <v>1674866.4129976153</v>
      </c>
      <c r="AB21" s="61">
        <f>(AB20+5*AB96)*('Economic Projections'!$D19/'Economic Projections'!$D18)</f>
        <v>2117510.6609951938</v>
      </c>
      <c r="AC21" s="61">
        <f>(AC20+5*AC96)*('Economic Projections'!$D19/'Economic Projections'!$D18)</f>
        <v>595237.54805472924</v>
      </c>
      <c r="AG21">
        <v>2090</v>
      </c>
      <c r="AH21" s="61">
        <f>(AH20+5*AH96)*('Economic Projections'!$E19/'Economic Projections'!$E18)</f>
        <v>5989456.6218632609</v>
      </c>
      <c r="AI21" s="61">
        <f>(AI20+5*AI96)*('Economic Projections'!$E19/'Economic Projections'!$E18)</f>
        <v>3660123.9340280266</v>
      </c>
      <c r="AJ21" s="61">
        <f>(AJ20+5*AJ96)*('Economic Projections'!$E19/'Economic Projections'!$E18)</f>
        <v>6176205.9568772241</v>
      </c>
      <c r="AK21" s="61">
        <f>(AK20+5*AK96)*('Economic Projections'!$E19/'Economic Projections'!$E18)</f>
        <v>1126796.9276438153</v>
      </c>
      <c r="AL21" s="61">
        <f>(AL20+5*AL96)*('Economic Projections'!$E19/'Economic Projections'!$E18)</f>
        <v>1429714.1770774787</v>
      </c>
      <c r="AM21" s="61">
        <f>(AM20+5*AM96)*('Economic Projections'!$E19/'Economic Projections'!$E18)</f>
        <v>386629.2911194645</v>
      </c>
    </row>
    <row r="22" spans="2:39">
      <c r="E22">
        <v>2100</v>
      </c>
      <c r="F22" s="61">
        <f>(F21+5*F97)*('Economic Projections'!$B20/'Economic Projections'!$B19)</f>
        <v>5236604.224729321</v>
      </c>
      <c r="G22" s="61">
        <f>(G21+5*G97)*('Economic Projections'!$B20/'Economic Projections'!$B19)</f>
        <v>3159552.8946776697</v>
      </c>
      <c r="H22" s="61">
        <f>(H21+5*H97)*('Economic Projections'!$B20/'Economic Projections'!$B19)</f>
        <v>5590259.0612191148</v>
      </c>
      <c r="I22" s="61">
        <f>(I21+5*I97)*('Economic Projections'!$B20/'Economic Projections'!$B19)</f>
        <v>1003044.1981863326</v>
      </c>
      <c r="J22" s="61">
        <f>(J21+5*J97)*('Economic Projections'!$B20/'Economic Projections'!$B19)</f>
        <v>1278535.9737933935</v>
      </c>
      <c r="K22" s="61">
        <f>(K21+5*K97)*('Economic Projections'!$B20/'Economic Projections'!$B19)</f>
        <v>349464.58670815779</v>
      </c>
      <c r="N22">
        <v>2100</v>
      </c>
      <c r="O22" s="61">
        <f>(O21+5*O97)*('Economic Projections'!$C20/'Economic Projections'!$C19)</f>
        <v>6767259.2024207702</v>
      </c>
      <c r="P22" s="61">
        <f>(P21+5*P97)*('Economic Projections'!$C20/'Economic Projections'!$C19)</f>
        <v>4083087.5285687381</v>
      </c>
      <c r="Q22" s="61">
        <f>(Q21+5*Q97)*('Economic Projections'!$C20/'Economic Projections'!$C19)</f>
        <v>7258937.3582455637</v>
      </c>
      <c r="R22" s="61">
        <f>(R21+5*R97)*('Economic Projections'!$C20/'Economic Projections'!$C19)</f>
        <v>1276040.7142227448</v>
      </c>
      <c r="S22" s="61">
        <f>(S21+5*S97)*('Economic Projections'!$C20/'Economic Projections'!$C19)</f>
        <v>1634667.0493930404</v>
      </c>
      <c r="T22" s="61">
        <f>(T21+5*T97)*('Economic Projections'!$C20/'Economic Projections'!$C19)</f>
        <v>454738.83834494423</v>
      </c>
      <c r="W22">
        <v>2100</v>
      </c>
      <c r="X22" s="61">
        <f>(X21+5*X97)*('Economic Projections'!$D20/'Economic Projections'!$D19)</f>
        <v>9347131.3908030409</v>
      </c>
      <c r="Y22" s="61">
        <f>(Y21+5*Y97)*('Economic Projections'!$D20/'Economic Projections'!$D19)</f>
        <v>5639676.9309543958</v>
      </c>
      <c r="Z22" s="61">
        <f>(Z21+5*Z97)*('Economic Projections'!$D20/'Economic Projections'!$D19)</f>
        <v>10085513.033599416</v>
      </c>
      <c r="AA22" s="61">
        <f>(AA21+5*AA97)*('Economic Projections'!$D20/'Economic Projections'!$D19)</f>
        <v>1742523.836111286</v>
      </c>
      <c r="AB22" s="61">
        <f>(AB21+5*AB97)*('Economic Projections'!$D20/'Economic Projections'!$D19)</f>
        <v>2213161.1684058779</v>
      </c>
      <c r="AC22" s="61">
        <f>(AC21+5*AC97)*('Economic Projections'!$D20/'Economic Projections'!$D19)</f>
        <v>633504.06090520043</v>
      </c>
      <c r="AG22">
        <v>2100</v>
      </c>
      <c r="AH22" s="61">
        <f>(AH21+5*AH97)*('Economic Projections'!$E20/'Economic Projections'!$E19)</f>
        <v>5574669.5397169832</v>
      </c>
      <c r="AI22" s="61">
        <f>(AI21+5*AI97)*('Economic Projections'!$E20/'Economic Projections'!$E19)</f>
        <v>3363527.6842016177</v>
      </c>
      <c r="AJ22" s="61">
        <f>(AJ21+5*AJ97)*('Economic Projections'!$E20/'Economic Projections'!$E19)</f>
        <v>5955237.7478486048</v>
      </c>
      <c r="AK22" s="61">
        <f>(AK21+5*AK97)*('Economic Projections'!$E20/'Economic Projections'!$E19)</f>
        <v>1065415.8848789651</v>
      </c>
      <c r="AL22" s="61">
        <f>(AL21+5*AL97)*('Economic Projections'!$E20/'Economic Projections'!$E19)</f>
        <v>1359023.3456537863</v>
      </c>
      <c r="AM22" s="61">
        <f>(AM21+5*AM97)*('Economic Projections'!$E20/'Economic Projections'!$E19)</f>
        <v>372378.7460444122</v>
      </c>
    </row>
    <row r="23" spans="2:39">
      <c r="F23" s="581" t="s">
        <v>239</v>
      </c>
      <c r="G23" s="581"/>
      <c r="H23" s="581"/>
      <c r="I23" s="581"/>
      <c r="J23" s="581"/>
      <c r="K23" s="581"/>
      <c r="O23" s="581"/>
      <c r="P23" s="581"/>
      <c r="Q23" s="581"/>
      <c r="R23" s="581"/>
      <c r="S23" s="581"/>
      <c r="T23" s="581"/>
      <c r="X23" s="581" t="s">
        <v>239</v>
      </c>
      <c r="Y23" s="581"/>
      <c r="Z23" s="581"/>
      <c r="AA23" s="581"/>
      <c r="AB23" s="581"/>
      <c r="AC23" s="581"/>
      <c r="AH23" s="581" t="s">
        <v>239</v>
      </c>
      <c r="AI23" s="581"/>
      <c r="AJ23" s="581"/>
      <c r="AK23" s="581"/>
      <c r="AL23" s="581"/>
      <c r="AM23" s="581"/>
    </row>
    <row r="24" spans="2:39">
      <c r="E24">
        <v>2020</v>
      </c>
      <c r="F24" s="61">
        <f>'Demographic-Economic'!C14</f>
        <v>2791896</v>
      </c>
      <c r="G24" s="61">
        <f>'Demographic-Economic'!D14</f>
        <v>2523732</v>
      </c>
      <c r="H24" s="61">
        <f>'Demographic-Economic'!E14</f>
        <v>2212536</v>
      </c>
      <c r="I24" s="61">
        <f>'Demographic-Economic'!F14</f>
        <v>496548</v>
      </c>
      <c r="J24" s="61">
        <f>'Demographic-Economic'!G14</f>
        <v>566592</v>
      </c>
      <c r="K24" s="61">
        <f>'Demographic-Economic'!H14</f>
        <v>135480</v>
      </c>
      <c r="N24">
        <v>2020</v>
      </c>
      <c r="O24" s="61">
        <f>'Demographic-Economic'!C14</f>
        <v>2791896</v>
      </c>
      <c r="P24" s="61">
        <f>'Demographic-Economic'!D14</f>
        <v>2523732</v>
      </c>
      <c r="Q24" s="61">
        <f>'Demographic-Economic'!E14</f>
        <v>2212536</v>
      </c>
      <c r="R24" s="61">
        <f>'Demographic-Economic'!F14</f>
        <v>496548</v>
      </c>
      <c r="S24" s="61">
        <f>'Demographic-Economic'!G14</f>
        <v>566592</v>
      </c>
      <c r="T24" s="61">
        <f>'Demographic-Economic'!H14</f>
        <v>135480</v>
      </c>
      <c r="W24">
        <v>2020</v>
      </c>
      <c r="X24" s="61">
        <f>'Demographic-Economic'!C14</f>
        <v>2791896</v>
      </c>
      <c r="Y24" s="61">
        <f>'Demographic-Economic'!D14</f>
        <v>2523732</v>
      </c>
      <c r="Z24" s="61">
        <f>'Demographic-Economic'!E14</f>
        <v>2212536</v>
      </c>
      <c r="AA24" s="61">
        <f>'Demographic-Economic'!F14</f>
        <v>496548</v>
      </c>
      <c r="AB24" s="61">
        <f>'Demographic-Economic'!G14</f>
        <v>566592</v>
      </c>
      <c r="AC24" s="61">
        <f>'Demographic-Economic'!H14</f>
        <v>135480</v>
      </c>
      <c r="AG24">
        <v>2020</v>
      </c>
      <c r="AH24" s="61">
        <f>'Demographic-Economic'!C14</f>
        <v>2791896</v>
      </c>
      <c r="AI24" s="61">
        <f>'Demographic-Economic'!D14</f>
        <v>2523732</v>
      </c>
      <c r="AJ24" s="61">
        <f>'Demographic-Economic'!E14</f>
        <v>2212536</v>
      </c>
      <c r="AK24" s="61">
        <f>'Demographic-Economic'!F14</f>
        <v>496548</v>
      </c>
      <c r="AL24" s="61">
        <f>'Demographic-Economic'!G14</f>
        <v>566592</v>
      </c>
      <c r="AM24" s="61">
        <f>'Demographic-Economic'!H14</f>
        <v>135480</v>
      </c>
    </row>
    <row r="25" spans="2:39">
      <c r="E25">
        <v>2021</v>
      </c>
      <c r="F25" s="322" t="s">
        <v>240</v>
      </c>
      <c r="G25" s="322" t="s">
        <v>240</v>
      </c>
      <c r="H25" s="61">
        <f>H24*('Demographic-Economic'!E$20)</f>
        <v>2251692</v>
      </c>
      <c r="I25" s="61">
        <f>I24*('Demographic-Economic'!F$20)</f>
        <v>497628</v>
      </c>
      <c r="J25" s="61">
        <f>J24*('Demographic-Economic'!G$20)</f>
        <v>571248</v>
      </c>
      <c r="K25" s="61">
        <f>K24*('Demographic-Economic'!H$20)</f>
        <v>137808</v>
      </c>
      <c r="N25">
        <v>2021</v>
      </c>
      <c r="O25" t="s">
        <v>240</v>
      </c>
      <c r="P25" t="s">
        <v>240</v>
      </c>
      <c r="Q25" s="61">
        <f>Q24*'Demographic-Economic'!E$20</f>
        <v>2251692</v>
      </c>
      <c r="R25" s="61">
        <f>R24*'Demographic-Economic'!F$20</f>
        <v>497628</v>
      </c>
      <c r="S25" s="61">
        <f>S24*'Demographic-Economic'!G$20</f>
        <v>571248</v>
      </c>
      <c r="T25" s="61">
        <f>T24*'Demographic-Economic'!H$20</f>
        <v>137808</v>
      </c>
      <c r="W25">
        <v>2021</v>
      </c>
      <c r="X25" t="s">
        <v>240</v>
      </c>
      <c r="Y25" t="s">
        <v>240</v>
      </c>
      <c r="Z25" s="61">
        <f>Z24*'Demographic-Economic'!E$20</f>
        <v>2251692</v>
      </c>
      <c r="AA25" s="61">
        <f>AA24*'Demographic-Economic'!F$20</f>
        <v>497628</v>
      </c>
      <c r="AB25" s="61">
        <f>AB24*'Demographic-Economic'!G$20</f>
        <v>571248</v>
      </c>
      <c r="AC25" s="61">
        <f>AC24*'Demographic-Economic'!H$20</f>
        <v>137808</v>
      </c>
      <c r="AG25">
        <v>2021</v>
      </c>
      <c r="AH25" t="s">
        <v>240</v>
      </c>
      <c r="AI25" t="s">
        <v>240</v>
      </c>
      <c r="AJ25" s="61">
        <f>AJ24*'Demographic-Economic'!E$20</f>
        <v>2251692</v>
      </c>
      <c r="AK25" s="61">
        <f>AK24*'Demographic-Economic'!F$20</f>
        <v>497628</v>
      </c>
      <c r="AL25" s="61">
        <f>AL24*'Demographic-Economic'!G$20</f>
        <v>571248</v>
      </c>
      <c r="AM25" s="61">
        <f>AM24*'Demographic-Economic'!H$20</f>
        <v>137808</v>
      </c>
    </row>
    <row r="26" spans="2:39">
      <c r="E26">
        <v>2022</v>
      </c>
      <c r="F26" s="322" t="s">
        <v>240</v>
      </c>
      <c r="G26" s="322" t="s">
        <v>240</v>
      </c>
      <c r="H26" s="61">
        <f>H25*('Demographic-Economic'!E$20)</f>
        <v>2291540.9570122249</v>
      </c>
      <c r="I26" s="61">
        <f>I25*('Demographic-Economic'!F$20)</f>
        <v>498710.34901761764</v>
      </c>
      <c r="J26" s="61">
        <f>J25*('Demographic-Economic'!G$20)</f>
        <v>575942.26092849881</v>
      </c>
      <c r="K26" s="61">
        <f>K25*('Demographic-Economic'!H$20)</f>
        <v>140176.00283436669</v>
      </c>
      <c r="N26">
        <v>2022</v>
      </c>
      <c r="O26" t="s">
        <v>240</v>
      </c>
      <c r="P26" t="s">
        <v>240</v>
      </c>
      <c r="Q26" s="61">
        <f>Q25*'Demographic-Economic'!E$20</f>
        <v>2291540.9570122249</v>
      </c>
      <c r="R26" s="61">
        <f>R25*'Demographic-Economic'!F$20</f>
        <v>498710.34901761764</v>
      </c>
      <c r="S26" s="61">
        <f>S25*'Demographic-Economic'!G$20</f>
        <v>575942.26092849881</v>
      </c>
      <c r="T26" s="61">
        <f>T25*'Demographic-Economic'!H$20</f>
        <v>140176.00283436669</v>
      </c>
      <c r="W26">
        <v>2022</v>
      </c>
      <c r="X26" t="s">
        <v>240</v>
      </c>
      <c r="Y26" t="s">
        <v>240</v>
      </c>
      <c r="Z26" s="61">
        <f>Z25*'Demographic-Economic'!E$20</f>
        <v>2291540.9570122249</v>
      </c>
      <c r="AA26" s="61">
        <f>AA25*'Demographic-Economic'!F$20</f>
        <v>498710.34901761764</v>
      </c>
      <c r="AB26" s="61">
        <f>AB25*'Demographic-Economic'!G$20</f>
        <v>575942.26092849881</v>
      </c>
      <c r="AC26" s="61">
        <f>AC25*'Demographic-Economic'!H$20</f>
        <v>140176.00283436669</v>
      </c>
      <c r="AG26">
        <v>2022</v>
      </c>
      <c r="AH26" t="s">
        <v>240</v>
      </c>
      <c r="AI26" t="s">
        <v>240</v>
      </c>
      <c r="AJ26" s="61">
        <f>AJ25*'Demographic-Economic'!E$20</f>
        <v>2291540.9570122249</v>
      </c>
      <c r="AK26" s="61">
        <f>AK25*'Demographic-Economic'!F$20</f>
        <v>498710.34901761764</v>
      </c>
      <c r="AL26" s="61">
        <f>AL25*'Demographic-Economic'!G$20</f>
        <v>575942.26092849881</v>
      </c>
      <c r="AM26" s="61">
        <f>AM25*'Demographic-Economic'!H$20</f>
        <v>140176.00283436669</v>
      </c>
    </row>
    <row r="27" spans="2:39">
      <c r="E27">
        <v>2023</v>
      </c>
      <c r="F27" s="322" t="s">
        <v>240</v>
      </c>
      <c r="G27" s="322" t="s">
        <v>240</v>
      </c>
      <c r="H27" s="61">
        <f>H26*('Demographic-Economic'!E$20)</f>
        <v>2332095.1345319445</v>
      </c>
      <c r="I27" s="61">
        <f>I26*('Demographic-Economic'!F$20)</f>
        <v>499795.05216200458</v>
      </c>
      <c r="J27" s="61">
        <f>J26*('Demographic-Economic'!G$20)</f>
        <v>580675.09719671845</v>
      </c>
      <c r="K27" s="61">
        <f>K26*('Demographic-Economic'!H$20)</f>
        <v>142584.69588572782</v>
      </c>
      <c r="N27">
        <v>2023</v>
      </c>
      <c r="O27" t="s">
        <v>240</v>
      </c>
      <c r="P27" t="s">
        <v>240</v>
      </c>
      <c r="Q27" s="61">
        <f>Q26*'Demographic-Economic'!E$20</f>
        <v>2332095.1345319445</v>
      </c>
      <c r="R27" s="61">
        <f>R26*'Demographic-Economic'!F$20</f>
        <v>499795.05216200458</v>
      </c>
      <c r="S27" s="61">
        <f>S26*'Demographic-Economic'!G$20</f>
        <v>580675.09719671845</v>
      </c>
      <c r="T27" s="61">
        <f>T26*'Demographic-Economic'!H$20</f>
        <v>142584.69588572782</v>
      </c>
      <c r="W27">
        <v>2023</v>
      </c>
      <c r="X27" t="s">
        <v>240</v>
      </c>
      <c r="Y27" t="s">
        <v>240</v>
      </c>
      <c r="Z27" s="61">
        <f>Z26*'Demographic-Economic'!E$20</f>
        <v>2332095.1345319445</v>
      </c>
      <c r="AA27" s="61">
        <f>AA26*'Demographic-Economic'!F$20</f>
        <v>499795.05216200458</v>
      </c>
      <c r="AB27" s="61">
        <f>AB26*'Demographic-Economic'!G$20</f>
        <v>580675.09719671845</v>
      </c>
      <c r="AC27" s="61">
        <f>AC26*'Demographic-Economic'!H$20</f>
        <v>142584.69588572782</v>
      </c>
      <c r="AG27">
        <v>2023</v>
      </c>
      <c r="AH27" t="s">
        <v>240</v>
      </c>
      <c r="AI27" t="s">
        <v>240</v>
      </c>
      <c r="AJ27" s="61">
        <f>AJ26*'Demographic-Economic'!E$20</f>
        <v>2332095.1345319445</v>
      </c>
      <c r="AK27" s="61">
        <f>AK26*'Demographic-Economic'!F$20</f>
        <v>499795.05216200458</v>
      </c>
      <c r="AL27" s="61">
        <f>AL26*'Demographic-Economic'!G$20</f>
        <v>580675.09719671845</v>
      </c>
      <c r="AM27" s="61">
        <f>AM26*'Demographic-Economic'!H$20</f>
        <v>142584.69588572782</v>
      </c>
    </row>
    <row r="28" spans="2:39">
      <c r="B28" s="64"/>
      <c r="E28">
        <v>2024</v>
      </c>
      <c r="F28" s="322" t="s">
        <v>240</v>
      </c>
      <c r="G28" s="322" t="s">
        <v>240</v>
      </c>
      <c r="H28" s="61">
        <f>H27*('Demographic-Economic'!E$20)</f>
        <v>2373367.0130856642</v>
      </c>
      <c r="I28" s="61">
        <f>I27*('Demographic-Economic'!F$20)</f>
        <v>500882.11455342488</v>
      </c>
      <c r="J28" s="61">
        <f>J27*('Demographic-Economic'!G$20)</f>
        <v>585446.82579957182</v>
      </c>
      <c r="K28" s="61">
        <f>K27*('Demographic-Economic'!H$20)</f>
        <v>145034.77834824607</v>
      </c>
      <c r="N28">
        <v>2024</v>
      </c>
      <c r="O28" t="s">
        <v>240</v>
      </c>
      <c r="P28" t="s">
        <v>240</v>
      </c>
      <c r="Q28" s="61">
        <f>Q27*'Demographic-Economic'!E$20</f>
        <v>2373367.0130856642</v>
      </c>
      <c r="R28" s="61">
        <f>R27*'Demographic-Economic'!F$20</f>
        <v>500882.11455342488</v>
      </c>
      <c r="S28" s="61">
        <f>S27*'Demographic-Economic'!G$20</f>
        <v>585446.82579957182</v>
      </c>
      <c r="T28" s="61">
        <f>T27*'Demographic-Economic'!H$20</f>
        <v>145034.77834824607</v>
      </c>
      <c r="W28">
        <v>2024</v>
      </c>
      <c r="X28" t="s">
        <v>240</v>
      </c>
      <c r="Y28" t="s">
        <v>240</v>
      </c>
      <c r="Z28" s="61">
        <f>Z27*'Demographic-Economic'!E$20</f>
        <v>2373367.0130856642</v>
      </c>
      <c r="AA28" s="61">
        <f>AA27*'Demographic-Economic'!F$20</f>
        <v>500882.11455342488</v>
      </c>
      <c r="AB28" s="61">
        <f>AB27*'Demographic-Economic'!G$20</f>
        <v>585446.82579957182</v>
      </c>
      <c r="AC28" s="61">
        <f>AC27*'Demographic-Economic'!H$20</f>
        <v>145034.77834824607</v>
      </c>
      <c r="AG28">
        <v>2024</v>
      </c>
      <c r="AH28" t="s">
        <v>240</v>
      </c>
      <c r="AI28" t="s">
        <v>240</v>
      </c>
      <c r="AJ28" s="61">
        <f>AJ27*'Demographic-Economic'!E$20</f>
        <v>2373367.0130856642</v>
      </c>
      <c r="AK28" s="61">
        <f>AK27*'Demographic-Economic'!F$20</f>
        <v>500882.11455342488</v>
      </c>
      <c r="AL28" s="61">
        <f>AL27*'Demographic-Economic'!G$20</f>
        <v>585446.82579957182</v>
      </c>
      <c r="AM28" s="61">
        <f>AM27*'Demographic-Economic'!H$20</f>
        <v>145034.77834824607</v>
      </c>
    </row>
    <row r="29" spans="2:39">
      <c r="E29">
        <v>2025</v>
      </c>
      <c r="F29" s="322" t="s">
        <v>240</v>
      </c>
      <c r="G29" s="322" t="s">
        <v>240</v>
      </c>
      <c r="H29" s="61">
        <f>H28*('Demographic-Economic'!E$20)</f>
        <v>2415369.2940719994</v>
      </c>
      <c r="I29" s="61">
        <f>I28*('Demographic-Economic'!F$20)</f>
        <v>501971.54132327938</v>
      </c>
      <c r="J29" s="61">
        <f>J28*('Demographic-Economic'!G$20)</f>
        <v>590257.76633689459</v>
      </c>
      <c r="K29" s="61">
        <f>K28*('Demographic-Economic'!H$20)</f>
        <v>147526.96143058085</v>
      </c>
      <c r="N29">
        <v>2025</v>
      </c>
      <c r="O29" t="s">
        <v>240</v>
      </c>
      <c r="P29" t="s">
        <v>240</v>
      </c>
      <c r="Q29" s="61">
        <f>Q28*'Demographic-Economic'!E$20</f>
        <v>2415369.2940719994</v>
      </c>
      <c r="R29" s="61">
        <f>R28*'Demographic-Economic'!F$20</f>
        <v>501971.54132327938</v>
      </c>
      <c r="S29" s="61">
        <f>S28*'Demographic-Economic'!G$20</f>
        <v>590257.76633689459</v>
      </c>
      <c r="T29" s="61">
        <f>T28*'Demographic-Economic'!H$20</f>
        <v>147526.96143058085</v>
      </c>
      <c r="W29">
        <v>2025</v>
      </c>
      <c r="X29" t="s">
        <v>240</v>
      </c>
      <c r="Y29" t="s">
        <v>240</v>
      </c>
      <c r="Z29" s="61">
        <f>Z28*'Demographic-Economic'!E$20</f>
        <v>2415369.2940719994</v>
      </c>
      <c r="AA29" s="61">
        <f>AA28*'Demographic-Economic'!F$20</f>
        <v>501971.54132327938</v>
      </c>
      <c r="AB29" s="61">
        <f>AB28*'Demographic-Economic'!G$20</f>
        <v>590257.76633689459</v>
      </c>
      <c r="AC29" s="61">
        <f>AC28*'Demographic-Economic'!H$20</f>
        <v>147526.96143058085</v>
      </c>
      <c r="AG29">
        <v>2025</v>
      </c>
      <c r="AH29" t="s">
        <v>240</v>
      </c>
      <c r="AI29" t="s">
        <v>240</v>
      </c>
      <c r="AJ29" s="61">
        <f>AJ28*'Demographic-Economic'!E$20</f>
        <v>2415369.2940719994</v>
      </c>
      <c r="AK29" s="61">
        <f>AK28*'Demographic-Economic'!F$20</f>
        <v>501971.54132327938</v>
      </c>
      <c r="AL29" s="61">
        <f>AL28*'Demographic-Economic'!G$20</f>
        <v>590257.76633689459</v>
      </c>
      <c r="AM29" s="61">
        <f>AM28*'Demographic-Economic'!H$20</f>
        <v>147526.96143058085</v>
      </c>
    </row>
    <row r="30" spans="2:39">
      <c r="E30">
        <v>2026</v>
      </c>
      <c r="F30" s="322" t="s">
        <v>240</v>
      </c>
      <c r="G30" s="322" t="s">
        <v>240</v>
      </c>
      <c r="H30" s="61">
        <f>H29*('Demographic-Economic'!E$20)</f>
        <v>2458114.9036705247</v>
      </c>
      <c r="I30" s="61">
        <f>I29*('Demographic-Economic'!F$20)</f>
        <v>503063.3376141297</v>
      </c>
      <c r="J30" s="61">
        <f>J29*('Demographic-Economic'!G$20)</f>
        <v>595108.24103485106</v>
      </c>
      <c r="K30" s="61">
        <f>K29*('Demographic-Economic'!H$20)</f>
        <v>150061.96856233751</v>
      </c>
      <c r="N30">
        <v>2026</v>
      </c>
      <c r="O30" t="s">
        <v>240</v>
      </c>
      <c r="P30" t="s">
        <v>240</v>
      </c>
      <c r="Q30" s="61">
        <f>Q29*'Demographic-Economic'!E$20</f>
        <v>2458114.9036705247</v>
      </c>
      <c r="R30" s="61">
        <f>R29*'Demographic-Economic'!F$20</f>
        <v>503063.3376141297</v>
      </c>
      <c r="S30" s="61">
        <f>S29*'Demographic-Economic'!G$20</f>
        <v>595108.24103485106</v>
      </c>
      <c r="T30" s="61">
        <f>T29*'Demographic-Economic'!H$20</f>
        <v>150061.96856233751</v>
      </c>
      <c r="W30">
        <v>2026</v>
      </c>
      <c r="X30" t="s">
        <v>240</v>
      </c>
      <c r="Y30" t="s">
        <v>240</v>
      </c>
      <c r="Z30" s="61">
        <f>Z29*'Demographic-Economic'!E$20</f>
        <v>2458114.9036705247</v>
      </c>
      <c r="AA30" s="61">
        <f>AA29*'Demographic-Economic'!F$20</f>
        <v>503063.3376141297</v>
      </c>
      <c r="AB30" s="61">
        <f>AB29*'Demographic-Economic'!G$20</f>
        <v>595108.24103485106</v>
      </c>
      <c r="AC30" s="61">
        <f>AC29*'Demographic-Economic'!H$20</f>
        <v>150061.96856233751</v>
      </c>
      <c r="AG30">
        <v>2026</v>
      </c>
      <c r="AH30" t="s">
        <v>240</v>
      </c>
      <c r="AI30" t="s">
        <v>240</v>
      </c>
      <c r="AJ30" s="61">
        <f>AJ29*'Demographic-Economic'!E$20</f>
        <v>2458114.9036705247</v>
      </c>
      <c r="AK30" s="61">
        <f>AK29*'Demographic-Economic'!F$20</f>
        <v>503063.3376141297</v>
      </c>
      <c r="AL30" s="61">
        <f>AL29*'Demographic-Economic'!G$20</f>
        <v>595108.24103485106</v>
      </c>
      <c r="AM30" s="61">
        <f>AM29*'Demographic-Economic'!H$20</f>
        <v>150061.96856233751</v>
      </c>
    </row>
    <row r="31" spans="2:39">
      <c r="E31">
        <v>2027</v>
      </c>
      <c r="F31" s="322" t="s">
        <v>240</v>
      </c>
      <c r="G31" s="322" t="s">
        <v>240</v>
      </c>
      <c r="H31" s="61">
        <f>H30*('Demographic-Economic'!E$20)</f>
        <v>2501616.9968197993</v>
      </c>
      <c r="I31" s="61">
        <f>I30*('Demographic-Economic'!F$20)</f>
        <v>504157.50857972272</v>
      </c>
      <c r="J31" s="61">
        <f>J30*('Demographic-Economic'!G$20)</f>
        <v>599998.57476751623</v>
      </c>
      <c r="K31" s="61">
        <f>K30*('Demographic-Economic'!H$20)</f>
        <v>152640.53560406412</v>
      </c>
      <c r="N31">
        <v>2027</v>
      </c>
      <c r="O31" t="s">
        <v>240</v>
      </c>
      <c r="P31" t="s">
        <v>240</v>
      </c>
      <c r="Q31" s="61">
        <f>Q30*'Demographic-Economic'!E$20</f>
        <v>2501616.9968197993</v>
      </c>
      <c r="R31" s="61">
        <f>R30*'Demographic-Economic'!F$20</f>
        <v>504157.50857972272</v>
      </c>
      <c r="S31" s="61">
        <f>S30*'Demographic-Economic'!G$20</f>
        <v>599998.57476751623</v>
      </c>
      <c r="T31" s="61">
        <f>T30*'Demographic-Economic'!H$20</f>
        <v>152640.53560406412</v>
      </c>
      <c r="W31">
        <v>2027</v>
      </c>
      <c r="X31" t="s">
        <v>240</v>
      </c>
      <c r="Y31" t="s">
        <v>240</v>
      </c>
      <c r="Z31" s="61">
        <f>Z30*'Demographic-Economic'!E$20</f>
        <v>2501616.9968197993</v>
      </c>
      <c r="AA31" s="61">
        <f>AA30*'Demographic-Economic'!F$20</f>
        <v>504157.50857972272</v>
      </c>
      <c r="AB31" s="61">
        <f>AB30*'Demographic-Economic'!G$20</f>
        <v>599998.57476751623</v>
      </c>
      <c r="AC31" s="61">
        <f>AC30*'Demographic-Economic'!H$20</f>
        <v>152640.53560406412</v>
      </c>
      <c r="AG31">
        <v>2027</v>
      </c>
      <c r="AH31" t="s">
        <v>240</v>
      </c>
      <c r="AI31" t="s">
        <v>240</v>
      </c>
      <c r="AJ31" s="61">
        <f>AJ30*'Demographic-Economic'!E$20</f>
        <v>2501616.9968197993</v>
      </c>
      <c r="AK31" s="61">
        <f>AK30*'Demographic-Economic'!F$20</f>
        <v>504157.50857972272</v>
      </c>
      <c r="AL31" s="61">
        <f>AL30*'Demographic-Economic'!G$20</f>
        <v>599998.57476751623</v>
      </c>
      <c r="AM31" s="61">
        <f>AM30*'Demographic-Economic'!H$20</f>
        <v>152640.53560406412</v>
      </c>
    </row>
    <row r="32" spans="2:39">
      <c r="E32">
        <v>2028</v>
      </c>
      <c r="F32" s="322" t="s">
        <v>240</v>
      </c>
      <c r="G32" s="322" t="s">
        <v>240</v>
      </c>
      <c r="H32" s="61">
        <f>H31*('Demographic-Economic'!E$20)</f>
        <v>2545888.9612657907</v>
      </c>
      <c r="I32" s="61">
        <f>I31*('Demographic-Economic'!F$20)</f>
        <v>505254.0593850147</v>
      </c>
      <c r="J32" s="61">
        <f>J31*('Demographic-Economic'!G$20)</f>
        <v>604929.09507863526</v>
      </c>
      <c r="K32" s="61">
        <f>K31*('Demographic-Economic'!H$20)</f>
        <v>155263.41106085671</v>
      </c>
      <c r="N32">
        <v>2028</v>
      </c>
      <c r="O32" t="s">
        <v>240</v>
      </c>
      <c r="P32" t="s">
        <v>240</v>
      </c>
      <c r="Q32" s="61">
        <f>Q31*'Demographic-Economic'!E$20</f>
        <v>2545888.9612657907</v>
      </c>
      <c r="R32" s="61">
        <f>R31*'Demographic-Economic'!F$20</f>
        <v>505254.0593850147</v>
      </c>
      <c r="S32" s="61">
        <f>S31*'Demographic-Economic'!G$20</f>
        <v>604929.09507863526</v>
      </c>
      <c r="T32" s="61">
        <f>T31*'Demographic-Economic'!H$20</f>
        <v>155263.41106085671</v>
      </c>
      <c r="W32">
        <v>2028</v>
      </c>
      <c r="X32" t="s">
        <v>240</v>
      </c>
      <c r="Y32" t="s">
        <v>240</v>
      </c>
      <c r="Z32" s="61">
        <f>Z31*'Demographic-Economic'!E$20</f>
        <v>2545888.9612657907</v>
      </c>
      <c r="AA32" s="61">
        <f>AA31*'Demographic-Economic'!F$20</f>
        <v>505254.0593850147</v>
      </c>
      <c r="AB32" s="61">
        <f>AB31*'Demographic-Economic'!G$20</f>
        <v>604929.09507863526</v>
      </c>
      <c r="AC32" s="61">
        <f>AC31*'Demographic-Economic'!H$20</f>
        <v>155263.41106085671</v>
      </c>
      <c r="AG32">
        <v>2028</v>
      </c>
      <c r="AH32" t="s">
        <v>240</v>
      </c>
      <c r="AI32" t="s">
        <v>240</v>
      </c>
      <c r="AJ32" s="61">
        <f>AJ31*'Demographic-Economic'!E$20</f>
        <v>2545888.9612657907</v>
      </c>
      <c r="AK32" s="61">
        <f>AK31*'Demographic-Economic'!F$20</f>
        <v>505254.0593850147</v>
      </c>
      <c r="AL32" s="61">
        <f>AL31*'Demographic-Economic'!G$20</f>
        <v>604929.09507863526</v>
      </c>
      <c r="AM32" s="61">
        <f>AM31*'Demographic-Economic'!H$20</f>
        <v>155263.41106085671</v>
      </c>
    </row>
    <row r="33" spans="5:39">
      <c r="E33">
        <v>2029</v>
      </c>
      <c r="F33" s="322" t="s">
        <v>240</v>
      </c>
      <c r="G33" s="322" t="s">
        <v>240</v>
      </c>
      <c r="H33" s="61">
        <f>H32*('Demographic-Economic'!E$20)</f>
        <v>2590944.421681948</v>
      </c>
      <c r="I33" s="61">
        <f>I32*('Demographic-Economic'!F$20)</f>
        <v>506352.9952061958</v>
      </c>
      <c r="J33" s="61">
        <f>J32*('Demographic-Economic'!G$20)</f>
        <v>609900.13220356137</v>
      </c>
      <c r="K33" s="61">
        <f>K32*('Demographic-Economic'!H$20)</f>
        <v>157931.35629963494</v>
      </c>
      <c r="N33">
        <v>2029</v>
      </c>
      <c r="O33" t="s">
        <v>240</v>
      </c>
      <c r="P33" t="s">
        <v>240</v>
      </c>
      <c r="Q33" s="61">
        <f>Q32*'Demographic-Economic'!E$20</f>
        <v>2590944.421681948</v>
      </c>
      <c r="R33" s="61">
        <f>R32*'Demographic-Economic'!F$20</f>
        <v>506352.9952061958</v>
      </c>
      <c r="S33" s="61">
        <f>S32*'Demographic-Economic'!G$20</f>
        <v>609900.13220356137</v>
      </c>
      <c r="T33" s="61">
        <f>T32*'Demographic-Economic'!H$20</f>
        <v>157931.35629963494</v>
      </c>
      <c r="W33">
        <v>2029</v>
      </c>
      <c r="X33" t="s">
        <v>240</v>
      </c>
      <c r="Y33" t="s">
        <v>240</v>
      </c>
      <c r="Z33" s="61">
        <f>Z32*'Demographic-Economic'!E$20</f>
        <v>2590944.421681948</v>
      </c>
      <c r="AA33" s="61">
        <f>AA32*'Demographic-Economic'!F$20</f>
        <v>506352.9952061958</v>
      </c>
      <c r="AB33" s="61">
        <f>AB32*'Demographic-Economic'!G$20</f>
        <v>609900.13220356137</v>
      </c>
      <c r="AC33" s="61">
        <f>AC32*'Demographic-Economic'!H$20</f>
        <v>157931.35629963494</v>
      </c>
      <c r="AG33">
        <v>2029</v>
      </c>
      <c r="AH33" t="s">
        <v>240</v>
      </c>
      <c r="AI33" t="s">
        <v>240</v>
      </c>
      <c r="AJ33" s="61">
        <f>AJ32*'Demographic-Economic'!E$20</f>
        <v>2590944.421681948</v>
      </c>
      <c r="AK33" s="61">
        <f>AK32*'Demographic-Economic'!F$20</f>
        <v>506352.9952061958</v>
      </c>
      <c r="AL33" s="61">
        <f>AL32*'Demographic-Economic'!G$20</f>
        <v>609900.13220356137</v>
      </c>
      <c r="AM33" s="61">
        <f>AM32*'Demographic-Economic'!H$20</f>
        <v>157931.35629963494</v>
      </c>
    </row>
    <row r="34" spans="5:39">
      <c r="E34">
        <v>2030</v>
      </c>
      <c r="F34" s="322" t="s">
        <v>240</v>
      </c>
      <c r="G34" s="322" t="s">
        <v>240</v>
      </c>
      <c r="H34" s="61">
        <f>H33*('Demographic-Economic'!E$20)</f>
        <v>2636797.2438621875</v>
      </c>
      <c r="I34" s="61">
        <f>I33*('Demographic-Economic'!F$20)</f>
        <v>507454.3212307145</v>
      </c>
      <c r="J34" s="61">
        <f>J33*('Demographic-Economic'!G$20)</f>
        <v>614912.01909137436</v>
      </c>
      <c r="K34" s="61">
        <f>K33*('Demographic-Economic'!H$20)</f>
        <v>160645.14577015123</v>
      </c>
      <c r="N34">
        <v>2030</v>
      </c>
      <c r="O34" t="s">
        <v>240</v>
      </c>
      <c r="P34" t="s">
        <v>240</v>
      </c>
      <c r="Q34" s="61">
        <f>Q33*'Demographic-Economic'!E$20</f>
        <v>2636797.2438621875</v>
      </c>
      <c r="R34" s="61">
        <f>R33*'Demographic-Economic'!F$20</f>
        <v>507454.3212307145</v>
      </c>
      <c r="S34" s="61">
        <f>S33*'Demographic-Economic'!G$20</f>
        <v>614912.01909137436</v>
      </c>
      <c r="T34" s="61">
        <f>T33*'Demographic-Economic'!H$20</f>
        <v>160645.14577015123</v>
      </c>
      <c r="W34">
        <v>2030</v>
      </c>
      <c r="X34" t="s">
        <v>240</v>
      </c>
      <c r="Y34" t="s">
        <v>240</v>
      </c>
      <c r="Z34" s="61">
        <f>Z33*'Demographic-Economic'!E$20</f>
        <v>2636797.2438621875</v>
      </c>
      <c r="AA34" s="61">
        <f>AA33*'Demographic-Economic'!F$20</f>
        <v>507454.3212307145</v>
      </c>
      <c r="AB34" s="61">
        <f>AB33*'Demographic-Economic'!G$20</f>
        <v>614912.01909137436</v>
      </c>
      <c r="AC34" s="61">
        <f>AC33*'Demographic-Economic'!H$20</f>
        <v>160645.14577015123</v>
      </c>
      <c r="AG34">
        <v>2030</v>
      </c>
      <c r="AH34" t="s">
        <v>240</v>
      </c>
      <c r="AI34" t="s">
        <v>240</v>
      </c>
      <c r="AJ34" s="61">
        <f>AJ33*'Demographic-Economic'!E$20</f>
        <v>2636797.2438621875</v>
      </c>
      <c r="AK34" s="61">
        <f>AK33*'Demographic-Economic'!F$20</f>
        <v>507454.3212307145</v>
      </c>
      <c r="AL34" s="61">
        <f>AL33*'Demographic-Economic'!G$20</f>
        <v>614912.01909137436</v>
      </c>
      <c r="AM34" s="61">
        <f>AM33*'Demographic-Economic'!H$20</f>
        <v>160645.14577015123</v>
      </c>
    </row>
    <row r="35" spans="5:39">
      <c r="E35">
        <v>2040</v>
      </c>
      <c r="F35" s="322" t="s">
        <v>240</v>
      </c>
      <c r="G35" s="322" t="s">
        <v>240</v>
      </c>
      <c r="H35" s="61">
        <f>H34*('Demographic-Economic'!E$20)^10</f>
        <v>3142412.0128392149</v>
      </c>
      <c r="I35" s="61">
        <f>I34*('Demographic-Economic'!F$20)^10</f>
        <v>518600.1919969974</v>
      </c>
      <c r="J35" s="61">
        <f>J34*('Demographic-Economic'!G$20)^10</f>
        <v>667352.85924091854</v>
      </c>
      <c r="K35" s="61">
        <f>K34*('Demographic-Economic'!H$20)^10</f>
        <v>190484.66828692899</v>
      </c>
      <c r="N35">
        <v>2040</v>
      </c>
      <c r="O35" t="s">
        <v>240</v>
      </c>
      <c r="P35" t="s">
        <v>240</v>
      </c>
      <c r="Q35" s="61">
        <f>Q34*'Demographic-Economic'!E$20^10</f>
        <v>3142412.0128392149</v>
      </c>
      <c r="R35" s="61">
        <f>R34*'Demographic-Economic'!F$20^10</f>
        <v>518600.1919969974</v>
      </c>
      <c r="S35" s="61">
        <f>S34*'Demographic-Economic'!G$20^10</f>
        <v>667352.85924091854</v>
      </c>
      <c r="T35" s="61">
        <f>T34*'Demographic-Economic'!H$20^10</f>
        <v>190484.66828692899</v>
      </c>
      <c r="W35">
        <v>2040</v>
      </c>
      <c r="X35" t="s">
        <v>240</v>
      </c>
      <c r="Y35" t="s">
        <v>240</v>
      </c>
      <c r="Z35" s="61">
        <f>Z34*'Demographic-Economic'!E$20^10</f>
        <v>3142412.0128392149</v>
      </c>
      <c r="AA35" s="61">
        <f>AA34*'Demographic-Economic'!F$20^10</f>
        <v>518600.1919969974</v>
      </c>
      <c r="AB35" s="61">
        <f>AB34*'Demographic-Economic'!G$20^10</f>
        <v>667352.85924091854</v>
      </c>
      <c r="AC35" s="61">
        <f>AC34*'Demographic-Economic'!H$20^10</f>
        <v>190484.66828692899</v>
      </c>
      <c r="AG35">
        <v>2040</v>
      </c>
      <c r="AH35" t="s">
        <v>240</v>
      </c>
      <c r="AI35" t="s">
        <v>240</v>
      </c>
      <c r="AJ35" s="61">
        <f>AJ34*'Demographic-Economic'!E$20^10</f>
        <v>3142412.0128392149</v>
      </c>
      <c r="AK35" s="61">
        <f>AK34*'Demographic-Economic'!F$20^10</f>
        <v>518600.1919969974</v>
      </c>
      <c r="AL35" s="61">
        <f>AL34*'Demographic-Economic'!G$20^10</f>
        <v>667352.85924091854</v>
      </c>
      <c r="AM35" s="61">
        <f>AM34*'Demographic-Economic'!H$20^10</f>
        <v>190484.66828692899</v>
      </c>
    </row>
    <row r="36" spans="5:39">
      <c r="E36">
        <v>2050</v>
      </c>
      <c r="F36" s="322" t="s">
        <v>240</v>
      </c>
      <c r="G36" s="322" t="s">
        <v>240</v>
      </c>
      <c r="H36" s="61">
        <f>H35*('Demographic-Economic'!E$20)^10</f>
        <v>3744980.1198868025</v>
      </c>
      <c r="I36" s="61">
        <f>I35*('Demographic-Economic'!F$20)^10</f>
        <v>529990.87383285083</v>
      </c>
      <c r="J36" s="61">
        <f>J35*('Demographic-Economic'!G$20)^10</f>
        <v>724265.95172934793</v>
      </c>
      <c r="K36" s="61">
        <f>K35*('Demographic-Economic'!H$20)^10</f>
        <v>225866.82391447164</v>
      </c>
      <c r="N36">
        <v>2050</v>
      </c>
      <c r="O36" t="s">
        <v>240</v>
      </c>
      <c r="P36" t="s">
        <v>240</v>
      </c>
      <c r="Q36" s="61">
        <f>Q35*'Demographic-Economic'!E$20^10</f>
        <v>3744980.1198868025</v>
      </c>
      <c r="R36" s="61">
        <f>R35*'Demographic-Economic'!F$20^10</f>
        <v>529990.87383285083</v>
      </c>
      <c r="S36" s="61">
        <f>S35*'Demographic-Economic'!G$20^10</f>
        <v>724265.95172934793</v>
      </c>
      <c r="T36" s="61">
        <f>T35*'Demographic-Economic'!H$20^10</f>
        <v>225866.82391447164</v>
      </c>
      <c r="W36">
        <v>2050</v>
      </c>
      <c r="X36" t="s">
        <v>240</v>
      </c>
      <c r="Y36" t="s">
        <v>240</v>
      </c>
      <c r="Z36" s="61">
        <f>Z35*'Demographic-Economic'!E$20^10</f>
        <v>3744980.1198868025</v>
      </c>
      <c r="AA36" s="61">
        <f>AA35*'Demographic-Economic'!F$20^10</f>
        <v>529990.87383285083</v>
      </c>
      <c r="AB36" s="61">
        <f>AB35*'Demographic-Economic'!G$20^10</f>
        <v>724265.95172934793</v>
      </c>
      <c r="AC36" s="61">
        <f>AC35*'Demographic-Economic'!H$20^10</f>
        <v>225866.82391447164</v>
      </c>
      <c r="AG36">
        <v>2050</v>
      </c>
      <c r="AH36" t="s">
        <v>240</v>
      </c>
      <c r="AI36" t="s">
        <v>240</v>
      </c>
      <c r="AJ36" s="61">
        <f>AJ35*'Demographic-Economic'!E$20^10</f>
        <v>3744980.1198868025</v>
      </c>
      <c r="AK36" s="61">
        <f>AK35*'Demographic-Economic'!F$20^10</f>
        <v>529990.87383285083</v>
      </c>
      <c r="AL36" s="61">
        <f>AL35*'Demographic-Economic'!G$20^10</f>
        <v>724265.95172934793</v>
      </c>
      <c r="AM36" s="61">
        <f>AM35*'Demographic-Economic'!H$20^10</f>
        <v>225866.82391447164</v>
      </c>
    </row>
    <row r="37" spans="5:39">
      <c r="E37">
        <v>2060</v>
      </c>
      <c r="F37" s="322" t="s">
        <v>240</v>
      </c>
      <c r="G37" s="322" t="s">
        <v>240</v>
      </c>
      <c r="H37" s="61">
        <f>H36*('Demographic-Economic'!E$20)^10</f>
        <v>4463092.6947340975</v>
      </c>
      <c r="I37" s="61">
        <f>I36*('Demographic-Economic'!F$20)^10</f>
        <v>541631.74383810314</v>
      </c>
      <c r="J37" s="61">
        <f>J36*('Demographic-Economic'!G$20)^10</f>
        <v>786032.69855033059</v>
      </c>
      <c r="K37" s="61">
        <f>K36*('Demographic-Economic'!H$20)^10</f>
        <v>267821.14594317524</v>
      </c>
      <c r="N37">
        <v>2060</v>
      </c>
      <c r="O37" t="s">
        <v>240</v>
      </c>
      <c r="P37" t="s">
        <v>240</v>
      </c>
      <c r="Q37" s="61">
        <f>Q36*'Demographic-Economic'!E$20^10</f>
        <v>4463092.6947340975</v>
      </c>
      <c r="R37" s="61">
        <f>R36*'Demographic-Economic'!F$20^10</f>
        <v>541631.74383810314</v>
      </c>
      <c r="S37" s="61">
        <f>S36*'Demographic-Economic'!G$20^10</f>
        <v>786032.69855033059</v>
      </c>
      <c r="T37" s="61">
        <f>T36*'Demographic-Economic'!H$20^10</f>
        <v>267821.14594317524</v>
      </c>
      <c r="W37">
        <v>2060</v>
      </c>
      <c r="X37" t="s">
        <v>240</v>
      </c>
      <c r="Y37" t="s">
        <v>240</v>
      </c>
      <c r="Z37" s="61">
        <f>Z36*'Demographic-Economic'!E$20^10</f>
        <v>4463092.6947340975</v>
      </c>
      <c r="AA37" s="61">
        <f>AA36*'Demographic-Economic'!F$20^10</f>
        <v>541631.74383810314</v>
      </c>
      <c r="AB37" s="61">
        <f>AB36*'Demographic-Economic'!G$20^10</f>
        <v>786032.69855033059</v>
      </c>
      <c r="AC37" s="61">
        <f>AC36*'Demographic-Economic'!H$20^10</f>
        <v>267821.14594317524</v>
      </c>
      <c r="AG37">
        <v>2060</v>
      </c>
      <c r="AH37" t="s">
        <v>240</v>
      </c>
      <c r="AI37" t="s">
        <v>240</v>
      </c>
      <c r="AJ37" s="61">
        <f>AJ36*'Demographic-Economic'!E$20^10</f>
        <v>4463092.6947340975</v>
      </c>
      <c r="AK37" s="61">
        <f>AK36*'Demographic-Economic'!F$20^10</f>
        <v>541631.74383810314</v>
      </c>
      <c r="AL37" s="61">
        <f>AL36*'Demographic-Economic'!G$20^10</f>
        <v>786032.69855033059</v>
      </c>
      <c r="AM37" s="61">
        <f>AM36*'Demographic-Economic'!H$20^10</f>
        <v>267821.14594317524</v>
      </c>
    </row>
    <row r="38" spans="5:39">
      <c r="E38">
        <v>2070</v>
      </c>
      <c r="F38" s="322" t="s">
        <v>240</v>
      </c>
      <c r="G38" s="322" t="s">
        <v>240</v>
      </c>
      <c r="H38" s="61">
        <f>H37*('Demographic-Economic'!E$20)^10</f>
        <v>5318905.7789687151</v>
      </c>
      <c r="I38" s="61">
        <f>I37*('Demographic-Economic'!F$20)^10</f>
        <v>553528.29721672973</v>
      </c>
      <c r="J38" s="61">
        <f>J37*('Demographic-Economic'!G$20)^10</f>
        <v>853067.02836860577</v>
      </c>
      <c r="K38" s="61">
        <f>K37*('Demographic-Economic'!H$20)^10</f>
        <v>317568.4014642039</v>
      </c>
      <c r="N38">
        <v>2070</v>
      </c>
      <c r="O38" t="s">
        <v>240</v>
      </c>
      <c r="P38" t="s">
        <v>240</v>
      </c>
      <c r="Q38" s="61">
        <f>Q37*'Demographic-Economic'!E$20^10</f>
        <v>5318905.7789687151</v>
      </c>
      <c r="R38" s="61">
        <f>R37*'Demographic-Economic'!F$20^10</f>
        <v>553528.29721672973</v>
      </c>
      <c r="S38" s="61">
        <f>S37*'Demographic-Economic'!G$20^10</f>
        <v>853067.02836860577</v>
      </c>
      <c r="T38" s="61">
        <f>T37*'Demographic-Economic'!H$20^10</f>
        <v>317568.4014642039</v>
      </c>
      <c r="W38">
        <v>2070</v>
      </c>
      <c r="X38" t="s">
        <v>240</v>
      </c>
      <c r="Y38" t="s">
        <v>240</v>
      </c>
      <c r="Z38" s="61">
        <f>Z37*'Demographic-Economic'!E$20^10</f>
        <v>5318905.7789687151</v>
      </c>
      <c r="AA38" s="61">
        <f>AA37*'Demographic-Economic'!F$20^10</f>
        <v>553528.29721672973</v>
      </c>
      <c r="AB38" s="61">
        <f>AB37*'Demographic-Economic'!G$20^10</f>
        <v>853067.02836860577</v>
      </c>
      <c r="AC38" s="61">
        <f>AC37*'Demographic-Economic'!H$20^10</f>
        <v>317568.4014642039</v>
      </c>
      <c r="AG38">
        <v>2070</v>
      </c>
      <c r="AH38" t="s">
        <v>240</v>
      </c>
      <c r="AI38" t="s">
        <v>240</v>
      </c>
      <c r="AJ38" s="61">
        <f>AJ37*'Demographic-Economic'!E$20^10</f>
        <v>5318905.7789687151</v>
      </c>
      <c r="AK38" s="61">
        <f>AK37*'Demographic-Economic'!F$20^10</f>
        <v>553528.29721672973</v>
      </c>
      <c r="AL38" s="61">
        <f>AL37*'Demographic-Economic'!G$20^10</f>
        <v>853067.02836860577</v>
      </c>
      <c r="AM38" s="61">
        <f>AM37*'Demographic-Economic'!H$20^10</f>
        <v>317568.4014642039</v>
      </c>
    </row>
    <row r="39" spans="5:39">
      <c r="E39">
        <v>2080</v>
      </c>
      <c r="F39" s="322" t="s">
        <v>240</v>
      </c>
      <c r="G39" s="322" t="s">
        <v>240</v>
      </c>
      <c r="H39" s="61">
        <f>H38*('Demographic-Economic'!E$20)^10</f>
        <v>6338823.9099148503</v>
      </c>
      <c r="I39" s="61">
        <f>I38*('Demographic-Economic'!F$20)^10</f>
        <v>565686.14987092617</v>
      </c>
      <c r="J39" s="61">
        <f>J38*('Demographic-Economic'!G$20)^10</f>
        <v>925818.17045496183</v>
      </c>
      <c r="K39" s="61">
        <f>K38*('Demographic-Economic'!H$20)^10</f>
        <v>376556.11267501442</v>
      </c>
      <c r="N39">
        <v>2080</v>
      </c>
      <c r="O39" t="s">
        <v>240</v>
      </c>
      <c r="P39" t="s">
        <v>240</v>
      </c>
      <c r="Q39" s="61">
        <f>Q38*'Demographic-Economic'!E$20^10</f>
        <v>6338823.9099148503</v>
      </c>
      <c r="R39" s="61">
        <f>R38*'Demographic-Economic'!F$20^10</f>
        <v>565686.14987092617</v>
      </c>
      <c r="S39" s="61">
        <f>S38*'Demographic-Economic'!G$20^10</f>
        <v>925818.17045496183</v>
      </c>
      <c r="T39" s="61">
        <f>T38*'Demographic-Economic'!H$20^10</f>
        <v>376556.11267501442</v>
      </c>
      <c r="W39">
        <v>2080</v>
      </c>
      <c r="X39" t="s">
        <v>240</v>
      </c>
      <c r="Y39" t="s">
        <v>240</v>
      </c>
      <c r="Z39" s="61">
        <f>Z38*'Demographic-Economic'!E$20^10</f>
        <v>6338823.9099148503</v>
      </c>
      <c r="AA39" s="61">
        <f>AA38*'Demographic-Economic'!F$20^10</f>
        <v>565686.14987092617</v>
      </c>
      <c r="AB39" s="61">
        <f>AB38*'Demographic-Economic'!G$20^10</f>
        <v>925818.17045496183</v>
      </c>
      <c r="AC39" s="61">
        <f>AC38*'Demographic-Economic'!H$20^10</f>
        <v>376556.11267501442</v>
      </c>
      <c r="AG39">
        <v>2080</v>
      </c>
      <c r="AH39" t="s">
        <v>240</v>
      </c>
      <c r="AI39" t="s">
        <v>240</v>
      </c>
      <c r="AJ39" s="61">
        <f>AJ38*'Demographic-Economic'!E$20^10</f>
        <v>6338823.9099148503</v>
      </c>
      <c r="AK39" s="61">
        <f>AK38*'Demographic-Economic'!F$20^10</f>
        <v>565686.14987092617</v>
      </c>
      <c r="AL39" s="61">
        <f>AL38*'Demographic-Economic'!G$20^10</f>
        <v>925818.17045496183</v>
      </c>
      <c r="AM39" s="61">
        <f>AM38*'Demographic-Economic'!H$20^10</f>
        <v>376556.11267501442</v>
      </c>
    </row>
    <row r="40" spans="5:39">
      <c r="E40">
        <v>2090</v>
      </c>
      <c r="F40" s="322" t="s">
        <v>240</v>
      </c>
      <c r="G40" s="322" t="s">
        <v>240</v>
      </c>
      <c r="H40" s="61">
        <f>H39*('Demographic-Economic'!E$20)^10</f>
        <v>7554314.7840266572</v>
      </c>
      <c r="I40" s="61">
        <f>I39*('Demographic-Economic'!F$20)^10</f>
        <v>578111.04105215799</v>
      </c>
      <c r="J40" s="61">
        <f>J39*('Demographic-Economic'!G$20)^10</f>
        <v>1004773.6651875465</v>
      </c>
      <c r="K40" s="61">
        <f>K39*('Demographic-Economic'!H$20)^10</f>
        <v>446500.67619810445</v>
      </c>
      <c r="N40">
        <v>2090</v>
      </c>
      <c r="O40" t="s">
        <v>240</v>
      </c>
      <c r="P40" t="s">
        <v>240</v>
      </c>
      <c r="Q40" s="61">
        <f>Q39*'Demographic-Economic'!E$20^10</f>
        <v>7554314.7840266572</v>
      </c>
      <c r="R40" s="61">
        <f>R39*'Demographic-Economic'!F$20^10</f>
        <v>578111.04105215799</v>
      </c>
      <c r="S40" s="61">
        <f>S39*'Demographic-Economic'!G$20^10</f>
        <v>1004773.6651875465</v>
      </c>
      <c r="T40" s="61">
        <f>T39*'Demographic-Economic'!H$20^10</f>
        <v>446500.67619810445</v>
      </c>
      <c r="W40">
        <v>2090</v>
      </c>
      <c r="X40" t="s">
        <v>240</v>
      </c>
      <c r="Y40" t="s">
        <v>240</v>
      </c>
      <c r="Z40" s="61">
        <f>Z39*'Demographic-Economic'!E$20^10</f>
        <v>7554314.7840266572</v>
      </c>
      <c r="AA40" s="61">
        <f>AA39*'Demographic-Economic'!F$20^10</f>
        <v>578111.04105215799</v>
      </c>
      <c r="AB40" s="61">
        <f>AB39*'Demographic-Economic'!G$20^10</f>
        <v>1004773.6651875465</v>
      </c>
      <c r="AC40" s="61">
        <f>AC39*'Demographic-Economic'!H$20^10</f>
        <v>446500.67619810445</v>
      </c>
      <c r="AG40">
        <v>2090</v>
      </c>
      <c r="AH40" t="s">
        <v>240</v>
      </c>
      <c r="AI40" t="s">
        <v>240</v>
      </c>
      <c r="AJ40" s="61">
        <f>AJ39*'Demographic-Economic'!E$20^10</f>
        <v>7554314.7840266572</v>
      </c>
      <c r="AK40" s="61">
        <f>AK39*'Demographic-Economic'!F$20^10</f>
        <v>578111.04105215799</v>
      </c>
      <c r="AL40" s="61">
        <f>AL39*'Demographic-Economic'!G$20^10</f>
        <v>1004773.6651875465</v>
      </c>
      <c r="AM40" s="61">
        <f>AM39*'Demographic-Economic'!H$20^10</f>
        <v>446500.67619810445</v>
      </c>
    </row>
    <row r="41" spans="5:39">
      <c r="E41">
        <v>2100</v>
      </c>
      <c r="F41" s="322" t="s">
        <v>240</v>
      </c>
      <c r="G41" s="322" t="s">
        <v>240</v>
      </c>
      <c r="H41" s="61">
        <f>H40*('Demographic-Economic'!E$20)^10</f>
        <v>9002880.1347362734</v>
      </c>
      <c r="I41" s="61">
        <f>I40*('Demographic-Economic'!F$20)^10</f>
        <v>590808.8360704392</v>
      </c>
      <c r="J41" s="61">
        <f>J40*('Demographic-Economic'!G$20)^10</f>
        <v>1090462.6312943252</v>
      </c>
      <c r="K41" s="61">
        <f>K40*('Demographic-Economic'!H$20)^10</f>
        <v>529437.30598107167</v>
      </c>
      <c r="N41">
        <v>2100</v>
      </c>
      <c r="O41" t="s">
        <v>240</v>
      </c>
      <c r="P41" t="s">
        <v>240</v>
      </c>
      <c r="Q41" s="61">
        <f>Q40*'Demographic-Economic'!E$20^10</f>
        <v>9002880.1347362734</v>
      </c>
      <c r="R41" s="61">
        <f>R40*'Demographic-Economic'!F$20^10</f>
        <v>590808.8360704392</v>
      </c>
      <c r="S41" s="61">
        <f>S40*'Demographic-Economic'!G$20^10</f>
        <v>1090462.6312943252</v>
      </c>
      <c r="T41" s="61">
        <f>T40*'Demographic-Economic'!H$20^10</f>
        <v>529437.30598107167</v>
      </c>
      <c r="W41">
        <v>2100</v>
      </c>
      <c r="X41" t="s">
        <v>240</v>
      </c>
      <c r="Y41" t="s">
        <v>240</v>
      </c>
      <c r="Z41" s="61">
        <f>Z40*'Demographic-Economic'!E$20^10</f>
        <v>9002880.1347362734</v>
      </c>
      <c r="AA41" s="61">
        <f>AA40*'Demographic-Economic'!F$20^10</f>
        <v>590808.8360704392</v>
      </c>
      <c r="AB41" s="61">
        <f>AB40*'Demographic-Economic'!G$20^10</f>
        <v>1090462.6312943252</v>
      </c>
      <c r="AC41" s="61">
        <f>AC40*'Demographic-Economic'!H$20^10</f>
        <v>529437.30598107167</v>
      </c>
      <c r="AG41">
        <v>2100</v>
      </c>
      <c r="AH41" t="s">
        <v>240</v>
      </c>
      <c r="AI41" t="s">
        <v>240</v>
      </c>
      <c r="AJ41" s="61">
        <f>AJ40*'Demographic-Economic'!E$20^10</f>
        <v>9002880.1347362734</v>
      </c>
      <c r="AK41" s="61">
        <f>AK40*'Demographic-Economic'!F$20^10</f>
        <v>590808.8360704392</v>
      </c>
      <c r="AL41" s="61">
        <f>AL40*'Demographic-Economic'!G$20^10</f>
        <v>1090462.6312943252</v>
      </c>
      <c r="AM41" s="61">
        <f>AM40*'Demographic-Economic'!H$20^10</f>
        <v>529437.30598107167</v>
      </c>
    </row>
    <row r="42" spans="5:39">
      <c r="F42" s="581" t="s">
        <v>241</v>
      </c>
      <c r="G42" s="581"/>
      <c r="H42" s="581"/>
      <c r="I42" s="581"/>
      <c r="J42" s="581"/>
      <c r="K42" s="581"/>
      <c r="O42" s="581" t="s">
        <v>241</v>
      </c>
      <c r="P42" s="581"/>
      <c r="Q42" s="581"/>
      <c r="R42" s="581"/>
      <c r="S42" s="581"/>
      <c r="T42" s="581"/>
      <c r="X42" s="581" t="s">
        <v>241</v>
      </c>
      <c r="Y42" s="581"/>
      <c r="Z42" s="581"/>
      <c r="AA42" s="581"/>
      <c r="AB42" s="581"/>
      <c r="AC42" s="581"/>
      <c r="AH42" s="581" t="s">
        <v>241</v>
      </c>
      <c r="AI42" s="581"/>
      <c r="AJ42" s="581"/>
      <c r="AK42" s="581"/>
      <c r="AL42" s="581"/>
      <c r="AM42" s="581"/>
    </row>
    <row r="43" spans="5:39">
      <c r="E43">
        <v>2020</v>
      </c>
      <c r="F43" s="61">
        <f>F5/'Demographic-Economic'!C$29</f>
        <v>2473101.1764705884</v>
      </c>
      <c r="G43" s="61">
        <f>G5/'Demographic-Economic'!D$29</f>
        <v>1691706.0240963853</v>
      </c>
      <c r="H43" s="61">
        <f>H5/'Demographic-Economic'!E$29</f>
        <v>2021766.8016194331</v>
      </c>
      <c r="I43" s="61">
        <f>I5/'Demographic-Economic'!F$29</f>
        <v>404270.4</v>
      </c>
      <c r="J43" s="61">
        <f>J5/'Demographic-Economic'!G$29</f>
        <v>506668.79999999999</v>
      </c>
      <c r="K43" s="61">
        <f>K5/'Demographic-Economic'!H$29</f>
        <v>116182.64150943396</v>
      </c>
      <c r="N43">
        <v>2020</v>
      </c>
      <c r="O43" s="61">
        <f>O5/'Demographic-Economic'!C$29</f>
        <v>2473101.1764705884</v>
      </c>
      <c r="P43" s="61">
        <f>P5/'Demographic-Economic'!D$29</f>
        <v>1691706.0240963853</v>
      </c>
      <c r="Q43" s="61">
        <f>Q5/'Demographic-Economic'!E$29</f>
        <v>2021766.8016194331</v>
      </c>
      <c r="R43" s="61">
        <f>R5/'Demographic-Economic'!F$29</f>
        <v>404270.4</v>
      </c>
      <c r="S43" s="61">
        <f>S5/'Demographic-Economic'!G$29</f>
        <v>506668.79999999999</v>
      </c>
      <c r="T43" s="61">
        <f>T5/'Demographic-Economic'!H$29</f>
        <v>116182.64150943396</v>
      </c>
      <c r="W43">
        <v>2020</v>
      </c>
      <c r="X43" s="61">
        <f>X5/'Demographic-Economic'!C$29</f>
        <v>2473101.1764705884</v>
      </c>
      <c r="Y43" s="61">
        <f>Y5/'Demographic-Economic'!D$29</f>
        <v>1691706.0240963853</v>
      </c>
      <c r="Z43" s="61">
        <f>Z5/'Demographic-Economic'!E$29</f>
        <v>2021766.8016194331</v>
      </c>
      <c r="AA43" s="61">
        <f>AA5/'Demographic-Economic'!F$29</f>
        <v>404270.4</v>
      </c>
      <c r="AB43" s="61">
        <f>AB5/'Demographic-Economic'!G$29</f>
        <v>506668.79999999999</v>
      </c>
      <c r="AC43" s="61">
        <f>AC5/'Demographic-Economic'!H$29</f>
        <v>116182.64150943396</v>
      </c>
      <c r="AG43">
        <v>2020</v>
      </c>
      <c r="AH43" s="61">
        <f>AH5/'Demographic-Economic'!C$29</f>
        <v>2473101.1764705884</v>
      </c>
      <c r="AI43" s="61">
        <f>AI5/'Demographic-Economic'!D$29</f>
        <v>1691706.0240963853</v>
      </c>
      <c r="AJ43" s="61">
        <f>AJ5/'Demographic-Economic'!E$29</f>
        <v>2021766.8016194331</v>
      </c>
      <c r="AK43" s="61">
        <f>AK5/'Demographic-Economic'!F$29</f>
        <v>404270.4</v>
      </c>
      <c r="AL43" s="61">
        <f>AL5/'Demographic-Economic'!G$29</f>
        <v>506668.79999999999</v>
      </c>
      <c r="AM43" s="61">
        <f>AM5/'Demographic-Economic'!H$29</f>
        <v>116182.64150943396</v>
      </c>
    </row>
    <row r="44" spans="5:39">
      <c r="E44">
        <v>2021</v>
      </c>
      <c r="F44" s="61">
        <f>F6/'Demographic-Economic'!C$29</f>
        <v>2485651.0230079158</v>
      </c>
      <c r="G44" s="61">
        <f>G6/'Demographic-Economic'!D$29</f>
        <v>1698162.6276949486</v>
      </c>
      <c r="H44" s="61">
        <f>H6/'Demographic-Economic'!E$29</f>
        <v>2038520.1995436591</v>
      </c>
      <c r="I44" s="61">
        <f>I6/'Demographic-Economic'!F$29</f>
        <v>408718.47527412482</v>
      </c>
      <c r="J44" s="61">
        <f>J6/'Demographic-Economic'!G$29</f>
        <v>511103.31917981256</v>
      </c>
      <c r="K44" s="61">
        <f>K6/'Demographic-Economic'!H$29</f>
        <v>117290.84839755957</v>
      </c>
      <c r="N44">
        <v>2021</v>
      </c>
      <c r="O44" s="61">
        <f>O6/'Demographic-Economic'!C$29</f>
        <v>2491107.1241787127</v>
      </c>
      <c r="P44" s="61">
        <f>P6/'Demographic-Economic'!D$29</f>
        <v>1701890.1610515648</v>
      </c>
      <c r="Q44" s="61">
        <f>Q6/'Demographic-Economic'!E$29</f>
        <v>2042994.8310765938</v>
      </c>
      <c r="R44" s="61">
        <f>R6/'Demographic-Economic'!F$29</f>
        <v>409615.62830599764</v>
      </c>
      <c r="S44" s="61">
        <f>S6/'Demographic-Economic'!G$29</f>
        <v>512225.21094674303</v>
      </c>
      <c r="T44" s="61">
        <f>T6/'Demographic-Economic'!H$29</f>
        <v>117548.30639521978</v>
      </c>
      <c r="W44">
        <v>2021</v>
      </c>
      <c r="X44" s="61">
        <f>X6/'Demographic-Economic'!C$29</f>
        <v>2495993.0199740264</v>
      </c>
      <c r="Y44" s="61">
        <f>Y6/'Demographic-Economic'!D$29</f>
        <v>1705228.1379299012</v>
      </c>
      <c r="Z44" s="61">
        <f>Z6/'Demographic-Economic'!E$29</f>
        <v>2047001.8285108351</v>
      </c>
      <c r="AA44" s="61">
        <f>AA6/'Demographic-Economic'!F$29</f>
        <v>410419.02180787083</v>
      </c>
      <c r="AB44" s="61">
        <f>AB6/'Demographic-Economic'!G$29</f>
        <v>513229.85622278415</v>
      </c>
      <c r="AC44" s="61">
        <f>AC6/'Demographic-Economic'!H$29</f>
        <v>117778.85801236553</v>
      </c>
      <c r="AG44">
        <v>2021</v>
      </c>
      <c r="AH44" s="61">
        <f>AH6/'Demographic-Economic'!C$29</f>
        <v>2486367.4807947027</v>
      </c>
      <c r="AI44" s="61">
        <f>AI6/'Demographic-Economic'!D$29</f>
        <v>1698652.1018112181</v>
      </c>
      <c r="AJ44" s="61">
        <f>AJ6/'Demographic-Economic'!E$29</f>
        <v>2039107.7774687035</v>
      </c>
      <c r="AK44" s="61">
        <f>AK6/'Demographic-Economic'!F$29</f>
        <v>408836.28325742704</v>
      </c>
      <c r="AL44" s="61">
        <f>AL6/'Demographic-Economic'!G$29</f>
        <v>511250.63831250218</v>
      </c>
      <c r="AM44" s="61">
        <f>AM6/'Demographic-Economic'!H$29</f>
        <v>117324.65601611721</v>
      </c>
    </row>
    <row r="45" spans="5:39">
      <c r="E45">
        <v>2022</v>
      </c>
      <c r="F45" s="61">
        <f>F7/'Demographic-Economic'!C$29</f>
        <v>2498165.6307083122</v>
      </c>
      <c r="G45" s="61">
        <f>G7/'Demographic-Economic'!D$29</f>
        <v>1704576.3751128684</v>
      </c>
      <c r="H45" s="61">
        <f>H7/'Demographic-Economic'!E$29</f>
        <v>2055544.2563718914</v>
      </c>
      <c r="I45" s="61">
        <f>I7/'Demographic-Economic'!F$29</f>
        <v>413019.6295065257</v>
      </c>
      <c r="J45" s="61">
        <f>J7/'Demographic-Economic'!G$29</f>
        <v>515489.2777808531</v>
      </c>
      <c r="K45" s="61">
        <f>K7/'Demographic-Economic'!H$29</f>
        <v>118405.37509033507</v>
      </c>
      <c r="N45">
        <v>2022</v>
      </c>
      <c r="O45" s="61">
        <f>O7/'Demographic-Economic'!C$29</f>
        <v>2509064.1927969777</v>
      </c>
      <c r="P45" s="61">
        <f>P7/'Demographic-Economic'!D$29</f>
        <v>1712012.8041593176</v>
      </c>
      <c r="Q45" s="61">
        <f>Q7/'Demographic-Economic'!E$29</f>
        <v>2064497.4457928182</v>
      </c>
      <c r="R45" s="61">
        <f>R7/'Demographic-Economic'!F$29</f>
        <v>414834.82466763252</v>
      </c>
      <c r="S45" s="61">
        <f>S7/'Demographic-Economic'!G$29</f>
        <v>517736.95144192502</v>
      </c>
      <c r="T45" s="61">
        <f>T7/'Demographic-Economic'!H$29</f>
        <v>118923.89269955413</v>
      </c>
      <c r="W45">
        <v>2022</v>
      </c>
      <c r="X45" s="61">
        <f>X7/'Demographic-Economic'!C$29</f>
        <v>2518823.7696481165</v>
      </c>
      <c r="Y45" s="61">
        <f>Y7/'Demographic-Economic'!D$29</f>
        <v>1718672.0680315988</v>
      </c>
      <c r="Z45" s="61">
        <f>Z7/'Demographic-Economic'!E$29</f>
        <v>2072514.4034487386</v>
      </c>
      <c r="AA45" s="61">
        <f>AA7/'Demographic-Economic'!F$29</f>
        <v>416460.8310663806</v>
      </c>
      <c r="AB45" s="61">
        <f>AB7/'Demographic-Economic'!G$29</f>
        <v>519749.678901045</v>
      </c>
      <c r="AC45" s="61">
        <f>AC7/'Demographic-Economic'!H$29</f>
        <v>119388.29652167916</v>
      </c>
      <c r="AG45">
        <v>2022</v>
      </c>
      <c r="AH45" s="61">
        <f>AH7/'Demographic-Economic'!C$29</f>
        <v>2499596.7551374175</v>
      </c>
      <c r="AI45" s="61">
        <f>AI7/'Demographic-Economic'!D$29</f>
        <v>1705552.8759748258</v>
      </c>
      <c r="AJ45" s="61">
        <f>AJ7/'Demographic-Economic'!E$29</f>
        <v>2056719.9638231941</v>
      </c>
      <c r="AK45" s="61">
        <f>AK7/'Demographic-Economic'!F$29</f>
        <v>413257.95506212808</v>
      </c>
      <c r="AL45" s="61">
        <f>AL7/'Demographic-Economic'!G$29</f>
        <v>515784.42990968004</v>
      </c>
      <c r="AM45" s="61">
        <f>AM7/'Demographic-Economic'!H$29</f>
        <v>118473.45835953471</v>
      </c>
    </row>
    <row r="46" spans="5:39">
      <c r="E46">
        <v>2023</v>
      </c>
      <c r="F46" s="61">
        <f>F8/'Demographic-Economic'!C$29</f>
        <v>2510645.0680597331</v>
      </c>
      <c r="G46" s="61">
        <f>G8/'Demographic-Economic'!D$29</f>
        <v>1710947.4402772752</v>
      </c>
      <c r="H46" s="61">
        <f>H8/'Demographic-Economic'!E$29</f>
        <v>2072819.2343921538</v>
      </c>
      <c r="I46" s="61">
        <f>I8/'Demographic-Economic'!F$29</f>
        <v>417188.40240076801</v>
      </c>
      <c r="J46" s="61">
        <f>J8/'Demographic-Economic'!G$29</f>
        <v>519831.69282350253</v>
      </c>
      <c r="K46" s="61">
        <f>K8/'Demographic-Economic'!H$29</f>
        <v>119525.93955601184</v>
      </c>
      <c r="N46">
        <v>2023</v>
      </c>
      <c r="O46" s="61">
        <f>O8/'Demographic-Economic'!C$29</f>
        <v>2526972.4763888153</v>
      </c>
      <c r="P46" s="61">
        <f>P8/'Demographic-Economic'!D$29</f>
        <v>1722074.1972380253</v>
      </c>
      <c r="Q46" s="61">
        <f>Q8/'Demographic-Economic'!E$29</f>
        <v>2086264.4484742135</v>
      </c>
      <c r="R46" s="61">
        <f>R8/'Demographic-Economic'!F$29</f>
        <v>419935.30781715747</v>
      </c>
      <c r="S46" s="61">
        <f>S8/'Demographic-Economic'!G$29</f>
        <v>523206.79795225029</v>
      </c>
      <c r="T46" s="61">
        <f>T8/'Demographic-Economic'!H$29</f>
        <v>120309.06168621109</v>
      </c>
      <c r="W46">
        <v>2023</v>
      </c>
      <c r="X46" s="61">
        <f>X8/'Demographic-Economic'!C$29</f>
        <v>2541593.5424589287</v>
      </c>
      <c r="Y46" s="61">
        <f>Y8/'Demographic-Economic'!D$29</f>
        <v>1732038.1208069262</v>
      </c>
      <c r="Z46" s="61">
        <f>Z8/'Demographic-Economic'!E$29</f>
        <v>2098302.4631165955</v>
      </c>
      <c r="AA46" s="61">
        <f>AA8/'Demographic-Economic'!F$29</f>
        <v>422397.16351166123</v>
      </c>
      <c r="AB46" s="61">
        <f>AB8/'Demographic-Economic'!G$29</f>
        <v>526228.81920335628</v>
      </c>
      <c r="AC46" s="61">
        <f>AC8/'Demographic-Economic'!H$29</f>
        <v>121010.69964759202</v>
      </c>
      <c r="AG46">
        <v>2023</v>
      </c>
      <c r="AH46" s="61">
        <f>AH8/'Demographic-Economic'!C$29</f>
        <v>2512789.0713450871</v>
      </c>
      <c r="AI46" s="61">
        <f>AI8/'Demographic-Economic'!D$29</f>
        <v>1712408.5296919793</v>
      </c>
      <c r="AJ46" s="61">
        <f>AJ8/'Demographic-Economic'!E$29</f>
        <v>2074584.8996747818</v>
      </c>
      <c r="AK46" s="61">
        <f>AK8/'Demographic-Economic'!F$29</f>
        <v>417548.97817291238</v>
      </c>
      <c r="AL46" s="61">
        <f>AL8/'Demographic-Economic'!G$29</f>
        <v>520274.91126980557</v>
      </c>
      <c r="AM46" s="61">
        <f>AM8/'Demographic-Economic'!H$29</f>
        <v>119628.75097677585</v>
      </c>
    </row>
    <row r="47" spans="5:39">
      <c r="E47">
        <v>2024</v>
      </c>
      <c r="F47" s="61">
        <f>F9/'Demographic-Economic'!C$29</f>
        <v>2523089.4034339776</v>
      </c>
      <c r="G47" s="61">
        <f>G9/'Demographic-Economic'!D$29</f>
        <v>1717275.9965135157</v>
      </c>
      <c r="H47" s="61">
        <f>H9/'Demographic-Economic'!E$29</f>
        <v>2090327.7952212875</v>
      </c>
      <c r="I47" s="61">
        <f>I9/'Demographic-Economic'!F$29</f>
        <v>421237.54814678925</v>
      </c>
      <c r="J47" s="61">
        <f>J9/'Demographic-Economic'!G$29</f>
        <v>524134.96169534</v>
      </c>
      <c r="K47" s="61">
        <f>K9/'Demographic-Economic'!H$29</f>
        <v>120652.29309059717</v>
      </c>
      <c r="N47">
        <v>2024</v>
      </c>
      <c r="O47" s="61">
        <f>O9/'Demographic-Economic'!C$29</f>
        <v>2544832.0688588731</v>
      </c>
      <c r="P47" s="61">
        <f>P9/'Demographic-Economic'!D$29</f>
        <v>1732074.5832713137</v>
      </c>
      <c r="Q47" s="61">
        <f>Q9/'Demographic-Economic'!E$29</f>
        <v>2108286.0543816253</v>
      </c>
      <c r="R47" s="61">
        <f>R9/'Demographic-Economic'!F$29</f>
        <v>424924.08686899196</v>
      </c>
      <c r="S47" s="61">
        <f>S9/'Demographic-Economic'!G$29</f>
        <v>528637.4109527308</v>
      </c>
      <c r="T47" s="61">
        <f>T9/'Demographic-Economic'!H$29</f>
        <v>121703.49254238303</v>
      </c>
      <c r="W47">
        <v>2024</v>
      </c>
      <c r="X47" s="61">
        <f>X9/'Demographic-Economic'!C$29</f>
        <v>2564302.455175573</v>
      </c>
      <c r="Y47" s="61">
        <f>Y9/'Demographic-Economic'!D$29</f>
        <v>1745326.6016179514</v>
      </c>
      <c r="Z47" s="61">
        <f>Z9/'Demographic-Economic'!E$29</f>
        <v>2124363.2830919228</v>
      </c>
      <c r="AA47" s="61">
        <f>AA9/'Demographic-Economic'!F$29</f>
        <v>428229.81946286757</v>
      </c>
      <c r="AB47" s="61">
        <f>AB9/'Demographic-Economic'!G$29</f>
        <v>532668.03306846495</v>
      </c>
      <c r="AC47" s="61">
        <f>AC9/'Demographic-Economic'!H$29</f>
        <v>122645.79590557124</v>
      </c>
      <c r="AG47">
        <v>2024</v>
      </c>
      <c r="AH47" s="61">
        <f>AH9/'Demographic-Economic'!C$29</f>
        <v>2525944.5011423077</v>
      </c>
      <c r="AI47" s="61">
        <f>AI9/'Demographic-Economic'!D$29</f>
        <v>1719219.2454350726</v>
      </c>
      <c r="AJ47" s="61">
        <f>AJ9/'Demographic-Economic'!E$29</f>
        <v>2092686.2173736994</v>
      </c>
      <c r="AK47" s="61">
        <f>AK9/'Demographic-Economic'!F$29</f>
        <v>421721.35939037858</v>
      </c>
      <c r="AL47" s="61">
        <f>AL9/'Demographic-Economic'!G$29</f>
        <v>524726.27232842601</v>
      </c>
      <c r="AM47" s="61">
        <f>AM9/'Demographic-Economic'!H$29</f>
        <v>120790.26933975643</v>
      </c>
    </row>
    <row r="48" spans="5:39">
      <c r="E48">
        <v>2025</v>
      </c>
      <c r="F48" s="61">
        <f>F10/'Demographic-Economic'!C$29</f>
        <v>2535498.7050868687</v>
      </c>
      <c r="G48" s="61">
        <f>G10/'Demographic-Economic'!D$29</f>
        <v>1723562.2165470733</v>
      </c>
      <c r="H48" s="61">
        <f>H10/'Demographic-Economic'!E$29</f>
        <v>2108054.6470379056</v>
      </c>
      <c r="I48" s="61">
        <f>I10/'Demographic-Economic'!F$29</f>
        <v>425178.29796247173</v>
      </c>
      <c r="J48" s="61">
        <f>J10/'Demographic-Economic'!G$29</f>
        <v>528402.95327921538</v>
      </c>
      <c r="K48" s="61">
        <f>K10/'Demographic-Economic'!H$29</f>
        <v>121784.21547076789</v>
      </c>
      <c r="N48">
        <v>2025</v>
      </c>
      <c r="O48" s="61">
        <f>O10/'Demographic-Economic'!C$29</f>
        <v>2562643.0639532604</v>
      </c>
      <c r="P48" s="61">
        <f>P10/'Demographic-Economic'!D$29</f>
        <v>1742014.2044107025</v>
      </c>
      <c r="Q48" s="61">
        <f>Q10/'Demographic-Economic'!E$29</f>
        <v>2130552.9064881695</v>
      </c>
      <c r="R48" s="61">
        <f>R10/'Demographic-Economic'!F$29</f>
        <v>429807.85101987224</v>
      </c>
      <c r="S48" s="61">
        <f>S10/'Demographic-Economic'!G$29</f>
        <v>534031.33043744508</v>
      </c>
      <c r="T48" s="61">
        <f>T10/'Demographic-Economic'!H$29</f>
        <v>123106.88219995445</v>
      </c>
      <c r="W48">
        <v>2025</v>
      </c>
      <c r="X48" s="61">
        <f>X10/'Demographic-Economic'!C$29</f>
        <v>2586950.6243705163</v>
      </c>
      <c r="Y48" s="61">
        <f>Y10/'Demographic-Economic'!D$29</f>
        <v>1758537.8147866661</v>
      </c>
      <c r="Z48" s="61">
        <f>Z10/'Demographic-Economic'!E$29</f>
        <v>2150693.5602235273</v>
      </c>
      <c r="AA48" s="61">
        <f>AA10/'Demographic-Economic'!F$29</f>
        <v>433961.00488667842</v>
      </c>
      <c r="AB48" s="61">
        <f>AB10/'Demographic-Economic'!G$29</f>
        <v>539068.25504210813</v>
      </c>
      <c r="AC48" s="61">
        <f>AC10/'Demographic-Economic'!H$29</f>
        <v>124293.30321292415</v>
      </c>
      <c r="AG48">
        <v>2025</v>
      </c>
      <c r="AH48" s="61">
        <f>AH10/'Demographic-Economic'!C$29</f>
        <v>2539063.1161321113</v>
      </c>
      <c r="AI48" s="61">
        <f>AI10/'Demographic-Economic'!D$29</f>
        <v>1725985.2050461397</v>
      </c>
      <c r="AJ48" s="61">
        <f>AJ10/'Demographic-Economic'!E$29</f>
        <v>2111009.3585162661</v>
      </c>
      <c r="AK48" s="61">
        <f>AK10/'Demographic-Economic'!F$29</f>
        <v>425785.7607856894</v>
      </c>
      <c r="AL48" s="61">
        <f>AL10/'Demographic-Economic'!G$29</f>
        <v>529142.23066340969</v>
      </c>
      <c r="AM48" s="61">
        <f>AM10/'Demographic-Economic'!H$29</f>
        <v>121957.77750889769</v>
      </c>
    </row>
    <row r="49" spans="5:39">
      <c r="E49">
        <v>2026</v>
      </c>
      <c r="F49" s="61">
        <f>F11/'Demographic-Economic'!C$29</f>
        <v>2547873.041158434</v>
      </c>
      <c r="G49" s="61">
        <f>G11/'Demographic-Economic'!D$29</f>
        <v>1729806.272505485</v>
      </c>
      <c r="H49" s="61">
        <f>H11/'Demographic-Economic'!E$29</f>
        <v>2125986.2519171741</v>
      </c>
      <c r="I49" s="61">
        <f>I11/'Demographic-Economic'!F$29</f>
        <v>429020.57791735401</v>
      </c>
      <c r="J49" s="61">
        <f>J11/'Demographic-Economic'!G$29</f>
        <v>532639.08355519711</v>
      </c>
      <c r="K49" s="61">
        <f>K11/'Demographic-Economic'!H$29</f>
        <v>122921.51092130788</v>
      </c>
      <c r="N49">
        <v>2026</v>
      </c>
      <c r="O49" s="61">
        <f>O11/'Demographic-Economic'!C$29</f>
        <v>2580405.5552598047</v>
      </c>
      <c r="P49" s="61">
        <f>P11/'Demographic-Economic'!D$29</f>
        <v>1751893.3019782489</v>
      </c>
      <c r="Q49" s="61">
        <f>Q11/'Demographic-Economic'!E$29</f>
        <v>2153056.0831477591</v>
      </c>
      <c r="R49" s="61">
        <f>R11/'Demographic-Economic'!F$29</f>
        <v>434592.96468361776</v>
      </c>
      <c r="S49" s="61">
        <f>S11/'Demographic-Economic'!G$29</f>
        <v>539390.97358156997</v>
      </c>
      <c r="T49" s="61">
        <f>T11/'Demographic-Economic'!H$29</f>
        <v>124518.94498061216</v>
      </c>
      <c r="W49">
        <v>2026</v>
      </c>
      <c r="X49" s="61">
        <f>X11/'Demographic-Economic'!C$29</f>
        <v>2609538.1664198861</v>
      </c>
      <c r="Y49" s="61">
        <f>Y11/'Demographic-Economic'!D$29</f>
        <v>1771672.0635982775</v>
      </c>
      <c r="Z49" s="61">
        <f>Z11/'Demographic-Economic'!E$29</f>
        <v>2177289.4944909248</v>
      </c>
      <c r="AA49" s="61">
        <f>AA11/'Demographic-Economic'!F$29</f>
        <v>439593.27295288129</v>
      </c>
      <c r="AB49" s="61">
        <f>AB11/'Demographic-Economic'!G$29</f>
        <v>545430.57235746575</v>
      </c>
      <c r="AC49" s="61">
        <f>AC11/'Demographic-Economic'!H$29</f>
        <v>125952.93217489078</v>
      </c>
      <c r="AG49">
        <v>2026</v>
      </c>
      <c r="AH49" s="61">
        <f>AH11/'Demographic-Economic'!C$29</f>
        <v>2552144.9877961571</v>
      </c>
      <c r="AI49" s="61">
        <f>AI11/'Demographic-Economic'!D$29</f>
        <v>1732706.589738867</v>
      </c>
      <c r="AJ49" s="61">
        <f>AJ11/'Demographic-Economic'!E$29</f>
        <v>2129541.3341410398</v>
      </c>
      <c r="AK49" s="61">
        <f>AK11/'Demographic-Economic'!F$29</f>
        <v>429751.67799557606</v>
      </c>
      <c r="AL49" s="61">
        <f>AL11/'Demographic-Economic'!G$29</f>
        <v>533526.09411202674</v>
      </c>
      <c r="AM49" s="61">
        <f>AM11/'Demographic-Economic'!H$29</f>
        <v>123131.06437078265</v>
      </c>
    </row>
    <row r="50" spans="5:39">
      <c r="E50">
        <v>2027</v>
      </c>
      <c r="F50" s="61">
        <f>F12/'Demographic-Economic'!C$29</f>
        <v>2560212.4796730941</v>
      </c>
      <c r="G50" s="61">
        <f>G12/'Demographic-Economic'!D$29</f>
        <v>1736008.335920251</v>
      </c>
      <c r="H50" s="61">
        <f>H12/'Demographic-Economic'!E$29</f>
        <v>2144110.5816925592</v>
      </c>
      <c r="I50" s="61">
        <f>I12/'Demographic-Economic'!F$29</f>
        <v>432773.19064787601</v>
      </c>
      <c r="J50" s="61">
        <f>J12/'Demographic-Economic'!G$29</f>
        <v>536846.37866690801</v>
      </c>
      <c r="K50" s="61">
        <f>K12/'Demographic-Economic'!H$29</f>
        <v>124064.00474239766</v>
      </c>
      <c r="N50">
        <v>2027</v>
      </c>
      <c r="O50" s="61">
        <f>O12/'Demographic-Economic'!C$29</f>
        <v>2598119.6362082949</v>
      </c>
      <c r="P50" s="61">
        <f>P12/'Demographic-Economic'!D$29</f>
        <v>1761712.1164691797</v>
      </c>
      <c r="Q50" s="61">
        <f>Q12/'Demographic-Economic'!E$29</f>
        <v>2175787.0995588568</v>
      </c>
      <c r="R50" s="61">
        <f>R12/'Demographic-Economic'!F$29</f>
        <v>439285.46711735922</v>
      </c>
      <c r="S50" s="61">
        <f>S12/'Demographic-Economic'!G$29</f>
        <v>544718.63418799045</v>
      </c>
      <c r="T50" s="61">
        <f>T12/'Demographic-Economic'!H$29</f>
        <v>125939.41210347874</v>
      </c>
      <c r="W50">
        <v>2027</v>
      </c>
      <c r="X50" s="61">
        <f>X12/'Demographic-Economic'!C$29</f>
        <v>2632065.1975037814</v>
      </c>
      <c r="Y50" s="61">
        <f>Y12/'Demographic-Economic'!D$29</f>
        <v>1784729.6503044884</v>
      </c>
      <c r="Z50" s="61">
        <f>Z12/'Demographic-Economic'!E$29</f>
        <v>2204146.8687624373</v>
      </c>
      <c r="AA50" s="61">
        <f>AA12/'Demographic-Economic'!F$29</f>
        <v>445129.46719729126</v>
      </c>
      <c r="AB50" s="61">
        <f>AB12/'Demographic-Economic'!G$29</f>
        <v>551756.19975125138</v>
      </c>
      <c r="AC50" s="61">
        <f>AC12/'Demographic-Economic'!H$29</f>
        <v>127624.38911899026</v>
      </c>
      <c r="AG50">
        <v>2027</v>
      </c>
      <c r="AH50" s="61">
        <f>AH12/'Demographic-Economic'!C$29</f>
        <v>2565190.1874949238</v>
      </c>
      <c r="AI50" s="61">
        <f>AI12/'Demographic-Economic'!D$29</f>
        <v>1739383.5801005994</v>
      </c>
      <c r="AJ50" s="61">
        <f>AJ12/'Demographic-Economic'!E$29</f>
        <v>2148270.5214704024</v>
      </c>
      <c r="AK50" s="61">
        <f>AK12/'Demographic-Economic'!F$29</f>
        <v>433627.59135159815</v>
      </c>
      <c r="AL50" s="61">
        <f>AL12/'Demographic-Economic'!G$29</f>
        <v>537880.81384691875</v>
      </c>
      <c r="AM50" s="61">
        <f>AM12/'Demographic-Economic'!H$29</f>
        <v>124309.94044182934</v>
      </c>
    </row>
    <row r="51" spans="5:39">
      <c r="E51">
        <v>2028</v>
      </c>
      <c r="F51" s="61">
        <f>F13/'Demographic-Economic'!C$29</f>
        <v>2572517.0885398402</v>
      </c>
      <c r="G51" s="61">
        <f>G13/'Demographic-Economic'!D$29</f>
        <v>1742168.5777287402</v>
      </c>
      <c r="H51" s="61">
        <f>H13/'Demographic-Economic'!E$29</f>
        <v>2162416.9132437804</v>
      </c>
      <c r="I51" s="61">
        <f>I13/'Demographic-Economic'!F$29</f>
        <v>436443.96773387946</v>
      </c>
      <c r="J51" s="61">
        <f>J13/'Demographic-Economic'!G$29</f>
        <v>541027.52780344547</v>
      </c>
      <c r="K51" s="61">
        <f>K13/'Demographic-Economic'!H$29</f>
        <v>125211.54047470404</v>
      </c>
      <c r="N51">
        <v>2028</v>
      </c>
      <c r="O51" s="61">
        <f>O13/'Demographic-Economic'!C$29</f>
        <v>2615785.4000707339</v>
      </c>
      <c r="P51" s="61">
        <f>P13/'Demographic-Economic'!D$29</f>
        <v>1771470.8875545191</v>
      </c>
      <c r="Q51" s="61">
        <f>Q13/'Demographic-Economic'!E$29</f>
        <v>2198737.9041721402</v>
      </c>
      <c r="R51" s="61">
        <f>R13/'Demographic-Economic'!F$29</f>
        <v>443891.07569701888</v>
      </c>
      <c r="S51" s="61">
        <f>S13/'Demographic-Economic'!G$29</f>
        <v>550016.4835902293</v>
      </c>
      <c r="T51" s="61">
        <f>T13/'Demographic-Economic'!H$29</f>
        <v>127368.03108884233</v>
      </c>
      <c r="W51">
        <v>2028</v>
      </c>
      <c r="X51" s="61">
        <f>X13/'Demographic-Economic'!C$29</f>
        <v>2654531.8336065826</v>
      </c>
      <c r="Y51" s="61">
        <f>Y13/'Demographic-Economic'!D$29</f>
        <v>1797710.8761267704</v>
      </c>
      <c r="Z51" s="61">
        <f>Z13/'Demographic-Economic'!E$29</f>
        <v>2231261.1251384872</v>
      </c>
      <c r="AA51" s="61">
        <f>AA13/'Demographic-Economic'!F$29</f>
        <v>450572.66721451294</v>
      </c>
      <c r="AB51" s="61">
        <f>AB13/'Demographic-Economic'!G$29</f>
        <v>558046.45542128698</v>
      </c>
      <c r="AC51" s="61">
        <f>AC13/'Demographic-Economic'!H$29</f>
        <v>129307.37884871816</v>
      </c>
      <c r="AG51">
        <v>2028</v>
      </c>
      <c r="AH51" s="61">
        <f>AH13/'Demographic-Economic'!C$29</f>
        <v>2578198.7864679005</v>
      </c>
      <c r="AI51" s="61">
        <f>AI13/'Demographic-Economic'!D$29</f>
        <v>1746016.3560943378</v>
      </c>
      <c r="AJ51" s="61">
        <f>AJ13/'Demographic-Economic'!E$29</f>
        <v>2167186.4909374481</v>
      </c>
      <c r="AK51" s="61">
        <f>AK13/'Demographic-Economic'!F$29</f>
        <v>437421.09449547267</v>
      </c>
      <c r="AL51" s="61">
        <f>AL13/'Demographic-Economic'!G$29</f>
        <v>542209.02954536781</v>
      </c>
      <c r="AM51" s="61">
        <f>AM13/'Demographic-Economic'!H$29</f>
        <v>125494.23514248841</v>
      </c>
    </row>
    <row r="52" spans="5:39">
      <c r="E52">
        <v>2029</v>
      </c>
      <c r="F52" s="61">
        <f>F14/'Demographic-Economic'!C$29</f>
        <v>2584786.9355524196</v>
      </c>
      <c r="G52" s="61">
        <f>G14/'Demographic-Economic'!D$29</f>
        <v>1748287.1682760874</v>
      </c>
      <c r="H52" s="61">
        <f>H14/'Demographic-Economic'!E$29</f>
        <v>2180895.6560055786</v>
      </c>
      <c r="I52" s="61">
        <f>I14/'Demographic-Economic'!F$29</f>
        <v>440039.89809663279</v>
      </c>
      <c r="J52" s="61">
        <f>J14/'Demographic-Economic'!G$29</f>
        <v>545184.92775834049</v>
      </c>
      <c r="K52" s="61">
        <f>K14/'Demographic-Economic'!H$29</f>
        <v>126363.97750530181</v>
      </c>
      <c r="N52">
        <v>2029</v>
      </c>
      <c r="O52" s="61">
        <f>O14/'Demographic-Economic'!C$29</f>
        <v>2633402.9399615848</v>
      </c>
      <c r="P52" s="61">
        <f>P14/'Demographic-Economic'!D$29</f>
        <v>1781169.8540837036</v>
      </c>
      <c r="Q52" s="61">
        <f>Q14/'Demographic-Economic'!E$29</f>
        <v>2221900.8710547192</v>
      </c>
      <c r="R52" s="61">
        <f>R14/'Demographic-Economic'!F$29</f>
        <v>448415.19210074685</v>
      </c>
      <c r="S52" s="61">
        <f>S14/'Demographic-Economic'!G$29</f>
        <v>555286.57272204862</v>
      </c>
      <c r="T52" s="61">
        <f>T14/'Demographic-Economic'!H$29</f>
        <v>128804.56508669199</v>
      </c>
      <c r="W52">
        <v>2029</v>
      </c>
      <c r="X52" s="61">
        <f>X14/'Demographic-Economic'!C$29</f>
        <v>2676938.1905172546</v>
      </c>
      <c r="Y52" s="61">
        <f>Y14/'Demographic-Economic'!D$29</f>
        <v>1810616.0412596271</v>
      </c>
      <c r="Z52" s="61">
        <f>Z14/'Demographic-Economic'!E$29</f>
        <v>2258627.4368426097</v>
      </c>
      <c r="AA52" s="61">
        <f>AA14/'Demographic-Economic'!F$29</f>
        <v>455926.13760572986</v>
      </c>
      <c r="AB52" s="61">
        <f>AB14/'Demographic-Economic'!G$29</f>
        <v>564302.73844381166</v>
      </c>
      <c r="AC52" s="61">
        <f>AC14/'Demographic-Economic'!H$29</f>
        <v>131001.60709921757</v>
      </c>
      <c r="AG52">
        <v>2029</v>
      </c>
      <c r="AH52" s="61">
        <f>AH14/'Demographic-Economic'!C$29</f>
        <v>2591170.8558337768</v>
      </c>
      <c r="AI52" s="61">
        <f>AI14/'Demographic-Economic'!D$29</f>
        <v>1752605.0970607316</v>
      </c>
      <c r="AJ52" s="61">
        <f>AJ14/'Demographic-Economic'!E$29</f>
        <v>2186279.8584234752</v>
      </c>
      <c r="AK52" s="61">
        <f>AK14/'Demographic-Economic'!F$29</f>
        <v>441139.00425175007</v>
      </c>
      <c r="AL52" s="61">
        <f>AL14/'Demographic-Economic'!G$29</f>
        <v>546513.10797674488</v>
      </c>
      <c r="AM52" s="61">
        <f>AM14/'Demographic-Economic'!H$29</f>
        <v>126683.79446427264</v>
      </c>
    </row>
    <row r="53" spans="5:39">
      <c r="E53">
        <v>2030</v>
      </c>
      <c r="F53" s="61">
        <f>F15/'Demographic-Economic'!C$29</f>
        <v>2597022.0883895177</v>
      </c>
      <c r="G53" s="61">
        <f>G15/'Demographic-Economic'!D$29</f>
        <v>1754364.2773170872</v>
      </c>
      <c r="H53" s="61">
        <f>H15/'Demographic-Economic'!E$29</f>
        <v>2199538.2059550192</v>
      </c>
      <c r="I53" s="61">
        <f>I15/'Demographic-Economic'!F$29</f>
        <v>443567.23669052124</v>
      </c>
      <c r="J53" s="61">
        <f>J15/'Demographic-Economic'!G$29</f>
        <v>549320.72064897069</v>
      </c>
      <c r="K53" s="61">
        <f>K15/'Demographic-Economic'!H$29</f>
        <v>127521.18903689418</v>
      </c>
      <c r="N53">
        <v>2030</v>
      </c>
      <c r="O53" s="61">
        <f>O15/'Demographic-Economic'!C$29</f>
        <v>2650972.3488380229</v>
      </c>
      <c r="P53" s="61">
        <f>P15/'Demographic-Economic'!D$29</f>
        <v>1790809.2540871957</v>
      </c>
      <c r="Q53" s="61">
        <f>Q15/'Demographic-Economic'!E$29</f>
        <v>2245268.7890919619</v>
      </c>
      <c r="R53" s="61">
        <f>R15/'Demographic-Economic'!F$29</f>
        <v>452862.91075640765</v>
      </c>
      <c r="S53" s="61">
        <f>S15/'Demographic-Economic'!G$29</f>
        <v>560530.83510152088</v>
      </c>
      <c r="T53" s="61">
        <f>T15/'Demographic-Economic'!H$29</f>
        <v>130248.79215426125</v>
      </c>
      <c r="W53">
        <v>2030</v>
      </c>
      <c r="X53" s="61">
        <f>X15/'Demographic-Economic'!C$29</f>
        <v>2699284.3838296616</v>
      </c>
      <c r="Y53" s="61">
        <f>Y15/'Demographic-Economic'!D$29</f>
        <v>1823445.4448738445</v>
      </c>
      <c r="Z53" s="61">
        <f>Z15/'Demographic-Economic'!E$29</f>
        <v>2286240.7748913416</v>
      </c>
      <c r="AA53" s="61">
        <f>AA15/'Demographic-Economic'!F$29</f>
        <v>461193.28071524005</v>
      </c>
      <c r="AB53" s="61">
        <f>AB15/'Demographic-Economic'!G$29</f>
        <v>570526.50788391801</v>
      </c>
      <c r="AC53" s="61">
        <f>AC15/'Demographic-Economic'!H$29</f>
        <v>132706.78268787722</v>
      </c>
      <c r="AG53">
        <v>2030</v>
      </c>
      <c r="AH53" s="61">
        <f>AH15/'Demographic-Economic'!C$29</f>
        <v>2604106.466590635</v>
      </c>
      <c r="AI53" s="61">
        <f>AI15/'Demographic-Economic'!D$29</f>
        <v>1759149.981720068</v>
      </c>
      <c r="AJ53" s="61">
        <f>AJ15/'Demographic-Economic'!E$29</f>
        <v>2205542.1585718044</v>
      </c>
      <c r="AK53" s="61">
        <f>AK15/'Demographic-Economic'!F$29</f>
        <v>444787.45483050263</v>
      </c>
      <c r="AL53" s="61">
        <f>AL15/'Demographic-Economic'!G$29</f>
        <v>550795.17608747352</v>
      </c>
      <c r="AM53" s="61">
        <f>AM15/'Demographic-Economic'!H$29</f>
        <v>127878.47896610174</v>
      </c>
    </row>
    <row r="54" spans="5:39">
      <c r="E54">
        <v>2040</v>
      </c>
      <c r="F54" s="61">
        <f>F16/'Demographic-Economic'!C$29</f>
        <v>2669559.8796610674</v>
      </c>
      <c r="G54" s="61">
        <f>G16/'Demographic-Economic'!D$29</f>
        <v>1780538.2604867371</v>
      </c>
      <c r="H54" s="61">
        <f>H16/'Demographic-Economic'!E$29</f>
        <v>2348572.3845614595</v>
      </c>
      <c r="I54" s="61">
        <f>I16/'Demographic-Economic'!F$29</f>
        <v>470242.02832507191</v>
      </c>
      <c r="J54" s="61">
        <f>J16/'Demographic-Economic'!G$29</f>
        <v>580552.47997526731</v>
      </c>
      <c r="K54" s="61">
        <f>K16/'Demographic-Economic'!H$29</f>
        <v>136906.64959778453</v>
      </c>
      <c r="N54">
        <v>2040</v>
      </c>
      <c r="O54" s="61">
        <f>O16/'Demographic-Economic'!C$29</f>
        <v>2785807.6706365184</v>
      </c>
      <c r="P54" s="61">
        <f>P16/'Demographic-Economic'!D$29</f>
        <v>1858073.0036126859</v>
      </c>
      <c r="Q54" s="61">
        <f>Q16/'Demographic-Economic'!E$29</f>
        <v>2451604.5567022627</v>
      </c>
      <c r="R54" s="61">
        <f>R16/'Demographic-Economic'!F$29</f>
        <v>490498.75909550244</v>
      </c>
      <c r="S54" s="61">
        <f>S16/'Demographic-Economic'!G$29</f>
        <v>605042.12469272874</v>
      </c>
      <c r="T54" s="61">
        <f>T16/'Demographic-Economic'!H$29</f>
        <v>143112.04741874282</v>
      </c>
      <c r="W54">
        <v>2040</v>
      </c>
      <c r="X54" s="61">
        <f>X16/'Demographic-Economic'!C$29</f>
        <v>2900461.9537995751</v>
      </c>
      <c r="Y54" s="61">
        <f>Y16/'Demographic-Economic'!D$29</f>
        <v>1934544.9117559937</v>
      </c>
      <c r="Z54" s="61">
        <f>Z16/'Demographic-Economic'!E$29</f>
        <v>2553419.247935629</v>
      </c>
      <c r="AA54" s="61">
        <f>AA16/'Demographic-Economic'!F$29</f>
        <v>510403.50632008928</v>
      </c>
      <c r="AB54" s="61">
        <f>AB16/'Demographic-Economic'!G$29</f>
        <v>629025.22143993597</v>
      </c>
      <c r="AC54" s="61">
        <f>AC16/'Demographic-Economic'!H$29</f>
        <v>149282.02784510917</v>
      </c>
      <c r="AG54">
        <v>2040</v>
      </c>
      <c r="AH54" s="61">
        <f>AH16/'Demographic-Economic'!C$29</f>
        <v>2683361.8807912194</v>
      </c>
      <c r="AI54" s="61">
        <f>AI16/'Demographic-Economic'!D$29</f>
        <v>1789743.8944456344</v>
      </c>
      <c r="AJ54" s="61">
        <f>AJ16/'Demographic-Economic'!E$29</f>
        <v>2360801.0784558449</v>
      </c>
      <c r="AK54" s="61">
        <f>AK16/'Demographic-Economic'!F$29</f>
        <v>472649.12622538023</v>
      </c>
      <c r="AL54" s="61">
        <f>AL16/'Demographic-Economic'!G$29</f>
        <v>583463.08474271966</v>
      </c>
      <c r="AM54" s="61">
        <f>AM16/'Demographic-Economic'!H$29</f>
        <v>137642.63165461083</v>
      </c>
    </row>
    <row r="55" spans="5:39">
      <c r="E55">
        <v>2050</v>
      </c>
      <c r="F55" s="61">
        <f>F17/'Demographic-Economic'!C$29</f>
        <v>2680179.2552252728</v>
      </c>
      <c r="G55" s="61">
        <f>G17/'Demographic-Economic'!D$29</f>
        <v>1764993.0366988161</v>
      </c>
      <c r="H55" s="61">
        <f>H17/'Demographic-Economic'!E$29</f>
        <v>2452918.6309736678</v>
      </c>
      <c r="I55" s="61">
        <f>I17/'Demographic-Economic'!F$29</f>
        <v>482010.24544335622</v>
      </c>
      <c r="J55" s="61">
        <f>J17/'Demographic-Economic'!G$29</f>
        <v>597278.79059249721</v>
      </c>
      <c r="K55" s="61">
        <f>K17/'Demographic-Economic'!H$29</f>
        <v>143290.01689365812</v>
      </c>
      <c r="N55">
        <v>2050</v>
      </c>
      <c r="O55" s="61">
        <f>O17/'Demographic-Economic'!C$29</f>
        <v>2869912.7571661165</v>
      </c>
      <c r="P55" s="61">
        <f>P17/'Demographic-Economic'!D$29</f>
        <v>1889939.2727019479</v>
      </c>
      <c r="Q55" s="61">
        <f>Q17/'Demographic-Economic'!E$29</f>
        <v>2629586.6163164899</v>
      </c>
      <c r="R55" s="61">
        <f>R17/'Demographic-Economic'!F$29</f>
        <v>514597.10740932001</v>
      </c>
      <c r="S55" s="61">
        <f>S17/'Demographic-Economic'!G$29</f>
        <v>637614.84609182808</v>
      </c>
      <c r="T55" s="61">
        <f>T17/'Demographic-Economic'!H$29</f>
        <v>153900.79488436106</v>
      </c>
      <c r="W55">
        <v>2050</v>
      </c>
      <c r="X55" s="61">
        <f>X17/'Demographic-Economic'!C$29</f>
        <v>3080722.8452047217</v>
      </c>
      <c r="Y55" s="61">
        <f>Y17/'Demographic-Economic'!D$29</f>
        <v>2028765.18769573</v>
      </c>
      <c r="Z55" s="61">
        <f>Z17/'Demographic-Economic'!E$29</f>
        <v>2827125.4016955304</v>
      </c>
      <c r="AA55" s="61">
        <f>AA17/'Demographic-Economic'!F$29</f>
        <v>550096.27282625693</v>
      </c>
      <c r="AB55" s="61">
        <f>AB17/'Demographic-Economic'!G$29</f>
        <v>681763.02714554383</v>
      </c>
      <c r="AC55" s="61">
        <f>AC17/'Demographic-Economic'!H$29</f>
        <v>165827.60947858897</v>
      </c>
      <c r="AG55">
        <v>2050</v>
      </c>
      <c r="AH55" s="61">
        <f>AH17/'Demographic-Economic'!C$29</f>
        <v>2706601.7113659289</v>
      </c>
      <c r="AI55" s="61">
        <f>AI17/'Demographic-Economic'!D$29</f>
        <v>1782393.160593447</v>
      </c>
      <c r="AJ55" s="61">
        <f>AJ17/'Demographic-Economic'!E$29</f>
        <v>2477403.4263870027</v>
      </c>
      <c r="AK55" s="61">
        <f>AK17/'Demographic-Economic'!F$29</f>
        <v>486611.71222926897</v>
      </c>
      <c r="AL55" s="61">
        <f>AL17/'Demographic-Economic'!G$29</f>
        <v>602966.05422489624</v>
      </c>
      <c r="AM55" s="61">
        <f>AM17/'Demographic-Economic'!H$29</f>
        <v>144751.93555169477</v>
      </c>
    </row>
    <row r="56" spans="5:39">
      <c r="E56">
        <v>2060</v>
      </c>
      <c r="F56" s="61">
        <f>F18/'Demographic-Economic'!C$29</f>
        <v>2634265.8679251806</v>
      </c>
      <c r="G56" s="61">
        <f>G18/'Demographic-Economic'!D$29</f>
        <v>1712798.4888081627</v>
      </c>
      <c r="H56" s="61">
        <f>H18/'Demographic-Economic'!E$29</f>
        <v>2507035.0232758336</v>
      </c>
      <c r="I56" s="61">
        <f>I18/'Demographic-Economic'!F$29</f>
        <v>482157.4540048929</v>
      </c>
      <c r="J56" s="61">
        <f>J18/'Demographic-Economic'!G$29</f>
        <v>600849.76190051041</v>
      </c>
      <c r="K56" s="61">
        <f>K18/'Demographic-Economic'!H$29</f>
        <v>146526.98826204505</v>
      </c>
      <c r="N56">
        <v>2060</v>
      </c>
      <c r="O56" s="61">
        <f>O18/'Demographic-Economic'!C$29</f>
        <v>2898940.5007023392</v>
      </c>
      <c r="P56" s="61">
        <f>P18/'Demographic-Economic'!D$29</f>
        <v>1884889.8166298438</v>
      </c>
      <c r="Q56" s="61">
        <f>Q18/'Demographic-Economic'!E$29</f>
        <v>2764724.1287353607</v>
      </c>
      <c r="R56" s="61">
        <f>R18/'Demographic-Economic'!F$29</f>
        <v>527403.32424663787</v>
      </c>
      <c r="S56" s="61">
        <f>S18/'Demographic-Economic'!G$29</f>
        <v>657966.9922704862</v>
      </c>
      <c r="T56" s="61">
        <f>T18/'Demographic-Economic'!H$29</f>
        <v>161930.67339128256</v>
      </c>
      <c r="W56">
        <v>2060</v>
      </c>
      <c r="X56" s="61">
        <f>X18/'Demographic-Economic'!C$29</f>
        <v>3228534.1333224135</v>
      </c>
      <c r="Y56" s="61">
        <f>Y18/'Demographic-Economic'!D$29</f>
        <v>2099191.449105951</v>
      </c>
      <c r="Z56" s="61">
        <f>Z18/'Demographic-Economic'!E$29</f>
        <v>3087032.3242409206</v>
      </c>
      <c r="AA56" s="61">
        <f>AA18/'Demographic-Economic'!F$29</f>
        <v>583786.90800939128</v>
      </c>
      <c r="AB56" s="61">
        <f>AB18/'Demographic-Economic'!G$29</f>
        <v>727486.943539817</v>
      </c>
      <c r="AC56" s="61">
        <f>AC18/'Demographic-Economic'!H$29</f>
        <v>181273.40658886154</v>
      </c>
      <c r="AG56">
        <v>2060</v>
      </c>
      <c r="AH56" s="61">
        <f>AH18/'Demographic-Economic'!C$29</f>
        <v>2675884.3055798849</v>
      </c>
      <c r="AI56" s="61">
        <f>AI18/'Demographic-Economic'!D$29</f>
        <v>1739858.7783520124</v>
      </c>
      <c r="AJ56" s="61">
        <f>AJ18/'Demographic-Economic'!E$29</f>
        <v>2547249.0815524939</v>
      </c>
      <c r="AK56" s="61">
        <f>AK18/'Demographic-Economic'!F$29</f>
        <v>489442.81418256956</v>
      </c>
      <c r="AL56" s="61">
        <f>AL18/'Demographic-Economic'!G$29</f>
        <v>609999.44510191644</v>
      </c>
      <c r="AM56" s="61">
        <f>AM18/'Demographic-Economic'!H$29</f>
        <v>148914.39919371397</v>
      </c>
    </row>
    <row r="57" spans="5:39">
      <c r="E57">
        <v>2070</v>
      </c>
      <c r="F57" s="61">
        <f>F19/'Demographic-Economic'!C$29</f>
        <v>2543121.5100096301</v>
      </c>
      <c r="G57" s="61">
        <f>G19/'Demographic-Economic'!D$29</f>
        <v>1632605.6266996537</v>
      </c>
      <c r="H57" s="61">
        <f>H19/'Demographic-Economic'!E$29</f>
        <v>2514475.5052941833</v>
      </c>
      <c r="I57" s="61">
        <f>I19/'Demographic-Economic'!F$29</f>
        <v>473276.06731801201</v>
      </c>
      <c r="J57" s="61">
        <f>J19/'Demographic-Economic'!G$29</f>
        <v>593346.99582978559</v>
      </c>
      <c r="K57" s="61">
        <f>K19/'Demographic-Economic'!H$29</f>
        <v>146920.62883943209</v>
      </c>
      <c r="N57">
        <v>2070</v>
      </c>
      <c r="O57" s="61">
        <f>O19/'Demographic-Economic'!C$29</f>
        <v>2887119.1281914795</v>
      </c>
      <c r="P57" s="61">
        <f>P19/'Demographic-Economic'!D$29</f>
        <v>1853441.4950624057</v>
      </c>
      <c r="Q57" s="61">
        <f>Q19/'Demographic-Economic'!E$29</f>
        <v>2863023.4396059453</v>
      </c>
      <c r="R57" s="61">
        <f>R19/'Demographic-Economic'!F$29</f>
        <v>532519.89994097059</v>
      </c>
      <c r="S57" s="61">
        <f>S19/'Demographic-Economic'!G$29</f>
        <v>669145.27955018054</v>
      </c>
      <c r="T57" s="61">
        <f>T19/'Demographic-Economic'!H$29</f>
        <v>167653.95110862257</v>
      </c>
      <c r="W57">
        <v>2070</v>
      </c>
      <c r="X57" s="61">
        <f>X19/'Demographic-Economic'!C$29</f>
        <v>3354071.2694430859</v>
      </c>
      <c r="Y57" s="61">
        <f>Y19/'Demographic-Economic'!D$29</f>
        <v>2153210.3775976081</v>
      </c>
      <c r="Z57" s="61">
        <f>Z19/'Demographic-Economic'!E$29</f>
        <v>3337662.7577839401</v>
      </c>
      <c r="AA57" s="61">
        <f>AA19/'Demographic-Economic'!F$29</f>
        <v>614163.71022369259</v>
      </c>
      <c r="AB57" s="61">
        <f>AB19/'Demographic-Economic'!G$29</f>
        <v>769124.20878690563</v>
      </c>
      <c r="AC57" s="61">
        <f>AC19/'Demographic-Economic'!H$29</f>
        <v>195981.86050278365</v>
      </c>
      <c r="AG57">
        <v>2070</v>
      </c>
      <c r="AH57" s="61">
        <f>AH19/'Demographic-Economic'!C$29</f>
        <v>2602445.4551677252</v>
      </c>
      <c r="AI57" s="61">
        <f>AI19/'Demographic-Economic'!D$29</f>
        <v>1670689.7710403462</v>
      </c>
      <c r="AJ57" s="61">
        <f>AJ19/'Demographic-Economic'!E$29</f>
        <v>2574052.462041711</v>
      </c>
      <c r="AK57" s="61">
        <f>AK19/'Demographic-Economic'!F$29</f>
        <v>483794.5492470219</v>
      </c>
      <c r="AL57" s="61">
        <f>AL19/'Demographic-Economic'!G$29</f>
        <v>606700.56574086321</v>
      </c>
      <c r="AM57" s="61">
        <f>AM19/'Demographic-Economic'!H$29</f>
        <v>150441.37498084235</v>
      </c>
    </row>
    <row r="58" spans="5:39">
      <c r="E58">
        <v>2080</v>
      </c>
      <c r="F58" s="61">
        <f>F20/'Demographic-Economic'!C$29</f>
        <v>2411484.3318484384</v>
      </c>
      <c r="G58" s="61">
        <f>G20/'Demographic-Economic'!D$29</f>
        <v>1528502.4305634135</v>
      </c>
      <c r="H58" s="61">
        <f>H20/'Demographic-Economic'!E$29</f>
        <v>2474586.0749164964</v>
      </c>
      <c r="I58" s="61">
        <f>I20/'Demographic-Economic'!F$29</f>
        <v>456157.80355202826</v>
      </c>
      <c r="J58" s="61">
        <f>J20/'Demographic-Economic'!G$29</f>
        <v>575253.70662998199</v>
      </c>
      <c r="K58" s="61">
        <f>K20/'Demographic-Economic'!H$29</f>
        <v>144486.92440787109</v>
      </c>
      <c r="N58">
        <v>2080</v>
      </c>
      <c r="O58" s="61">
        <f>O20/'Demographic-Economic'!C$29</f>
        <v>2835961.2694321671</v>
      </c>
      <c r="P58" s="61">
        <f>P20/'Demographic-Economic'!D$29</f>
        <v>1797554.1603407832</v>
      </c>
      <c r="Q58" s="61">
        <f>Q20/'Demographic-Economic'!E$29</f>
        <v>2920871.681393363</v>
      </c>
      <c r="R58" s="61">
        <f>R20/'Demographic-Economic'!F$29</f>
        <v>530322.11952823331</v>
      </c>
      <c r="S58" s="61">
        <f>S20/'Demographic-Economic'!G$29</f>
        <v>671008.51563804189</v>
      </c>
      <c r="T58" s="61">
        <f>T20/'Demographic-Economic'!H$29</f>
        <v>170920.17997508997</v>
      </c>
      <c r="W58">
        <v>2080</v>
      </c>
      <c r="X58" s="61">
        <f>X20/'Demographic-Economic'!C$29</f>
        <v>3464051.326693147</v>
      </c>
      <c r="Y58" s="61">
        <f>Y20/'Demographic-Economic'!D$29</f>
        <v>2195664.6379652591</v>
      </c>
      <c r="Z58" s="61">
        <f>Z20/'Demographic-Economic'!E$29</f>
        <v>3583173.9506904469</v>
      </c>
      <c r="AA58" s="61">
        <f>AA20/'Demographic-Economic'!F$29</f>
        <v>642331.2904587721</v>
      </c>
      <c r="AB58" s="61">
        <f>AB20/'Demographic-Economic'!G$29</f>
        <v>808268.1480075093</v>
      </c>
      <c r="AC58" s="61">
        <f>AC20/'Demographic-Economic'!H$29</f>
        <v>210257.54952289298</v>
      </c>
      <c r="AG58">
        <v>2080</v>
      </c>
      <c r="AH58" s="61">
        <f>AH20/'Demographic-Economic'!C$29</f>
        <v>2490934.0512081147</v>
      </c>
      <c r="AI58" s="61">
        <f>AI20/'Demographic-Economic'!D$29</f>
        <v>1578861.0779512492</v>
      </c>
      <c r="AJ58" s="61">
        <f>AJ20/'Demographic-Economic'!E$29</f>
        <v>2557325.7998380898</v>
      </c>
      <c r="AK58" s="61">
        <f>AK20/'Demographic-Economic'!F$29</f>
        <v>470491.95586659166</v>
      </c>
      <c r="AL58" s="61">
        <f>AL20/'Demographic-Economic'!G$29</f>
        <v>593586.81833587447</v>
      </c>
      <c r="AM58" s="61">
        <f>AM20/'Demographic-Economic'!H$29</f>
        <v>149358.12584376233</v>
      </c>
    </row>
    <row r="59" spans="5:39">
      <c r="E59">
        <v>2090</v>
      </c>
      <c r="F59" s="61">
        <f>F21/'Demographic-Economic'!C$29</f>
        <v>2243898.2735921582</v>
      </c>
      <c r="G59" s="61">
        <f>G21/'Demographic-Economic'!D$29</f>
        <v>1404275.6489577109</v>
      </c>
      <c r="H59" s="61">
        <f>H21/'Demographic-Economic'!E$29</f>
        <v>2387415.4611233133</v>
      </c>
      <c r="I59" s="61">
        <f>I21/'Demographic-Economic'!F$29</f>
        <v>431388.52455960197</v>
      </c>
      <c r="J59" s="61">
        <f>J21/'Demographic-Economic'!G$29</f>
        <v>547040.43873313093</v>
      </c>
      <c r="K59" s="61">
        <f>K21/'Demographic-Economic'!H$29</f>
        <v>139262.94465848329</v>
      </c>
      <c r="N59">
        <v>2090</v>
      </c>
      <c r="O59" s="61">
        <f>O21/'Demographic-Economic'!C$29</f>
        <v>2752894.1254484011</v>
      </c>
      <c r="P59" s="61">
        <f>P21/'Demographic-Economic'!D$29</f>
        <v>1722815.2586156684</v>
      </c>
      <c r="Q59" s="61">
        <f>Q21/'Demographic-Economic'!E$29</f>
        <v>2941516.3655492794</v>
      </c>
      <c r="R59" s="61">
        <f>R21/'Demographic-Economic'!F$29</f>
        <v>522023.67734053824</v>
      </c>
      <c r="S59" s="61">
        <f>S21/'Demographic-Economic'!G$29</f>
        <v>664777.88225595374</v>
      </c>
      <c r="T59" s="61">
        <f>T21/'Demographic-Economic'!H$29</f>
        <v>171956.69327772708</v>
      </c>
      <c r="W59">
        <v>2090</v>
      </c>
      <c r="X59" s="61">
        <f>X21/'Demographic-Economic'!C$29</f>
        <v>3567816.4927238198</v>
      </c>
      <c r="Y59" s="61">
        <f>Y21/'Demographic-Economic'!D$29</f>
        <v>2232809.6953616193</v>
      </c>
      <c r="Z59" s="61">
        <f>Z21/'Demographic-Economic'!E$29</f>
        <v>3831818.8152076062</v>
      </c>
      <c r="AA59" s="61">
        <f>AA21/'Demographic-Economic'!F$29</f>
        <v>669946.56519904616</v>
      </c>
      <c r="AB59" s="61">
        <f>AB21/'Demographic-Economic'!G$29</f>
        <v>847004.2643980775</v>
      </c>
      <c r="AC59" s="61">
        <f>AC21/'Demographic-Economic'!H$29</f>
        <v>224617.94266216198</v>
      </c>
      <c r="AG59">
        <v>2090</v>
      </c>
      <c r="AH59" s="61">
        <f>AH21/'Demographic-Economic'!C$29</f>
        <v>2348806.5183777497</v>
      </c>
      <c r="AI59" s="61">
        <f>AI21/'Demographic-Economic'!D$29</f>
        <v>1469929.2907743077</v>
      </c>
      <c r="AJ59" s="61">
        <f>AJ21/'Demographic-Economic'!E$29</f>
        <v>2500488.2416506978</v>
      </c>
      <c r="AK59" s="61">
        <f>AK21/'Demographic-Economic'!F$29</f>
        <v>450718.77105752612</v>
      </c>
      <c r="AL59" s="61">
        <f>AL21/'Demographic-Economic'!G$29</f>
        <v>571885.67083099147</v>
      </c>
      <c r="AM59" s="61">
        <f>AM21/'Demographic-Economic'!H$29</f>
        <v>145897.84570545831</v>
      </c>
    </row>
    <row r="60" spans="5:39">
      <c r="E60">
        <v>2100</v>
      </c>
      <c r="F60" s="61">
        <f>F22/'Demographic-Economic'!C$29</f>
        <v>2053570.2842075769</v>
      </c>
      <c r="G60" s="61">
        <f>G22/'Demographic-Economic'!D$29</f>
        <v>1268896.7448504698</v>
      </c>
      <c r="H60" s="61">
        <f>H22/'Demographic-Economic'!E$29</f>
        <v>2263262.7778215036</v>
      </c>
      <c r="I60" s="61">
        <f>I22/'Demographic-Economic'!F$29</f>
        <v>401217.67927453306</v>
      </c>
      <c r="J60" s="61">
        <f>J22/'Demographic-Economic'!G$29</f>
        <v>511414.3895173574</v>
      </c>
      <c r="K60" s="61">
        <f>K22/'Demographic-Economic'!H$29</f>
        <v>131873.42894647465</v>
      </c>
      <c r="N60">
        <v>2100</v>
      </c>
      <c r="O60" s="61">
        <f>O22/'Demographic-Economic'!C$29</f>
        <v>2653827.1382042239</v>
      </c>
      <c r="P60" s="61">
        <f>P22/'Demographic-Economic'!D$29</f>
        <v>1639794.1881802159</v>
      </c>
      <c r="Q60" s="61">
        <f>Q22/'Demographic-Economic'!E$29</f>
        <v>2938841.0357269486</v>
      </c>
      <c r="R60" s="61">
        <f>R22/'Demographic-Economic'!F$29</f>
        <v>510416.28568909795</v>
      </c>
      <c r="S60" s="61">
        <f>S22/'Demographic-Economic'!G$29</f>
        <v>653866.81975721614</v>
      </c>
      <c r="T60" s="61">
        <f>T22/'Demographic-Economic'!H$29</f>
        <v>171599.5616396016</v>
      </c>
      <c r="W60">
        <v>2100</v>
      </c>
      <c r="X60" s="61">
        <f>X22/'Demographic-Economic'!C$29</f>
        <v>3665541.7218835456</v>
      </c>
      <c r="Y60" s="61">
        <f>Y22/'Demographic-Economic'!D$29</f>
        <v>2264930.4943591948</v>
      </c>
      <c r="Z60" s="61">
        <f>Z22/'Demographic-Economic'!E$29</f>
        <v>4083203.6573276985</v>
      </c>
      <c r="AA60" s="61">
        <f>AA22/'Demographic-Economic'!F$29</f>
        <v>697009.53444451443</v>
      </c>
      <c r="AB60" s="61">
        <f>AB22/'Demographic-Economic'!G$29</f>
        <v>885264.46736235113</v>
      </c>
      <c r="AC60" s="61">
        <f>AC22/'Demographic-Economic'!H$29</f>
        <v>239058.13619064167</v>
      </c>
      <c r="AG60">
        <v>2100</v>
      </c>
      <c r="AH60" s="61">
        <f>AH22/'Demographic-Economic'!C$29</f>
        <v>2186144.917536072</v>
      </c>
      <c r="AI60" s="61">
        <f>AI22/'Demographic-Economic'!D$29</f>
        <v>1350814.3310046657</v>
      </c>
      <c r="AJ60" s="61">
        <f>AJ22/'Demographic-Economic'!E$29</f>
        <v>2411027.4282787871</v>
      </c>
      <c r="AK60" s="61">
        <f>AK22/'Demographic-Economic'!F$29</f>
        <v>426166.35395158606</v>
      </c>
      <c r="AL60" s="61">
        <f>AL22/'Demographic-Economic'!G$29</f>
        <v>543609.33826151455</v>
      </c>
      <c r="AM60" s="61">
        <f>AM22/'Demographic-Economic'!H$29</f>
        <v>140520.28152619328</v>
      </c>
    </row>
    <row r="61" spans="5:39">
      <c r="F61" s="581" t="s">
        <v>49</v>
      </c>
      <c r="G61" s="581"/>
      <c r="H61" s="581"/>
      <c r="I61" s="581"/>
      <c r="J61" s="581"/>
      <c r="K61" s="581"/>
      <c r="O61" s="581" t="s">
        <v>49</v>
      </c>
      <c r="P61" s="581"/>
      <c r="Q61" s="581"/>
      <c r="R61" s="581"/>
      <c r="S61" s="581"/>
      <c r="T61" s="581"/>
      <c r="X61" s="581" t="s">
        <v>49</v>
      </c>
      <c r="Y61" s="581"/>
      <c r="Z61" s="581"/>
      <c r="AA61" s="581"/>
      <c r="AB61" s="581"/>
      <c r="AC61" s="581"/>
      <c r="AH61" s="581" t="s">
        <v>49</v>
      </c>
      <c r="AI61" s="581"/>
      <c r="AJ61" s="581"/>
      <c r="AK61" s="581"/>
      <c r="AL61" s="581"/>
      <c r="AM61" s="581"/>
    </row>
    <row r="62" spans="5:39">
      <c r="E62">
        <v>2020</v>
      </c>
      <c r="F62" s="322" t="s">
        <v>240</v>
      </c>
      <c r="G62" s="322" t="s">
        <v>240</v>
      </c>
      <c r="H62" s="61">
        <f>H24-H43</f>
        <v>190769.1983805669</v>
      </c>
      <c r="I62" s="61">
        <f t="shared" ref="H62:K79" si="0">I24-I43</f>
        <v>92277.599999999977</v>
      </c>
      <c r="J62" s="61">
        <f t="shared" si="0"/>
        <v>59923.200000000012</v>
      </c>
      <c r="K62" s="61">
        <f t="shared" si="0"/>
        <v>19297.358490566039</v>
      </c>
      <c r="N62">
        <v>2020</v>
      </c>
      <c r="O62" t="s">
        <v>240</v>
      </c>
      <c r="P62" t="s">
        <v>240</v>
      </c>
      <c r="Q62" s="61">
        <f>Q24-Q43</f>
        <v>190769.1983805669</v>
      </c>
      <c r="R62" s="61">
        <f t="shared" ref="Q62:T77" si="1">R24-R43</f>
        <v>92277.599999999977</v>
      </c>
      <c r="S62" s="61">
        <f t="shared" si="1"/>
        <v>59923.200000000012</v>
      </c>
      <c r="T62" s="61">
        <f t="shared" si="1"/>
        <v>19297.358490566039</v>
      </c>
      <c r="W62">
        <v>2020</v>
      </c>
      <c r="X62" t="s">
        <v>240</v>
      </c>
      <c r="Y62" t="s">
        <v>240</v>
      </c>
      <c r="Z62" s="61">
        <f>Z24-Z43</f>
        <v>190769.1983805669</v>
      </c>
      <c r="AA62" s="61">
        <f t="shared" ref="AA62:AC62" si="2">AA24-AA43</f>
        <v>92277.599999999977</v>
      </c>
      <c r="AB62" s="61">
        <f t="shared" si="2"/>
        <v>59923.200000000012</v>
      </c>
      <c r="AC62" s="61">
        <f t="shared" si="2"/>
        <v>19297.358490566039</v>
      </c>
      <c r="AG62">
        <v>2020</v>
      </c>
      <c r="AH62" t="s">
        <v>240</v>
      </c>
      <c r="AI62" t="s">
        <v>240</v>
      </c>
      <c r="AJ62" s="61">
        <f>AJ24-AJ43</f>
        <v>190769.1983805669</v>
      </c>
      <c r="AK62" s="61">
        <f t="shared" ref="AK62:AM62" si="3">AK24-AK43</f>
        <v>92277.599999999977</v>
      </c>
      <c r="AL62" s="61">
        <f t="shared" si="3"/>
        <v>59923.200000000012</v>
      </c>
      <c r="AM62" s="61">
        <f t="shared" si="3"/>
        <v>19297.358490566039</v>
      </c>
    </row>
    <row r="63" spans="5:39">
      <c r="E63">
        <v>2021</v>
      </c>
      <c r="F63" s="322" t="s">
        <v>240</v>
      </c>
      <c r="G63" s="322" t="s">
        <v>240</v>
      </c>
      <c r="H63" s="61">
        <f t="shared" si="0"/>
        <v>213171.80045634089</v>
      </c>
      <c r="I63" s="61">
        <f t="shared" si="0"/>
        <v>88909.524725875177</v>
      </c>
      <c r="J63" s="61">
        <f t="shared" si="0"/>
        <v>60144.680820187437</v>
      </c>
      <c r="K63" s="61">
        <f t="shared" si="0"/>
        <v>20517.151602440426</v>
      </c>
      <c r="N63">
        <v>2021</v>
      </c>
      <c r="O63" t="s">
        <v>240</v>
      </c>
      <c r="P63" t="s">
        <v>240</v>
      </c>
      <c r="Q63" s="61">
        <f t="shared" si="1"/>
        <v>208697.16892340616</v>
      </c>
      <c r="R63" s="61">
        <f t="shared" si="1"/>
        <v>88012.371694002359</v>
      </c>
      <c r="S63" s="61">
        <f t="shared" si="1"/>
        <v>59022.789053256973</v>
      </c>
      <c r="T63" s="61">
        <f t="shared" si="1"/>
        <v>20259.693604780216</v>
      </c>
      <c r="W63">
        <v>2021</v>
      </c>
      <c r="X63" t="s">
        <v>240</v>
      </c>
      <c r="Y63" t="s">
        <v>240</v>
      </c>
      <c r="Z63" s="61">
        <f t="shared" ref="Z63:AC63" si="4">Z25-Z44</f>
        <v>204690.17148916493</v>
      </c>
      <c r="AA63" s="61">
        <f t="shared" si="4"/>
        <v>87208.978192129172</v>
      </c>
      <c r="AB63" s="61">
        <f t="shared" si="4"/>
        <v>58018.143777215853</v>
      </c>
      <c r="AC63" s="61">
        <f t="shared" si="4"/>
        <v>20029.141987634473</v>
      </c>
      <c r="AG63">
        <v>2021</v>
      </c>
      <c r="AH63" t="s">
        <v>240</v>
      </c>
      <c r="AI63" t="s">
        <v>240</v>
      </c>
      <c r="AJ63" s="61">
        <f t="shared" ref="AJ63:AM63" si="5">AJ25-AJ44</f>
        <v>212584.22253129655</v>
      </c>
      <c r="AK63" s="61">
        <f t="shared" si="5"/>
        <v>88791.716742572957</v>
      </c>
      <c r="AL63" s="61">
        <f t="shared" si="5"/>
        <v>59997.361687497818</v>
      </c>
      <c r="AM63" s="61">
        <f t="shared" si="5"/>
        <v>20483.343983882791</v>
      </c>
    </row>
    <row r="64" spans="5:39">
      <c r="E64">
        <v>2022</v>
      </c>
      <c r="F64" s="322" t="s">
        <v>240</v>
      </c>
      <c r="G64" s="322" t="s">
        <v>240</v>
      </c>
      <c r="H64" s="61">
        <f t="shared" si="0"/>
        <v>235996.70064033358</v>
      </c>
      <c r="I64" s="61">
        <f t="shared" si="0"/>
        <v>85690.719511091942</v>
      </c>
      <c r="J64" s="61">
        <f t="shared" si="0"/>
        <v>60452.983147645718</v>
      </c>
      <c r="K64" s="61">
        <f t="shared" si="0"/>
        <v>21770.627744031619</v>
      </c>
      <c r="N64">
        <v>2022</v>
      </c>
      <c r="O64" t="s">
        <v>240</v>
      </c>
      <c r="P64" t="s">
        <v>240</v>
      </c>
      <c r="Q64" s="61">
        <f t="shared" si="1"/>
        <v>227043.51121940673</v>
      </c>
      <c r="R64" s="61">
        <f t="shared" si="1"/>
        <v>83875.52434998512</v>
      </c>
      <c r="S64" s="61">
        <f t="shared" si="1"/>
        <v>58205.309486573795</v>
      </c>
      <c r="T64" s="61">
        <f t="shared" si="1"/>
        <v>21252.110134812567</v>
      </c>
      <c r="W64">
        <v>2022</v>
      </c>
      <c r="X64" t="s">
        <v>240</v>
      </c>
      <c r="Y64" t="s">
        <v>240</v>
      </c>
      <c r="Z64" s="61">
        <f t="shared" ref="Z64:AC64" si="6">Z26-Z45</f>
        <v>219026.55356348632</v>
      </c>
      <c r="AA64" s="61">
        <f t="shared" si="6"/>
        <v>82249.517951237038</v>
      </c>
      <c r="AB64" s="61">
        <f t="shared" si="6"/>
        <v>56192.582027453813</v>
      </c>
      <c r="AC64" s="61">
        <f t="shared" si="6"/>
        <v>20787.706312687529</v>
      </c>
      <c r="AG64">
        <v>2022</v>
      </c>
      <c r="AH64" t="s">
        <v>240</v>
      </c>
      <c r="AI64" t="s">
        <v>240</v>
      </c>
      <c r="AJ64" s="61">
        <f t="shared" ref="AJ64:AM64" si="7">AJ26-AJ45</f>
        <v>234820.99318903079</v>
      </c>
      <c r="AK64" s="61">
        <f t="shared" si="7"/>
        <v>85452.393955489562</v>
      </c>
      <c r="AL64" s="61">
        <f t="shared" si="7"/>
        <v>60157.831018818775</v>
      </c>
      <c r="AM64" s="61">
        <f t="shared" si="7"/>
        <v>21702.544474831986</v>
      </c>
    </row>
    <row r="65" spans="5:39">
      <c r="E65">
        <v>2023</v>
      </c>
      <c r="F65" s="322" t="s">
        <v>240</v>
      </c>
      <c r="G65" s="322" t="s">
        <v>240</v>
      </c>
      <c r="H65" s="61">
        <f t="shared" si="0"/>
        <v>259275.90013979073</v>
      </c>
      <c r="I65" s="61">
        <f t="shared" si="0"/>
        <v>82606.649761236564</v>
      </c>
      <c r="J65" s="61">
        <f t="shared" si="0"/>
        <v>60843.404373215919</v>
      </c>
      <c r="K65" s="61">
        <f t="shared" si="0"/>
        <v>23058.75632971598</v>
      </c>
      <c r="N65">
        <v>2023</v>
      </c>
      <c r="O65" t="s">
        <v>240</v>
      </c>
      <c r="P65" t="s">
        <v>240</v>
      </c>
      <c r="Q65" s="61">
        <f t="shared" si="1"/>
        <v>245830.68605773104</v>
      </c>
      <c r="R65" s="61">
        <f t="shared" si="1"/>
        <v>79859.744344847102</v>
      </c>
      <c r="S65" s="61">
        <f t="shared" si="1"/>
        <v>57468.299244468159</v>
      </c>
      <c r="T65" s="61">
        <f t="shared" si="1"/>
        <v>22275.634199516731</v>
      </c>
      <c r="W65">
        <v>2023</v>
      </c>
      <c r="X65" t="s">
        <v>240</v>
      </c>
      <c r="Y65" t="s">
        <v>240</v>
      </c>
      <c r="Z65" s="61">
        <f t="shared" ref="Z65:AC65" si="8">Z27-Z46</f>
        <v>233792.671415349</v>
      </c>
      <c r="AA65" s="61">
        <f t="shared" si="8"/>
        <v>77397.888650343346</v>
      </c>
      <c r="AB65" s="61">
        <f t="shared" si="8"/>
        <v>54446.277993362164</v>
      </c>
      <c r="AC65" s="61">
        <f t="shared" si="8"/>
        <v>21573.996238135805</v>
      </c>
      <c r="AG65">
        <v>2023</v>
      </c>
      <c r="AH65" t="s">
        <v>240</v>
      </c>
      <c r="AI65" t="s">
        <v>240</v>
      </c>
      <c r="AJ65" s="61">
        <f t="shared" ref="AJ65:AM65" si="9">AJ27-AJ46</f>
        <v>257510.23485716269</v>
      </c>
      <c r="AK65" s="61">
        <f t="shared" si="9"/>
        <v>82246.073989092198</v>
      </c>
      <c r="AL65" s="61">
        <f t="shared" si="9"/>
        <v>60400.185926912876</v>
      </c>
      <c r="AM65" s="61">
        <f t="shared" si="9"/>
        <v>22955.944908951977</v>
      </c>
    </row>
    <row r="66" spans="5:39">
      <c r="E66">
        <v>2024</v>
      </c>
      <c r="F66" s="322" t="s">
        <v>240</v>
      </c>
      <c r="G66" s="322" t="s">
        <v>240</v>
      </c>
      <c r="H66" s="61">
        <f t="shared" si="0"/>
        <v>283039.21786437673</v>
      </c>
      <c r="I66" s="61">
        <f t="shared" si="0"/>
        <v>79644.566406635626</v>
      </c>
      <c r="J66" s="61">
        <f t="shared" si="0"/>
        <v>61311.86410423182</v>
      </c>
      <c r="K66" s="61">
        <f t="shared" si="0"/>
        <v>24382.485257648892</v>
      </c>
      <c r="N66">
        <v>2024</v>
      </c>
      <c r="O66" t="s">
        <v>240</v>
      </c>
      <c r="P66" t="s">
        <v>240</v>
      </c>
      <c r="Q66" s="61">
        <f t="shared" si="1"/>
        <v>265080.95870403899</v>
      </c>
      <c r="R66" s="61">
        <f t="shared" si="1"/>
        <v>75958.02768443292</v>
      </c>
      <c r="S66" s="61">
        <f t="shared" si="1"/>
        <v>56809.414846841013</v>
      </c>
      <c r="T66" s="61">
        <f t="shared" si="1"/>
        <v>23331.285805863037</v>
      </c>
      <c r="W66">
        <v>2024</v>
      </c>
      <c r="X66" t="s">
        <v>240</v>
      </c>
      <c r="Y66" t="s">
        <v>240</v>
      </c>
      <c r="Z66" s="61">
        <f t="shared" ref="Z66:AC66" si="10">Z28-Z47</f>
        <v>249003.72999374149</v>
      </c>
      <c r="AA66" s="61">
        <f t="shared" si="10"/>
        <v>72652.295090557309</v>
      </c>
      <c r="AB66" s="61">
        <f t="shared" si="10"/>
        <v>52778.792731106863</v>
      </c>
      <c r="AC66" s="61">
        <f t="shared" si="10"/>
        <v>22388.982442674824</v>
      </c>
      <c r="AG66">
        <v>2024</v>
      </c>
      <c r="AH66" t="s">
        <v>240</v>
      </c>
      <c r="AI66" t="s">
        <v>240</v>
      </c>
      <c r="AJ66" s="61">
        <f t="shared" ref="AJ66:AM66" si="11">AJ28-AJ47</f>
        <v>280680.79571196483</v>
      </c>
      <c r="AK66" s="61">
        <f t="shared" si="11"/>
        <v>79160.755163046299</v>
      </c>
      <c r="AL66" s="61">
        <f t="shared" si="11"/>
        <v>60720.553471145802</v>
      </c>
      <c r="AM66" s="61">
        <f t="shared" si="11"/>
        <v>24244.509008489636</v>
      </c>
    </row>
    <row r="67" spans="5:39">
      <c r="E67">
        <v>2025</v>
      </c>
      <c r="F67" s="322" t="s">
        <v>240</v>
      </c>
      <c r="G67" s="322" t="s">
        <v>240</v>
      </c>
      <c r="H67" s="61">
        <f t="shared" si="0"/>
        <v>307314.64703409374</v>
      </c>
      <c r="I67" s="61">
        <f t="shared" si="0"/>
        <v>76793.243360807654</v>
      </c>
      <c r="J67" s="61">
        <f t="shared" si="0"/>
        <v>61854.813057679217</v>
      </c>
      <c r="K67" s="61">
        <f t="shared" si="0"/>
        <v>25742.745959812964</v>
      </c>
      <c r="N67">
        <v>2025</v>
      </c>
      <c r="O67" t="s">
        <v>240</v>
      </c>
      <c r="P67" t="s">
        <v>240</v>
      </c>
      <c r="Q67" s="61">
        <f t="shared" si="1"/>
        <v>284816.38758382993</v>
      </c>
      <c r="R67" s="61">
        <f t="shared" si="1"/>
        <v>72163.690303407144</v>
      </c>
      <c r="S67" s="61">
        <f t="shared" si="1"/>
        <v>56226.435899449512</v>
      </c>
      <c r="T67" s="61">
        <f t="shared" si="1"/>
        <v>24420.079230626405</v>
      </c>
      <c r="W67">
        <v>2025</v>
      </c>
      <c r="X67" t="s">
        <v>240</v>
      </c>
      <c r="Y67" t="s">
        <v>240</v>
      </c>
      <c r="Z67" s="61">
        <f t="shared" ref="Z67:AC67" si="12">Z29-Z48</f>
        <v>264675.73384847213</v>
      </c>
      <c r="AA67" s="61">
        <f t="shared" si="12"/>
        <v>68010.53643660096</v>
      </c>
      <c r="AB67" s="61">
        <f t="shared" si="12"/>
        <v>51189.511294786469</v>
      </c>
      <c r="AC67" s="61">
        <f t="shared" si="12"/>
        <v>23233.658217656703</v>
      </c>
      <c r="AG67">
        <v>2025</v>
      </c>
      <c r="AH67" t="s">
        <v>240</v>
      </c>
      <c r="AI67" t="s">
        <v>240</v>
      </c>
      <c r="AJ67" s="61">
        <f t="shared" ref="AJ67:AM67" si="13">AJ29-AJ48</f>
        <v>304359.93555573327</v>
      </c>
      <c r="AK67" s="61">
        <f t="shared" si="13"/>
        <v>76185.780537589977</v>
      </c>
      <c r="AL67" s="61">
        <f t="shared" si="13"/>
        <v>61115.535673484905</v>
      </c>
      <c r="AM67" s="61">
        <f t="shared" si="13"/>
        <v>25569.183921683158</v>
      </c>
    </row>
    <row r="68" spans="5:39">
      <c r="E68">
        <v>2026</v>
      </c>
      <c r="F68" s="322" t="s">
        <v>240</v>
      </c>
      <c r="G68" s="322" t="s">
        <v>240</v>
      </c>
      <c r="H68" s="61">
        <f t="shared" si="0"/>
        <v>332128.65175335063</v>
      </c>
      <c r="I68" s="61">
        <f t="shared" si="0"/>
        <v>74042.759696775698</v>
      </c>
      <c r="J68" s="61">
        <f t="shared" si="0"/>
        <v>62469.15747965395</v>
      </c>
      <c r="K68" s="61">
        <f t="shared" si="0"/>
        <v>27140.457641029629</v>
      </c>
      <c r="N68">
        <v>2026</v>
      </c>
      <c r="O68" t="s">
        <v>240</v>
      </c>
      <c r="P68" t="s">
        <v>240</v>
      </c>
      <c r="Q68" s="61">
        <f t="shared" si="1"/>
        <v>305058.82052276563</v>
      </c>
      <c r="R68" s="61">
        <f t="shared" si="1"/>
        <v>68470.372930511949</v>
      </c>
      <c r="S68" s="61">
        <f t="shared" si="1"/>
        <v>55717.267453281092</v>
      </c>
      <c r="T68" s="61">
        <f t="shared" si="1"/>
        <v>25543.023581725356</v>
      </c>
      <c r="W68">
        <v>2026</v>
      </c>
      <c r="X68" t="s">
        <v>240</v>
      </c>
      <c r="Y68" t="s">
        <v>240</v>
      </c>
      <c r="Z68" s="61">
        <f t="shared" ref="Z68:AC68" si="14">Z30-Z49</f>
        <v>280825.40917959996</v>
      </c>
      <c r="AA68" s="61">
        <f t="shared" si="14"/>
        <v>63470.064661248412</v>
      </c>
      <c r="AB68" s="61">
        <f t="shared" si="14"/>
        <v>49677.668677385314</v>
      </c>
      <c r="AC68" s="61">
        <f t="shared" si="14"/>
        <v>24109.036387446729</v>
      </c>
      <c r="AG68">
        <v>2026</v>
      </c>
      <c r="AH68" t="s">
        <v>240</v>
      </c>
      <c r="AI68" t="s">
        <v>240</v>
      </c>
      <c r="AJ68" s="61">
        <f t="shared" ref="AJ68:AM68" si="15">AJ30-AJ49</f>
        <v>328573.56952948496</v>
      </c>
      <c r="AK68" s="61">
        <f t="shared" si="15"/>
        <v>73311.659618553647</v>
      </c>
      <c r="AL68" s="61">
        <f t="shared" si="15"/>
        <v>61582.146922824322</v>
      </c>
      <c r="AM68" s="61">
        <f t="shared" si="15"/>
        <v>26930.904191554859</v>
      </c>
    </row>
    <row r="69" spans="5:39">
      <c r="E69">
        <v>2027</v>
      </c>
      <c r="F69" s="322" t="s">
        <v>240</v>
      </c>
      <c r="G69" s="322" t="s">
        <v>240</v>
      </c>
      <c r="H69" s="61">
        <f t="shared" si="0"/>
        <v>357506.41512724012</v>
      </c>
      <c r="I69" s="61">
        <f t="shared" si="0"/>
        <v>71384.317931846716</v>
      </c>
      <c r="J69" s="61">
        <f t="shared" si="0"/>
        <v>63152.196100608213</v>
      </c>
      <c r="K69" s="61">
        <f t="shared" si="0"/>
        <v>28576.530861666455</v>
      </c>
      <c r="N69">
        <v>2027</v>
      </c>
      <c r="O69" t="s">
        <v>240</v>
      </c>
      <c r="P69" t="s">
        <v>240</v>
      </c>
      <c r="Q69" s="61">
        <f t="shared" si="1"/>
        <v>325829.8972609425</v>
      </c>
      <c r="R69" s="61">
        <f t="shared" si="1"/>
        <v>64872.041462363501</v>
      </c>
      <c r="S69" s="61">
        <f t="shared" si="1"/>
        <v>55279.940579525777</v>
      </c>
      <c r="T69" s="61">
        <f t="shared" si="1"/>
        <v>26701.123500585381</v>
      </c>
      <c r="W69">
        <v>2027</v>
      </c>
      <c r="X69" t="s">
        <v>240</v>
      </c>
      <c r="Y69" t="s">
        <v>240</v>
      </c>
      <c r="Z69" s="61">
        <f t="shared" ref="Z69:AC69" si="16">Z31-Z50</f>
        <v>297470.12805736205</v>
      </c>
      <c r="AA69" s="61">
        <f t="shared" si="16"/>
        <v>59028.04138243146</v>
      </c>
      <c r="AB69" s="61">
        <f t="shared" si="16"/>
        <v>48242.37501626485</v>
      </c>
      <c r="AC69" s="61">
        <f t="shared" si="16"/>
        <v>25016.146485073856</v>
      </c>
      <c r="AG69">
        <v>2027</v>
      </c>
      <c r="AH69" t="s">
        <v>240</v>
      </c>
      <c r="AI69" t="s">
        <v>240</v>
      </c>
      <c r="AJ69" s="61">
        <f t="shared" ref="AJ69:AM69" si="17">AJ31-AJ50</f>
        <v>353346.47534939693</v>
      </c>
      <c r="AK69" s="61">
        <f t="shared" si="17"/>
        <v>70529.91722812457</v>
      </c>
      <c r="AL69" s="61">
        <f t="shared" si="17"/>
        <v>62117.760920597473</v>
      </c>
      <c r="AM69" s="61">
        <f t="shared" si="17"/>
        <v>28330.595162234778</v>
      </c>
    </row>
    <row r="70" spans="5:39">
      <c r="E70">
        <v>2028</v>
      </c>
      <c r="F70" s="322" t="s">
        <v>240</v>
      </c>
      <c r="G70" s="322" t="s">
        <v>240</v>
      </c>
      <c r="H70" s="61">
        <f t="shared" si="0"/>
        <v>383472.04802201036</v>
      </c>
      <c r="I70" s="61">
        <f t="shared" si="0"/>
        <v>68810.091651135241</v>
      </c>
      <c r="J70" s="61">
        <f t="shared" si="0"/>
        <v>63901.567275189795</v>
      </c>
      <c r="K70" s="61">
        <f t="shared" si="0"/>
        <v>30051.870586152669</v>
      </c>
      <c r="N70">
        <v>2028</v>
      </c>
      <c r="O70" t="s">
        <v>240</v>
      </c>
      <c r="P70" t="s">
        <v>240</v>
      </c>
      <c r="Q70" s="61">
        <f t="shared" si="1"/>
        <v>347151.05709365057</v>
      </c>
      <c r="R70" s="61">
        <f t="shared" si="1"/>
        <v>61362.983687995817</v>
      </c>
      <c r="S70" s="61">
        <f t="shared" si="1"/>
        <v>54912.611488405964</v>
      </c>
      <c r="T70" s="61">
        <f t="shared" si="1"/>
        <v>27895.379972014387</v>
      </c>
      <c r="W70">
        <v>2028</v>
      </c>
      <c r="X70" t="s">
        <v>240</v>
      </c>
      <c r="Y70" t="s">
        <v>240</v>
      </c>
      <c r="Z70" s="61">
        <f t="shared" ref="Z70:AC70" si="18">Z32-Z51</f>
        <v>314627.83612730354</v>
      </c>
      <c r="AA70" s="61">
        <f t="shared" si="18"/>
        <v>54681.392170501756</v>
      </c>
      <c r="AB70" s="61">
        <f t="shared" si="18"/>
        <v>46882.639657348278</v>
      </c>
      <c r="AC70" s="61">
        <f t="shared" si="18"/>
        <v>25956.032212138554</v>
      </c>
      <c r="AG70">
        <v>2028</v>
      </c>
      <c r="AH70" t="s">
        <v>240</v>
      </c>
      <c r="AI70" t="s">
        <v>240</v>
      </c>
      <c r="AJ70" s="61">
        <f t="shared" ref="AJ70:AM70" si="19">AJ32-AJ51</f>
        <v>378702.47032834264</v>
      </c>
      <c r="AK70" s="61">
        <f t="shared" si="19"/>
        <v>67832.964889542025</v>
      </c>
      <c r="AL70" s="61">
        <f t="shared" si="19"/>
        <v>62720.065533267451</v>
      </c>
      <c r="AM70" s="61">
        <f t="shared" si="19"/>
        <v>29769.175918368303</v>
      </c>
    </row>
    <row r="71" spans="5:39">
      <c r="E71">
        <v>2029</v>
      </c>
      <c r="F71" s="322" t="s">
        <v>240</v>
      </c>
      <c r="G71" s="322" t="s">
        <v>240</v>
      </c>
      <c r="H71" s="61">
        <f t="shared" si="0"/>
        <v>410048.76567636942</v>
      </c>
      <c r="I71" s="61">
        <f t="shared" si="0"/>
        <v>66313.097109563008</v>
      </c>
      <c r="J71" s="61">
        <f t="shared" si="0"/>
        <v>64715.204445220879</v>
      </c>
      <c r="K71" s="61">
        <f t="shared" si="0"/>
        <v>31567.378794333126</v>
      </c>
      <c r="N71">
        <v>2029</v>
      </c>
      <c r="O71" t="s">
        <v>240</v>
      </c>
      <c r="P71" t="s">
        <v>240</v>
      </c>
      <c r="Q71" s="61">
        <f t="shared" si="1"/>
        <v>369043.5506272288</v>
      </c>
      <c r="R71" s="61">
        <f t="shared" si="1"/>
        <v>57937.803105448955</v>
      </c>
      <c r="S71" s="61">
        <f t="shared" si="1"/>
        <v>54613.559481512755</v>
      </c>
      <c r="T71" s="61">
        <f t="shared" si="1"/>
        <v>29126.791212942946</v>
      </c>
      <c r="W71">
        <v>2029</v>
      </c>
      <c r="X71" t="s">
        <v>240</v>
      </c>
      <c r="Y71" t="s">
        <v>240</v>
      </c>
      <c r="Z71" s="61">
        <f t="shared" ref="Z71:AC71" si="20">Z33-Z52</f>
        <v>332316.98483933834</v>
      </c>
      <c r="AA71" s="61">
        <f t="shared" si="20"/>
        <v>50426.857600465941</v>
      </c>
      <c r="AB71" s="61">
        <f t="shared" si="20"/>
        <v>45597.393759749713</v>
      </c>
      <c r="AC71" s="61">
        <f t="shared" si="20"/>
        <v>26929.749200417369</v>
      </c>
      <c r="AG71">
        <v>2029</v>
      </c>
      <c r="AH71" t="s">
        <v>240</v>
      </c>
      <c r="AI71" t="s">
        <v>240</v>
      </c>
      <c r="AJ71" s="61">
        <f t="shared" ref="AJ71:AM71" si="21">AJ33-AJ52</f>
        <v>404664.56325847283</v>
      </c>
      <c r="AK71" s="61">
        <f t="shared" si="21"/>
        <v>65213.990954445733</v>
      </c>
      <c r="AL71" s="61">
        <f t="shared" si="21"/>
        <v>63387.024226816487</v>
      </c>
      <c r="AM71" s="61">
        <f t="shared" si="21"/>
        <v>31247.561835362299</v>
      </c>
    </row>
    <row r="72" spans="5:39">
      <c r="E72">
        <v>2030</v>
      </c>
      <c r="F72" s="322" t="s">
        <v>240</v>
      </c>
      <c r="G72" s="322" t="s">
        <v>240</v>
      </c>
      <c r="H72" s="61">
        <f t="shared" si="0"/>
        <v>437259.03790716827</v>
      </c>
      <c r="I72" s="61">
        <f t="shared" si="0"/>
        <v>63887.08454019326</v>
      </c>
      <c r="J72" s="61">
        <f t="shared" si="0"/>
        <v>65591.298442403669</v>
      </c>
      <c r="K72" s="61">
        <f t="shared" si="0"/>
        <v>33123.956733257044</v>
      </c>
      <c r="N72">
        <v>2030</v>
      </c>
      <c r="O72" t="s">
        <v>240</v>
      </c>
      <c r="P72" t="s">
        <v>240</v>
      </c>
      <c r="Q72" s="61">
        <f t="shared" si="1"/>
        <v>391528.45477022557</v>
      </c>
      <c r="R72" s="61">
        <f t="shared" si="1"/>
        <v>54591.410474306846</v>
      </c>
      <c r="S72" s="61">
        <f t="shared" si="1"/>
        <v>54381.183989853482</v>
      </c>
      <c r="T72" s="61">
        <f t="shared" si="1"/>
        <v>30396.353615889981</v>
      </c>
      <c r="W72">
        <v>2030</v>
      </c>
      <c r="X72" t="s">
        <v>240</v>
      </c>
      <c r="Y72" t="s">
        <v>240</v>
      </c>
      <c r="Z72" s="61">
        <f t="shared" ref="Z72:AC72" si="22">Z34-Z53</f>
        <v>350556.46897084592</v>
      </c>
      <c r="AA72" s="61">
        <f t="shared" si="22"/>
        <v>46261.040515474451</v>
      </c>
      <c r="AB72" s="61">
        <f t="shared" si="22"/>
        <v>44385.511207456351</v>
      </c>
      <c r="AC72" s="61">
        <f t="shared" si="22"/>
        <v>27938.363082274009</v>
      </c>
      <c r="AG72">
        <v>2030</v>
      </c>
      <c r="AH72" t="s">
        <v>240</v>
      </c>
      <c r="AI72" t="s">
        <v>240</v>
      </c>
      <c r="AJ72" s="61">
        <f t="shared" ref="AJ72:AM72" si="23">AJ34-AJ53</f>
        <v>431255.08529038308</v>
      </c>
      <c r="AK72" s="61">
        <f t="shared" si="23"/>
        <v>62666.866400211875</v>
      </c>
      <c r="AL72" s="61">
        <f t="shared" si="23"/>
        <v>64116.843003900838</v>
      </c>
      <c r="AM72" s="61">
        <f t="shared" si="23"/>
        <v>32766.666804049484</v>
      </c>
    </row>
    <row r="73" spans="5:39">
      <c r="E73">
        <v>2040</v>
      </c>
      <c r="F73" s="322" t="s">
        <v>240</v>
      </c>
      <c r="G73" s="322" t="s">
        <v>240</v>
      </c>
      <c r="H73" s="61">
        <f t="shared" si="0"/>
        <v>793839.62827775534</v>
      </c>
      <c r="I73" s="61">
        <f t="shared" si="0"/>
        <v>48358.163671925489</v>
      </c>
      <c r="J73" s="61">
        <f t="shared" si="0"/>
        <v>86800.379265651223</v>
      </c>
      <c r="K73" s="61">
        <f t="shared" si="0"/>
        <v>53578.018689144461</v>
      </c>
      <c r="N73">
        <v>2040</v>
      </c>
      <c r="O73" t="s">
        <v>240</v>
      </c>
      <c r="P73" t="s">
        <v>240</v>
      </c>
      <c r="Q73" s="61">
        <f t="shared" si="1"/>
        <v>690807.45613695215</v>
      </c>
      <c r="R73" s="61">
        <f t="shared" si="1"/>
        <v>28101.432901494962</v>
      </c>
      <c r="S73" s="61">
        <f t="shared" si="1"/>
        <v>62310.734548189794</v>
      </c>
      <c r="T73" s="61">
        <f t="shared" si="1"/>
        <v>47372.620868186175</v>
      </c>
      <c r="W73">
        <v>2040</v>
      </c>
      <c r="X73" t="s">
        <v>240</v>
      </c>
      <c r="Y73" t="s">
        <v>240</v>
      </c>
      <c r="Z73" s="61">
        <f>Z35-Z54</f>
        <v>588992.76490358589</v>
      </c>
      <c r="AA73" s="61">
        <f t="shared" ref="AA73:AC73" si="24">AA35-AA54</f>
        <v>8196.6856769081205</v>
      </c>
      <c r="AB73" s="61">
        <f t="shared" si="24"/>
        <v>38327.637800982571</v>
      </c>
      <c r="AC73" s="61">
        <f t="shared" si="24"/>
        <v>41202.640441819822</v>
      </c>
      <c r="AG73">
        <v>2040</v>
      </c>
      <c r="AH73" t="s">
        <v>240</v>
      </c>
      <c r="AI73" t="s">
        <v>240</v>
      </c>
      <c r="AJ73" s="61">
        <f>AJ35-AJ54</f>
        <v>781610.93438336998</v>
      </c>
      <c r="AK73" s="61">
        <f t="shared" ref="AK73:AM73" si="25">AK35-AK54</f>
        <v>45951.06577161717</v>
      </c>
      <c r="AL73" s="61">
        <f t="shared" si="25"/>
        <v>83889.77449819888</v>
      </c>
      <c r="AM73" s="61">
        <f t="shared" si="25"/>
        <v>52842.036632318166</v>
      </c>
    </row>
    <row r="74" spans="5:39">
      <c r="E74">
        <v>2050</v>
      </c>
      <c r="F74" s="322" t="s">
        <v>240</v>
      </c>
      <c r="G74" s="322" t="s">
        <v>240</v>
      </c>
      <c r="H74" s="61">
        <f t="shared" si="0"/>
        <v>1292061.4889131347</v>
      </c>
      <c r="I74" s="61">
        <f t="shared" si="0"/>
        <v>47980.62838949461</v>
      </c>
      <c r="J74" s="61">
        <f t="shared" si="0"/>
        <v>126987.16113685071</v>
      </c>
      <c r="K74" s="61">
        <f t="shared" si="0"/>
        <v>82576.807020813518</v>
      </c>
      <c r="N74">
        <v>2050</v>
      </c>
      <c r="O74" t="s">
        <v>240</v>
      </c>
      <c r="P74" t="s">
        <v>240</v>
      </c>
      <c r="Q74" s="61">
        <f t="shared" si="1"/>
        <v>1115393.5035703126</v>
      </c>
      <c r="R74" s="61">
        <f t="shared" si="1"/>
        <v>15393.766423530818</v>
      </c>
      <c r="S74" s="61">
        <f t="shared" si="1"/>
        <v>86651.105637519853</v>
      </c>
      <c r="T74" s="61">
        <f t="shared" si="1"/>
        <v>71966.029030110571</v>
      </c>
      <c r="W74">
        <v>2050</v>
      </c>
      <c r="X74" t="s">
        <v>240</v>
      </c>
      <c r="Y74" t="s">
        <v>240</v>
      </c>
      <c r="Z74" s="61">
        <f>Z36-Z55</f>
        <v>917854.71819127211</v>
      </c>
      <c r="AA74" s="61">
        <f t="shared" ref="AA74:AC74" si="26">AA36-AA55</f>
        <v>-20105.398993406096</v>
      </c>
      <c r="AB74" s="61">
        <f t="shared" si="26"/>
        <v>42502.924583804095</v>
      </c>
      <c r="AC74" s="61">
        <f t="shared" si="26"/>
        <v>60039.214435882663</v>
      </c>
      <c r="AG74">
        <v>2050</v>
      </c>
      <c r="AH74" t="s">
        <v>240</v>
      </c>
      <c r="AI74" t="s">
        <v>240</v>
      </c>
      <c r="AJ74" s="61">
        <f>AJ36-AJ55</f>
        <v>1267576.6934997998</v>
      </c>
      <c r="AK74" s="61">
        <f t="shared" ref="AK74:AM74" si="27">AK36-AK55</f>
        <v>43379.161603581859</v>
      </c>
      <c r="AL74" s="61">
        <f t="shared" si="27"/>
        <v>121299.89750445168</v>
      </c>
      <c r="AM74" s="61">
        <f t="shared" si="27"/>
        <v>81114.888362776866</v>
      </c>
    </row>
    <row r="75" spans="5:39">
      <c r="E75">
        <v>2060</v>
      </c>
      <c r="F75" s="322" t="s">
        <v>240</v>
      </c>
      <c r="G75" s="322" t="s">
        <v>240</v>
      </c>
      <c r="H75" s="61">
        <f t="shared" si="0"/>
        <v>1956057.6714582639</v>
      </c>
      <c r="I75" s="61">
        <f t="shared" si="0"/>
        <v>59474.289833210234</v>
      </c>
      <c r="J75" s="61">
        <f t="shared" si="0"/>
        <v>185182.93664982019</v>
      </c>
      <c r="K75" s="61">
        <f t="shared" si="0"/>
        <v>121294.15768113019</v>
      </c>
      <c r="N75">
        <v>2060</v>
      </c>
      <c r="O75" t="s">
        <v>240</v>
      </c>
      <c r="P75" t="s">
        <v>240</v>
      </c>
      <c r="Q75" s="61">
        <f t="shared" si="1"/>
        <v>1698368.5659987368</v>
      </c>
      <c r="R75" s="61">
        <f t="shared" si="1"/>
        <v>14228.419591465266</v>
      </c>
      <c r="S75" s="61">
        <f t="shared" si="1"/>
        <v>128065.70627984439</v>
      </c>
      <c r="T75" s="61">
        <f t="shared" si="1"/>
        <v>105890.47255189269</v>
      </c>
      <c r="W75">
        <v>2060</v>
      </c>
      <c r="X75" t="s">
        <v>240</v>
      </c>
      <c r="Y75" t="s">
        <v>240</v>
      </c>
      <c r="Z75" s="61">
        <f t="shared" ref="Z75:AC75" si="28">Z37-Z56</f>
        <v>1376060.3704931769</v>
      </c>
      <c r="AA75" s="61">
        <f t="shared" si="28"/>
        <v>-42155.164171288139</v>
      </c>
      <c r="AB75" s="61">
        <f t="shared" si="28"/>
        <v>58545.755010513589</v>
      </c>
      <c r="AC75" s="61">
        <f t="shared" si="28"/>
        <v>86547.7393543137</v>
      </c>
      <c r="AG75">
        <v>2060</v>
      </c>
      <c r="AH75" t="s">
        <v>240</v>
      </c>
      <c r="AI75" t="s">
        <v>240</v>
      </c>
      <c r="AJ75" s="61">
        <f t="shared" ref="AJ75:AM75" si="29">AJ37-AJ56</f>
        <v>1915843.6131816036</v>
      </c>
      <c r="AK75" s="61">
        <f t="shared" si="29"/>
        <v>52188.929655533575</v>
      </c>
      <c r="AL75" s="61">
        <f t="shared" si="29"/>
        <v>176033.25344841415</v>
      </c>
      <c r="AM75" s="61">
        <f t="shared" si="29"/>
        <v>118906.74674946128</v>
      </c>
    </row>
    <row r="76" spans="5:39">
      <c r="E76">
        <v>2070</v>
      </c>
      <c r="F76" s="322" t="s">
        <v>240</v>
      </c>
      <c r="G76" s="322" t="s">
        <v>240</v>
      </c>
      <c r="H76" s="61">
        <f t="shared" si="0"/>
        <v>2804430.2736745318</v>
      </c>
      <c r="I76" s="61">
        <f t="shared" si="0"/>
        <v>80252.22989871772</v>
      </c>
      <c r="J76" s="61">
        <f t="shared" si="0"/>
        <v>259720.03253882017</v>
      </c>
      <c r="K76" s="61">
        <f t="shared" si="0"/>
        <v>170647.77262477181</v>
      </c>
      <c r="N76">
        <v>2070</v>
      </c>
      <c r="O76" t="s">
        <v>240</v>
      </c>
      <c r="P76" t="s">
        <v>240</v>
      </c>
      <c r="Q76" s="61">
        <f t="shared" si="1"/>
        <v>2455882.3393627699</v>
      </c>
      <c r="R76" s="61">
        <f t="shared" si="1"/>
        <v>21008.39727575914</v>
      </c>
      <c r="S76" s="61">
        <f t="shared" si="1"/>
        <v>183921.74881842523</v>
      </c>
      <c r="T76" s="61">
        <f t="shared" si="1"/>
        <v>149914.45035558133</v>
      </c>
      <c r="W76">
        <v>2070</v>
      </c>
      <c r="X76" t="s">
        <v>240</v>
      </c>
      <c r="Y76" t="s">
        <v>240</v>
      </c>
      <c r="Z76" s="61">
        <f t="shared" ref="Z76:AC76" si="30">Z38-Z57</f>
        <v>1981243.021184775</v>
      </c>
      <c r="AA76" s="61">
        <f t="shared" si="30"/>
        <v>-60635.413006962859</v>
      </c>
      <c r="AB76" s="61">
        <f t="shared" si="30"/>
        <v>83942.81958170014</v>
      </c>
      <c r="AC76" s="61">
        <f t="shared" si="30"/>
        <v>121586.54096142025</v>
      </c>
      <c r="AG76">
        <v>2070</v>
      </c>
      <c r="AH76" t="s">
        <v>240</v>
      </c>
      <c r="AI76" t="s">
        <v>240</v>
      </c>
      <c r="AJ76" s="61">
        <f t="shared" ref="AJ76:AM76" si="31">AJ38-AJ57</f>
        <v>2744853.3169270041</v>
      </c>
      <c r="AK76" s="61">
        <f t="shared" si="31"/>
        <v>69733.747969707823</v>
      </c>
      <c r="AL76" s="61">
        <f t="shared" si="31"/>
        <v>246366.46262774256</v>
      </c>
      <c r="AM76" s="61">
        <f t="shared" si="31"/>
        <v>167127.02648336155</v>
      </c>
    </row>
    <row r="77" spans="5:39">
      <c r="E77">
        <v>2080</v>
      </c>
      <c r="F77" s="322" t="s">
        <v>240</v>
      </c>
      <c r="G77" s="322" t="s">
        <v>240</v>
      </c>
      <c r="H77" s="61">
        <f t="shared" si="0"/>
        <v>3864237.8349983539</v>
      </c>
      <c r="I77" s="61">
        <f t="shared" si="0"/>
        <v>109528.34631889791</v>
      </c>
      <c r="J77" s="61">
        <f t="shared" si="0"/>
        <v>350564.46382497984</v>
      </c>
      <c r="K77" s="61">
        <f t="shared" si="0"/>
        <v>232069.18826714333</v>
      </c>
      <c r="N77">
        <v>2080</v>
      </c>
      <c r="O77" t="s">
        <v>240</v>
      </c>
      <c r="P77" t="s">
        <v>240</v>
      </c>
      <c r="Q77" s="61">
        <f t="shared" si="1"/>
        <v>3417952.2285214872</v>
      </c>
      <c r="R77" s="61">
        <f t="shared" si="1"/>
        <v>35364.030342692859</v>
      </c>
      <c r="S77" s="61">
        <f t="shared" si="1"/>
        <v>254809.65481691994</v>
      </c>
      <c r="T77" s="61">
        <f t="shared" si="1"/>
        <v>205635.93269992445</v>
      </c>
      <c r="W77">
        <v>2080</v>
      </c>
      <c r="X77" t="s">
        <v>240</v>
      </c>
      <c r="Y77" t="s">
        <v>240</v>
      </c>
      <c r="Z77" s="61">
        <f t="shared" ref="Z77:AC77" si="32">Z39-Z58</f>
        <v>2755649.9592244034</v>
      </c>
      <c r="AA77" s="61">
        <f t="shared" si="32"/>
        <v>-76645.140587845934</v>
      </c>
      <c r="AB77" s="61">
        <f t="shared" si="32"/>
        <v>117550.02244745253</v>
      </c>
      <c r="AC77" s="61">
        <f t="shared" si="32"/>
        <v>166298.56315212144</v>
      </c>
      <c r="AG77">
        <v>2080</v>
      </c>
      <c r="AH77" t="s">
        <v>240</v>
      </c>
      <c r="AI77" t="s">
        <v>240</v>
      </c>
      <c r="AJ77" s="61">
        <f t="shared" ref="AJ77:AM77" si="33">AJ39-AJ58</f>
        <v>3781498.1100767604</v>
      </c>
      <c r="AK77" s="61">
        <f t="shared" si="33"/>
        <v>95194.194004334509</v>
      </c>
      <c r="AL77" s="61">
        <f t="shared" si="33"/>
        <v>332231.35211908736</v>
      </c>
      <c r="AM77" s="61">
        <f t="shared" si="33"/>
        <v>227197.98683125208</v>
      </c>
    </row>
    <row r="78" spans="5:39">
      <c r="E78">
        <v>2090</v>
      </c>
      <c r="F78" s="322" t="s">
        <v>240</v>
      </c>
      <c r="G78" s="322" t="s">
        <v>240</v>
      </c>
      <c r="H78" s="61">
        <f t="shared" si="0"/>
        <v>5166899.3229033444</v>
      </c>
      <c r="I78" s="61">
        <f t="shared" si="0"/>
        <v>146722.51649255602</v>
      </c>
      <c r="J78" s="61">
        <f t="shared" si="0"/>
        <v>457733.22645441559</v>
      </c>
      <c r="K78" s="61">
        <f t="shared" si="0"/>
        <v>307237.73153962113</v>
      </c>
      <c r="N78">
        <v>2090</v>
      </c>
      <c r="O78" t="s">
        <v>240</v>
      </c>
      <c r="P78" t="s">
        <v>240</v>
      </c>
      <c r="Q78" s="61">
        <f t="shared" ref="Q78:T79" si="34">Q40-Q59</f>
        <v>4612798.4184773779</v>
      </c>
      <c r="R78" s="61">
        <f t="shared" si="34"/>
        <v>56087.36371161975</v>
      </c>
      <c r="S78" s="61">
        <f t="shared" si="34"/>
        <v>339995.78293159278</v>
      </c>
      <c r="T78" s="61">
        <f t="shared" si="34"/>
        <v>274543.9829203774</v>
      </c>
      <c r="W78">
        <v>2090</v>
      </c>
      <c r="X78" t="s">
        <v>240</v>
      </c>
      <c r="Y78" t="s">
        <v>240</v>
      </c>
      <c r="Z78" s="61">
        <f t="shared" ref="Z78:AC78" si="35">Z40-Z59</f>
        <v>3722495.968819051</v>
      </c>
      <c r="AA78" s="61">
        <f t="shared" si="35"/>
        <v>-91835.524146888172</v>
      </c>
      <c r="AB78" s="61">
        <f t="shared" si="35"/>
        <v>157769.40078946901</v>
      </c>
      <c r="AC78" s="61">
        <f t="shared" si="35"/>
        <v>221882.73353594248</v>
      </c>
      <c r="AG78">
        <v>2090</v>
      </c>
      <c r="AH78" t="s">
        <v>240</v>
      </c>
      <c r="AI78" t="s">
        <v>240</v>
      </c>
      <c r="AJ78" s="61">
        <f t="shared" ref="AJ78:AM78" si="36">AJ40-AJ59</f>
        <v>5053826.5423759595</v>
      </c>
      <c r="AK78" s="61">
        <f t="shared" si="36"/>
        <v>127392.26999463188</v>
      </c>
      <c r="AL78" s="61">
        <f t="shared" si="36"/>
        <v>432887.99435655505</v>
      </c>
      <c r="AM78" s="61">
        <f t="shared" si="36"/>
        <v>300602.83049264614</v>
      </c>
    </row>
    <row r="79" spans="5:39">
      <c r="E79">
        <v>2100</v>
      </c>
      <c r="F79" s="322" t="s">
        <v>240</v>
      </c>
      <c r="G79" s="322" t="s">
        <v>240</v>
      </c>
      <c r="H79" s="61">
        <f t="shared" si="0"/>
        <v>6739617.3569147699</v>
      </c>
      <c r="I79" s="61">
        <f t="shared" si="0"/>
        <v>189591.15679590614</v>
      </c>
      <c r="J79" s="61">
        <f t="shared" si="0"/>
        <v>579048.24177696789</v>
      </c>
      <c r="K79" s="61">
        <f t="shared" si="0"/>
        <v>397563.87703459698</v>
      </c>
      <c r="N79">
        <v>2100</v>
      </c>
      <c r="O79" t="s">
        <v>240</v>
      </c>
      <c r="P79" t="s">
        <v>240</v>
      </c>
      <c r="Q79" s="61">
        <f t="shared" si="34"/>
        <v>6064039.0990093248</v>
      </c>
      <c r="R79" s="61">
        <f t="shared" si="34"/>
        <v>80392.550381341251</v>
      </c>
      <c r="S79" s="61">
        <f t="shared" si="34"/>
        <v>436595.81153710908</v>
      </c>
      <c r="T79" s="61">
        <f t="shared" si="34"/>
        <v>357837.74434147007</v>
      </c>
      <c r="W79">
        <v>2100</v>
      </c>
      <c r="X79" t="s">
        <v>240</v>
      </c>
      <c r="Y79" t="s">
        <v>240</v>
      </c>
      <c r="Z79" s="61">
        <f t="shared" ref="Z79:AC79" si="37">Z41-Z60</f>
        <v>4919676.4774085749</v>
      </c>
      <c r="AA79" s="61">
        <f t="shared" si="37"/>
        <v>-106200.69837407523</v>
      </c>
      <c r="AB79" s="61">
        <f t="shared" si="37"/>
        <v>205198.16393197409</v>
      </c>
      <c r="AC79" s="61">
        <f t="shared" si="37"/>
        <v>290379.16979042999</v>
      </c>
      <c r="AG79">
        <v>2100</v>
      </c>
      <c r="AH79" t="s">
        <v>240</v>
      </c>
      <c r="AI79" t="s">
        <v>240</v>
      </c>
      <c r="AJ79" s="61">
        <f>AJ41-AJ60</f>
        <v>6591852.7064574864</v>
      </c>
      <c r="AK79" s="61">
        <f t="shared" ref="AK79:AM79" si="38">AK41-AK60</f>
        <v>164642.48211885314</v>
      </c>
      <c r="AL79" s="61">
        <f t="shared" si="38"/>
        <v>546853.29303281067</v>
      </c>
      <c r="AM79" s="61">
        <f t="shared" si="38"/>
        <v>388917.02445487841</v>
      </c>
    </row>
    <row r="80" spans="5:39">
      <c r="F80" s="581" t="s">
        <v>242</v>
      </c>
      <c r="G80" s="581"/>
      <c r="H80" s="581"/>
      <c r="I80" s="581"/>
      <c r="J80" s="581"/>
      <c r="K80" s="581"/>
      <c r="O80" s="581" t="s">
        <v>242</v>
      </c>
      <c r="P80" s="581"/>
      <c r="Q80" s="581"/>
      <c r="R80" s="581"/>
      <c r="S80" s="581"/>
      <c r="T80" s="581"/>
      <c r="X80" s="581" t="s">
        <v>242</v>
      </c>
      <c r="Y80" s="581"/>
      <c r="Z80" s="581"/>
      <c r="AA80" s="581"/>
      <c r="AB80" s="581"/>
      <c r="AC80" s="581"/>
      <c r="AH80" s="581" t="s">
        <v>242</v>
      </c>
      <c r="AI80" s="581"/>
      <c r="AJ80" s="581"/>
      <c r="AK80" s="581"/>
      <c r="AL80" s="581"/>
      <c r="AM80" s="581"/>
    </row>
    <row r="81" spans="5:40">
      <c r="E81">
        <v>2020</v>
      </c>
      <c r="F81" s="61">
        <f>-F5*$C$4</f>
        <v>-15766.02</v>
      </c>
      <c r="G81" s="61">
        <f t="shared" ref="G81:G98" si="39">-G5*$C$3</f>
        <v>-21061.74</v>
      </c>
      <c r="H81" s="61">
        <f>-(SUM($F81:$G81))*(H62/SUM($H62:$K62))</f>
        <v>19393.417927663519</v>
      </c>
      <c r="I81" s="61">
        <f t="shared" ref="I81:K81" si="40">-(SUM($F81:$G81))*(I62/SUM($H62:$K62))</f>
        <v>9380.854337877543</v>
      </c>
      <c r="J81" s="61">
        <f t="shared" si="40"/>
        <v>6091.7363548629774</v>
      </c>
      <c r="K81" s="61">
        <f t="shared" si="40"/>
        <v>1961.751379595964</v>
      </c>
      <c r="L81" s="61"/>
      <c r="M81" s="61"/>
      <c r="N81">
        <v>2020</v>
      </c>
      <c r="O81" s="61">
        <f>-O5*$C$4</f>
        <v>-15766.02</v>
      </c>
      <c r="P81" s="61">
        <f t="shared" ref="P81:P98" si="41">-P5*$C$3</f>
        <v>-21061.74</v>
      </c>
      <c r="Q81" s="61">
        <f>-(SUM($F81:$G81))*(Q62/SUM($Q62:$T62))</f>
        <v>19393.417927663519</v>
      </c>
      <c r="R81" s="61">
        <f>-(SUM($F81:$G81))*(R62/SUM($Q62:$T62))</f>
        <v>9380.854337877543</v>
      </c>
      <c r="S81" s="61">
        <f>-(SUM($F81:$G81))*(S62/SUM($Q62:$T62))</f>
        <v>6091.7363548629774</v>
      </c>
      <c r="T81" s="61">
        <f>-(SUM($F81:$G81))*(T62/SUM($Q62:$T62))</f>
        <v>1961.751379595964</v>
      </c>
      <c r="U81" s="407"/>
      <c r="W81">
        <v>2020</v>
      </c>
      <c r="X81" s="61">
        <f>-X5*$C$4</f>
        <v>-15766.02</v>
      </c>
      <c r="Y81" s="61">
        <f t="shared" ref="Y81:Y98" si="42">-Y5*$C$3</f>
        <v>-21061.74</v>
      </c>
      <c r="Z81" s="61">
        <f>-(SUM($X81:$Y81))*(Z62/SUM($Z62:$AC62))</f>
        <v>19393.417927663519</v>
      </c>
      <c r="AA81" s="61">
        <f t="shared" ref="AA81:AC81" si="43">-(SUM($X81:$Y81))*(AA62/SUM($Z62:$AC62))</f>
        <v>9380.854337877543</v>
      </c>
      <c r="AB81" s="61">
        <f t="shared" si="43"/>
        <v>6091.7363548629774</v>
      </c>
      <c r="AC81" s="61">
        <f t="shared" si="43"/>
        <v>1961.751379595964</v>
      </c>
      <c r="AD81" s="407"/>
      <c r="AG81">
        <v>2020</v>
      </c>
      <c r="AH81" s="61">
        <f>-AH5*$C$4</f>
        <v>-15766.02</v>
      </c>
      <c r="AI81" s="61">
        <f t="shared" ref="AI81:AI98" si="44">-AI5*$C$3</f>
        <v>-21061.74</v>
      </c>
      <c r="AJ81" s="61">
        <f>-(SUM($AH81:$AI81))*(AJ62/SUM($AJ62:$AM62))</f>
        <v>19393.417927663519</v>
      </c>
      <c r="AK81" s="61">
        <f t="shared" ref="AK81:AM81" si="45">-(SUM($AH81:$AI81))*(AK62/SUM($AJ62:$AM62))</f>
        <v>9380.854337877543</v>
      </c>
      <c r="AL81" s="61">
        <f>-(SUM($AH81:$AI81))*(AL62/SUM($AJ62:$AM62))</f>
        <v>6091.7363548629774</v>
      </c>
      <c r="AM81" s="61">
        <f t="shared" si="45"/>
        <v>1961.751379595964</v>
      </c>
      <c r="AN81" s="407"/>
    </row>
    <row r="82" spans="5:40">
      <c r="E82">
        <v>2021</v>
      </c>
      <c r="F82" s="61">
        <f t="shared" ref="F82:F98" si="46">-F6*$C$4</f>
        <v>-15846.025271675464</v>
      </c>
      <c r="G82" s="61">
        <f t="shared" si="39"/>
        <v>-21142.124714802114</v>
      </c>
      <c r="H82" s="61">
        <f t="shared" ref="H82:K98" si="47">-SUM($F82:$G82)*(MAX(H63,0)/SUM(MAX($H63,0)+MAX($I63,0)+MAX($J63,0)+MAX($K63,0)))</f>
        <v>20600.839940572241</v>
      </c>
      <c r="I82" s="61">
        <f t="shared" si="47"/>
        <v>8592.1819121907338</v>
      </c>
      <c r="J82" s="61">
        <f t="shared" si="47"/>
        <v>5812.3585774528792</v>
      </c>
      <c r="K82" s="61">
        <f t="shared" si="47"/>
        <v>1982.769556261718</v>
      </c>
      <c r="L82" s="61"/>
      <c r="M82" s="61"/>
      <c r="N82">
        <v>2021</v>
      </c>
      <c r="O82" s="61">
        <f>-O6*$C$4</f>
        <v>-15880.807916639291</v>
      </c>
      <c r="P82" s="61">
        <f t="shared" si="41"/>
        <v>-21188.532505091982</v>
      </c>
      <c r="Q82" s="61">
        <f t="shared" ref="Q82:T83" si="48">-SUM($O82:$P82)*(MAX(Q63,0)/SUM(MAX($Q63,0)+MAX($R63,0)+MAX($S63,0)+MAX($T63,0)))</f>
        <v>20575.613100722181</v>
      </c>
      <c r="R82" s="61">
        <f t="shared" si="48"/>
        <v>8677.2068705798574</v>
      </c>
      <c r="S82" s="61">
        <f t="shared" si="48"/>
        <v>5819.1018016687294</v>
      </c>
      <c r="T82" s="61">
        <f t="shared" si="48"/>
        <v>1997.4186487605068</v>
      </c>
      <c r="U82" s="407"/>
      <c r="W82">
        <v>2021</v>
      </c>
      <c r="X82" s="61">
        <f>-X6*$C$4</f>
        <v>-15911.955502334416</v>
      </c>
      <c r="Y82" s="61">
        <f t="shared" si="42"/>
        <v>-21230.090317227274</v>
      </c>
      <c r="Z82" s="61">
        <f>-SUM($X82:$Y82)*(MAX(Z63,0)/SUM(MAX($Z63,0)+MAX($AA63,0)+MAX($AB63,0)+MAX($AC63,0)))</f>
        <v>20550.574353003238</v>
      </c>
      <c r="AA82" s="61">
        <f t="shared" ref="AA82:AC82" si="49">-SUM($X82:$Y82)*(MAX(AA63,0)/SUM(MAX($Z63,0)+MAX($AA63,0)+MAX($AB63,0)+MAX($AC63,0)))</f>
        <v>8755.6455571275746</v>
      </c>
      <c r="AB82" s="61">
        <f t="shared" si="49"/>
        <v>5824.9312550896957</v>
      </c>
      <c r="AC82" s="61">
        <f t="shared" si="49"/>
        <v>2010.8946543411807</v>
      </c>
      <c r="AD82" s="407"/>
      <c r="AG82">
        <v>2021</v>
      </c>
      <c r="AH82" s="61">
        <f>-AH6*$C$4</f>
        <v>-15850.592690066227</v>
      </c>
      <c r="AI82" s="61">
        <f t="shared" si="44"/>
        <v>-21148.218667549667</v>
      </c>
      <c r="AJ82" s="61">
        <f>-SUM($AH82:$AI82)*(MAX(AJ63,0)/SUM(MAX($AJ63,0)+MAX($AK63,0)+MAX($AL63,0)+MAX($AM63,0)))</f>
        <v>20597.686726568812</v>
      </c>
      <c r="AK82" s="61">
        <f t="shared" ref="AK82:AM82" si="50">-SUM($AH82:$AI82)*(MAX(AK63,0)/SUM(MAX($AJ63,0)+MAX($AK63,0)+MAX($AL63,0)+MAX($AM63,0)))</f>
        <v>8603.1970933708526</v>
      </c>
      <c r="AL82" s="61">
        <f t="shared" si="50"/>
        <v>5813.2576620439804</v>
      </c>
      <c r="AM82" s="61">
        <f t="shared" si="50"/>
        <v>1984.6698756322446</v>
      </c>
      <c r="AN82" s="407"/>
    </row>
    <row r="83" spans="5:40">
      <c r="E83">
        <v>2022</v>
      </c>
      <c r="F83" s="61">
        <f t="shared" si="46"/>
        <v>-15925.805895765488</v>
      </c>
      <c r="G83" s="61">
        <f t="shared" si="39"/>
        <v>-21221.975870155213</v>
      </c>
      <c r="H83" s="61">
        <f t="shared" si="47"/>
        <v>21704.66577806561</v>
      </c>
      <c r="I83" s="61">
        <f t="shared" si="47"/>
        <v>7880.9933453465728</v>
      </c>
      <c r="J83" s="61">
        <f t="shared" si="47"/>
        <v>5559.8734683430293</v>
      </c>
      <c r="K83" s="61">
        <f t="shared" si="47"/>
        <v>2002.2491741654919</v>
      </c>
      <c r="L83" s="61"/>
      <c r="M83" s="61"/>
      <c r="N83">
        <v>2022</v>
      </c>
      <c r="O83" s="61">
        <f>-O7*$C$4</f>
        <v>-15995.284229080733</v>
      </c>
      <c r="P83" s="61">
        <f t="shared" si="41"/>
        <v>-21314.559411783506</v>
      </c>
      <c r="Q83" s="61">
        <f t="shared" si="48"/>
        <v>21699.459049417019</v>
      </c>
      <c r="R83" s="61">
        <f t="shared" si="48"/>
        <v>8016.3202907924006</v>
      </c>
      <c r="S83" s="61">
        <f t="shared" si="48"/>
        <v>5562.9148918596975</v>
      </c>
      <c r="T83" s="61">
        <f t="shared" si="48"/>
        <v>2031.1494087951178</v>
      </c>
      <c r="U83" s="407"/>
      <c r="W83">
        <v>2022</v>
      </c>
      <c r="X83" s="61">
        <f>-X7*$C$4</f>
        <v>-16057.501531506743</v>
      </c>
      <c r="Y83" s="61">
        <f t="shared" si="42"/>
        <v>-21397.467246993408</v>
      </c>
      <c r="Z83" s="61">
        <f t="shared" ref="Z83:AC83" si="51">-SUM($X83:$Y83)*(MAX(Z64,0)/SUM(MAX($Z64,0)+MAX($AA64,0)+MAX($AB64,0)+MAX($AC64,0)))</f>
        <v>21688.023245744153</v>
      </c>
      <c r="AA83" s="61">
        <f t="shared" si="51"/>
        <v>8144.3524917659124</v>
      </c>
      <c r="AB83" s="61">
        <f t="shared" si="51"/>
        <v>5564.1930415370998</v>
      </c>
      <c r="AC83" s="61">
        <f t="shared" si="51"/>
        <v>2058.3999994529859</v>
      </c>
      <c r="AD83" s="407"/>
      <c r="AG83">
        <v>2022</v>
      </c>
      <c r="AH83" s="61">
        <f>-AH7*$C$4</f>
        <v>-15934.929314001036</v>
      </c>
      <c r="AI83" s="61">
        <f t="shared" si="44"/>
        <v>-21234.133305886582</v>
      </c>
      <c r="AJ83" s="61">
        <f t="shared" ref="AJ83:AM83" si="52">-SUM($AH83:$AI83)*(MAX(AJ64,0)/SUM(MAX($AJ64,0)+MAX($AK64,0)+MAX($AL64,0)+MAX($AM64,0)))</f>
        <v>21704.410351041755</v>
      </c>
      <c r="AK83" s="61">
        <f t="shared" si="52"/>
        <v>7898.3305483074855</v>
      </c>
      <c r="AL83" s="61">
        <f t="shared" si="52"/>
        <v>5560.3642269326028</v>
      </c>
      <c r="AM83" s="61">
        <f t="shared" si="52"/>
        <v>2005.957493605777</v>
      </c>
      <c r="AN83" s="407"/>
    </row>
    <row r="84" spans="5:40">
      <c r="E84">
        <v>2023</v>
      </c>
      <c r="F84" s="61">
        <f>-F8*$C$4</f>
        <v>-16005.362308880796</v>
      </c>
      <c r="G84" s="61">
        <f t="shared" si="39"/>
        <v>-21301.295631452078</v>
      </c>
      <c r="H84" s="61">
        <f>-SUM($F84:$G84)*(MAX(H65,0)/SUM(MAX($H65,0)+MAX($I65,0)+MAX($J65,0)+MAX($K65,0)))</f>
        <v>22717.38998088189</v>
      </c>
      <c r="I84" s="61">
        <f t="shared" si="47"/>
        <v>7237.8785557328956</v>
      </c>
      <c r="J84" s="61">
        <f t="shared" si="47"/>
        <v>5331.0135811527962</v>
      </c>
      <c r="K84" s="61">
        <f t="shared" si="47"/>
        <v>2020.3758225652937</v>
      </c>
      <c r="L84" s="61"/>
      <c r="M84" s="61"/>
      <c r="N84">
        <v>2023</v>
      </c>
      <c r="O84" s="61">
        <f t="shared" ref="O84:O98" si="53">-O8*$C$4</f>
        <v>-16109.449536978698</v>
      </c>
      <c r="P84" s="61">
        <f t="shared" si="41"/>
        <v>-21439.823755613415</v>
      </c>
      <c r="Q84" s="61">
        <f t="shared" ref="Q84:T84" si="54">-SUM($O84:$P84)*(MAX(Q65,0)/SUM(MAX($Q65,0)+MAX($R65,0)+MAX($S65,0)+MAX($T65,0)))</f>
        <v>22767.590608033777</v>
      </c>
      <c r="R84" s="61">
        <f t="shared" si="54"/>
        <v>7396.2042512411517</v>
      </c>
      <c r="S84" s="61">
        <f t="shared" si="54"/>
        <v>5322.4222375182189</v>
      </c>
      <c r="T84" s="61">
        <f t="shared" si="54"/>
        <v>2063.0561957989685</v>
      </c>
      <c r="U84" s="407"/>
      <c r="W84">
        <v>2023</v>
      </c>
      <c r="X84" s="61">
        <f t="shared" ref="X84:X98" si="55">-X8*$C$4</f>
        <v>-16202.65883317567</v>
      </c>
      <c r="Y84" s="61">
        <f t="shared" si="42"/>
        <v>-21563.874604046232</v>
      </c>
      <c r="Z84" s="61">
        <f t="shared" ref="Z84:AC84" si="56">-SUM($X84:$Y84)*(MAX(Z65,0)/SUM(MAX($Z65,0)+MAX($AA65,0)+MAX($AB65,0)+MAX($AC65,0)))</f>
        <v>22802.922749853642</v>
      </c>
      <c r="AA84" s="61">
        <f t="shared" si="56"/>
        <v>7548.9880209294024</v>
      </c>
      <c r="AB84" s="61">
        <f t="shared" si="56"/>
        <v>5310.4071380151245</v>
      </c>
      <c r="AC84" s="61">
        <f t="shared" si="56"/>
        <v>2104.2155284237292</v>
      </c>
      <c r="AD84" s="407"/>
      <c r="AG84">
        <v>2023</v>
      </c>
      <c r="AH84" s="61">
        <f t="shared" ref="AH84:AH98" si="57">-AH8*$C$4</f>
        <v>-16019.030329824931</v>
      </c>
      <c r="AI84" s="61">
        <f t="shared" si="44"/>
        <v>-21319.486194665144</v>
      </c>
      <c r="AJ84" s="61">
        <f t="shared" ref="AJ84:AM84" si="58">-SUM($AH84:$AI84)*(MAX(AJ65,0)/SUM(MAX($AJ65,0)+MAX($AK65,0)+MAX($AL65,0)+MAX($AM65,0)))</f>
        <v>22724.574504742006</v>
      </c>
      <c r="AK84" s="61">
        <f t="shared" si="58"/>
        <v>7257.9912682863305</v>
      </c>
      <c r="AL84" s="61">
        <f t="shared" si="58"/>
        <v>5330.1513470241125</v>
      </c>
      <c r="AM84" s="61">
        <f t="shared" si="58"/>
        <v>2025.7994044376212</v>
      </c>
      <c r="AN84" s="407"/>
    </row>
    <row r="85" spans="5:40">
      <c r="E85">
        <v>2024</v>
      </c>
      <c r="F85" s="61">
        <f t="shared" si="46"/>
        <v>-16084.694946891608</v>
      </c>
      <c r="G85" s="61">
        <f t="shared" si="39"/>
        <v>-21380.086156593272</v>
      </c>
      <c r="H85" s="61">
        <f t="shared" si="47"/>
        <v>23649.686605084102</v>
      </c>
      <c r="I85" s="61">
        <f t="shared" si="47"/>
        <v>6654.7987573131559</v>
      </c>
      <c r="J85" s="61">
        <f t="shared" si="47"/>
        <v>5122.9874862549414</v>
      </c>
      <c r="K85" s="61">
        <f t="shared" si="47"/>
        <v>2037.3082548326784</v>
      </c>
      <c r="L85" s="61"/>
      <c r="M85" s="61"/>
      <c r="N85">
        <v>2024</v>
      </c>
      <c r="O85" s="61">
        <f t="shared" si="53"/>
        <v>-16223.304438975314</v>
      </c>
      <c r="P85" s="61">
        <f t="shared" si="41"/>
        <v>-21564.328561727856</v>
      </c>
      <c r="Q85" s="61">
        <f t="shared" ref="Q85:T85" si="59">-SUM($O85:$P85)*(MAX(Q66,0)/SUM(MAX($Q66,0)+MAX($R66,0)+MAX($S66,0)+MAX($T66,0)))</f>
        <v>23782.680625819223</v>
      </c>
      <c r="R85" s="61">
        <f t="shared" si="59"/>
        <v>6814.8444996493736</v>
      </c>
      <c r="S85" s="61">
        <f t="shared" si="59"/>
        <v>5096.8586217864249</v>
      </c>
      <c r="T85" s="61">
        <f t="shared" si="59"/>
        <v>2093.2492534481512</v>
      </c>
      <c r="U85" s="407"/>
      <c r="W85">
        <v>2024</v>
      </c>
      <c r="X85" s="61">
        <f t="shared" si="55"/>
        <v>-16347.428151744278</v>
      </c>
      <c r="Y85" s="61">
        <f t="shared" si="42"/>
        <v>-21729.316190143498</v>
      </c>
      <c r="Z85" s="61">
        <f t="shared" ref="Z85:AC85" si="60">-SUM($X85:$Y85)*(MAX(Z66,0)/SUM(MAX($Z66,0)+MAX($AA66,0)+MAX($AB66,0)+MAX($AC66,0)))</f>
        <v>23892.849574501</v>
      </c>
      <c r="AA85" s="61">
        <f t="shared" si="60"/>
        <v>6971.2624701829682</v>
      </c>
      <c r="AB85" s="61">
        <f t="shared" si="60"/>
        <v>5064.3247612387095</v>
      </c>
      <c r="AC85" s="61">
        <f t="shared" si="60"/>
        <v>2148.3075359650984</v>
      </c>
      <c r="AD85" s="407"/>
      <c r="AG85">
        <v>2024</v>
      </c>
      <c r="AH85" s="61">
        <f t="shared" si="57"/>
        <v>-16102.896194782212</v>
      </c>
      <c r="AI85" s="61">
        <f t="shared" si="44"/>
        <v>-21404.279605666656</v>
      </c>
      <c r="AJ85" s="61">
        <f t="shared" ref="AJ85:AM85" si="61">-SUM($AH85:$AI85)*(MAX(AJ66,0)/SUM(MAX($AJ66,0)+MAX($AK66,0)+MAX($AL66,0)+MAX($AM66,0)))</f>
        <v>23667.687557929527</v>
      </c>
      <c r="AK85" s="61">
        <f t="shared" si="61"/>
        <v>6675.0274641923816</v>
      </c>
      <c r="AL85" s="61">
        <f t="shared" si="61"/>
        <v>5120.1047946807248</v>
      </c>
      <c r="AM85" s="61">
        <f t="shared" si="61"/>
        <v>2044.3559836462302</v>
      </c>
      <c r="AN85" s="407"/>
    </row>
    <row r="86" spans="5:40">
      <c r="E86">
        <v>2025</v>
      </c>
      <c r="F86" s="61">
        <f t="shared" si="46"/>
        <v>-16163.804244928786</v>
      </c>
      <c r="G86" s="61">
        <f t="shared" si="39"/>
        <v>-21458.349596011067</v>
      </c>
      <c r="H86" s="61">
        <f t="shared" si="47"/>
        <v>24510.717318812953</v>
      </c>
      <c r="I86" s="61">
        <f t="shared" si="47"/>
        <v>6124.8544388538276</v>
      </c>
      <c r="J86" s="61">
        <f t="shared" si="47"/>
        <v>4933.3992124905053</v>
      </c>
      <c r="K86" s="61">
        <f t="shared" si="47"/>
        <v>2053.1828707825607</v>
      </c>
      <c r="L86" s="61"/>
      <c r="M86" s="61"/>
      <c r="N86">
        <v>2025</v>
      </c>
      <c r="O86" s="61">
        <f t="shared" si="53"/>
        <v>-16336.849532702036</v>
      </c>
      <c r="P86" s="61">
        <f t="shared" si="41"/>
        <v>-21688.076844913248</v>
      </c>
      <c r="Q86" s="61">
        <f t="shared" ref="Q86:T86" si="62">-SUM($O86:$P86)*(MAX(Q67,0)/SUM(MAX($Q67,0)+MAX($R67,0)+MAX($S67,0)+MAX($T67,0)))</f>
        <v>24747.404161028717</v>
      </c>
      <c r="R86" s="61">
        <f t="shared" si="62"/>
        <v>6270.2291284559342</v>
      </c>
      <c r="S86" s="61">
        <f t="shared" si="62"/>
        <v>4885.4574188723727</v>
      </c>
      <c r="T86" s="61">
        <f t="shared" si="62"/>
        <v>2121.8356692582565</v>
      </c>
      <c r="U86" s="407"/>
      <c r="W86">
        <v>2025</v>
      </c>
      <c r="X86" s="61">
        <f t="shared" si="55"/>
        <v>-16491.81023036204</v>
      </c>
      <c r="Y86" s="61">
        <f t="shared" si="42"/>
        <v>-21893.795794093996</v>
      </c>
      <c r="Z86" s="61">
        <f t="shared" ref="Z86:AC86" si="63">-SUM($X86:$Y86)*(MAX(Z67,0)/SUM(MAX($Z67,0)+MAX($AA67,0)+MAX($AB67,0)+MAX($AC67,0)))</f>
        <v>24955.79185978683</v>
      </c>
      <c r="AA86" s="61">
        <f t="shared" si="63"/>
        <v>6412.5893481264438</v>
      </c>
      <c r="AB86" s="61">
        <f t="shared" si="63"/>
        <v>4826.5655891531687</v>
      </c>
      <c r="AC86" s="61">
        <f t="shared" si="63"/>
        <v>2190.6592273895894</v>
      </c>
      <c r="AD86" s="407"/>
      <c r="AG86">
        <v>2025</v>
      </c>
      <c r="AH86" s="61">
        <f t="shared" si="57"/>
        <v>-16186.527365342208</v>
      </c>
      <c r="AI86" s="61">
        <f t="shared" si="44"/>
        <v>-21488.51580282444</v>
      </c>
      <c r="AJ86" s="61">
        <f t="shared" ref="AJ86:AM86" si="64">-SUM($AH86:$AI86)*(MAX(AJ67,0)/SUM(MAX($AJ67,0)+MAX($AK67,0)+MAX($AL67,0)+MAX($AM67,0)))</f>
        <v>24542.009327422584</v>
      </c>
      <c r="AK86" s="61">
        <f t="shared" si="64"/>
        <v>6143.2268775997327</v>
      </c>
      <c r="AL86" s="61">
        <f t="shared" si="64"/>
        <v>4928.0403605370002</v>
      </c>
      <c r="AM86" s="61">
        <f t="shared" si="64"/>
        <v>2061.7666026073348</v>
      </c>
      <c r="AN86" s="407"/>
    </row>
    <row r="87" spans="5:40">
      <c r="E87">
        <v>2026</v>
      </c>
      <c r="F87" s="61">
        <f t="shared" si="46"/>
        <v>-16242.690637385016</v>
      </c>
      <c r="G87" s="61">
        <f t="shared" si="39"/>
        <v>-21536.088092693291</v>
      </c>
      <c r="H87" s="61">
        <f t="shared" si="47"/>
        <v>25308.380458397765</v>
      </c>
      <c r="I87" s="61">
        <f t="shared" si="47"/>
        <v>5642.097791633284</v>
      </c>
      <c r="J87" s="61">
        <f t="shared" si="47"/>
        <v>4760.1831280269753</v>
      </c>
      <c r="K87" s="61">
        <f t="shared" si="47"/>
        <v>2068.1173520202842</v>
      </c>
      <c r="L87" s="61"/>
      <c r="M87" s="61"/>
      <c r="N87">
        <v>2026</v>
      </c>
      <c r="O87" s="61">
        <f t="shared" si="53"/>
        <v>-16450.085414781253</v>
      </c>
      <c r="P87" s="61">
        <f t="shared" si="41"/>
        <v>-21811.071609629202</v>
      </c>
      <c r="Q87" s="61">
        <f t="shared" ref="Q87:T87" si="65">-SUM($O87:$P87)*(MAX(Q68,0)/SUM(MAX($Q68,0)+MAX($R68,0)+MAX($S68,0)+MAX($T68,0)))</f>
        <v>25664.409208660283</v>
      </c>
      <c r="R87" s="61">
        <f t="shared" si="65"/>
        <v>5760.3699724102762</v>
      </c>
      <c r="S87" s="61">
        <f t="shared" si="65"/>
        <v>4687.4591249613195</v>
      </c>
      <c r="T87" s="61">
        <f t="shared" si="65"/>
        <v>2148.918718378568</v>
      </c>
      <c r="U87" s="407"/>
      <c r="W87">
        <v>2026</v>
      </c>
      <c r="X87" s="61">
        <f t="shared" si="55"/>
        <v>-16635.805810926773</v>
      </c>
      <c r="Y87" s="61">
        <f t="shared" si="42"/>
        <v>-22057.317191798556</v>
      </c>
      <c r="Z87" s="61">
        <f t="shared" ref="Z87:AC87" si="66">-SUM($X87:$Y87)*(MAX(Z68,0)/SUM(MAX($Z68,0)+MAX($AA68,0)+MAX($AB68,0)+MAX($AC68,0)))</f>
        <v>25990.13459056888</v>
      </c>
      <c r="AA87" s="61">
        <f t="shared" si="66"/>
        <v>5874.0963926201157</v>
      </c>
      <c r="AB87" s="61">
        <f t="shared" si="66"/>
        <v>4597.6227679782332</v>
      </c>
      <c r="AC87" s="61">
        <f t="shared" si="66"/>
        <v>2231.2692515580998</v>
      </c>
      <c r="AD87" s="407"/>
      <c r="AG87">
        <v>2026</v>
      </c>
      <c r="AH87" s="61">
        <f t="shared" si="57"/>
        <v>-16269.924297200499</v>
      </c>
      <c r="AI87" s="61">
        <f t="shared" si="44"/>
        <v>-21572.197042248896</v>
      </c>
      <c r="AJ87" s="61">
        <f t="shared" ref="AJ87:AM87" si="67">-SUM($AH87:$AI87)*(MAX(AJ68,0)/SUM(MAX($AJ68,0)+MAX($AK68,0)+MAX($AL68,0)+MAX($AM68,0)))</f>
        <v>25354.739988927467</v>
      </c>
      <c r="AK87" s="61">
        <f t="shared" si="67"/>
        <v>5657.1746487307755</v>
      </c>
      <c r="AL87" s="61">
        <f t="shared" si="67"/>
        <v>4752.0539324695328</v>
      </c>
      <c r="AM87" s="61">
        <f t="shared" si="67"/>
        <v>2078.1527693216235</v>
      </c>
      <c r="AN87" s="407"/>
    </row>
    <row r="88" spans="5:40">
      <c r="E88">
        <v>2027</v>
      </c>
      <c r="F88" s="61">
        <f t="shared" si="46"/>
        <v>-16321.354557915973</v>
      </c>
      <c r="G88" s="61">
        <f t="shared" si="39"/>
        <v>-21613.303782207127</v>
      </c>
      <c r="H88" s="61">
        <f t="shared" si="47"/>
        <v>26049.513615371994</v>
      </c>
      <c r="I88" s="61">
        <f t="shared" si="47"/>
        <v>5201.3801241240953</v>
      </c>
      <c r="J88" s="61">
        <f t="shared" si="47"/>
        <v>4601.5509723872619</v>
      </c>
      <c r="K88" s="61">
        <f t="shared" si="47"/>
        <v>2082.2136282397541</v>
      </c>
      <c r="L88" s="61"/>
      <c r="M88" s="61"/>
      <c r="N88">
        <v>2027</v>
      </c>
      <c r="O88" s="61">
        <f t="shared" si="53"/>
        <v>-16563.012680827876</v>
      </c>
      <c r="P88" s="61">
        <f t="shared" si="41"/>
        <v>-21933.31585004129</v>
      </c>
      <c r="Q88" s="61">
        <f t="shared" ref="Q88:T88" si="68">-SUM($O88:$P88)*(MAX(Q69,0)/SUM(MAX($Q69,0)+MAX($R69,0)+MAX($S69,0)+MAX($T69,0)))</f>
        <v>26536.293236152542</v>
      </c>
      <c r="R88" s="61">
        <f t="shared" si="68"/>
        <v>5283.3197000779855</v>
      </c>
      <c r="S88" s="61">
        <f t="shared" si="68"/>
        <v>4502.1182083870908</v>
      </c>
      <c r="T88" s="61">
        <f t="shared" si="68"/>
        <v>2174.5973862515525</v>
      </c>
      <c r="U88" s="407"/>
      <c r="W88">
        <v>2027</v>
      </c>
      <c r="X88" s="61">
        <f t="shared" si="55"/>
        <v>-16779.415634086607</v>
      </c>
      <c r="Y88" s="61">
        <f t="shared" si="42"/>
        <v>-22219.884146290882</v>
      </c>
      <c r="Z88" s="61">
        <f t="shared" ref="Z88:AC88" si="69">-SUM($X88:$Y88)*(MAX(Z69,0)/SUM(MAX($Z69,0)+MAX($AA69,0)+MAX($AB69,0)+MAX($AC69,0)))</f>
        <v>26994.63893025335</v>
      </c>
      <c r="AA88" s="61">
        <f t="shared" si="69"/>
        <v>5356.6409315947249</v>
      </c>
      <c r="AB88" s="61">
        <f t="shared" si="69"/>
        <v>4377.8698157242234</v>
      </c>
      <c r="AC88" s="61">
        <f t="shared" si="69"/>
        <v>2270.1501028051957</v>
      </c>
      <c r="AD88" s="407"/>
      <c r="AG88">
        <v>2027</v>
      </c>
      <c r="AH88" s="61">
        <f t="shared" si="57"/>
        <v>-16353.087445280138</v>
      </c>
      <c r="AI88" s="61">
        <f t="shared" si="44"/>
        <v>-21655.325572252466</v>
      </c>
      <c r="AJ88" s="61">
        <f t="shared" ref="AJ88:AM88" si="70">-SUM($AH88:$AI88)*(MAX(AJ69,0)/SUM(MAX($AJ69,0)+MAX($AK69,0)+MAX($AL69,0)+MAX($AM69,0)))</f>
        <v>26112.176807261094</v>
      </c>
      <c r="AK88" s="61">
        <f t="shared" si="70"/>
        <v>5212.1353893262276</v>
      </c>
      <c r="AL88" s="61">
        <f t="shared" si="70"/>
        <v>4590.4800788685252</v>
      </c>
      <c r="AM88" s="61">
        <f t="shared" si="70"/>
        <v>2093.6207420767555</v>
      </c>
      <c r="AN88" s="407"/>
    </row>
    <row r="89" spans="5:40">
      <c r="E89">
        <v>2028</v>
      </c>
      <c r="F89" s="61">
        <f t="shared" si="46"/>
        <v>-16399.796439441481</v>
      </c>
      <c r="G89" s="61">
        <f t="shared" si="39"/>
        <v>-21689.998792722818</v>
      </c>
      <c r="H89" s="61">
        <f t="shared" si="47"/>
        <v>26740.059394052991</v>
      </c>
      <c r="I89" s="61">
        <f t="shared" si="47"/>
        <v>4798.2270080764156</v>
      </c>
      <c r="J89" s="61">
        <f t="shared" si="47"/>
        <v>4455.9485186090305</v>
      </c>
      <c r="K89" s="61">
        <f t="shared" si="47"/>
        <v>2095.5603114258602</v>
      </c>
      <c r="L89" s="61"/>
      <c r="M89" s="61"/>
      <c r="N89">
        <v>2028</v>
      </c>
      <c r="O89" s="61">
        <f t="shared" si="53"/>
        <v>-16675.631925450925</v>
      </c>
      <c r="P89" s="61">
        <f t="shared" si="41"/>
        <v>-22054.812550053764</v>
      </c>
      <c r="Q89" s="61">
        <f t="shared" ref="Q89:T89" si="71">-SUM($O89:$P89)*(MAX(Q70,0)/SUM(MAX($Q70,0)+MAX($R70,0)+MAX($S70,0)+MAX($T70,0)))</f>
        <v>27365.584808039086</v>
      </c>
      <c r="R89" s="61">
        <f t="shared" si="71"/>
        <v>4837.1851385005666</v>
      </c>
      <c r="S89" s="61">
        <f t="shared" si="71"/>
        <v>4328.7084858609223</v>
      </c>
      <c r="T89" s="61">
        <f t="shared" si="71"/>
        <v>2198.9660431041125</v>
      </c>
      <c r="U89" s="407"/>
      <c r="W89">
        <v>2028</v>
      </c>
      <c r="X89" s="61">
        <f t="shared" si="55"/>
        <v>-16922.640439241961</v>
      </c>
      <c r="Y89" s="61">
        <f t="shared" si="42"/>
        <v>-22381.500407778294</v>
      </c>
      <c r="Z89" s="61">
        <f t="shared" ref="Z89:AC89" si="72">-SUM($X89:$Y89)*(MAX(Z70,0)/SUM(MAX($Z70,0)+MAX($AA70,0)+MAX($AB70,0)+MAX($AC70,0)))</f>
        <v>27968.416859747278</v>
      </c>
      <c r="AA89" s="61">
        <f t="shared" si="72"/>
        <v>4860.8285570673834</v>
      </c>
      <c r="AB89" s="61">
        <f t="shared" si="72"/>
        <v>4167.5689778811866</v>
      </c>
      <c r="AC89" s="61">
        <f t="shared" si="72"/>
        <v>2307.326452324417</v>
      </c>
      <c r="AD89" s="407"/>
      <c r="AG89">
        <v>2028</v>
      </c>
      <c r="AH89" s="61">
        <f t="shared" si="57"/>
        <v>-16436.017263732865</v>
      </c>
      <c r="AI89" s="61">
        <f t="shared" si="44"/>
        <v>-21737.903633374506</v>
      </c>
      <c r="AJ89" s="61">
        <f t="shared" ref="AJ89:AM89" si="73">-SUM($AH89:$AI89)*(MAX(AJ70,0)/SUM(MAX($AJ70,0)+MAX($AK70,0)+MAX($AL70,0)+MAX($AM70,0)))</f>
        <v>26819.844752147983</v>
      </c>
      <c r="AK89" s="61">
        <f t="shared" si="73"/>
        <v>4803.9548985198826</v>
      </c>
      <c r="AL89" s="61">
        <f t="shared" si="73"/>
        <v>4441.8575326121572</v>
      </c>
      <c r="AM89" s="61">
        <f t="shared" si="73"/>
        <v>2108.2637138273417</v>
      </c>
      <c r="AN89" s="407"/>
    </row>
    <row r="90" spans="5:40">
      <c r="E90">
        <v>2029</v>
      </c>
      <c r="F90" s="61">
        <f t="shared" si="46"/>
        <v>-16478.016714146674</v>
      </c>
      <c r="G90" s="61">
        <f t="shared" si="39"/>
        <v>-21766.175245037288</v>
      </c>
      <c r="H90" s="61">
        <f t="shared" si="47"/>
        <v>27385.201787944286</v>
      </c>
      <c r="I90" s="61">
        <f t="shared" si="47"/>
        <v>4428.7355493765881</v>
      </c>
      <c r="J90" s="61">
        <f t="shared" si="47"/>
        <v>4322.0199176972537</v>
      </c>
      <c r="K90" s="61">
        <f t="shared" si="47"/>
        <v>2108.234704165834</v>
      </c>
      <c r="L90" s="61"/>
      <c r="M90" s="61"/>
      <c r="N90">
        <v>2029</v>
      </c>
      <c r="O90" s="61">
        <f t="shared" si="53"/>
        <v>-16787.943742255102</v>
      </c>
      <c r="P90" s="61">
        <f t="shared" si="41"/>
        <v>-22175.564683342112</v>
      </c>
      <c r="Q90" s="61">
        <f t="shared" ref="Q90:T90" si="74">-SUM($O90:$P90)*(MAX(Q71,0)/SUM(MAX($Q71,0)+MAX($R71,0)+MAX($S71,0)+MAX($T71,0)))</f>
        <v>28154.729610336901</v>
      </c>
      <c r="R90" s="61">
        <f t="shared" si="74"/>
        <v>4420.1373466042569</v>
      </c>
      <c r="S90" s="61">
        <f t="shared" si="74"/>
        <v>4166.5272232685729</v>
      </c>
      <c r="T90" s="61">
        <f t="shared" si="74"/>
        <v>2222.1142453874922</v>
      </c>
      <c r="U90" s="407"/>
      <c r="W90">
        <v>2029</v>
      </c>
      <c r="X90" s="61">
        <f t="shared" si="55"/>
        <v>-17065.4809645475</v>
      </c>
      <c r="Y90" s="61">
        <f t="shared" si="42"/>
        <v>-22542.16971368236</v>
      </c>
      <c r="Z90" s="61">
        <f t="shared" ref="Z90:AC90" si="75">-SUM($X90:$Y90)*(MAX(Z71,0)/SUM(MAX($Z71,0)+MAX($AA71,0)+MAX($AB71,0)+MAX($AC71,0)))</f>
        <v>28910.902456029762</v>
      </c>
      <c r="AA90" s="61">
        <f t="shared" si="75"/>
        <v>4387.0341504091402</v>
      </c>
      <c r="AB90" s="61">
        <f t="shared" si="75"/>
        <v>3966.8806091106949</v>
      </c>
      <c r="AC90" s="61">
        <f t="shared" si="75"/>
        <v>2342.8334626802643</v>
      </c>
      <c r="AD90" s="407"/>
      <c r="AG90">
        <v>2029</v>
      </c>
      <c r="AH90" s="61">
        <f t="shared" si="57"/>
        <v>-16518.714205940327</v>
      </c>
      <c r="AI90" s="61">
        <f t="shared" si="44"/>
        <v>-21819.933458406111</v>
      </c>
      <c r="AJ90" s="61">
        <f t="shared" ref="AJ90:AM90" si="76">-SUM($AH90:$AI90)*(MAX(AJ71,0)/SUM(MAX($AJ71,0)+MAX($AK71,0)+MAX($AL71,0)+MAX($AM71,0)))</f>
        <v>27482.605817559583</v>
      </c>
      <c r="AK90" s="61">
        <f t="shared" si="76"/>
        <v>4428.9778990263549</v>
      </c>
      <c r="AL90" s="61">
        <f t="shared" si="76"/>
        <v>4304.9003024784188</v>
      </c>
      <c r="AM90" s="61">
        <f t="shared" si="76"/>
        <v>2122.1636452820781</v>
      </c>
      <c r="AN90" s="407"/>
    </row>
    <row r="91" spans="5:40">
      <c r="E91">
        <v>2030</v>
      </c>
      <c r="F91" s="61">
        <f t="shared" si="46"/>
        <v>-16556.015813483176</v>
      </c>
      <c r="G91" s="61">
        <f t="shared" si="39"/>
        <v>-21841.835252597739</v>
      </c>
      <c r="H91" s="61">
        <f t="shared" si="47"/>
        <v>27989.47897160448</v>
      </c>
      <c r="I91" s="61">
        <f t="shared" si="47"/>
        <v>4089.4894199407972</v>
      </c>
      <c r="J91" s="61">
        <f t="shared" si="47"/>
        <v>4198.5782095226859</v>
      </c>
      <c r="K91" s="61">
        <f t="shared" si="47"/>
        <v>2120.3044650129473</v>
      </c>
      <c r="L91" s="61"/>
      <c r="M91" s="61"/>
      <c r="N91">
        <v>2030</v>
      </c>
      <c r="O91" s="61">
        <f t="shared" si="53"/>
        <v>-16899.948723842394</v>
      </c>
      <c r="P91" s="61">
        <f t="shared" si="41"/>
        <v>-22295.575213385589</v>
      </c>
      <c r="Q91" s="61">
        <f t="shared" ref="Q91:T91" si="77">-SUM($O91:$P91)*(MAX(Q72,0)/SUM(MAX($Q72,0)+MAX($R72,0)+MAX($S72,0)+MAX($T72,0)))</f>
        <v>28906.080230684795</v>
      </c>
      <c r="R91" s="61">
        <f t="shared" si="77"/>
        <v>4030.4189180902499</v>
      </c>
      <c r="S91" s="61">
        <f t="shared" si="77"/>
        <v>4014.8981467333124</v>
      </c>
      <c r="T91" s="61">
        <f t="shared" si="77"/>
        <v>2244.1266417196284</v>
      </c>
      <c r="U91" s="407"/>
      <c r="W91">
        <v>2030</v>
      </c>
      <c r="X91" s="61">
        <f t="shared" si="55"/>
        <v>-17207.937946914091</v>
      </c>
      <c r="Y91" s="61">
        <f t="shared" si="42"/>
        <v>-22701.895788679365</v>
      </c>
      <c r="Z91" s="61">
        <f t="shared" ref="Z91:AC91" si="78">-SUM($X91:$Y91)*(MAX(Z72,0)/SUM(MAX($Z72,0)+MAX($AA72,0)+MAX($AB72,0)+MAX($AC72,0)))</f>
        <v>29821.82104455266</v>
      </c>
      <c r="AA91" s="61">
        <f t="shared" si="78"/>
        <v>3935.4243715354542</v>
      </c>
      <c r="AB91" s="61">
        <f t="shared" si="78"/>
        <v>3775.8731883787659</v>
      </c>
      <c r="AC91" s="61">
        <f t="shared" si="78"/>
        <v>2376.715131126572</v>
      </c>
      <c r="AD91" s="407"/>
      <c r="AG91">
        <v>2030</v>
      </c>
      <c r="AH91" s="61">
        <f t="shared" si="57"/>
        <v>-16601.178724515295</v>
      </c>
      <c r="AI91" s="61">
        <f t="shared" si="44"/>
        <v>-21901.417272414848</v>
      </c>
      <c r="AJ91" s="61">
        <f t="shared" ref="AJ91:AM91" si="79">-SUM($AH91:$AI91)*(MAX(AJ72,0)/SUM(MAX($AJ72,0)+MAX($AK72,0)+MAX($AL72,0)+MAX($AM72,0)))</f>
        <v>28104.750891166492</v>
      </c>
      <c r="AK91" s="61">
        <f t="shared" si="79"/>
        <v>4083.9789010767208</v>
      </c>
      <c r="AL91" s="61">
        <f t="shared" si="79"/>
        <v>4178.4733954831072</v>
      </c>
      <c r="AM91" s="61">
        <f t="shared" si="79"/>
        <v>2135.3928092038223</v>
      </c>
      <c r="AN91" s="407"/>
    </row>
    <row r="92" spans="5:40">
      <c r="E92">
        <v>2040</v>
      </c>
      <c r="F92" s="61">
        <f>-F16*$C$4</f>
        <v>-17018.444232839305</v>
      </c>
      <c r="G92" s="61">
        <f t="shared" si="39"/>
        <v>-22167.701343059882</v>
      </c>
      <c r="H92" s="61">
        <f t="shared" si="47"/>
        <v>31659.138046723896</v>
      </c>
      <c r="I92" s="61">
        <f t="shared" si="47"/>
        <v>1928.5731334640379</v>
      </c>
      <c r="J92" s="61">
        <f t="shared" si="47"/>
        <v>3461.6880939052094</v>
      </c>
      <c r="K92" s="61">
        <f t="shared" si="47"/>
        <v>2136.7463018060425</v>
      </c>
      <c r="L92" s="61"/>
      <c r="M92" s="61"/>
      <c r="N92">
        <v>2040</v>
      </c>
      <c r="O92" s="61">
        <f>-O16*$C$4</f>
        <v>-17759.523900307802</v>
      </c>
      <c r="P92" s="61">
        <f t="shared" si="41"/>
        <v>-23133.008894977942</v>
      </c>
      <c r="Q92" s="61">
        <f>-SUM($O92:$P92)*(MAX(Q73,0)/SUM(MAX($Q73,0)+MAX($R73,0)+MAX($S73,0)+MAX($T73,0)))</f>
        <v>34092.603140275278</v>
      </c>
      <c r="R92" s="61">
        <f>-SUM($O92:$P92)*(MAX(R73,0)/SUM(MAX($Q73,0)+MAX($R73,0)+MAX($S73,0)+MAX($T73,0)))</f>
        <v>1386.8567732914121</v>
      </c>
      <c r="S92" s="61">
        <f>-SUM($O92:$P92)*(MAX(S73,0)/SUM(MAX($Q73,0)+MAX($R73,0)+MAX($S73,0)+MAX($T73,0)))</f>
        <v>3075.1479670035965</v>
      </c>
      <c r="T92" s="61">
        <f>-SUM($O92:$P92)*(MAX(T73,0)/SUM(MAX($Q73,0)+MAX($R73,0)+MAX($S73,0)+MAX($T73,0)))</f>
        <v>2337.9249147154692</v>
      </c>
      <c r="U92" s="407"/>
      <c r="W92">
        <v>2040</v>
      </c>
      <c r="X92" s="61">
        <f>-X16*$C$4</f>
        <v>-18490.444955472289</v>
      </c>
      <c r="Y92" s="61">
        <f t="shared" si="42"/>
        <v>-24085.084151362124</v>
      </c>
      <c r="Z92" s="61">
        <f t="shared" ref="Z92:AC92" si="80">-SUM($X92:$Y92)*(MAX(Z73,0)/SUM(MAX($Z73,0)+MAX($AA73,0)+MAX($AB73,0)+MAX($AC73,0)))</f>
        <v>37056.225107359722</v>
      </c>
      <c r="AA92" s="61">
        <f t="shared" si="80"/>
        <v>515.69093489204124</v>
      </c>
      <c r="AB92" s="61">
        <f t="shared" si="80"/>
        <v>2411.3667583319971</v>
      </c>
      <c r="AC92" s="61">
        <f t="shared" si="80"/>
        <v>2592.2463062506513</v>
      </c>
      <c r="AD92" s="407"/>
      <c r="AG92">
        <v>2040</v>
      </c>
      <c r="AH92" s="61">
        <f>-AH16*$C$4</f>
        <v>-17106.43199004402</v>
      </c>
      <c r="AI92" s="61">
        <f t="shared" si="44"/>
        <v>-22282.311485848153</v>
      </c>
      <c r="AJ92" s="61">
        <f t="shared" ref="AJ92:AM92" si="81">-SUM($AH92:$AI92)*(MAX(AJ73,0)/SUM(MAX($AJ73,0)+MAX($AK73,0)+MAX($AL73,0)+MAX($AM73,0)))</f>
        <v>31926.651640890555</v>
      </c>
      <c r="AK92" s="61">
        <f t="shared" si="81"/>
        <v>1876.9743421968242</v>
      </c>
      <c r="AL92" s="61">
        <f t="shared" si="81"/>
        <v>3426.6659904775324</v>
      </c>
      <c r="AM92" s="61">
        <f t="shared" si="81"/>
        <v>2158.4515023272616</v>
      </c>
      <c r="AN92" s="407"/>
    </row>
    <row r="93" spans="5:40">
      <c r="E93">
        <v>2050</v>
      </c>
      <c r="F93" s="61">
        <f t="shared" si="46"/>
        <v>-17086.142752061114</v>
      </c>
      <c r="G93" s="61">
        <f t="shared" si="39"/>
        <v>-21974.163306900264</v>
      </c>
      <c r="H93" s="61">
        <f t="shared" si="47"/>
        <v>32568.481549911645</v>
      </c>
      <c r="I93" s="61">
        <f t="shared" si="47"/>
        <v>1209.4286718280784</v>
      </c>
      <c r="J93" s="61">
        <f>-SUM($F93:$G93)*(MAX(J74,0)/SUM(MAX($H74,0)+MAX($I74,0)+MAX($J74,0)+MAX($K74,0)))</f>
        <v>3200.9150106626448</v>
      </c>
      <c r="K93" s="61">
        <f t="shared" si="47"/>
        <v>2081.4808265590118</v>
      </c>
      <c r="L93" s="61"/>
      <c r="M93" s="61"/>
      <c r="N93">
        <v>2050</v>
      </c>
      <c r="O93" s="61">
        <f t="shared" si="53"/>
        <v>-18295.693826933992</v>
      </c>
      <c r="P93" s="61">
        <f t="shared" si="41"/>
        <v>-23529.743945139257</v>
      </c>
      <c r="Q93" s="61">
        <f t="shared" ref="Q93:T93" si="82">-SUM($O93:$P93)*(MAX(Q74,0)/SUM(MAX($Q74,0)+MAX($R74,0)+MAX($S74,0)+MAX($T74,0)))</f>
        <v>36180.90756189332</v>
      </c>
      <c r="R93" s="61">
        <f t="shared" si="82"/>
        <v>499.33986365918952</v>
      </c>
      <c r="S93" s="61">
        <f t="shared" si="82"/>
        <v>2810.7709370474436</v>
      </c>
      <c r="T93" s="61">
        <f t="shared" si="82"/>
        <v>2334.4194094732975</v>
      </c>
      <c r="U93" s="407"/>
      <c r="W93">
        <v>2050</v>
      </c>
      <c r="X93" s="61">
        <f t="shared" si="55"/>
        <v>-19639.608138180101</v>
      </c>
      <c r="Y93" s="61">
        <f t="shared" si="42"/>
        <v>-25258.126586811843</v>
      </c>
      <c r="Z93" s="61">
        <f t="shared" ref="Z93:AC93" si="83">-SUM($X93:$Y93)*(MAX(Z74,0)/SUM(MAX($Z74,0)+MAX($AA74,0)+MAX($AB74,0)+MAX($AC74,0)))</f>
        <v>40385.853172923111</v>
      </c>
      <c r="AA93" s="61">
        <f t="shared" si="83"/>
        <v>0</v>
      </c>
      <c r="AB93" s="61">
        <f t="shared" si="83"/>
        <v>1870.1400533669539</v>
      </c>
      <c r="AC93" s="61">
        <f t="shared" si="83"/>
        <v>2641.7414987018797</v>
      </c>
      <c r="AD93" s="407"/>
      <c r="AG93">
        <v>2050</v>
      </c>
      <c r="AH93" s="61">
        <f t="shared" si="57"/>
        <v>-17254.585909957794</v>
      </c>
      <c r="AI93" s="61">
        <f t="shared" si="44"/>
        <v>-22190.794849388418</v>
      </c>
      <c r="AJ93" s="61">
        <f t="shared" ref="AJ93:AM93" si="84">-SUM($AH93:$AI93)*(MAX(AJ74,0)/SUM(MAX($AJ74,0)+MAX($AK74,0)+MAX($AL74,0)+MAX($AM74,0)))</f>
        <v>33038.86302743711</v>
      </c>
      <c r="AK93" s="61">
        <f t="shared" si="84"/>
        <v>1130.6599323065152</v>
      </c>
      <c r="AL93" s="61">
        <f t="shared" si="84"/>
        <v>3161.631733561353</v>
      </c>
      <c r="AM93" s="61">
        <f t="shared" si="84"/>
        <v>2114.2260660412344</v>
      </c>
      <c r="AN93" s="407"/>
    </row>
    <row r="94" spans="5:40">
      <c r="E94">
        <v>2060</v>
      </c>
      <c r="F94" s="61">
        <f t="shared" si="46"/>
        <v>-16793.444908023026</v>
      </c>
      <c r="G94" s="61">
        <f t="shared" si="39"/>
        <v>-21324.341185661629</v>
      </c>
      <c r="H94" s="61">
        <f t="shared" si="47"/>
        <v>32110.377746813185</v>
      </c>
      <c r="I94" s="61">
        <f t="shared" si="47"/>
        <v>976.32188489825899</v>
      </c>
      <c r="J94" s="61">
        <f t="shared" si="47"/>
        <v>3039.9380012435267</v>
      </c>
      <c r="K94" s="61">
        <f t="shared" si="47"/>
        <v>1991.1484607296843</v>
      </c>
      <c r="L94" s="61"/>
      <c r="M94" s="61"/>
      <c r="N94">
        <v>2060</v>
      </c>
      <c r="O94" s="61">
        <f t="shared" si="53"/>
        <v>-18480.745691977412</v>
      </c>
      <c r="P94" s="61">
        <f t="shared" si="41"/>
        <v>-23466.878217041558</v>
      </c>
      <c r="Q94" s="61">
        <f t="shared" ref="Q94:T94" si="85">-SUM($O94:$P94)*(MAX(Q75,0)/SUM(MAX($Q75,0)+MAX($R75,0)+MAX($S75,0)+MAX($T75,0)))</f>
        <v>36599.32190270874</v>
      </c>
      <c r="R94" s="61">
        <f t="shared" si="85"/>
        <v>306.61807997406856</v>
      </c>
      <c r="S94" s="61">
        <f t="shared" si="85"/>
        <v>2759.7767072881984</v>
      </c>
      <c r="T94" s="61">
        <f t="shared" si="85"/>
        <v>2281.9072190479687</v>
      </c>
      <c r="U94" s="407"/>
      <c r="W94">
        <v>2060</v>
      </c>
      <c r="X94" s="61">
        <f t="shared" si="55"/>
        <v>-20581.905099930384</v>
      </c>
      <c r="Y94" s="61">
        <f t="shared" si="42"/>
        <v>-26134.933541369093</v>
      </c>
      <c r="Z94" s="61">
        <f t="shared" ref="Z94:AC94" si="86">-SUM($X94:$Y94)*(MAX(Z75,0)/SUM(MAX($Z75,0)+MAX($AA75,0)+MAX($AB75,0)+MAX($AC75,0)))</f>
        <v>42260.807255692947</v>
      </c>
      <c r="AA94" s="61">
        <f t="shared" si="86"/>
        <v>0</v>
      </c>
      <c r="AB94" s="61">
        <f t="shared" si="86"/>
        <v>1798.0249422135382</v>
      </c>
      <c r="AC94" s="61">
        <f t="shared" si="86"/>
        <v>2658.0064433929851</v>
      </c>
      <c r="AD94" s="407"/>
      <c r="AG94">
        <v>2060</v>
      </c>
      <c r="AH94" s="61">
        <f t="shared" si="57"/>
        <v>-17058.762448071764</v>
      </c>
      <c r="AI94" s="61">
        <f t="shared" si="44"/>
        <v>-21661.241790482556</v>
      </c>
      <c r="AJ94" s="61">
        <f t="shared" ref="AJ94:AM94" si="87">-SUM($AH94:$AI94)*(MAX(AJ75,0)/SUM(MAX($AJ75,0)+MAX($AK75,0)+MAX($AL75,0)+MAX($AM75,0)))</f>
        <v>32780.544797644587</v>
      </c>
      <c r="AK94" s="61">
        <f t="shared" si="87"/>
        <v>892.96513282380045</v>
      </c>
      <c r="AL94" s="61">
        <f t="shared" si="87"/>
        <v>3011.971285567492</v>
      </c>
      <c r="AM94" s="61">
        <f t="shared" si="87"/>
        <v>2034.5230225184453</v>
      </c>
      <c r="AN94" s="407"/>
    </row>
    <row r="95" spans="5:40">
      <c r="E95">
        <v>2070</v>
      </c>
      <c r="F95" s="61">
        <f t="shared" si="46"/>
        <v>-16212.399626311393</v>
      </c>
      <c r="G95" s="61">
        <f t="shared" si="39"/>
        <v>-20325.94005241069</v>
      </c>
      <c r="H95" s="61">
        <f t="shared" si="47"/>
        <v>30910.307959656941</v>
      </c>
      <c r="I95" s="61">
        <f t="shared" si="47"/>
        <v>884.53657197484722</v>
      </c>
      <c r="J95" s="61">
        <f t="shared" si="47"/>
        <v>2862.6228522873043</v>
      </c>
      <c r="K95" s="61">
        <f t="shared" si="47"/>
        <v>1880.8722948029963</v>
      </c>
      <c r="L95" s="61"/>
      <c r="M95" s="61"/>
      <c r="N95">
        <v>2070</v>
      </c>
      <c r="O95" s="61">
        <f t="shared" si="53"/>
        <v>-18405.384442220678</v>
      </c>
      <c r="P95" s="61">
        <f t="shared" si="41"/>
        <v>-23075.346613526955</v>
      </c>
      <c r="Q95" s="61">
        <f t="shared" ref="Q95:T95" si="88">-SUM($O95:$P95)*(MAX(Q76,0)/SUM(MAX($Q76,0)+MAX($R76,0)+MAX($S76,0)+MAX($T76,0)))</f>
        <v>36243.931605621408</v>
      </c>
      <c r="R95" s="61">
        <f t="shared" si="88"/>
        <v>310.04209843534505</v>
      </c>
      <c r="S95" s="61">
        <f t="shared" si="88"/>
        <v>2714.3186699615785</v>
      </c>
      <c r="T95" s="61">
        <f t="shared" si="88"/>
        <v>2212.4386817292916</v>
      </c>
      <c r="U95" s="407"/>
      <c r="W95">
        <v>2070</v>
      </c>
      <c r="X95" s="61">
        <f t="shared" si="55"/>
        <v>-21382.204342699672</v>
      </c>
      <c r="Y95" s="61">
        <f t="shared" si="42"/>
        <v>-26807.469201090225</v>
      </c>
      <c r="Z95" s="61">
        <f t="shared" ref="Z95:AC95" si="89">-SUM($X95:$Y95)*(MAX(Z76,0)/SUM(MAX($Z76,0)+MAX($AA76,0)+MAX($AB76,0)+MAX($AC76,0)))</f>
        <v>43660.444589283521</v>
      </c>
      <c r="AA95" s="61">
        <f t="shared" si="89"/>
        <v>0</v>
      </c>
      <c r="AB95" s="61">
        <f t="shared" si="89"/>
        <v>1849.8391079875701</v>
      </c>
      <c r="AC95" s="61">
        <f t="shared" si="89"/>
        <v>2679.3898465188113</v>
      </c>
      <c r="AD95" s="407"/>
      <c r="AG95">
        <v>2070</v>
      </c>
      <c r="AH95" s="61">
        <f t="shared" si="57"/>
        <v>-16590.589776694247</v>
      </c>
      <c r="AI95" s="61">
        <f t="shared" si="44"/>
        <v>-20800.087649452315</v>
      </c>
      <c r="AJ95" s="61">
        <f t="shared" ref="AJ95:AM95" si="90">-SUM($AH95:$AI95)*(MAX(AJ76,0)/SUM(MAX($AJ76,0)+MAX($AK76,0)+MAX($AL76,0)+MAX($AM76,0)))</f>
        <v>31793.483228875317</v>
      </c>
      <c r="AK95" s="61">
        <f t="shared" si="90"/>
        <v>807.72212230402556</v>
      </c>
      <c r="AL95" s="61">
        <f t="shared" si="90"/>
        <v>2853.649027220778</v>
      </c>
      <c r="AM95" s="61">
        <f t="shared" si="90"/>
        <v>1935.8230477464394</v>
      </c>
      <c r="AN95" s="407"/>
    </row>
    <row r="96" spans="5:40">
      <c r="E96">
        <v>2080</v>
      </c>
      <c r="F96" s="61">
        <f t="shared" si="46"/>
        <v>-15373.212615533796</v>
      </c>
      <c r="G96" s="61">
        <f t="shared" si="39"/>
        <v>-19029.855260514501</v>
      </c>
      <c r="H96" s="61">
        <f t="shared" si="47"/>
        <v>29176.903122474065</v>
      </c>
      <c r="I96" s="61">
        <f t="shared" si="47"/>
        <v>826.99308017945395</v>
      </c>
      <c r="J96" s="61">
        <f t="shared" si="47"/>
        <v>2646.9347477955789</v>
      </c>
      <c r="K96" s="61">
        <f t="shared" si="47"/>
        <v>1752.2369255992032</v>
      </c>
      <c r="L96" s="61"/>
      <c r="M96" s="61"/>
      <c r="N96">
        <v>2080</v>
      </c>
      <c r="O96" s="61">
        <f t="shared" si="53"/>
        <v>-18079.253092630064</v>
      </c>
      <c r="P96" s="61">
        <f t="shared" si="41"/>
        <v>-22379.549296242752</v>
      </c>
      <c r="Q96" s="61">
        <f t="shared" ref="Q96:T96" si="91">-SUM($O96:$P96)*(MAX(Q77,0)/SUM(MAX($Q77,0)+MAX($R77,0)+MAX($S77,0)+MAX($T77,0)))</f>
        <v>35333.33381442941</v>
      </c>
      <c r="R96" s="61">
        <f t="shared" si="91"/>
        <v>365.57827774628942</v>
      </c>
      <c r="S96" s="61">
        <f t="shared" si="91"/>
        <v>2634.1136419804011</v>
      </c>
      <c r="T96" s="61">
        <f t="shared" si="91"/>
        <v>2125.7766547167216</v>
      </c>
      <c r="U96" s="407"/>
      <c r="W96">
        <v>2080</v>
      </c>
      <c r="X96" s="61">
        <f t="shared" si="55"/>
        <v>-22083.327207668812</v>
      </c>
      <c r="Y96" s="61">
        <f t="shared" si="42"/>
        <v>-27336.02474266748</v>
      </c>
      <c r="Z96" s="61">
        <f t="shared" ref="Z96:AC96" si="92">-SUM($X96:$Y96)*(MAX(Z77,0)/SUM(MAX($Z77,0)+MAX($AA77,0)+MAX($AB77,0)+MAX($AC77,0)))</f>
        <v>44804.244245732058</v>
      </c>
      <c r="AA96" s="61">
        <f t="shared" si="92"/>
        <v>0</v>
      </c>
      <c r="AB96" s="61">
        <f t="shared" si="92"/>
        <v>1911.2514269807002</v>
      </c>
      <c r="AC96" s="61">
        <f t="shared" si="92"/>
        <v>2703.8562776235367</v>
      </c>
      <c r="AD96" s="407"/>
      <c r="AG96">
        <v>2080</v>
      </c>
      <c r="AH96" s="61">
        <f>-AH20*$C$4</f>
        <v>-15879.70457645173</v>
      </c>
      <c r="AI96" s="61">
        <f t="shared" si="44"/>
        <v>-19656.820420493052</v>
      </c>
      <c r="AJ96" s="61">
        <f t="shared" ref="AJ96:AM96" si="93">-SUM($AH96:$AI96)*(MAX(AJ77,0)/SUM(MAX($AJ77,0)+MAX($AK77,0)+MAX($AL77,0)+MAX($AM77,0)))</f>
        <v>30292.519666528449</v>
      </c>
      <c r="AK96" s="61">
        <f t="shared" si="93"/>
        <v>762.5739614496573</v>
      </c>
      <c r="AL96" s="61">
        <f t="shared" si="93"/>
        <v>2661.4120845615075</v>
      </c>
      <c r="AM96" s="61">
        <f t="shared" si="93"/>
        <v>1820.0192844051614</v>
      </c>
      <c r="AN96" s="407"/>
    </row>
    <row r="97" spans="5:40">
      <c r="E97">
        <v>2090</v>
      </c>
      <c r="F97" s="61">
        <f t="shared" si="46"/>
        <v>-14304.851494150009</v>
      </c>
      <c r="G97" s="61">
        <f t="shared" si="39"/>
        <v>-17483.231829523502</v>
      </c>
      <c r="H97" s="61">
        <f t="shared" si="47"/>
        <v>27020.369956679551</v>
      </c>
      <c r="I97" s="61">
        <f t="shared" si="47"/>
        <v>767.28738627254336</v>
      </c>
      <c r="J97" s="61">
        <f t="shared" si="47"/>
        <v>2393.7221043651166</v>
      </c>
      <c r="K97" s="61">
        <f t="shared" si="47"/>
        <v>1606.7038763563023</v>
      </c>
      <c r="L97" s="61"/>
      <c r="M97" s="61"/>
      <c r="N97">
        <v>2090</v>
      </c>
      <c r="O97" s="61">
        <f t="shared" si="53"/>
        <v>-17549.700049733554</v>
      </c>
      <c r="P97" s="61">
        <f t="shared" si="41"/>
        <v>-21449.049969765074</v>
      </c>
      <c r="Q97" s="61">
        <f t="shared" ref="Q97:T97" si="94">-SUM($O97:$P97)*(MAX(Q78,0)/SUM(MAX($Q78,0)+MAX($R78,0)+MAX($S78,0)+MAX($T78,0)))</f>
        <v>34048.624472287724</v>
      </c>
      <c r="R97" s="61">
        <f t="shared" si="94"/>
        <v>413.99979175502835</v>
      </c>
      <c r="S97" s="61">
        <f t="shared" si="94"/>
        <v>2509.6238085817899</v>
      </c>
      <c r="T97" s="61">
        <f t="shared" si="94"/>
        <v>2026.5019468740843</v>
      </c>
      <c r="U97" s="407"/>
      <c r="W97">
        <v>2090</v>
      </c>
      <c r="X97" s="61">
        <f t="shared" si="55"/>
        <v>-22744.830141114351</v>
      </c>
      <c r="Y97" s="61">
        <f t="shared" si="42"/>
        <v>-27798.480707252162</v>
      </c>
      <c r="Z97" s="61">
        <f t="shared" ref="Z97:AC97" si="95">-SUM($X97:$Y97)*(MAX(Z78,0)/SUM(MAX($Z78,0)+MAX($AA78,0)+MAX($AB78,0)+MAX($AC78,0)))</f>
        <v>45865.548038012093</v>
      </c>
      <c r="AA97" s="61">
        <f t="shared" si="95"/>
        <v>0</v>
      </c>
      <c r="AB97" s="61">
        <f t="shared" si="95"/>
        <v>1943.9054041832655</v>
      </c>
      <c r="AC97" s="61">
        <f t="shared" si="95"/>
        <v>2733.8574061711483</v>
      </c>
      <c r="AD97" s="407"/>
      <c r="AG97">
        <v>2090</v>
      </c>
      <c r="AH97" s="61">
        <f t="shared" si="57"/>
        <v>-14973.641554658152</v>
      </c>
      <c r="AI97" s="61">
        <f t="shared" si="44"/>
        <v>-18300.619670140135</v>
      </c>
      <c r="AJ97" s="61">
        <f t="shared" ref="AJ97:AM97" si="96">-SUM($AH97:$AI97)*(MAX(AJ78,0)/SUM(MAX($AJ78,0)+MAX($AK78,0)+MAX($AL78,0)+MAX($AM78,0)))</f>
        <v>28431.208777795804</v>
      </c>
      <c r="AK97" s="61">
        <f t="shared" si="96"/>
        <v>716.66809189536139</v>
      </c>
      <c r="AL97" s="61">
        <f t="shared" si="96"/>
        <v>2435.2891500637775</v>
      </c>
      <c r="AM97" s="61">
        <f t="shared" si="96"/>
        <v>1691.0952050433475</v>
      </c>
      <c r="AN97" s="407"/>
    </row>
    <row r="98" spans="5:40">
      <c r="E98">
        <v>2100</v>
      </c>
      <c r="F98" s="61">
        <f t="shared" si="46"/>
        <v>-13091.510561823303</v>
      </c>
      <c r="G98" s="61">
        <f t="shared" si="39"/>
        <v>-15797.76447338835</v>
      </c>
      <c r="H98" s="61">
        <f t="shared" si="47"/>
        <v>24627.760798802727</v>
      </c>
      <c r="I98" s="61">
        <f t="shared" si="47"/>
        <v>692.79981516270016</v>
      </c>
      <c r="J98" s="61">
        <f t="shared" si="47"/>
        <v>2115.9452880242789</v>
      </c>
      <c r="K98" s="61">
        <f t="shared" si="47"/>
        <v>1452.7691332219495</v>
      </c>
      <c r="L98" s="61"/>
      <c r="M98" s="61"/>
      <c r="N98">
        <v>2100</v>
      </c>
      <c r="O98" s="61">
        <f t="shared" si="53"/>
        <v>-16918.148006051924</v>
      </c>
      <c r="P98" s="61">
        <f t="shared" si="41"/>
        <v>-20415.437642843692</v>
      </c>
      <c r="Q98" s="61">
        <f>-SUM($O98:$P98)*(MAX(Q79,0)/SUM(MAX($Q79,0)+MAX($R79,0)+MAX($S79,0)+MAX($T79,0)))</f>
        <v>32626.707160876729</v>
      </c>
      <c r="R98" s="61">
        <f>-SUM($O98:$P98)*(MAX(R79,0)/SUM(MAX($Q79,0)+MAX($R79,0)+MAX($S79,0)+MAX($T79,0)))</f>
        <v>432.54077956663525</v>
      </c>
      <c r="S98" s="61">
        <f>-SUM($O98:$P98)*(MAX(S79,0)/SUM(MAX($Q79,0)+MAX($R79,0)+MAX($S79,0)+MAX($T79,0)))</f>
        <v>2349.0421908746794</v>
      </c>
      <c r="T98" s="61">
        <f>-SUM($O98:$P98)*(MAX(T79,0)/SUM(MAX($Q79,0)+MAX($R79,0)+MAX($S79,0)+MAX($T79,0)))</f>
        <v>1925.2955175775762</v>
      </c>
      <c r="U98" s="407"/>
      <c r="W98">
        <v>2100</v>
      </c>
      <c r="X98" s="61">
        <f t="shared" si="55"/>
        <v>-23367.828477007602</v>
      </c>
      <c r="Y98" s="61">
        <f t="shared" si="42"/>
        <v>-28198.38465477198</v>
      </c>
      <c r="Z98" s="61">
        <f t="shared" ref="Z98:AC98" si="97">-SUM($X98:$Y98)*(MAX(Z79,0)/SUM(MAX($Z79,0)+MAX($AA79,0)+MAX($AB79,0)+MAX($AC79,0)))</f>
        <v>46847.127507116806</v>
      </c>
      <c r="AA98" s="61">
        <f t="shared" si="97"/>
        <v>0</v>
      </c>
      <c r="AB98" s="61">
        <f t="shared" si="97"/>
        <v>1953.9790053452941</v>
      </c>
      <c r="AC98" s="61">
        <f t="shared" si="97"/>
        <v>2765.1066193174884</v>
      </c>
      <c r="AD98" s="407"/>
      <c r="AG98">
        <v>2100</v>
      </c>
      <c r="AH98" s="61">
        <f t="shared" si="57"/>
        <v>-13936.673849292458</v>
      </c>
      <c r="AI98" s="61">
        <f t="shared" si="44"/>
        <v>-16817.638421008091</v>
      </c>
      <c r="AJ98" s="61">
        <f t="shared" ref="AJ98:AM98" si="98">-SUM($AH98:$AI98)*(MAX(AJ79,0)/SUM(MAX($AJ79,0)+MAX($AK79,0)+MAX($AL79,0)+MAX($AM79,0)))</f>
        <v>26354.771089791851</v>
      </c>
      <c r="AK98" s="61">
        <f t="shared" si="98"/>
        <v>658.25423005081029</v>
      </c>
      <c r="AL98" s="61">
        <f t="shared" si="98"/>
        <v>2186.3645926827476</v>
      </c>
      <c r="AM98" s="61">
        <f t="shared" si="98"/>
        <v>1554.9223577751382</v>
      </c>
      <c r="AN98" s="407"/>
    </row>
    <row r="99" spans="5:40">
      <c r="F99" s="581" t="s">
        <v>243</v>
      </c>
      <c r="G99" s="581"/>
      <c r="H99" s="581"/>
      <c r="I99" s="581"/>
      <c r="J99" s="581"/>
      <c r="K99" s="581"/>
      <c r="O99" s="581" t="s">
        <v>243</v>
      </c>
      <c r="P99" s="581"/>
      <c r="Q99" s="581"/>
      <c r="R99" s="581"/>
      <c r="S99" s="581"/>
      <c r="T99" s="581"/>
      <c r="X99" s="581" t="s">
        <v>243</v>
      </c>
      <c r="Y99" s="581"/>
      <c r="Z99" s="581"/>
      <c r="AA99" s="581"/>
      <c r="AB99" s="581"/>
      <c r="AC99" s="581"/>
      <c r="AH99" s="581" t="s">
        <v>243</v>
      </c>
      <c r="AI99" s="581"/>
      <c r="AJ99" s="581"/>
      <c r="AK99" s="581"/>
      <c r="AL99" s="581"/>
      <c r="AM99" s="581"/>
    </row>
    <row r="100" spans="5:40">
      <c r="E100">
        <v>2020</v>
      </c>
      <c r="F100" s="61">
        <f>'Demographic-Economic'!C$56*$C$7</f>
        <v>360376.14999999997</v>
      </c>
      <c r="G100" s="61">
        <f>'Demographic-Economic'!D$56*$C$7</f>
        <v>314308.30000000005</v>
      </c>
      <c r="H100" s="61">
        <f>'Demographic-Economic'!E$56*$C$7</f>
        <v>303256</v>
      </c>
      <c r="I100" s="61">
        <f>'Demographic-Economic'!F$56*$C$7</f>
        <v>191633.7</v>
      </c>
      <c r="J100" s="61">
        <f>'Demographic-Economic'!G$56*$C$7</f>
        <v>208903.4</v>
      </c>
      <c r="K100" s="61">
        <f>'Demographic-Economic'!H$56*$C$7</f>
        <v>249034.95</v>
      </c>
      <c r="N100">
        <v>2020</v>
      </c>
      <c r="O100" s="61">
        <f>'Demographic-Economic'!C$56</f>
        <v>360376.14999999997</v>
      </c>
      <c r="P100" s="61">
        <f>'Demographic-Economic'!D$56</f>
        <v>314308.30000000005</v>
      </c>
      <c r="Q100" s="61">
        <f>'Demographic-Economic'!E$56</f>
        <v>303256</v>
      </c>
      <c r="R100" s="61">
        <f>'Demographic-Economic'!F$56</f>
        <v>191633.7</v>
      </c>
      <c r="S100" s="61">
        <f>'Demographic-Economic'!G$56</f>
        <v>208903.4</v>
      </c>
      <c r="T100" s="61">
        <f>'Demographic-Economic'!H$56</f>
        <v>249034.95</v>
      </c>
      <c r="W100">
        <v>2020</v>
      </c>
      <c r="X100" s="61">
        <f>'Demographic-Economic'!C$56</f>
        <v>360376.14999999997</v>
      </c>
      <c r="Y100" s="61">
        <f>'Demographic-Economic'!D$56</f>
        <v>314308.30000000005</v>
      </c>
      <c r="Z100" s="61">
        <f>'Demographic-Economic'!E$56</f>
        <v>303256</v>
      </c>
      <c r="AA100" s="61">
        <f>'Demographic-Economic'!F$56</f>
        <v>191633.7</v>
      </c>
      <c r="AB100" s="61">
        <f>'Demographic-Economic'!G$56</f>
        <v>208903.4</v>
      </c>
      <c r="AC100" s="61">
        <f>'Demographic-Economic'!H$56</f>
        <v>249034.95</v>
      </c>
      <c r="AG100">
        <v>2020</v>
      </c>
      <c r="AH100" s="61">
        <f>'Demographic-Economic'!C$56</f>
        <v>360376.14999999997</v>
      </c>
      <c r="AI100" s="61">
        <f>'Demographic-Economic'!D$56</f>
        <v>314308.30000000005</v>
      </c>
      <c r="AJ100" s="61">
        <f>'Demographic-Economic'!E$56</f>
        <v>303256</v>
      </c>
      <c r="AK100" s="61">
        <f>'Demographic-Economic'!F$56</f>
        <v>191633.7</v>
      </c>
      <c r="AL100" s="61">
        <f>'Demographic-Economic'!G$56</f>
        <v>208903.4</v>
      </c>
      <c r="AM100" s="61">
        <f>'Demographic-Economic'!H$56</f>
        <v>249034.95</v>
      </c>
    </row>
    <row r="101" spans="5:40">
      <c r="E101">
        <v>2021</v>
      </c>
      <c r="F101" s="61">
        <f>(1+$C$6)*F100</f>
        <v>373904.37035754166</v>
      </c>
      <c r="G101" s="61">
        <f t="shared" ref="G101:K101" si="99">(1+$C$6)*G100</f>
        <v>326107.17165841674</v>
      </c>
      <c r="H101" s="61">
        <f t="shared" si="99"/>
        <v>314639.97752666665</v>
      </c>
      <c r="I101" s="61">
        <f t="shared" si="99"/>
        <v>198827.46940325003</v>
      </c>
      <c r="J101" s="61">
        <f t="shared" si="99"/>
        <v>216745.45954983332</v>
      </c>
      <c r="K101" s="61">
        <f t="shared" si="99"/>
        <v>258383.514493875</v>
      </c>
      <c r="N101">
        <v>2021</v>
      </c>
      <c r="O101" s="61">
        <f>(1+$C$6)*O100</f>
        <v>373904.37035754166</v>
      </c>
      <c r="P101" s="61">
        <f t="shared" ref="P101:T110" si="100">(1+$C$6)*P100</f>
        <v>326107.17165841674</v>
      </c>
      <c r="Q101" s="61">
        <f t="shared" si="100"/>
        <v>314639.97752666665</v>
      </c>
      <c r="R101" s="61">
        <f t="shared" si="100"/>
        <v>198827.46940325003</v>
      </c>
      <c r="S101" s="61">
        <f t="shared" si="100"/>
        <v>216745.45954983332</v>
      </c>
      <c r="T101" s="61">
        <f t="shared" si="100"/>
        <v>258383.514493875</v>
      </c>
      <c r="W101">
        <v>2021</v>
      </c>
      <c r="X101" s="61">
        <f>(1+$C$6)*X100</f>
        <v>373904.37035754166</v>
      </c>
      <c r="Y101" s="61">
        <f t="shared" ref="Y101:AC101" si="101">(1+$C$6)*Y100</f>
        <v>326107.17165841674</v>
      </c>
      <c r="Z101" s="61">
        <f t="shared" si="101"/>
        <v>314639.97752666665</v>
      </c>
      <c r="AA101" s="61">
        <f t="shared" si="101"/>
        <v>198827.46940325003</v>
      </c>
      <c r="AB101" s="61">
        <f t="shared" si="101"/>
        <v>216745.45954983332</v>
      </c>
      <c r="AC101" s="61">
        <f t="shared" si="101"/>
        <v>258383.514493875</v>
      </c>
      <c r="AG101">
        <v>2021</v>
      </c>
      <c r="AH101" s="61">
        <f>(1+$C$6)*AH100</f>
        <v>373904.37035754166</v>
      </c>
      <c r="AI101" s="61">
        <f t="shared" ref="AI101:AL101" si="102">(1+$C$6)*AI100</f>
        <v>326107.17165841674</v>
      </c>
      <c r="AJ101" s="61">
        <f t="shared" si="102"/>
        <v>314639.97752666665</v>
      </c>
      <c r="AK101" s="61">
        <f t="shared" si="102"/>
        <v>198827.46940325003</v>
      </c>
      <c r="AL101" s="61">
        <f t="shared" si="102"/>
        <v>216745.45954983332</v>
      </c>
      <c r="AM101" s="61">
        <f>(1+$C$6)*AM100</f>
        <v>258383.514493875</v>
      </c>
    </row>
    <row r="102" spans="5:40">
      <c r="E102">
        <v>2022</v>
      </c>
      <c r="F102" s="61">
        <f t="shared" ref="F102:F110" si="103">(1+$C$6)*F101</f>
        <v>387940.42883378849</v>
      </c>
      <c r="G102" s="61">
        <f t="shared" ref="G102:G110" si="104">(1+$C$6)*G101</f>
        <v>338348.96312649734</v>
      </c>
      <c r="H102" s="61">
        <f t="shared" ref="H102:H110" si="105">(1+$C$6)*H101</f>
        <v>326451.30008303648</v>
      </c>
      <c r="I102" s="61">
        <f t="shared" ref="I102:I110" si="106">(1+$C$6)*I101</f>
        <v>206291.2869150902</v>
      </c>
      <c r="J102" s="61">
        <f t="shared" ref="J102:J110" si="107">(1+$C$6)*J101</f>
        <v>224881.90348011776</v>
      </c>
      <c r="K102" s="61">
        <f t="shared" ref="K102:K110" si="108">(1+$C$6)*K101</f>
        <v>268083.01630837965</v>
      </c>
      <c r="N102">
        <v>2022</v>
      </c>
      <c r="O102" s="61">
        <f t="shared" ref="O102:O110" si="109">(1+$C$6)*O101</f>
        <v>387940.42883378849</v>
      </c>
      <c r="P102" s="61">
        <f t="shared" si="100"/>
        <v>338348.96312649734</v>
      </c>
      <c r="Q102" s="61">
        <f t="shared" si="100"/>
        <v>326451.30008303648</v>
      </c>
      <c r="R102" s="61">
        <f t="shared" si="100"/>
        <v>206291.2869150902</v>
      </c>
      <c r="S102" s="61">
        <f t="shared" si="100"/>
        <v>224881.90348011776</v>
      </c>
      <c r="T102" s="61">
        <f t="shared" si="100"/>
        <v>268083.01630837965</v>
      </c>
      <c r="W102">
        <v>2022</v>
      </c>
      <c r="X102" s="61">
        <f t="shared" ref="X102:AC110" si="110">(1+$C$6)*X101</f>
        <v>387940.42883378849</v>
      </c>
      <c r="Y102" s="61">
        <f t="shared" si="110"/>
        <v>338348.96312649734</v>
      </c>
      <c r="Z102" s="61">
        <f t="shared" si="110"/>
        <v>326451.30008303648</v>
      </c>
      <c r="AA102" s="61">
        <f t="shared" si="110"/>
        <v>206291.2869150902</v>
      </c>
      <c r="AB102" s="61">
        <f t="shared" si="110"/>
        <v>224881.90348011776</v>
      </c>
      <c r="AC102" s="61">
        <f t="shared" si="110"/>
        <v>268083.01630837965</v>
      </c>
      <c r="AG102">
        <v>2022</v>
      </c>
      <c r="AH102" s="61">
        <f t="shared" ref="AH102:AL102" si="111">(1+$C$6)*AH101</f>
        <v>387940.42883378849</v>
      </c>
      <c r="AI102" s="61">
        <f t="shared" si="111"/>
        <v>338348.96312649734</v>
      </c>
      <c r="AJ102" s="61">
        <f t="shared" si="111"/>
        <v>326451.30008303648</v>
      </c>
      <c r="AK102" s="61">
        <f t="shared" si="111"/>
        <v>206291.2869150902</v>
      </c>
      <c r="AL102" s="61">
        <f t="shared" si="111"/>
        <v>224881.90348011776</v>
      </c>
      <c r="AM102" s="61">
        <f>(1+$C$6)*AM101</f>
        <v>268083.01630837965</v>
      </c>
    </row>
    <row r="103" spans="5:40">
      <c r="E103">
        <v>2023</v>
      </c>
      <c r="F103" s="61">
        <f t="shared" si="103"/>
        <v>402503.38924851822</v>
      </c>
      <c r="G103" s="61">
        <f t="shared" si="104"/>
        <v>351050.30124479678</v>
      </c>
      <c r="H103" s="61">
        <f t="shared" si="105"/>
        <v>338706.00984540361</v>
      </c>
      <c r="I103" s="61">
        <f t="shared" si="106"/>
        <v>214035.28991647693</v>
      </c>
      <c r="J103" s="61">
        <f t="shared" si="107"/>
        <v>233323.78273517516</v>
      </c>
      <c r="K103" s="61">
        <f t="shared" si="108"/>
        <v>278146.62933808262</v>
      </c>
      <c r="N103">
        <v>2023</v>
      </c>
      <c r="O103" s="61">
        <f t="shared" si="109"/>
        <v>402503.38924851822</v>
      </c>
      <c r="P103" s="61">
        <f t="shared" si="100"/>
        <v>351050.30124479678</v>
      </c>
      <c r="Q103" s="61">
        <f t="shared" si="100"/>
        <v>338706.00984540361</v>
      </c>
      <c r="R103" s="61">
        <f t="shared" si="100"/>
        <v>214035.28991647693</v>
      </c>
      <c r="S103" s="61">
        <f t="shared" si="100"/>
        <v>233323.78273517516</v>
      </c>
      <c r="T103" s="61">
        <f t="shared" si="100"/>
        <v>278146.62933808262</v>
      </c>
      <c r="W103">
        <v>2023</v>
      </c>
      <c r="X103" s="61">
        <f t="shared" si="110"/>
        <v>402503.38924851822</v>
      </c>
      <c r="Y103" s="61">
        <f t="shared" si="110"/>
        <v>351050.30124479678</v>
      </c>
      <c r="Z103" s="61">
        <f t="shared" si="110"/>
        <v>338706.00984540361</v>
      </c>
      <c r="AA103" s="61">
        <f t="shared" si="110"/>
        <v>214035.28991647693</v>
      </c>
      <c r="AB103" s="61">
        <f t="shared" si="110"/>
        <v>233323.78273517516</v>
      </c>
      <c r="AC103" s="61">
        <f t="shared" si="110"/>
        <v>278146.62933808262</v>
      </c>
      <c r="AG103">
        <v>2023</v>
      </c>
      <c r="AH103" s="61">
        <f t="shared" ref="AH103:AM103" si="112">(1+$C$6)*AH102</f>
        <v>402503.38924851822</v>
      </c>
      <c r="AI103" s="61">
        <f t="shared" si="112"/>
        <v>351050.30124479678</v>
      </c>
      <c r="AJ103" s="61">
        <f t="shared" si="112"/>
        <v>338706.00984540361</v>
      </c>
      <c r="AK103" s="61">
        <f t="shared" si="112"/>
        <v>214035.28991647693</v>
      </c>
      <c r="AL103" s="61">
        <f t="shared" si="112"/>
        <v>233323.78273517516</v>
      </c>
      <c r="AM103" s="61">
        <f t="shared" si="112"/>
        <v>278146.62933808262</v>
      </c>
    </row>
    <row r="104" spans="5:40">
      <c r="E104">
        <v>2024</v>
      </c>
      <c r="F104" s="61">
        <f>(1+$C$6)*F103</f>
        <v>417613.03106141655</v>
      </c>
      <c r="G104" s="61">
        <f t="shared" si="104"/>
        <v>364228.43701160874</v>
      </c>
      <c r="H104" s="61">
        <f t="shared" si="105"/>
        <v>351420.75119999185</v>
      </c>
      <c r="I104" s="61">
        <f t="shared" si="106"/>
        <v>222069.99633719987</v>
      </c>
      <c r="J104" s="61">
        <f t="shared" si="107"/>
        <v>242082.56310256803</v>
      </c>
      <c r="K104" s="61">
        <f t="shared" si="108"/>
        <v>288588.02201457648</v>
      </c>
      <c r="N104">
        <v>2024</v>
      </c>
      <c r="O104" s="61">
        <f t="shared" si="109"/>
        <v>417613.03106141655</v>
      </c>
      <c r="P104" s="61">
        <f t="shared" si="100"/>
        <v>364228.43701160874</v>
      </c>
      <c r="Q104" s="61">
        <f t="shared" si="100"/>
        <v>351420.75119999185</v>
      </c>
      <c r="R104" s="61">
        <f t="shared" si="100"/>
        <v>222069.99633719987</v>
      </c>
      <c r="S104" s="61">
        <f t="shared" si="100"/>
        <v>242082.56310256803</v>
      </c>
      <c r="T104" s="61">
        <f t="shared" si="100"/>
        <v>288588.02201457648</v>
      </c>
      <c r="W104">
        <v>2024</v>
      </c>
      <c r="X104" s="61">
        <f t="shared" si="110"/>
        <v>417613.03106141655</v>
      </c>
      <c r="Y104" s="61">
        <f t="shared" si="110"/>
        <v>364228.43701160874</v>
      </c>
      <c r="Z104" s="61">
        <f t="shared" si="110"/>
        <v>351420.75119999185</v>
      </c>
      <c r="AA104" s="61">
        <f t="shared" si="110"/>
        <v>222069.99633719987</v>
      </c>
      <c r="AB104" s="61">
        <f t="shared" si="110"/>
        <v>242082.56310256803</v>
      </c>
      <c r="AC104" s="61">
        <f t="shared" si="110"/>
        <v>288588.02201457648</v>
      </c>
      <c r="AG104">
        <v>2024</v>
      </c>
      <c r="AH104" s="61">
        <f t="shared" ref="AH104:AM104" si="113">(1+$C$6)*AH103</f>
        <v>417613.03106141655</v>
      </c>
      <c r="AI104" s="61">
        <f t="shared" si="113"/>
        <v>364228.43701160874</v>
      </c>
      <c r="AJ104" s="61">
        <f t="shared" si="113"/>
        <v>351420.75119999185</v>
      </c>
      <c r="AK104" s="61">
        <f t="shared" si="113"/>
        <v>222069.99633719987</v>
      </c>
      <c r="AL104" s="61">
        <f t="shared" si="113"/>
        <v>242082.56310256803</v>
      </c>
      <c r="AM104" s="61">
        <f t="shared" si="113"/>
        <v>288588.02201457648</v>
      </c>
    </row>
    <row r="105" spans="5:40">
      <c r="E105">
        <v>2025</v>
      </c>
      <c r="F105" s="61">
        <f t="shared" si="103"/>
        <v>433289.8762366029</v>
      </c>
      <c r="G105" s="61">
        <f t="shared" si="104"/>
        <v>377901.26901332702</v>
      </c>
      <c r="H105" s="61">
        <f t="shared" si="105"/>
        <v>364612.79334941355</v>
      </c>
      <c r="I105" s="61">
        <f t="shared" si="106"/>
        <v>230406.31894136808</v>
      </c>
      <c r="J105" s="61">
        <f t="shared" si="107"/>
        <v>251170.14078596918</v>
      </c>
      <c r="K105" s="61">
        <f t="shared" si="108"/>
        <v>299421.37587098533</v>
      </c>
      <c r="N105">
        <v>2025</v>
      </c>
      <c r="O105" s="61">
        <f t="shared" si="109"/>
        <v>433289.8762366029</v>
      </c>
      <c r="P105" s="61">
        <f t="shared" si="100"/>
        <v>377901.26901332702</v>
      </c>
      <c r="Q105" s="61">
        <f t="shared" si="100"/>
        <v>364612.79334941355</v>
      </c>
      <c r="R105" s="61">
        <f t="shared" si="100"/>
        <v>230406.31894136808</v>
      </c>
      <c r="S105" s="61">
        <f t="shared" si="100"/>
        <v>251170.14078596918</v>
      </c>
      <c r="T105" s="61">
        <f t="shared" si="100"/>
        <v>299421.37587098533</v>
      </c>
      <c r="W105">
        <v>2025</v>
      </c>
      <c r="X105" s="61">
        <f t="shared" si="110"/>
        <v>433289.8762366029</v>
      </c>
      <c r="Y105" s="61">
        <f t="shared" si="110"/>
        <v>377901.26901332702</v>
      </c>
      <c r="Z105" s="61">
        <f t="shared" si="110"/>
        <v>364612.79334941355</v>
      </c>
      <c r="AA105" s="61">
        <f t="shared" si="110"/>
        <v>230406.31894136808</v>
      </c>
      <c r="AB105" s="61">
        <f t="shared" si="110"/>
        <v>251170.14078596918</v>
      </c>
      <c r="AC105" s="61">
        <f t="shared" si="110"/>
        <v>299421.37587098533</v>
      </c>
      <c r="AG105">
        <v>2025</v>
      </c>
      <c r="AH105" s="61">
        <f t="shared" ref="AH105:AM105" si="114">(1+$C$6)*AH104</f>
        <v>433289.8762366029</v>
      </c>
      <c r="AI105" s="61">
        <f t="shared" si="114"/>
        <v>377901.26901332702</v>
      </c>
      <c r="AJ105" s="61">
        <f t="shared" si="114"/>
        <v>364612.79334941355</v>
      </c>
      <c r="AK105" s="61">
        <f t="shared" si="114"/>
        <v>230406.31894136808</v>
      </c>
      <c r="AL105" s="61">
        <f t="shared" si="114"/>
        <v>251170.14078596918</v>
      </c>
      <c r="AM105" s="61">
        <f t="shared" si="114"/>
        <v>299421.37587098533</v>
      </c>
    </row>
    <row r="106" spans="5:40">
      <c r="E106">
        <v>2026</v>
      </c>
      <c r="F106" s="61">
        <f t="shared" si="103"/>
        <v>449555.21711562813</v>
      </c>
      <c r="G106" s="61">
        <f t="shared" si="104"/>
        <v>392087.36773436313</v>
      </c>
      <c r="H106" s="61">
        <f t="shared" si="105"/>
        <v>378300.05376775609</v>
      </c>
      <c r="I106" s="61">
        <f t="shared" si="106"/>
        <v>239055.58014916125</v>
      </c>
      <c r="J106" s="61">
        <f t="shared" si="107"/>
        <v>260598.85856262382</v>
      </c>
      <c r="K106" s="61">
        <f t="shared" si="108"/>
        <v>310661.4048033689</v>
      </c>
      <c r="N106">
        <v>2026</v>
      </c>
      <c r="O106" s="61">
        <f t="shared" si="109"/>
        <v>449555.21711562813</v>
      </c>
      <c r="P106" s="61">
        <f t="shared" si="100"/>
        <v>392087.36773436313</v>
      </c>
      <c r="Q106" s="61">
        <f t="shared" si="100"/>
        <v>378300.05376775609</v>
      </c>
      <c r="R106" s="61">
        <f t="shared" si="100"/>
        <v>239055.58014916125</v>
      </c>
      <c r="S106" s="61">
        <f t="shared" si="100"/>
        <v>260598.85856262382</v>
      </c>
      <c r="T106" s="61">
        <f t="shared" si="100"/>
        <v>310661.4048033689</v>
      </c>
      <c r="W106">
        <v>2026</v>
      </c>
      <c r="X106" s="61">
        <f t="shared" si="110"/>
        <v>449555.21711562813</v>
      </c>
      <c r="Y106" s="61">
        <f t="shared" si="110"/>
        <v>392087.36773436313</v>
      </c>
      <c r="Z106" s="61">
        <f t="shared" si="110"/>
        <v>378300.05376775609</v>
      </c>
      <c r="AA106" s="61">
        <f t="shared" si="110"/>
        <v>239055.58014916125</v>
      </c>
      <c r="AB106" s="61">
        <f t="shared" si="110"/>
        <v>260598.85856262382</v>
      </c>
      <c r="AC106" s="61">
        <f t="shared" si="110"/>
        <v>310661.4048033689</v>
      </c>
      <c r="AG106">
        <v>2026</v>
      </c>
      <c r="AH106" s="61">
        <f t="shared" ref="AH106:AM106" si="115">(1+$C$6)*AH105</f>
        <v>449555.21711562813</v>
      </c>
      <c r="AI106" s="61">
        <f t="shared" si="115"/>
        <v>392087.36773436313</v>
      </c>
      <c r="AJ106" s="61">
        <f t="shared" si="115"/>
        <v>378300.05376775609</v>
      </c>
      <c r="AK106" s="61">
        <f t="shared" si="115"/>
        <v>239055.58014916125</v>
      </c>
      <c r="AL106" s="61">
        <f t="shared" si="115"/>
        <v>260598.85856262382</v>
      </c>
      <c r="AM106" s="61">
        <f t="shared" si="115"/>
        <v>310661.4048033689</v>
      </c>
    </row>
    <row r="107" spans="5:40">
      <c r="E107">
        <v>2027</v>
      </c>
      <c r="F107" s="61">
        <f t="shared" si="103"/>
        <v>466431.14533680119</v>
      </c>
      <c r="G107" s="61">
        <f t="shared" si="104"/>
        <v>406806.00077963801</v>
      </c>
      <c r="H107" s="61">
        <f t="shared" si="105"/>
        <v>392501.12253615283</v>
      </c>
      <c r="I107" s="61">
        <f t="shared" si="106"/>
        <v>248029.52741497732</v>
      </c>
      <c r="J107" s="61">
        <f t="shared" si="107"/>
        <v>270381.52254734928</v>
      </c>
      <c r="K107" s="61">
        <f t="shared" si="108"/>
        <v>322323.37505518337</v>
      </c>
      <c r="N107">
        <v>2027</v>
      </c>
      <c r="O107" s="61">
        <f t="shared" si="109"/>
        <v>466431.14533680119</v>
      </c>
      <c r="P107" s="61">
        <f t="shared" si="100"/>
        <v>406806.00077963801</v>
      </c>
      <c r="Q107" s="61">
        <f t="shared" si="100"/>
        <v>392501.12253615283</v>
      </c>
      <c r="R107" s="61">
        <f t="shared" si="100"/>
        <v>248029.52741497732</v>
      </c>
      <c r="S107" s="61">
        <f t="shared" si="100"/>
        <v>270381.52254734928</v>
      </c>
      <c r="T107" s="61">
        <f t="shared" si="100"/>
        <v>322323.37505518337</v>
      </c>
      <c r="W107">
        <v>2027</v>
      </c>
      <c r="X107" s="61">
        <f t="shared" si="110"/>
        <v>466431.14533680119</v>
      </c>
      <c r="Y107" s="61">
        <f t="shared" si="110"/>
        <v>406806.00077963801</v>
      </c>
      <c r="Z107" s="61">
        <f t="shared" si="110"/>
        <v>392501.12253615283</v>
      </c>
      <c r="AA107" s="61">
        <f t="shared" si="110"/>
        <v>248029.52741497732</v>
      </c>
      <c r="AB107" s="61">
        <f t="shared" si="110"/>
        <v>270381.52254734928</v>
      </c>
      <c r="AC107" s="61">
        <f t="shared" si="110"/>
        <v>322323.37505518337</v>
      </c>
      <c r="AG107">
        <v>2027</v>
      </c>
      <c r="AH107" s="61">
        <f t="shared" ref="AH107:AM107" si="116">(1+$C$6)*AH106</f>
        <v>466431.14533680119</v>
      </c>
      <c r="AI107" s="61">
        <f t="shared" si="116"/>
        <v>406806.00077963801</v>
      </c>
      <c r="AJ107" s="61">
        <f t="shared" si="116"/>
        <v>392501.12253615283</v>
      </c>
      <c r="AK107" s="61">
        <f t="shared" si="116"/>
        <v>248029.52741497732</v>
      </c>
      <c r="AL107" s="61">
        <f t="shared" si="116"/>
        <v>270381.52254734928</v>
      </c>
      <c r="AM107" s="61">
        <f t="shared" si="116"/>
        <v>322323.37505518337</v>
      </c>
    </row>
    <row r="108" spans="5:40">
      <c r="E108">
        <v>2028</v>
      </c>
      <c r="F108" s="61">
        <f t="shared" si="103"/>
        <v>483940.58184012357</v>
      </c>
      <c r="G108" s="61">
        <f t="shared" si="104"/>
        <v>422077.15904390498</v>
      </c>
      <c r="H108" s="61">
        <f t="shared" si="105"/>
        <v>407235.28759189125</v>
      </c>
      <c r="I108" s="61">
        <f t="shared" si="106"/>
        <v>257340.34918286273</v>
      </c>
      <c r="J108" s="61">
        <f t="shared" si="107"/>
        <v>280531.4195858413</v>
      </c>
      <c r="K108" s="61">
        <f t="shared" si="108"/>
        <v>334423.12595194241</v>
      </c>
      <c r="N108">
        <v>2028</v>
      </c>
      <c r="O108" s="61">
        <f t="shared" si="109"/>
        <v>483940.58184012357</v>
      </c>
      <c r="P108" s="61">
        <f t="shared" si="100"/>
        <v>422077.15904390498</v>
      </c>
      <c r="Q108" s="61">
        <f t="shared" si="100"/>
        <v>407235.28759189125</v>
      </c>
      <c r="R108" s="61">
        <f t="shared" si="100"/>
        <v>257340.34918286273</v>
      </c>
      <c r="S108" s="61">
        <f t="shared" si="100"/>
        <v>280531.4195858413</v>
      </c>
      <c r="T108" s="61">
        <f t="shared" si="100"/>
        <v>334423.12595194241</v>
      </c>
      <c r="W108">
        <v>2028</v>
      </c>
      <c r="X108" s="61">
        <f t="shared" si="110"/>
        <v>483940.58184012357</v>
      </c>
      <c r="Y108" s="61">
        <f t="shared" si="110"/>
        <v>422077.15904390498</v>
      </c>
      <c r="Z108" s="61">
        <f t="shared" si="110"/>
        <v>407235.28759189125</v>
      </c>
      <c r="AA108" s="61">
        <f t="shared" si="110"/>
        <v>257340.34918286273</v>
      </c>
      <c r="AB108" s="61">
        <f t="shared" si="110"/>
        <v>280531.4195858413</v>
      </c>
      <c r="AC108" s="61">
        <f t="shared" si="110"/>
        <v>334423.12595194241</v>
      </c>
      <c r="AG108">
        <v>2028</v>
      </c>
      <c r="AH108" s="61">
        <f t="shared" ref="AH108:AM108" si="117">(1+$C$6)*AH107</f>
        <v>483940.58184012357</v>
      </c>
      <c r="AI108" s="61">
        <f t="shared" si="117"/>
        <v>422077.15904390498</v>
      </c>
      <c r="AJ108" s="61">
        <f t="shared" si="117"/>
        <v>407235.28759189125</v>
      </c>
      <c r="AK108" s="61">
        <f t="shared" si="117"/>
        <v>257340.34918286273</v>
      </c>
      <c r="AL108" s="61">
        <f t="shared" si="117"/>
        <v>280531.4195858413</v>
      </c>
      <c r="AM108" s="61">
        <f t="shared" si="117"/>
        <v>334423.12595194241</v>
      </c>
    </row>
    <row r="109" spans="5:40">
      <c r="E109">
        <v>2029</v>
      </c>
      <c r="F109" s="61">
        <f t="shared" si="103"/>
        <v>502107.30799858359</v>
      </c>
      <c r="G109" s="61">
        <f t="shared" si="104"/>
        <v>437921.5838634473</v>
      </c>
      <c r="H109" s="61">
        <f t="shared" si="105"/>
        <v>422522.56092535116</v>
      </c>
      <c r="I109" s="61">
        <f t="shared" si="106"/>
        <v>267000.69144089642</v>
      </c>
      <c r="J109" s="61">
        <f t="shared" si="107"/>
        <v>291062.33530091081</v>
      </c>
      <c r="K109" s="61">
        <f t="shared" si="108"/>
        <v>346977.09141424001</v>
      </c>
      <c r="N109">
        <v>2029</v>
      </c>
      <c r="O109" s="61">
        <f t="shared" si="109"/>
        <v>502107.30799858359</v>
      </c>
      <c r="P109" s="61">
        <f t="shared" si="100"/>
        <v>437921.5838634473</v>
      </c>
      <c r="Q109" s="61">
        <f t="shared" si="100"/>
        <v>422522.56092535116</v>
      </c>
      <c r="R109" s="61">
        <f t="shared" si="100"/>
        <v>267000.69144089642</v>
      </c>
      <c r="S109" s="61">
        <f t="shared" si="100"/>
        <v>291062.33530091081</v>
      </c>
      <c r="T109" s="61">
        <f t="shared" si="100"/>
        <v>346977.09141424001</v>
      </c>
      <c r="W109">
        <v>2029</v>
      </c>
      <c r="X109" s="61">
        <f t="shared" si="110"/>
        <v>502107.30799858359</v>
      </c>
      <c r="Y109" s="61">
        <f t="shared" si="110"/>
        <v>437921.5838634473</v>
      </c>
      <c r="Z109" s="61">
        <f t="shared" si="110"/>
        <v>422522.56092535116</v>
      </c>
      <c r="AA109" s="61">
        <f t="shared" si="110"/>
        <v>267000.69144089642</v>
      </c>
      <c r="AB109" s="61">
        <f t="shared" si="110"/>
        <v>291062.33530091081</v>
      </c>
      <c r="AC109" s="61">
        <f t="shared" si="110"/>
        <v>346977.09141424001</v>
      </c>
      <c r="AG109">
        <v>2029</v>
      </c>
      <c r="AH109" s="61">
        <f t="shared" ref="AH109:AM109" si="118">(1+$C$6)*AH108</f>
        <v>502107.30799858359</v>
      </c>
      <c r="AI109" s="61">
        <f t="shared" si="118"/>
        <v>437921.5838634473</v>
      </c>
      <c r="AJ109" s="61">
        <f t="shared" si="118"/>
        <v>422522.56092535116</v>
      </c>
      <c r="AK109" s="61">
        <f t="shared" si="118"/>
        <v>267000.69144089642</v>
      </c>
      <c r="AL109" s="61">
        <f t="shared" si="118"/>
        <v>291062.33530091081</v>
      </c>
      <c r="AM109" s="61">
        <f t="shared" si="118"/>
        <v>346977.09141424001</v>
      </c>
    </row>
    <row r="110" spans="5:40">
      <c r="E110">
        <v>2030</v>
      </c>
      <c r="F110" s="61">
        <f t="shared" si="103"/>
        <v>520955.99791809375</v>
      </c>
      <c r="G110" s="61">
        <f t="shared" si="104"/>
        <v>454360.79518702789</v>
      </c>
      <c r="H110" s="61">
        <f t="shared" si="105"/>
        <v>438383.70576035476</v>
      </c>
      <c r="I110" s="61">
        <f t="shared" si="106"/>
        <v>277023.67489701149</v>
      </c>
      <c r="J110" s="61">
        <f t="shared" si="107"/>
        <v>301988.57281616091</v>
      </c>
      <c r="K110" s="61">
        <f t="shared" si="108"/>
        <v>360002.32227835443</v>
      </c>
      <c r="N110">
        <v>2030</v>
      </c>
      <c r="O110" s="61">
        <f t="shared" si="109"/>
        <v>520955.99791809375</v>
      </c>
      <c r="P110" s="61">
        <f t="shared" si="100"/>
        <v>454360.79518702789</v>
      </c>
      <c r="Q110" s="61">
        <f t="shared" si="100"/>
        <v>438383.70576035476</v>
      </c>
      <c r="R110" s="61">
        <f t="shared" si="100"/>
        <v>277023.67489701149</v>
      </c>
      <c r="S110" s="61">
        <f t="shared" si="100"/>
        <v>301988.57281616091</v>
      </c>
      <c r="T110" s="61">
        <f t="shared" si="100"/>
        <v>360002.32227835443</v>
      </c>
      <c r="W110">
        <v>2030</v>
      </c>
      <c r="X110" s="61">
        <f t="shared" si="110"/>
        <v>520955.99791809375</v>
      </c>
      <c r="Y110" s="61">
        <f t="shared" si="110"/>
        <v>454360.79518702789</v>
      </c>
      <c r="Z110" s="61">
        <f t="shared" si="110"/>
        <v>438383.70576035476</v>
      </c>
      <c r="AA110" s="61">
        <f t="shared" si="110"/>
        <v>277023.67489701149</v>
      </c>
      <c r="AB110" s="61">
        <f t="shared" si="110"/>
        <v>301988.57281616091</v>
      </c>
      <c r="AC110" s="61">
        <f t="shared" si="110"/>
        <v>360002.32227835443</v>
      </c>
      <c r="AG110">
        <v>2030</v>
      </c>
      <c r="AH110" s="61">
        <f t="shared" ref="AH110:AM110" si="119">(1+$C$6)*AH109</f>
        <v>520955.99791809375</v>
      </c>
      <c r="AI110" s="61">
        <f t="shared" si="119"/>
        <v>454360.79518702789</v>
      </c>
      <c r="AJ110" s="61">
        <f t="shared" si="119"/>
        <v>438383.70576035476</v>
      </c>
      <c r="AK110" s="61">
        <f t="shared" si="119"/>
        <v>277023.67489701149</v>
      </c>
      <c r="AL110" s="61">
        <f t="shared" si="119"/>
        <v>301988.57281616091</v>
      </c>
      <c r="AM110" s="61">
        <f t="shared" si="119"/>
        <v>360002.32227835443</v>
      </c>
    </row>
    <row r="111" spans="5:40">
      <c r="E111">
        <v>2040</v>
      </c>
      <c r="F111" s="61">
        <f>(1+$C$6)^10*F110</f>
        <v>753088.54863685335</v>
      </c>
      <c r="G111" s="61">
        <f t="shared" ref="G111:K111" si="120">(1+$C$6)^10*G110</f>
        <v>656819.2192283445</v>
      </c>
      <c r="H111" s="61">
        <f t="shared" si="120"/>
        <v>633722.90565126925</v>
      </c>
      <c r="I111" s="61">
        <f t="shared" si="120"/>
        <v>400462.53061671875</v>
      </c>
      <c r="J111" s="61">
        <f t="shared" si="120"/>
        <v>436551.52626305615</v>
      </c>
      <c r="K111" s="61">
        <f t="shared" si="120"/>
        <v>520415.59646872128</v>
      </c>
      <c r="N111">
        <v>2040</v>
      </c>
      <c r="O111" s="61">
        <f>(1+$C$6)^10*O110</f>
        <v>753088.54863685335</v>
      </c>
      <c r="P111" s="61">
        <f t="shared" ref="P111:T117" si="121">(1+$C$6)^10*P110</f>
        <v>656819.2192283445</v>
      </c>
      <c r="Q111" s="61">
        <f t="shared" si="121"/>
        <v>633722.90565126925</v>
      </c>
      <c r="R111" s="61">
        <f t="shared" si="121"/>
        <v>400462.53061671875</v>
      </c>
      <c r="S111" s="61">
        <f t="shared" si="121"/>
        <v>436551.52626305615</v>
      </c>
      <c r="T111" s="61">
        <f t="shared" si="121"/>
        <v>520415.59646872128</v>
      </c>
      <c r="W111">
        <v>2040</v>
      </c>
      <c r="X111" s="61">
        <f>(1+$C$6)^10*X110</f>
        <v>753088.54863685335</v>
      </c>
      <c r="Y111" s="61">
        <f t="shared" ref="Y111:AC111" si="122">(1+$C$6)^10*Y110</f>
        <v>656819.2192283445</v>
      </c>
      <c r="Z111" s="61">
        <f t="shared" si="122"/>
        <v>633722.90565126925</v>
      </c>
      <c r="AA111" s="61">
        <f t="shared" si="122"/>
        <v>400462.53061671875</v>
      </c>
      <c r="AB111" s="61">
        <f t="shared" si="122"/>
        <v>436551.52626305615</v>
      </c>
      <c r="AC111" s="61">
        <f t="shared" si="122"/>
        <v>520415.59646872128</v>
      </c>
      <c r="AG111">
        <v>2040</v>
      </c>
      <c r="AH111" s="61">
        <f>(1+$C$6)^10*AH110</f>
        <v>753088.54863685335</v>
      </c>
      <c r="AI111" s="61">
        <f t="shared" ref="AI111:AM111" si="123">(1+$C$6)^10*AI110</f>
        <v>656819.2192283445</v>
      </c>
      <c r="AJ111" s="61">
        <f t="shared" si="123"/>
        <v>633722.90565126925</v>
      </c>
      <c r="AK111" s="61">
        <f t="shared" si="123"/>
        <v>400462.53061671875</v>
      </c>
      <c r="AL111" s="61">
        <f t="shared" si="123"/>
        <v>436551.52626305615</v>
      </c>
      <c r="AM111" s="61">
        <f t="shared" si="123"/>
        <v>520415.59646872128</v>
      </c>
    </row>
    <row r="112" spans="5:40">
      <c r="E112">
        <v>2050</v>
      </c>
      <c r="F112" s="61">
        <f t="shared" ref="F112:F117" si="124">(1+$C$6)^10*F111</f>
        <v>1088656.9390782407</v>
      </c>
      <c r="G112" s="61">
        <f t="shared" ref="G112:G117" si="125">(1+$C$6)^10*G111</f>
        <v>949491.00212343538</v>
      </c>
      <c r="H112" s="61">
        <f t="shared" ref="H112:H117" si="126">(1+$C$6)^10*H111</f>
        <v>916103.21248259919</v>
      </c>
      <c r="I112" s="61">
        <f t="shared" ref="I112:I117" si="127">(1+$C$6)^10*I111</f>
        <v>578904.45099165954</v>
      </c>
      <c r="J112" s="61">
        <f t="shared" ref="J112:J117" si="128">(1+$C$6)^10*J111</f>
        <v>631074.32610908733</v>
      </c>
      <c r="K112" s="61">
        <f t="shared" ref="K112:K117" si="129">(1+$C$6)^10*K111</f>
        <v>752307.34994672297</v>
      </c>
      <c r="N112">
        <v>2050</v>
      </c>
      <c r="O112" s="61">
        <f t="shared" ref="O112:O117" si="130">(1+$C$6)^10*O111</f>
        <v>1088656.9390782407</v>
      </c>
      <c r="P112" s="61">
        <f t="shared" si="121"/>
        <v>949491.00212343538</v>
      </c>
      <c r="Q112" s="61">
        <f t="shared" si="121"/>
        <v>916103.21248259919</v>
      </c>
      <c r="R112" s="61">
        <f t="shared" si="121"/>
        <v>578904.45099165954</v>
      </c>
      <c r="S112" s="61">
        <f t="shared" si="121"/>
        <v>631074.32610908733</v>
      </c>
      <c r="T112" s="61">
        <f t="shared" si="121"/>
        <v>752307.34994672297</v>
      </c>
      <c r="W112">
        <v>2050</v>
      </c>
      <c r="X112" s="61">
        <f t="shared" ref="X112:AC117" si="131">(1+$C$6)^10*X111</f>
        <v>1088656.9390782407</v>
      </c>
      <c r="Y112" s="61">
        <f t="shared" si="131"/>
        <v>949491.00212343538</v>
      </c>
      <c r="Z112" s="61">
        <f t="shared" si="131"/>
        <v>916103.21248259919</v>
      </c>
      <c r="AA112" s="61">
        <f t="shared" si="131"/>
        <v>578904.45099165954</v>
      </c>
      <c r="AB112" s="61">
        <f t="shared" si="131"/>
        <v>631074.32610908733</v>
      </c>
      <c r="AC112" s="61">
        <f t="shared" si="131"/>
        <v>752307.34994672297</v>
      </c>
      <c r="AG112">
        <v>2050</v>
      </c>
      <c r="AH112" s="61">
        <f t="shared" ref="AH112:AM112" si="132">(1+$C$6)^10*AH111</f>
        <v>1088656.9390782407</v>
      </c>
      <c r="AI112" s="61">
        <f t="shared" si="132"/>
        <v>949491.00212343538</v>
      </c>
      <c r="AJ112" s="61">
        <f t="shared" si="132"/>
        <v>916103.21248259919</v>
      </c>
      <c r="AK112" s="61">
        <f t="shared" si="132"/>
        <v>578904.45099165954</v>
      </c>
      <c r="AL112" s="61">
        <f t="shared" si="132"/>
        <v>631074.32610908733</v>
      </c>
      <c r="AM112" s="61">
        <f t="shared" si="132"/>
        <v>752307.34994672297</v>
      </c>
    </row>
    <row r="113" spans="5:40">
      <c r="E113">
        <v>2060</v>
      </c>
      <c r="F113" s="61">
        <f t="shared" si="124"/>
        <v>1573751.0989225074</v>
      </c>
      <c r="G113" s="61">
        <f t="shared" si="125"/>
        <v>1372574.2742006241</v>
      </c>
      <c r="H113" s="61">
        <f t="shared" si="126"/>
        <v>1324309.2342677063</v>
      </c>
      <c r="I113" s="61">
        <f t="shared" si="127"/>
        <v>836858.22706521023</v>
      </c>
      <c r="J113" s="61">
        <f t="shared" si="128"/>
        <v>912274.45356372278</v>
      </c>
      <c r="K113" s="61">
        <f t="shared" si="129"/>
        <v>1087527.6464122604</v>
      </c>
      <c r="N113">
        <v>2060</v>
      </c>
      <c r="O113" s="61">
        <f t="shared" si="130"/>
        <v>1573751.0989225074</v>
      </c>
      <c r="P113" s="61">
        <f t="shared" si="121"/>
        <v>1372574.2742006241</v>
      </c>
      <c r="Q113" s="61">
        <f t="shared" si="121"/>
        <v>1324309.2342677063</v>
      </c>
      <c r="R113" s="61">
        <f t="shared" si="121"/>
        <v>836858.22706521023</v>
      </c>
      <c r="S113" s="61">
        <f t="shared" si="121"/>
        <v>912274.45356372278</v>
      </c>
      <c r="T113" s="61">
        <f t="shared" si="121"/>
        <v>1087527.6464122604</v>
      </c>
      <c r="W113">
        <v>2060</v>
      </c>
      <c r="X113" s="61">
        <f t="shared" si="131"/>
        <v>1573751.0989225074</v>
      </c>
      <c r="Y113" s="61">
        <f t="shared" si="131"/>
        <v>1372574.2742006241</v>
      </c>
      <c r="Z113" s="61">
        <f t="shared" si="131"/>
        <v>1324309.2342677063</v>
      </c>
      <c r="AA113" s="61">
        <f t="shared" si="131"/>
        <v>836858.22706521023</v>
      </c>
      <c r="AB113" s="61">
        <f t="shared" si="131"/>
        <v>912274.45356372278</v>
      </c>
      <c r="AC113" s="61">
        <f t="shared" si="131"/>
        <v>1087527.6464122604</v>
      </c>
      <c r="AG113">
        <v>2060</v>
      </c>
      <c r="AH113" s="61">
        <f t="shared" ref="AH113:AM113" si="133">(1+$C$6)^10*AH112</f>
        <v>1573751.0989225074</v>
      </c>
      <c r="AI113" s="61">
        <f t="shared" si="133"/>
        <v>1372574.2742006241</v>
      </c>
      <c r="AJ113" s="61">
        <f t="shared" si="133"/>
        <v>1324309.2342677063</v>
      </c>
      <c r="AK113" s="61">
        <f t="shared" si="133"/>
        <v>836858.22706521023</v>
      </c>
      <c r="AL113" s="61">
        <f t="shared" si="133"/>
        <v>912274.45356372278</v>
      </c>
      <c r="AM113" s="61">
        <f t="shared" si="133"/>
        <v>1087527.6464122604</v>
      </c>
    </row>
    <row r="114" spans="5:40">
      <c r="E114">
        <v>2070</v>
      </c>
      <c r="F114" s="61">
        <f t="shared" si="124"/>
        <v>2274998.1490558456</v>
      </c>
      <c r="G114" s="61">
        <f t="shared" si="125"/>
        <v>1984179.0327492247</v>
      </c>
      <c r="H114" s="61">
        <f t="shared" si="126"/>
        <v>1914407.5952031778</v>
      </c>
      <c r="I114" s="61">
        <f t="shared" si="127"/>
        <v>1209753.5111486246</v>
      </c>
      <c r="J114" s="61">
        <f t="shared" si="128"/>
        <v>1318774.420370141</v>
      </c>
      <c r="K114" s="61">
        <f t="shared" si="129"/>
        <v>1572118.6052412598</v>
      </c>
      <c r="N114">
        <v>2070</v>
      </c>
      <c r="O114" s="61">
        <f t="shared" si="130"/>
        <v>2274998.1490558456</v>
      </c>
      <c r="P114" s="61">
        <f t="shared" si="121"/>
        <v>1984179.0327492247</v>
      </c>
      <c r="Q114" s="61">
        <f t="shared" si="121"/>
        <v>1914407.5952031778</v>
      </c>
      <c r="R114" s="61">
        <f t="shared" si="121"/>
        <v>1209753.5111486246</v>
      </c>
      <c r="S114" s="61">
        <f t="shared" si="121"/>
        <v>1318774.420370141</v>
      </c>
      <c r="T114" s="61">
        <f t="shared" si="121"/>
        <v>1572118.6052412598</v>
      </c>
      <c r="W114">
        <v>2070</v>
      </c>
      <c r="X114" s="61">
        <f t="shared" si="131"/>
        <v>2274998.1490558456</v>
      </c>
      <c r="Y114" s="61">
        <f t="shared" si="131"/>
        <v>1984179.0327492247</v>
      </c>
      <c r="Z114" s="61">
        <f t="shared" si="131"/>
        <v>1914407.5952031778</v>
      </c>
      <c r="AA114" s="61">
        <f t="shared" si="131"/>
        <v>1209753.5111486246</v>
      </c>
      <c r="AB114" s="61">
        <f t="shared" si="131"/>
        <v>1318774.420370141</v>
      </c>
      <c r="AC114" s="61">
        <f t="shared" si="131"/>
        <v>1572118.6052412598</v>
      </c>
      <c r="AG114">
        <v>2070</v>
      </c>
      <c r="AH114" s="61">
        <f t="shared" ref="AH114:AM114" si="134">(1+$C$6)^10*AH113</f>
        <v>2274998.1490558456</v>
      </c>
      <c r="AI114" s="61">
        <f t="shared" si="134"/>
        <v>1984179.0327492247</v>
      </c>
      <c r="AJ114" s="61">
        <f t="shared" si="134"/>
        <v>1914407.5952031778</v>
      </c>
      <c r="AK114" s="61">
        <f t="shared" si="134"/>
        <v>1209753.5111486246</v>
      </c>
      <c r="AL114" s="61">
        <f t="shared" si="134"/>
        <v>1318774.420370141</v>
      </c>
      <c r="AM114" s="61">
        <f t="shared" si="134"/>
        <v>1572118.6052412598</v>
      </c>
    </row>
    <row r="115" spans="5:40">
      <c r="E115">
        <v>2080</v>
      </c>
      <c r="F115" s="61">
        <f t="shared" si="124"/>
        <v>3288713.5594383939</v>
      </c>
      <c r="G115" s="61">
        <f t="shared" si="125"/>
        <v>2868308.482828374</v>
      </c>
      <c r="H115" s="61">
        <f t="shared" si="126"/>
        <v>2767447.6215505656</v>
      </c>
      <c r="I115" s="61">
        <f t="shared" si="127"/>
        <v>1748807.0385216936</v>
      </c>
      <c r="J115" s="61">
        <f t="shared" si="128"/>
        <v>1906406.5260500249</v>
      </c>
      <c r="K115" s="61">
        <f t="shared" si="129"/>
        <v>2272638.2332434109</v>
      </c>
      <c r="N115">
        <v>2080</v>
      </c>
      <c r="O115" s="61">
        <f t="shared" si="130"/>
        <v>3288713.5594383939</v>
      </c>
      <c r="P115" s="61">
        <f t="shared" si="121"/>
        <v>2868308.482828374</v>
      </c>
      <c r="Q115" s="61">
        <f t="shared" si="121"/>
        <v>2767447.6215505656</v>
      </c>
      <c r="R115" s="61">
        <f t="shared" si="121"/>
        <v>1748807.0385216936</v>
      </c>
      <c r="S115" s="61">
        <f t="shared" si="121"/>
        <v>1906406.5260500249</v>
      </c>
      <c r="T115" s="61">
        <f t="shared" si="121"/>
        <v>2272638.2332434109</v>
      </c>
      <c r="W115">
        <v>2080</v>
      </c>
      <c r="X115" s="61">
        <f t="shared" si="131"/>
        <v>3288713.5594383939</v>
      </c>
      <c r="Y115" s="61">
        <f t="shared" si="131"/>
        <v>2868308.482828374</v>
      </c>
      <c r="Z115" s="61">
        <f t="shared" si="131"/>
        <v>2767447.6215505656</v>
      </c>
      <c r="AA115" s="61">
        <f t="shared" si="131"/>
        <v>1748807.0385216936</v>
      </c>
      <c r="AB115" s="61">
        <f t="shared" si="131"/>
        <v>1906406.5260500249</v>
      </c>
      <c r="AC115" s="61">
        <f t="shared" si="131"/>
        <v>2272638.2332434109</v>
      </c>
      <c r="AG115">
        <v>2080</v>
      </c>
      <c r="AH115" s="61">
        <f t="shared" ref="AH115:AM115" si="135">(1+$C$6)^10*AH114</f>
        <v>3288713.5594383939</v>
      </c>
      <c r="AI115" s="61">
        <f t="shared" si="135"/>
        <v>2868308.482828374</v>
      </c>
      <c r="AJ115" s="61">
        <f t="shared" si="135"/>
        <v>2767447.6215505656</v>
      </c>
      <c r="AK115" s="61">
        <f t="shared" si="135"/>
        <v>1748807.0385216936</v>
      </c>
      <c r="AL115" s="61">
        <f t="shared" si="135"/>
        <v>1906406.5260500249</v>
      </c>
      <c r="AM115" s="61">
        <f t="shared" si="135"/>
        <v>2272638.2332434109</v>
      </c>
    </row>
    <row r="116" spans="5:40">
      <c r="E116">
        <v>2090</v>
      </c>
      <c r="F116" s="61">
        <f t="shared" si="124"/>
        <v>4754129.967324405</v>
      </c>
      <c r="G116" s="61">
        <f t="shared" si="125"/>
        <v>4146396.7801664718</v>
      </c>
      <c r="H116" s="61">
        <f t="shared" si="126"/>
        <v>4000593.3727049646</v>
      </c>
      <c r="I116" s="61">
        <f t="shared" si="127"/>
        <v>2528057.1866902271</v>
      </c>
      <c r="J116" s="61">
        <f t="shared" si="128"/>
        <v>2755881.3595626606</v>
      </c>
      <c r="K116" s="61">
        <f t="shared" si="129"/>
        <v>3285302.0897918325</v>
      </c>
      <c r="N116">
        <v>2090</v>
      </c>
      <c r="O116" s="61">
        <f t="shared" si="130"/>
        <v>4754129.967324405</v>
      </c>
      <c r="P116" s="61">
        <f t="shared" si="121"/>
        <v>4146396.7801664718</v>
      </c>
      <c r="Q116" s="61">
        <f t="shared" si="121"/>
        <v>4000593.3727049646</v>
      </c>
      <c r="R116" s="61">
        <f t="shared" si="121"/>
        <v>2528057.1866902271</v>
      </c>
      <c r="S116" s="61">
        <f t="shared" si="121"/>
        <v>2755881.3595626606</v>
      </c>
      <c r="T116" s="61">
        <f t="shared" si="121"/>
        <v>3285302.0897918325</v>
      </c>
      <c r="W116">
        <v>2090</v>
      </c>
      <c r="X116" s="61">
        <f t="shared" si="131"/>
        <v>4754129.967324405</v>
      </c>
      <c r="Y116" s="61">
        <f t="shared" si="131"/>
        <v>4146396.7801664718</v>
      </c>
      <c r="Z116" s="61">
        <f t="shared" si="131"/>
        <v>4000593.3727049646</v>
      </c>
      <c r="AA116" s="61">
        <f t="shared" si="131"/>
        <v>2528057.1866902271</v>
      </c>
      <c r="AB116" s="61">
        <f t="shared" si="131"/>
        <v>2755881.3595626606</v>
      </c>
      <c r="AC116" s="61">
        <f t="shared" si="131"/>
        <v>3285302.0897918325</v>
      </c>
      <c r="AG116">
        <v>2090</v>
      </c>
      <c r="AH116" s="61">
        <f t="shared" ref="AH116:AM116" si="136">(1+$C$6)^10*AH115</f>
        <v>4754129.967324405</v>
      </c>
      <c r="AI116" s="61">
        <f t="shared" si="136"/>
        <v>4146396.7801664718</v>
      </c>
      <c r="AJ116" s="61">
        <f t="shared" si="136"/>
        <v>4000593.3727049646</v>
      </c>
      <c r="AK116" s="61">
        <f t="shared" si="136"/>
        <v>2528057.1866902271</v>
      </c>
      <c r="AL116" s="61">
        <f t="shared" si="136"/>
        <v>2755881.3595626606</v>
      </c>
      <c r="AM116" s="61">
        <f t="shared" si="136"/>
        <v>3285302.0897918325</v>
      </c>
    </row>
    <row r="117" spans="5:40">
      <c r="E117">
        <v>2100</v>
      </c>
      <c r="F117" s="61">
        <f t="shared" si="124"/>
        <v>6872520.6186918877</v>
      </c>
      <c r="G117" s="61">
        <f t="shared" si="125"/>
        <v>5993987.8717723014</v>
      </c>
      <c r="H117" s="61">
        <f t="shared" si="126"/>
        <v>5783215.9890215481</v>
      </c>
      <c r="I117" s="61">
        <f t="shared" si="127"/>
        <v>3654533.0607650261</v>
      </c>
      <c r="J117" s="61">
        <f t="shared" si="128"/>
        <v>3983873.3051974699</v>
      </c>
      <c r="K117" s="61">
        <f t="shared" si="129"/>
        <v>4749198.3824398573</v>
      </c>
      <c r="N117">
        <v>2100</v>
      </c>
      <c r="O117" s="61">
        <f t="shared" si="130"/>
        <v>6872520.6186918877</v>
      </c>
      <c r="P117" s="61">
        <f t="shared" si="121"/>
        <v>5993987.8717723014</v>
      </c>
      <c r="Q117" s="61">
        <f t="shared" si="121"/>
        <v>5783215.9890215481</v>
      </c>
      <c r="R117" s="61">
        <f t="shared" si="121"/>
        <v>3654533.0607650261</v>
      </c>
      <c r="S117" s="61">
        <f t="shared" si="121"/>
        <v>3983873.3051974699</v>
      </c>
      <c r="T117" s="61">
        <f t="shared" si="121"/>
        <v>4749198.3824398573</v>
      </c>
      <c r="W117">
        <v>2100</v>
      </c>
      <c r="X117" s="61">
        <f t="shared" si="131"/>
        <v>6872520.6186918877</v>
      </c>
      <c r="Y117" s="61">
        <f t="shared" si="131"/>
        <v>5993987.8717723014</v>
      </c>
      <c r="Z117" s="61">
        <f t="shared" si="131"/>
        <v>5783215.9890215481</v>
      </c>
      <c r="AA117" s="61">
        <f t="shared" si="131"/>
        <v>3654533.0607650261</v>
      </c>
      <c r="AB117" s="61">
        <f t="shared" si="131"/>
        <v>3983873.3051974699</v>
      </c>
      <c r="AC117" s="61">
        <f t="shared" si="131"/>
        <v>4749198.3824398573</v>
      </c>
      <c r="AG117">
        <v>2100</v>
      </c>
      <c r="AH117" s="61">
        <f t="shared" ref="AH117:AM117" si="137">(1+$C$6)^10*AH116</f>
        <v>6872520.6186918877</v>
      </c>
      <c r="AI117" s="61">
        <f t="shared" si="137"/>
        <v>5993987.8717723014</v>
      </c>
      <c r="AJ117" s="61">
        <f t="shared" si="137"/>
        <v>5783215.9890215481</v>
      </c>
      <c r="AK117" s="61">
        <f t="shared" si="137"/>
        <v>3654533.0607650261</v>
      </c>
      <c r="AL117" s="61">
        <f t="shared" si="137"/>
        <v>3983873.3051974699</v>
      </c>
      <c r="AM117" s="61">
        <f t="shared" si="137"/>
        <v>4749198.3824398573</v>
      </c>
    </row>
    <row r="118" spans="5:40">
      <c r="F118" s="581" t="s">
        <v>244</v>
      </c>
      <c r="G118" s="581"/>
      <c r="H118" s="581"/>
      <c r="I118" s="581"/>
      <c r="J118" s="581"/>
      <c r="K118" s="581"/>
      <c r="O118" s="581" t="s">
        <v>244</v>
      </c>
      <c r="P118" s="581"/>
      <c r="Q118" s="581"/>
      <c r="R118" s="581"/>
      <c r="S118" s="581"/>
      <c r="T118" s="581"/>
      <c r="X118" s="581" t="s">
        <v>244</v>
      </c>
      <c r="Y118" s="581"/>
      <c r="Z118" s="581"/>
      <c r="AA118" s="581"/>
      <c r="AB118" s="581"/>
      <c r="AC118" s="581"/>
      <c r="AH118" s="581" t="s">
        <v>244</v>
      </c>
      <c r="AI118" s="581"/>
      <c r="AJ118" s="581"/>
      <c r="AK118" s="581"/>
      <c r="AL118" s="581"/>
      <c r="AM118" s="581"/>
    </row>
    <row r="119" spans="5:40">
      <c r="E119">
        <v>2020</v>
      </c>
      <c r="F119" s="320" t="s">
        <v>240</v>
      </c>
      <c r="G119" s="320" t="s">
        <v>240</v>
      </c>
      <c r="H119" s="61">
        <f>H81*H100/'Demographic-Economic'!E$29</f>
        <v>2381040626.344748</v>
      </c>
      <c r="I119" s="61">
        <f>I81*I100/'Demographic-Economic'!F$29</f>
        <v>719075130.37140954</v>
      </c>
      <c r="J119" s="61">
        <f>J81*J100/'Demographic-Economic'!G$29</f>
        <v>509033774.57379305</v>
      </c>
      <c r="K119" s="61">
        <f>K81*K100/'Demographic-Economic'!H$29</f>
        <v>184356474.23777807</v>
      </c>
      <c r="L119" s="194">
        <f>SUM(H119:K119)/(SUM(F252:K252)*1000)</f>
        <v>2.9249688949713921E-3</v>
      </c>
      <c r="M119" s="194"/>
      <c r="N119">
        <v>2020</v>
      </c>
      <c r="O119" t="s">
        <v>240</v>
      </c>
      <c r="P119" t="s">
        <v>240</v>
      </c>
      <c r="Q119" s="61">
        <f>Q81*Q100/'Demographic-Economic'!E$29</f>
        <v>2381040626.344748</v>
      </c>
      <c r="R119" s="61">
        <f>R81*R100/'Demographic-Economic'!F$29</f>
        <v>719075130.37140954</v>
      </c>
      <c r="S119" s="61">
        <f>S81*S100/'Demographic-Economic'!G$29</f>
        <v>509033774.57379305</v>
      </c>
      <c r="T119" s="61">
        <f>T81*T100/'Demographic-Economic'!H$29</f>
        <v>184356474.23777807</v>
      </c>
      <c r="U119" s="194">
        <f>SUM(Q119:T119)/(SUM(O252:T252)*1000)</f>
        <v>2.9249688949713921E-3</v>
      </c>
      <c r="W119">
        <v>2020</v>
      </c>
      <c r="X119" t="s">
        <v>240</v>
      </c>
      <c r="Y119" t="s">
        <v>240</v>
      </c>
      <c r="Z119" s="61">
        <f>Z81*Z100/'Demographic-Economic'!E$29</f>
        <v>2381040626.344748</v>
      </c>
      <c r="AA119" s="61">
        <f>AA81*AA100/'Demographic-Economic'!F$29</f>
        <v>719075130.37140954</v>
      </c>
      <c r="AB119" s="61">
        <f>AB81*AB100/'Demographic-Economic'!G$29</f>
        <v>509033774.57379305</v>
      </c>
      <c r="AC119" s="61">
        <f>AC81*AC100/'Demographic-Economic'!H$29</f>
        <v>184356474.23777807</v>
      </c>
      <c r="AD119" s="194">
        <f>SUM(Z119:AC119)/(SUM(X252:AC252)*1000)</f>
        <v>2.9249688949713921E-3</v>
      </c>
      <c r="AG119">
        <v>2020</v>
      </c>
      <c r="AH119" t="s">
        <v>240</v>
      </c>
      <c r="AI119" t="s">
        <v>240</v>
      </c>
      <c r="AJ119" s="61">
        <f>AJ81*AJ100/'Demographic-Economic'!E$29</f>
        <v>2381040626.344748</v>
      </c>
      <c r="AK119" s="61">
        <f>AK81*AK100/'Demographic-Economic'!F$29</f>
        <v>719075130.37140954</v>
      </c>
      <c r="AL119" s="61">
        <f>AL81*AL100/'Demographic-Economic'!G$29</f>
        <v>509033774.57379305</v>
      </c>
      <c r="AM119" s="61">
        <f>AM81*AM100/'Demographic-Economic'!H$29</f>
        <v>184356474.23777807</v>
      </c>
      <c r="AN119" s="194">
        <f>SUM(AJ119:AM119)/(SUM(AH252:AM252)*1000)</f>
        <v>2.9249688949713921E-3</v>
      </c>
    </row>
    <row r="120" spans="5:40">
      <c r="E120">
        <v>2021</v>
      </c>
      <c r="F120" s="320" t="s">
        <v>240</v>
      </c>
      <c r="G120" s="320" t="s">
        <v>240</v>
      </c>
      <c r="H120" s="61">
        <f>H82*H101/'Demographic-Economic'!E$29</f>
        <v>2624229884.9927559</v>
      </c>
      <c r="I120" s="61">
        <f>I82*I101/'Demographic-Economic'!F$29</f>
        <v>683344714.50130451</v>
      </c>
      <c r="J120" s="61">
        <f>J82*J101/'Demographic-Economic'!G$29</f>
        <v>503920932.37537593</v>
      </c>
      <c r="K120" s="61">
        <f>K82*K101/'Demographic-Economic'!H$29</f>
        <v>193326402.4069297</v>
      </c>
      <c r="L120" s="194">
        <f t="shared" ref="L120:L136" si="138">SUM(H120:K120)/(SUM(F253:K253)*1000)</f>
        <v>2.9323028700995904E-3</v>
      </c>
      <c r="M120" s="194"/>
      <c r="N120">
        <v>2021</v>
      </c>
      <c r="O120" t="s">
        <v>240</v>
      </c>
      <c r="P120" t="s">
        <v>240</v>
      </c>
      <c r="Q120" s="61">
        <f>Q82*Q101/'Demographic-Economic'!E$29</f>
        <v>2621016373.930613</v>
      </c>
      <c r="R120" s="61">
        <f>R82*R101/'Demographic-Economic'!F$29</f>
        <v>690106833.426355</v>
      </c>
      <c r="S120" s="61">
        <f>S82*S101/'Demographic-Economic'!G$29</f>
        <v>504505557.66798079</v>
      </c>
      <c r="T120" s="61">
        <f>T82*T101/'Demographic-Economic'!H$29</f>
        <v>194754735.99333835</v>
      </c>
      <c r="U120" s="194">
        <f t="shared" ref="U120:U136" si="139">SUM(Q120:T120)/(SUM(O253:T253)*1000)</f>
        <v>2.9696874805662569E-3</v>
      </c>
      <c r="W120">
        <v>2021</v>
      </c>
      <c r="X120" t="s">
        <v>240</v>
      </c>
      <c r="Y120" t="s">
        <v>240</v>
      </c>
      <c r="Z120" s="61">
        <f>Z82*Z101/'Demographic-Economic'!E$29</f>
        <v>2617826822.9105387</v>
      </c>
      <c r="AA120" s="61">
        <f>AA82*AA101/'Demographic-Economic'!F$29</f>
        <v>696345139.64619398</v>
      </c>
      <c r="AB120" s="61">
        <f>AB82*AB101/'Demographic-Economic'!G$29</f>
        <v>505010960.69224137</v>
      </c>
      <c r="AC120" s="61">
        <f>AC82*AC101/'Demographic-Economic'!H$29</f>
        <v>196068689.83608311</v>
      </c>
      <c r="AD120" s="194">
        <f t="shared" ref="AD120:AD136" si="140">SUM(Z120:AC120)/(SUM(X253:AC253)*1000)</f>
        <v>2.9949946482549206E-3</v>
      </c>
      <c r="AG120">
        <v>2021</v>
      </c>
      <c r="AH120" t="s">
        <v>240</v>
      </c>
      <c r="AI120" t="s">
        <v>240</v>
      </c>
      <c r="AJ120" s="61">
        <f>AJ82*AJ101/'Demographic-Economic'!E$29</f>
        <v>2623828214.0683928</v>
      </c>
      <c r="AK120" s="61">
        <f>AK82*AK101/'Demographic-Economic'!F$29</f>
        <v>684220762.74092913</v>
      </c>
      <c r="AL120" s="61">
        <f>AL82*AL101/'Demographic-Economic'!G$29</f>
        <v>503998881.37652481</v>
      </c>
      <c r="AM120" s="61">
        <f>AM82*AM101/'Demographic-Economic'!H$29</f>
        <v>193511689.65131366</v>
      </c>
      <c r="AN120" s="194">
        <f t="shared" ref="AN120:AN136" si="141">SUM(AJ120:AM120)/(SUM(AH253:AM253)*1000)</f>
        <v>2.9062267699714621E-3</v>
      </c>
    </row>
    <row r="121" spans="5:40">
      <c r="E121">
        <v>2022</v>
      </c>
      <c r="F121" s="320" t="s">
        <v>240</v>
      </c>
      <c r="G121" s="320" t="s">
        <v>240</v>
      </c>
      <c r="H121" s="61">
        <f>H83*H102/'Demographic-Economic'!E$29</f>
        <v>2868630105.7155094</v>
      </c>
      <c r="I121" s="61">
        <f>I83*I102/'Demographic-Economic'!F$29</f>
        <v>650312103.75232255</v>
      </c>
      <c r="J121" s="61">
        <f>J83*J102/'Demographic-Economic'!G$29</f>
        <v>500125971.46783388</v>
      </c>
      <c r="K121" s="61">
        <f>K83*K102/'Demographic-Economic'!H$29</f>
        <v>202554338.87216878</v>
      </c>
      <c r="L121" s="194">
        <f t="shared" si="138"/>
        <v>2.9427563572179197E-3</v>
      </c>
      <c r="M121" s="194"/>
      <c r="N121">
        <v>2022</v>
      </c>
      <c r="O121" t="s">
        <v>240</v>
      </c>
      <c r="P121" t="s">
        <v>240</v>
      </c>
      <c r="Q121" s="61">
        <f>Q83*Q102/'Demographic-Economic'!E$29</f>
        <v>2867941950.5185409</v>
      </c>
      <c r="R121" s="61">
        <f>R83*R102/'Demographic-Economic'!F$29</f>
        <v>661478811.64444578</v>
      </c>
      <c r="S121" s="61">
        <f>S83*S102/'Demographic-Economic'!G$29</f>
        <v>500399555.91172087</v>
      </c>
      <c r="T121" s="61">
        <f>T83*T102/'Demographic-Economic'!H$29</f>
        <v>205477984.9368971</v>
      </c>
      <c r="U121" s="194">
        <f t="shared" si="139"/>
        <v>3.0167226600710585E-3</v>
      </c>
      <c r="W121">
        <v>2022</v>
      </c>
      <c r="X121" t="s">
        <v>240</v>
      </c>
      <c r="Y121" t="s">
        <v>240</v>
      </c>
      <c r="Z121" s="61">
        <f>Z83*Z102/'Demographic-Economic'!E$29</f>
        <v>2866430520.163682</v>
      </c>
      <c r="AA121" s="61">
        <f>AA83*AA102/'Demographic-Economic'!F$29</f>
        <v>672043582.64660466</v>
      </c>
      <c r="AB121" s="61">
        <f>AB83*AB102/'Demographic-Economic'!G$29</f>
        <v>500514529.00467557</v>
      </c>
      <c r="AC121" s="61">
        <f>AC83*AC102/'Demographic-Economic'!H$29</f>
        <v>208234747.40472582</v>
      </c>
      <c r="AD121" s="194">
        <f t="shared" si="140"/>
        <v>3.0679847795252522E-3</v>
      </c>
      <c r="AG121">
        <v>2022</v>
      </c>
      <c r="AH121" t="s">
        <v>240</v>
      </c>
      <c r="AI121" t="s">
        <v>240</v>
      </c>
      <c r="AJ121" s="61">
        <f>AJ83*AJ102/'Demographic-Economic'!E$29</f>
        <v>2868596346.8150988</v>
      </c>
      <c r="AK121" s="61">
        <f>AK83*AK102/'Demographic-Economic'!F$29</f>
        <v>651742709.31644845</v>
      </c>
      <c r="AL121" s="61">
        <f>AL83*AL102/'Demographic-Economic'!G$29</f>
        <v>500170116.55814284</v>
      </c>
      <c r="AM121" s="61">
        <f>AM83*AM102/'Demographic-Economic'!H$29</f>
        <v>202929485.08386186</v>
      </c>
      <c r="AN121" s="194">
        <f t="shared" si="141"/>
        <v>2.8935644932452328E-3</v>
      </c>
    </row>
    <row r="122" spans="5:40">
      <c r="E122">
        <v>2023</v>
      </c>
      <c r="F122" s="320" t="s">
        <v>240</v>
      </c>
      <c r="G122" s="320" t="s">
        <v>240</v>
      </c>
      <c r="H122" s="61">
        <f>H84*H103/'Demographic-Economic'!E$29</f>
        <v>3115188872.2779169</v>
      </c>
      <c r="I122" s="61">
        <f>I84*I103/'Demographic-Economic'!F$29</f>
        <v>619664574.02261662</v>
      </c>
      <c r="J122" s="61">
        <f>J84*J103/'Demographic-Economic'!G$29</f>
        <v>497540901.8268652</v>
      </c>
      <c r="K122" s="61">
        <f>K84*K103/'Demographic-Economic'!H$29</f>
        <v>212060650.95950663</v>
      </c>
      <c r="L122" s="194">
        <f t="shared" si="138"/>
        <v>2.9562649507620816E-3</v>
      </c>
      <c r="M122" s="194"/>
      <c r="N122">
        <v>2023</v>
      </c>
      <c r="O122" t="s">
        <v>240</v>
      </c>
      <c r="P122" t="s">
        <v>240</v>
      </c>
      <c r="Q122" s="61">
        <f>Q84*Q103/'Demographic-Economic'!E$29</f>
        <v>3122072780.8262377</v>
      </c>
      <c r="R122" s="61">
        <f>R84*R103/'Demographic-Economic'!F$29</f>
        <v>633219488.47835171</v>
      </c>
      <c r="S122" s="61">
        <f>S84*S103/'Demographic-Economic'!G$29</f>
        <v>496739075.90862626</v>
      </c>
      <c r="T122" s="61">
        <f>T84*T103/'Demographic-Economic'!H$29</f>
        <v>216540425.28170964</v>
      </c>
      <c r="U122" s="194">
        <f t="shared" si="139"/>
        <v>3.0660398119251517E-3</v>
      </c>
      <c r="W122">
        <v>2023</v>
      </c>
      <c r="X122" t="s">
        <v>240</v>
      </c>
      <c r="Y122" t="s">
        <v>240</v>
      </c>
      <c r="Z122" s="61">
        <f>Z84*Z103/'Demographic-Economic'!E$29</f>
        <v>3126917804.6218238</v>
      </c>
      <c r="AA122" s="61">
        <f>AA84*AA103/'Demographic-Economic'!F$29</f>
        <v>646299935.85425448</v>
      </c>
      <c r="AB122" s="61">
        <f>AB84*AB103/'Demographic-Economic'!G$29</f>
        <v>495617712.52222568</v>
      </c>
      <c r="AC122" s="61">
        <f>AC84*AC103/'Demographic-Economic'!H$29</f>
        <v>220860549.67241991</v>
      </c>
      <c r="AD122" s="194">
        <f t="shared" si="140"/>
        <v>3.1438594157073133E-3</v>
      </c>
      <c r="AG122">
        <v>2023</v>
      </c>
      <c r="AH122" t="s">
        <v>240</v>
      </c>
      <c r="AI122" t="s">
        <v>240</v>
      </c>
      <c r="AJ122" s="61">
        <f>AJ84*AJ103/'Demographic-Economic'!E$29</f>
        <v>3116174071.2290497</v>
      </c>
      <c r="AK122" s="61">
        <f>AK84*AK103/'Demographic-Economic'!F$29</f>
        <v>621386506.12756908</v>
      </c>
      <c r="AL122" s="61">
        <f>AL84*AL103/'Demographic-Economic'!G$29</f>
        <v>497460429.93546212</v>
      </c>
      <c r="AM122" s="61">
        <f>AM84*AM103/'Demographic-Economic'!H$29</f>
        <v>212629915.49412057</v>
      </c>
      <c r="AN122" s="194">
        <f t="shared" si="141"/>
        <v>2.8863487969499725E-3</v>
      </c>
    </row>
    <row r="123" spans="5:40">
      <c r="E123">
        <v>2024</v>
      </c>
      <c r="F123" s="320" t="s">
        <v>240</v>
      </c>
      <c r="G123" s="320" t="s">
        <v>240</v>
      </c>
      <c r="H123" s="61">
        <f>H85*H104/'Demographic-Economic'!E$29</f>
        <v>3364773535.3858457</v>
      </c>
      <c r="I123" s="61">
        <f>I85*I104/'Demographic-Economic'!F$29</f>
        <v>591132454.26453388</v>
      </c>
      <c r="J123" s="61">
        <f>J85*J104/'Demographic-Economic'!G$29</f>
        <v>496074376.56599128</v>
      </c>
      <c r="K123" s="61">
        <f>K85*K104/'Demographic-Economic'!H$29</f>
        <v>221865192.26269111</v>
      </c>
      <c r="L123" s="194">
        <f t="shared" si="138"/>
        <v>2.9727621330244143E-3</v>
      </c>
      <c r="M123" s="194"/>
      <c r="N123">
        <v>2024</v>
      </c>
      <c r="O123" t="s">
        <v>240</v>
      </c>
      <c r="P123" t="s">
        <v>240</v>
      </c>
      <c r="Q123" s="61">
        <f>Q85*Q104/'Demographic-Economic'!E$29</f>
        <v>3383695340.5161467</v>
      </c>
      <c r="R123" s="61">
        <f>R85*R104/'Demographic-Economic'!F$29</f>
        <v>605348997.23028922</v>
      </c>
      <c r="S123" s="61">
        <f>S85*S104/'Demographic-Economic'!G$29</f>
        <v>493544239.57339209</v>
      </c>
      <c r="T123" s="61">
        <f>T85*T104/'Demographic-Economic'!H$29</f>
        <v>227957230.80607203</v>
      </c>
      <c r="U123" s="194">
        <f t="shared" si="139"/>
        <v>3.1176228161275106E-3</v>
      </c>
      <c r="W123">
        <v>2024</v>
      </c>
      <c r="X123" t="s">
        <v>240</v>
      </c>
      <c r="Y123" t="s">
        <v>240</v>
      </c>
      <c r="Z123" s="61">
        <f>Z85*Z104/'Demographic-Economic'!E$29</f>
        <v>3399369694.6475897</v>
      </c>
      <c r="AA123" s="61">
        <f>AA85*AA104/'Demographic-Economic'!F$29</f>
        <v>619243292.48767626</v>
      </c>
      <c r="AB123" s="61">
        <f>AB85*AB104/'Demographic-Economic'!G$29</f>
        <v>490393887.43378705</v>
      </c>
      <c r="AC123" s="61">
        <f>AC85*AC104/'Demographic-Economic'!H$29</f>
        <v>233953140.55968919</v>
      </c>
      <c r="AD123" s="194">
        <f t="shared" si="140"/>
        <v>3.222558930772116E-3</v>
      </c>
      <c r="AG123">
        <v>2024</v>
      </c>
      <c r="AH123" t="s">
        <v>240</v>
      </c>
      <c r="AI123" t="s">
        <v>240</v>
      </c>
      <c r="AJ123" s="61">
        <f>AJ85*AJ104/'Demographic-Economic'!E$29</f>
        <v>3367334631.892427</v>
      </c>
      <c r="AK123" s="61">
        <f>AK85*AK104/'Demographic-Economic'!F$29</f>
        <v>592929329.80956435</v>
      </c>
      <c r="AL123" s="61">
        <f>AL85*AL104/'Demographic-Economic'!G$29</f>
        <v>495795236.82002306</v>
      </c>
      <c r="AM123" s="61">
        <f>AM85*AM104/'Demographic-Economic'!H$29</f>
        <v>222632697.96759602</v>
      </c>
      <c r="AN123" s="194">
        <f t="shared" si="141"/>
        <v>2.8840659866951465E-3</v>
      </c>
    </row>
    <row r="124" spans="5:40">
      <c r="E124">
        <v>2025</v>
      </c>
      <c r="F124" s="320" t="s">
        <v>240</v>
      </c>
      <c r="G124" s="320" t="s">
        <v>240</v>
      </c>
      <c r="H124" s="61">
        <f>H86*H105/'Demographic-Economic'!E$29</f>
        <v>3618186683.6478696</v>
      </c>
      <c r="I124" s="61">
        <f>I86*I105/'Demographic-Economic'!F$29</f>
        <v>564482066.12320352</v>
      </c>
      <c r="J124" s="61">
        <f>J86*J105/'Demographic-Economic'!G$29</f>
        <v>495649029.90185183</v>
      </c>
      <c r="K124" s="61">
        <f>K86*K105/'Demographic-Economic'!H$29</f>
        <v>231987486.82432219</v>
      </c>
      <c r="L124" s="194">
        <f t="shared" si="138"/>
        <v>2.9921833322690259E-3</v>
      </c>
      <c r="M124" s="194"/>
      <c r="N124">
        <v>2025</v>
      </c>
      <c r="O124" t="s">
        <v>240</v>
      </c>
      <c r="P124" t="s">
        <v>240</v>
      </c>
      <c r="Q124" s="61">
        <f>Q86*Q105/'Demographic-Economic'!E$29</f>
        <v>3653125570.5666313</v>
      </c>
      <c r="R124" s="61">
        <f>R86*R105/'Demographic-Economic'!F$29</f>
        <v>577880164.96258974</v>
      </c>
      <c r="S124" s="61">
        <f>S86*S105/'Demographic-Economic'!G$29</f>
        <v>490832411.08081257</v>
      </c>
      <c r="T124" s="61">
        <f>T86*T105/'Demographic-Economic'!H$29</f>
        <v>239744511.49488306</v>
      </c>
      <c r="U124" s="194">
        <f t="shared" si="139"/>
        <v>3.1714707576269868E-3</v>
      </c>
      <c r="W124">
        <v>2025</v>
      </c>
      <c r="X124" t="s">
        <v>240</v>
      </c>
      <c r="Y124" t="s">
        <v>240</v>
      </c>
      <c r="Z124" s="61">
        <f>Z86*Z105/'Demographic-Economic'!E$29</f>
        <v>3683887036.5358024</v>
      </c>
      <c r="AA124" s="61">
        <f>AA86*AA105/'Demographic-Economic'!F$29</f>
        <v>591000442.63377643</v>
      </c>
      <c r="AB124" s="61">
        <f>AB86*AB105/'Demographic-Economic'!G$29</f>
        <v>484915663.41612625</v>
      </c>
      <c r="AC124" s="61">
        <f>AC86*AC105/'Demographic-Economic'!H$29</f>
        <v>247520830.16206059</v>
      </c>
      <c r="AD124" s="194">
        <f t="shared" si="140"/>
        <v>3.3040424716524624E-3</v>
      </c>
      <c r="AG124">
        <v>2025</v>
      </c>
      <c r="AH124" t="s">
        <v>240</v>
      </c>
      <c r="AI124" t="s">
        <v>240</v>
      </c>
      <c r="AJ124" s="61">
        <f>AJ86*AJ105/'Demographic-Economic'!E$29</f>
        <v>3622805900.9226351</v>
      </c>
      <c r="AK124" s="61">
        <f>AK86*AK105/'Demographic-Economic'!F$29</f>
        <v>566175316.51577151</v>
      </c>
      <c r="AL124" s="61">
        <f>AL86*AL105/'Demographic-Economic'!G$29</f>
        <v>495110636.46200669</v>
      </c>
      <c r="AM124" s="61">
        <f>AM86*AM105/'Demographic-Economic'!H$29</f>
        <v>232957355.80284348</v>
      </c>
      <c r="AN124" s="194">
        <f t="shared" si="141"/>
        <v>2.8862958125251592E-3</v>
      </c>
    </row>
    <row r="125" spans="5:40">
      <c r="E125">
        <v>2026</v>
      </c>
      <c r="F125" s="320" t="s">
        <v>240</v>
      </c>
      <c r="G125" s="320" t="s">
        <v>240</v>
      </c>
      <c r="H125" s="61">
        <f>H87*H106/'Demographic-Economic'!E$29</f>
        <v>3876178821.1282196</v>
      </c>
      <c r="I125" s="61">
        <f>I87*I106/'Demographic-Economic'!F$29</f>
        <v>539509984.33487844</v>
      </c>
      <c r="J125" s="61">
        <f>J87*J106/'Demographic-Economic'!G$29</f>
        <v>496199315.88515598</v>
      </c>
      <c r="K125" s="61">
        <f>K87*K106/'Demographic-Economic'!H$29</f>
        <v>242446883.72711128</v>
      </c>
      <c r="L125" s="194">
        <f t="shared" si="138"/>
        <v>3.014468415123562E-3</v>
      </c>
      <c r="M125" s="194"/>
      <c r="N125">
        <v>2026</v>
      </c>
      <c r="O125" t="s">
        <v>240</v>
      </c>
      <c r="P125" t="s">
        <v>240</v>
      </c>
      <c r="Q125" s="61">
        <f>Q87*Q106/'Demographic-Economic'!E$29</f>
        <v>3930707442.7343636</v>
      </c>
      <c r="R125" s="61">
        <f>R87*R106/'Demographic-Economic'!F$29</f>
        <v>550819434.25133872</v>
      </c>
      <c r="S125" s="61">
        <f>S87*S106/'Demographic-Economic'!G$29</f>
        <v>488618599.00955009</v>
      </c>
      <c r="T125" s="61">
        <f>T87*T106/'Demographic-Economic'!H$29</f>
        <v>251919285.98480791</v>
      </c>
      <c r="U125" s="194">
        <f t="shared" si="139"/>
        <v>3.2275953269914272E-3</v>
      </c>
      <c r="W125">
        <v>2026</v>
      </c>
      <c r="X125" t="s">
        <v>240</v>
      </c>
      <c r="Y125" t="s">
        <v>240</v>
      </c>
      <c r="Z125" s="61">
        <f>Z87*Z106/'Demographic-Economic'!E$29</f>
        <v>3980594863.5803337</v>
      </c>
      <c r="AA125" s="61">
        <f>AA87*AA106/'Demographic-Economic'!F$29</f>
        <v>561694208.39595878</v>
      </c>
      <c r="AB125" s="61">
        <f>AB87*AB106/'Demographic-Economic'!G$29</f>
        <v>479254098.17466342</v>
      </c>
      <c r="AC125" s="61">
        <f>AC87*AC106/'Demographic-Economic'!H$29</f>
        <v>261573298.18249089</v>
      </c>
      <c r="AD125" s="194">
        <f t="shared" si="140"/>
        <v>3.3882866171183333E-3</v>
      </c>
      <c r="AG125">
        <v>2026</v>
      </c>
      <c r="AH125" t="s">
        <v>240</v>
      </c>
      <c r="AI125" t="s">
        <v>240</v>
      </c>
      <c r="AJ125" s="61">
        <f>AJ87*AJ106/'Demographic-Economic'!E$29</f>
        <v>3883279150.2343063</v>
      </c>
      <c r="AK125" s="61">
        <f>AK87*AK106/'Demographic-Economic'!F$29</f>
        <v>540951667.06298518</v>
      </c>
      <c r="AL125" s="61">
        <f>AL87*AL106/'Demographic-Economic'!G$29</f>
        <v>495351932.25183523</v>
      </c>
      <c r="AM125" s="61">
        <f>AM87*AM106/'Demographic-Economic'!H$29</f>
        <v>243623342.91074228</v>
      </c>
      <c r="AN125" s="194">
        <f t="shared" si="141"/>
        <v>2.8926921532687671E-3</v>
      </c>
    </row>
    <row r="126" spans="5:40">
      <c r="E126">
        <v>2027</v>
      </c>
      <c r="F126" s="320" t="s">
        <v>240</v>
      </c>
      <c r="G126" s="320" t="s">
        <v>240</v>
      </c>
      <c r="H126" s="61">
        <f>H88*H107/'Demographic-Economic'!E$29</f>
        <v>4139458840.3053861</v>
      </c>
      <c r="I126" s="61">
        <f>I88*I107/'Demographic-Economic'!F$29</f>
        <v>516038341.63686216</v>
      </c>
      <c r="J126" s="61">
        <f>J88*J107/'Demographic-Economic'!G$29</f>
        <v>497669743.19732141</v>
      </c>
      <c r="K126" s="61">
        <f>K88*K107/'Demographic-Economic'!H$29</f>
        <v>253262688.3925043</v>
      </c>
      <c r="L126" s="194">
        <f t="shared" si="138"/>
        <v>3.039563157720632E-3</v>
      </c>
      <c r="M126" s="194"/>
      <c r="N126">
        <v>2027</v>
      </c>
      <c r="O126" t="s">
        <v>240</v>
      </c>
      <c r="P126" t="s">
        <v>240</v>
      </c>
      <c r="Q126" s="61">
        <f>Q88*Q107/'Demographic-Economic'!E$29</f>
        <v>4216811693.5782957</v>
      </c>
      <c r="R126" s="61">
        <f>R88*R107/'Demographic-Economic'!F$29</f>
        <v>524167715.35703295</v>
      </c>
      <c r="S126" s="61">
        <f>S88*S107/'Demographic-Economic'!G$29</f>
        <v>486915830.34873837</v>
      </c>
      <c r="T126" s="61">
        <f>T88*T107/'Demographic-Economic'!H$29</f>
        <v>264499459.97086063</v>
      </c>
      <c r="U126" s="194">
        <f t="shared" si="139"/>
        <v>3.2860187662332547E-3</v>
      </c>
      <c r="W126">
        <v>2027</v>
      </c>
      <c r="X126" t="s">
        <v>240</v>
      </c>
      <c r="Y126" t="s">
        <v>240</v>
      </c>
      <c r="Z126" s="61">
        <f>Z88*Z107/'Demographic-Economic'!E$29</f>
        <v>4289646187.2803926</v>
      </c>
      <c r="AA126" s="61">
        <f>AA88*AA107/'Demographic-Economic'!F$29</f>
        <v>531442047.51806533</v>
      </c>
      <c r="AB126" s="61">
        <f>AB88*AB107/'Demographic-Economic'!G$29</f>
        <v>473478042.51583958</v>
      </c>
      <c r="AC126" s="61">
        <f>AC88*AC107/'Demographic-Economic'!H$29</f>
        <v>276121676.61058199</v>
      </c>
      <c r="AD126" s="194">
        <f t="shared" si="140"/>
        <v>3.4752841378148202E-3</v>
      </c>
      <c r="AG126">
        <v>2027</v>
      </c>
      <c r="AH126" t="s">
        <v>240</v>
      </c>
      <c r="AI126" t="s">
        <v>240</v>
      </c>
      <c r="AJ126" s="61">
        <f>AJ88*AJ107/'Demographic-Economic'!E$29</f>
        <v>4149416481.2601109</v>
      </c>
      <c r="AK126" s="61">
        <f>AK88*AK107/'Demographic-Economic'!F$29</f>
        <v>517105390.97498524</v>
      </c>
      <c r="AL126" s="61">
        <f>AL88*AL107/'Demographic-Economic'!G$29</f>
        <v>496472397.17909908</v>
      </c>
      <c r="AM126" s="61">
        <f>AM88*AM107/'Demographic-Economic'!H$29</f>
        <v>254650152.32894996</v>
      </c>
      <c r="AN126" s="194">
        <f t="shared" si="141"/>
        <v>2.9029684973065654E-3</v>
      </c>
    </row>
    <row r="127" spans="5:40">
      <c r="E127">
        <v>2028</v>
      </c>
      <c r="F127" s="320" t="s">
        <v>240</v>
      </c>
      <c r="G127" s="320" t="s">
        <v>240</v>
      </c>
      <c r="H127" s="61">
        <f>H89*H108/'Demographic-Economic'!E$29</f>
        <v>4408702743.951992</v>
      </c>
      <c r="I127" s="61">
        <f>I89*I108/'Demographic-Economic'!F$29</f>
        <v>493910965.48681098</v>
      </c>
      <c r="J127" s="61">
        <f>J89*J108/'Demographic-Economic'!G$29</f>
        <v>500013425.4107272</v>
      </c>
      <c r="K127" s="61">
        <f>K89*K108/'Demographic-Economic'!H$29</f>
        <v>264454275.45957062</v>
      </c>
      <c r="L127" s="194">
        <f t="shared" si="138"/>
        <v>3.0674200512405035E-3</v>
      </c>
      <c r="M127" s="194"/>
      <c r="N127">
        <v>2028</v>
      </c>
      <c r="O127" t="s">
        <v>240</v>
      </c>
      <c r="P127" t="s">
        <v>240</v>
      </c>
      <c r="Q127" s="61">
        <f>Q89*Q108/'Demographic-Economic'!E$29</f>
        <v>4511834736.6081324</v>
      </c>
      <c r="R127" s="61">
        <f>R89*R108/'Demographic-Economic'!F$29</f>
        <v>497921165.041556</v>
      </c>
      <c r="S127" s="61">
        <f>S89*S108/'Demographic-Economic'!G$29</f>
        <v>485735494.60473692</v>
      </c>
      <c r="T127" s="61">
        <f>T89*T108/'Demographic-Economic'!H$29</f>
        <v>277503810.5649249</v>
      </c>
      <c r="U127" s="194">
        <f t="shared" si="139"/>
        <v>3.3467722437625445E-3</v>
      </c>
      <c r="W127">
        <v>2028</v>
      </c>
      <c r="X127" t="s">
        <v>240</v>
      </c>
      <c r="Y127" t="s">
        <v>240</v>
      </c>
      <c r="Z127" s="61">
        <f>Z89*Z108/'Demographic-Economic'!E$29</f>
        <v>4611225215.9389</v>
      </c>
      <c r="AA127" s="61">
        <f>AA89*AA108/'Demographic-Economic'!F$29</f>
        <v>500354927.27750051</v>
      </c>
      <c r="AB127" s="61">
        <f>AB89*AB108/'Demographic-Economic'!G$29</f>
        <v>467653616.63476914</v>
      </c>
      <c r="AC127" s="61">
        <f>AC89*AC108/'Demographic-Economic'!H$29</f>
        <v>291178613.12374979</v>
      </c>
      <c r="AD127" s="194">
        <f t="shared" si="140"/>
        <v>3.5650428381803234E-3</v>
      </c>
      <c r="AG127">
        <v>2028</v>
      </c>
      <c r="AH127" t="s">
        <v>240</v>
      </c>
      <c r="AI127" t="s">
        <v>240</v>
      </c>
      <c r="AJ127" s="61">
        <f>AJ89*AJ108/'Demographic-Economic'!E$29</f>
        <v>4421857162.2716026</v>
      </c>
      <c r="AK127" s="61">
        <f>AK89*AK108/'Demographic-Economic'!F$29</f>
        <v>494500572.41753215</v>
      </c>
      <c r="AL127" s="61">
        <f>AL89*AL108/'Demographic-Economic'!G$29</f>
        <v>498432239.68870032</v>
      </c>
      <c r="AM127" s="61">
        <f>AM89*AM108/'Demographic-Economic'!H$29</f>
        <v>266057411.89026073</v>
      </c>
      <c r="AN127" s="194">
        <f t="shared" si="141"/>
        <v>2.9168868645785859E-3</v>
      </c>
    </row>
    <row r="128" spans="5:40">
      <c r="E128">
        <v>2029</v>
      </c>
      <c r="F128" s="320" t="s">
        <v>240</v>
      </c>
      <c r="G128" s="320" t="s">
        <v>240</v>
      </c>
      <c r="H128" s="61">
        <f>H90*H109/'Demographic-Economic'!E$29</f>
        <v>4684560967.9755964</v>
      </c>
      <c r="I128" s="61">
        <f>I90*I109/'Demographic-Economic'!F$29</f>
        <v>472990181.55697089</v>
      </c>
      <c r="J128" s="61">
        <f>J90*J109/'Demographic-Economic'!G$29</f>
        <v>503190884.18480521</v>
      </c>
      <c r="K128" s="61">
        <f>K90*K109/'Demographic-Economic'!H$29</f>
        <v>276041187.0452913</v>
      </c>
      <c r="L128" s="194">
        <f t="shared" si="138"/>
        <v>3.0979986761202846E-3</v>
      </c>
      <c r="M128" s="194"/>
      <c r="N128">
        <v>2029</v>
      </c>
      <c r="O128" t="s">
        <v>240</v>
      </c>
      <c r="P128" t="s">
        <v>240</v>
      </c>
      <c r="Q128" s="61">
        <f>Q90*Q109/'Demographic-Economic'!E$29</f>
        <v>4816197755.9191742</v>
      </c>
      <c r="R128" s="61">
        <f>R90*R109/'Demographic-Economic'!F$29</f>
        <v>472071891.12282628</v>
      </c>
      <c r="S128" s="61">
        <f>S90*S109/'Demographic-Economic'!G$29</f>
        <v>485087657.47974807</v>
      </c>
      <c r="T128" s="61">
        <f>T90*T109/'Demographic-Economic'!H$29</f>
        <v>290951976.47347206</v>
      </c>
      <c r="U128" s="194">
        <f t="shared" si="139"/>
        <v>3.4098945691097395E-3</v>
      </c>
      <c r="W128">
        <v>2029</v>
      </c>
      <c r="X128" t="s">
        <v>240</v>
      </c>
      <c r="Y128" t="s">
        <v>240</v>
      </c>
      <c r="Z128" s="61">
        <f>Z90*Z109/'Demographic-Economic'!E$29</f>
        <v>4945550017.9695215</v>
      </c>
      <c r="AA128" s="61">
        <f>AA90*AA109/'Demographic-Economic'!F$29</f>
        <v>468536460.61362636</v>
      </c>
      <c r="AB128" s="61">
        <f>AB90*AB109/'Demographic-Economic'!G$29</f>
        <v>461843813.5790633</v>
      </c>
      <c r="AC128" s="61">
        <f>AC90*AC109/'Demographic-Economic'!H$29</f>
        <v>306758317.18820775</v>
      </c>
      <c r="AD128" s="194">
        <f t="shared" si="140"/>
        <v>3.657584469694386E-3</v>
      </c>
      <c r="AG128">
        <v>2029</v>
      </c>
      <c r="AH128" t="s">
        <v>240</v>
      </c>
      <c r="AI128" t="s">
        <v>240</v>
      </c>
      <c r="AJ128" s="61">
        <f>AJ90*AJ109/'Demographic-Economic'!E$29</f>
        <v>4701223073.2539387</v>
      </c>
      <c r="AK128" s="61">
        <f>AK90*AK109/'Demographic-Economic'!F$29</f>
        <v>473016064.56659424</v>
      </c>
      <c r="AL128" s="61">
        <f>AL90*AL109/'Demographic-Economic'!G$29</f>
        <v>501197734.11078632</v>
      </c>
      <c r="AM128" s="61">
        <f>AM90*AM109/'Demographic-Economic'!H$29</f>
        <v>277864969.48868543</v>
      </c>
      <c r="AN128" s="194">
        <f t="shared" si="141"/>
        <v>2.9342492402668627E-3</v>
      </c>
    </row>
    <row r="129" spans="5:40">
      <c r="E129">
        <v>2030</v>
      </c>
      <c r="F129" s="320" t="s">
        <v>240</v>
      </c>
      <c r="G129" s="320" t="s">
        <v>240</v>
      </c>
      <c r="H129" s="61">
        <f>H91*H110/'Demographic-Economic'!E$29</f>
        <v>4967664580.5155849</v>
      </c>
      <c r="I129" s="61">
        <f>I91*I110/'Demographic-Economic'!F$29</f>
        <v>453154155.02577895</v>
      </c>
      <c r="J129" s="61">
        <f>J91*J110/'Demographic-Economic'!G$29</f>
        <v>507169056.54031527</v>
      </c>
      <c r="K129" s="61">
        <f>K91*K110/'Demographic-Economic'!H$29</f>
        <v>288043219.37427354</v>
      </c>
      <c r="L129" s="194">
        <f t="shared" si="138"/>
        <v>3.1312658002033977E-3</v>
      </c>
      <c r="M129" s="194"/>
      <c r="N129">
        <v>2030</v>
      </c>
      <c r="O129" t="s">
        <v>240</v>
      </c>
      <c r="P129" t="s">
        <v>240</v>
      </c>
      <c r="Q129" s="61">
        <f>Q91*Q110/'Demographic-Economic'!E$29</f>
        <v>5130345979.9731703</v>
      </c>
      <c r="R129" s="61">
        <f>R91*R110/'Demographic-Economic'!F$29</f>
        <v>446608584.02551925</v>
      </c>
      <c r="S129" s="61">
        <f>S91*S110/'Demographic-Economic'!G$29</f>
        <v>484981344.53369695</v>
      </c>
      <c r="T129" s="61">
        <f>T91*T110/'Demographic-Economic'!H$29</f>
        <v>304864453.77577019</v>
      </c>
      <c r="U129" s="194">
        <f t="shared" si="139"/>
        <v>3.4754311780193347E-3</v>
      </c>
      <c r="W129">
        <v>2030</v>
      </c>
      <c r="X129" t="s">
        <v>240</v>
      </c>
      <c r="Y129" t="s">
        <v>240</v>
      </c>
      <c r="Z129" s="61">
        <f>Z91*Z110/'Demographic-Economic'!E$29</f>
        <v>5292874664.79074</v>
      </c>
      <c r="AA129" s="61">
        <f>AA91*AA110/'Demographic-Economic'!F$29</f>
        <v>436082288.67280543</v>
      </c>
      <c r="AB129" s="61">
        <f>AB91*AB110/'Demographic-Economic'!G$29</f>
        <v>456108222.11732423</v>
      </c>
      <c r="AC129" s="61">
        <f>AC91*AC110/'Demographic-Economic'!H$29</f>
        <v>322876591.16968662</v>
      </c>
      <c r="AD129" s="194">
        <f t="shared" si="140"/>
        <v>3.7529437107097188E-3</v>
      </c>
      <c r="AG129">
        <v>2030</v>
      </c>
      <c r="AH129" t="s">
        <v>240</v>
      </c>
      <c r="AI129" t="s">
        <v>240</v>
      </c>
      <c r="AJ129" s="61">
        <f>AJ91*AJ110/'Demographic-Economic'!E$29</f>
        <v>4988123419.0855055</v>
      </c>
      <c r="AK129" s="61">
        <f>AK91*AK110/'Demographic-Economic'!F$29</f>
        <v>452543537.35125268</v>
      </c>
      <c r="AL129" s="61">
        <f>AL91*AL110/'Demographic-Economic'!G$29</f>
        <v>504740486.90089655</v>
      </c>
      <c r="AM129" s="61">
        <f>AM91*AM110/'Demographic-Economic'!H$29</f>
        <v>290092969.92070758</v>
      </c>
      <c r="AN129" s="194">
        <f t="shared" si="141"/>
        <v>2.9548908704607525E-3</v>
      </c>
    </row>
    <row r="130" spans="5:40">
      <c r="E130">
        <v>2040</v>
      </c>
      <c r="F130" s="320" t="s">
        <v>240</v>
      </c>
      <c r="G130" s="320" t="s">
        <v>240</v>
      </c>
      <c r="H130" s="61">
        <f>H92*H111/'Demographic-Economic'!E$29</f>
        <v>8122721033.758913</v>
      </c>
      <c r="I130" s="61">
        <f>I92*I111/'Demographic-Economic'!F$29</f>
        <v>308928511.00256938</v>
      </c>
      <c r="J130" s="61">
        <f>J92*J111/'Demographic-Economic'!G$29</f>
        <v>604482088.33638752</v>
      </c>
      <c r="K130" s="61">
        <f>K92*K111/'Demographic-Economic'!H$29</f>
        <v>419621170.24782109</v>
      </c>
      <c r="L130" s="194">
        <f t="shared" si="138"/>
        <v>3.3259482587015632E-3</v>
      </c>
      <c r="M130" s="194"/>
      <c r="N130">
        <v>2040</v>
      </c>
      <c r="O130" t="s">
        <v>240</v>
      </c>
      <c r="P130" t="s">
        <v>240</v>
      </c>
      <c r="Q130" s="61">
        <f>Q92*Q111/'Demographic-Economic'!E$29</f>
        <v>8747070252.3363705</v>
      </c>
      <c r="R130" s="61">
        <f>R92*R111/'Demographic-Economic'!F$29</f>
        <v>222153669.21408635</v>
      </c>
      <c r="S130" s="61">
        <f>S92*S111/'Demographic-Economic'!G$29</f>
        <v>536984215.39206171</v>
      </c>
      <c r="T130" s="61">
        <f>T92*T111/'Demographic-Economic'!H$29</f>
        <v>459129278.8644284</v>
      </c>
      <c r="U130" s="194">
        <f t="shared" si="139"/>
        <v>4.1927116995501479E-3</v>
      </c>
      <c r="W130">
        <v>2040</v>
      </c>
      <c r="X130" t="s">
        <v>240</v>
      </c>
      <c r="Y130" t="s">
        <v>240</v>
      </c>
      <c r="Z130" s="61">
        <f>Z92*Z111/'Demographic-Economic'!E$29</f>
        <v>9507440747.9771328</v>
      </c>
      <c r="AA130" s="61">
        <f>AA92*AA111/'Demographic-Economic'!F$29</f>
        <v>82605958.721187353</v>
      </c>
      <c r="AB130" s="61">
        <f>AB92*AB111/'Demographic-Economic'!G$29</f>
        <v>421074335.49193251</v>
      </c>
      <c r="AC130" s="61">
        <f>AC92*AC111/'Demographic-Economic'!H$29</f>
        <v>509073738.74010277</v>
      </c>
      <c r="AD130" s="194">
        <f t="shared" si="140"/>
        <v>5.1513706141980316E-3</v>
      </c>
      <c r="AG130">
        <v>2040</v>
      </c>
      <c r="AH130" t="s">
        <v>240</v>
      </c>
      <c r="AI130" t="s">
        <v>240</v>
      </c>
      <c r="AJ130" s="61">
        <f>AJ92*AJ111/'Demographic-Economic'!E$29</f>
        <v>8191356455.700819</v>
      </c>
      <c r="AK130" s="61">
        <f>AK92*AK111/'Demographic-Economic'!F$29</f>
        <v>300663157.99151647</v>
      </c>
      <c r="AL130" s="61">
        <f>AL92*AL111/'Demographic-Economic'!G$29</f>
        <v>598366507.25466955</v>
      </c>
      <c r="AM130" s="61">
        <f>AM92*AM111/'Demographic-Economic'!H$29</f>
        <v>423883707.93677342</v>
      </c>
      <c r="AN130" s="194">
        <f t="shared" si="141"/>
        <v>2.8729153641912407E-3</v>
      </c>
    </row>
    <row r="131" spans="5:40">
      <c r="E131">
        <v>2050</v>
      </c>
      <c r="F131" s="320" t="s">
        <v>240</v>
      </c>
      <c r="G131" s="320" t="s">
        <v>240</v>
      </c>
      <c r="H131" s="61">
        <f>H93*H112/'Demographic-Economic'!E$29</f>
        <v>12079388896.175837</v>
      </c>
      <c r="I131" s="61">
        <f>I93*I112/'Demographic-Economic'!F$29</f>
        <v>280057456.51128232</v>
      </c>
      <c r="J131" s="61">
        <f>J93*J112/'Demographic-Economic'!G$29</f>
        <v>808006113.31455624</v>
      </c>
      <c r="K131" s="61">
        <f>K93*K112/'Demographic-Economic'!H$29</f>
        <v>590910688.5258584</v>
      </c>
      <c r="L131" s="194">
        <f t="shared" si="138"/>
        <v>3.7080010863186417E-3</v>
      </c>
      <c r="M131" s="194"/>
      <c r="N131">
        <v>2050</v>
      </c>
      <c r="O131" t="s">
        <v>240</v>
      </c>
      <c r="P131" t="s">
        <v>240</v>
      </c>
      <c r="Q131" s="61">
        <f>Q93*Q112/'Demographic-Economic'!E$29</f>
        <v>13419208764.366976</v>
      </c>
      <c r="R131" s="61">
        <f>R93*R112/'Demographic-Economic'!F$29</f>
        <v>115628027.85194929</v>
      </c>
      <c r="S131" s="61">
        <f>S93*S112/'Demographic-Economic'!G$29</f>
        <v>709522149.97768939</v>
      </c>
      <c r="T131" s="61">
        <f>T93*T112/'Demographic-Economic'!H$29</f>
        <v>662717313.05850959</v>
      </c>
      <c r="U131" s="194">
        <f t="shared" si="139"/>
        <v>5.0512087503103813E-3</v>
      </c>
      <c r="W131">
        <v>2050</v>
      </c>
      <c r="X131" t="s">
        <v>240</v>
      </c>
      <c r="Y131" t="s">
        <v>240</v>
      </c>
      <c r="Z131" s="61">
        <f>Z93*Z112/'Demographic-Economic'!E$29</f>
        <v>14978789405.087217</v>
      </c>
      <c r="AA131" s="61">
        <f>AA93*AA112/'Demographic-Economic'!F$29</f>
        <v>0</v>
      </c>
      <c r="AB131" s="61">
        <f>AB93*AB112/'Demographic-Economic'!G$29</f>
        <v>472078949.5632652</v>
      </c>
      <c r="AC131" s="61">
        <f>AC93*AC112/'Demographic-Economic'!H$29</f>
        <v>749962847.59724355</v>
      </c>
      <c r="AD131" s="194">
        <f t="shared" si="140"/>
        <v>7.094349919602453E-3</v>
      </c>
      <c r="AG131">
        <v>2050</v>
      </c>
      <c r="AH131" t="s">
        <v>240</v>
      </c>
      <c r="AI131" t="s">
        <v>240</v>
      </c>
      <c r="AJ131" s="61">
        <f>AJ93*AJ112/'Demographic-Economic'!E$29</f>
        <v>12253849617.897858</v>
      </c>
      <c r="AK131" s="61">
        <f>AK93*AK112/'Demographic-Economic'!F$29</f>
        <v>261817626.94806805</v>
      </c>
      <c r="AL131" s="61">
        <f>AL93*AL112/'Demographic-Economic'!G$29</f>
        <v>798089846.26493454</v>
      </c>
      <c r="AM131" s="61">
        <f>AM93*AM112/'Demographic-Economic'!H$29</f>
        <v>600206720.35160995</v>
      </c>
      <c r="AN131" s="194">
        <f t="shared" si="141"/>
        <v>2.9975729859519139E-3</v>
      </c>
    </row>
    <row r="132" spans="5:40">
      <c r="E132">
        <v>2060</v>
      </c>
      <c r="F132" s="320" t="s">
        <v>240</v>
      </c>
      <c r="G132" s="320" t="s">
        <v>240</v>
      </c>
      <c r="H132" s="61">
        <f>H94*H113/'Demographic-Economic'!E$29</f>
        <v>17216222577.299175</v>
      </c>
      <c r="I132" s="61">
        <f>I94*I113/'Demographic-Economic'!F$29</f>
        <v>326817200.65636849</v>
      </c>
      <c r="J132" s="61">
        <f>J94*J113/'Demographic-Economic'!G$29</f>
        <v>1109303111.5808136</v>
      </c>
      <c r="K132" s="61">
        <f>K94*K113/'Demographic-Economic'!H$29</f>
        <v>817143018.54896176</v>
      </c>
      <c r="L132" s="194">
        <f t="shared" si="138"/>
        <v>4.2900704072124244E-3</v>
      </c>
      <c r="M132" s="194"/>
      <c r="N132">
        <v>2060</v>
      </c>
      <c r="O132" t="s">
        <v>240</v>
      </c>
      <c r="P132" t="s">
        <v>240</v>
      </c>
      <c r="Q132" s="61">
        <f>Q94*Q113/'Demographic-Economic'!E$29</f>
        <v>19623004033.884007</v>
      </c>
      <c r="R132" s="61">
        <f>R94*R113/'Demographic-Economic'!F$29</f>
        <v>102638345.11729515</v>
      </c>
      <c r="S132" s="61">
        <f>S94*S113/'Demographic-Economic'!G$29</f>
        <v>1007069515.0396925</v>
      </c>
      <c r="T132" s="61">
        <f>T94*T113/'Demographic-Economic'!H$29</f>
        <v>936466863.11788082</v>
      </c>
      <c r="U132" s="194">
        <f t="shared" si="139"/>
        <v>6.0662382221197495E-3</v>
      </c>
      <c r="W132">
        <v>2060</v>
      </c>
      <c r="X132" t="s">
        <v>240</v>
      </c>
      <c r="Y132" t="s">
        <v>240</v>
      </c>
      <c r="Z132" s="61">
        <f>Z94*Z113/'Demographic-Economic'!E$29</f>
        <v>22658452346.689007</v>
      </c>
      <c r="AA132" s="61">
        <f>AA94*AA113/'Demographic-Economic'!F$29</f>
        <v>0</v>
      </c>
      <c r="AB132" s="61">
        <f>AB94*AB113/'Demographic-Economic'!G$29</f>
        <v>656116888.66071999</v>
      </c>
      <c r="AC132" s="61">
        <f>AC94*AC113/'Demographic-Economic'!H$29</f>
        <v>1090813393.0308664</v>
      </c>
      <c r="AD132" s="194">
        <f t="shared" si="140"/>
        <v>9.7798522394714708E-3</v>
      </c>
      <c r="AG132">
        <v>2060</v>
      </c>
      <c r="AH132" t="s">
        <v>240</v>
      </c>
      <c r="AI132" t="s">
        <v>240</v>
      </c>
      <c r="AJ132" s="61">
        <f>AJ94*AJ113/'Demographic-Economic'!E$29</f>
        <v>17575537724.634392</v>
      </c>
      <c r="AK132" s="61">
        <f>AK94*AK113/'Demographic-Economic'!F$29</f>
        <v>298914087.15439022</v>
      </c>
      <c r="AL132" s="61">
        <f>AL94*AL113/'Demographic-Economic'!G$29</f>
        <v>1099097783.4762828</v>
      </c>
      <c r="AM132" s="61">
        <f>AM94*AM113/'Demographic-Economic'!H$29</f>
        <v>834943409.15133691</v>
      </c>
      <c r="AN132" s="194">
        <f t="shared" si="141"/>
        <v>3.2539113414856678E-3</v>
      </c>
    </row>
    <row r="133" spans="5:40">
      <c r="E133">
        <v>2070</v>
      </c>
      <c r="F133" s="320" t="s">
        <v>240</v>
      </c>
      <c r="G133" s="320" t="s">
        <v>240</v>
      </c>
      <c r="H133" s="61">
        <f>H95*H114/'Demographic-Economic'!E$29</f>
        <v>23957460861.553234</v>
      </c>
      <c r="I133" s="61">
        <f>I95*I114/'Demographic-Economic'!F$29</f>
        <v>428028489.47437584</v>
      </c>
      <c r="J133" s="61">
        <f>J95*J114/'Demographic-Economic'!G$29</f>
        <v>1510061517.1054039</v>
      </c>
      <c r="K133" s="61">
        <f>K95*K114/'Demographic-Economic'!H$29</f>
        <v>1115831822.1670244</v>
      </c>
      <c r="L133" s="194">
        <f t="shared" si="138"/>
        <v>5.0576163218432058E-3</v>
      </c>
      <c r="M133" s="194"/>
      <c r="N133">
        <v>2070</v>
      </c>
      <c r="O133" t="s">
        <v>240</v>
      </c>
      <c r="P133" t="s">
        <v>240</v>
      </c>
      <c r="Q133" s="61">
        <f>Q95*Q114/'Demographic-Economic'!E$29</f>
        <v>28091359492.237297</v>
      </c>
      <c r="R133" s="61">
        <f>R95*R114/'Demographic-Economic'!F$29</f>
        <v>150029806.87441847</v>
      </c>
      <c r="S133" s="61">
        <f>S95*S114/'Demographic-Economic'!G$29</f>
        <v>1431829612.2713733</v>
      </c>
      <c r="T133" s="61">
        <f>T95*T114/'Demographic-Economic'!H$29</f>
        <v>1312534345.095119</v>
      </c>
      <c r="U133" s="194">
        <f t="shared" si="139"/>
        <v>7.2319914604812253E-3</v>
      </c>
      <c r="W133">
        <v>2070</v>
      </c>
      <c r="X133" t="s">
        <v>240</v>
      </c>
      <c r="Y133" t="s">
        <v>240</v>
      </c>
      <c r="Z133" s="61">
        <f>Z95*Z114/'Demographic-Economic'!E$29</f>
        <v>33839630255.737591</v>
      </c>
      <c r="AA133" s="61">
        <f>AA95*AA114/'Demographic-Economic'!F$29</f>
        <v>0</v>
      </c>
      <c r="AB133" s="61">
        <f>AB95*AB114/'Demographic-Economic'!G$29</f>
        <v>975808198.96573067</v>
      </c>
      <c r="AC133" s="61">
        <f>AC95*AC114/'Demographic-Economic'!H$29</f>
        <v>1589554199.3987725</v>
      </c>
      <c r="AD133" s="194">
        <f t="shared" si="140"/>
        <v>1.3396764872774096E-2</v>
      </c>
      <c r="AG133">
        <v>2070</v>
      </c>
      <c r="AH133" t="s">
        <v>240</v>
      </c>
      <c r="AI133" t="s">
        <v>240</v>
      </c>
      <c r="AJ133" s="61">
        <f>AJ95*AJ114/'Demographic-Economic'!E$29</f>
        <v>24641978045.070347</v>
      </c>
      <c r="AK133" s="61">
        <f>AK95*AK114/'Demographic-Economic'!F$29</f>
        <v>390857869.39588547</v>
      </c>
      <c r="AL133" s="61">
        <f>AL95*AL114/'Demographic-Economic'!G$29</f>
        <v>1505327736.7251592</v>
      </c>
      <c r="AM133" s="61">
        <f>AM95*AM114/'Demographic-Economic'!H$29</f>
        <v>1148431482.9498179</v>
      </c>
      <c r="AN133" s="194">
        <f t="shared" si="141"/>
        <v>3.5908307953562849E-3</v>
      </c>
    </row>
    <row r="134" spans="5:40">
      <c r="E134">
        <v>2080</v>
      </c>
      <c r="F134" s="320" t="s">
        <v>240</v>
      </c>
      <c r="G134" s="320" t="s">
        <v>240</v>
      </c>
      <c r="H134" s="61">
        <f>H96*H115/'Demographic-Economic'!E$29</f>
        <v>32690506538.664825</v>
      </c>
      <c r="I134" s="61">
        <f>I96*I115/'Demographic-Economic'!F$29</f>
        <v>578500527.77062583</v>
      </c>
      <c r="J134" s="61">
        <f>J96*J115/'Demographic-Economic'!G$29</f>
        <v>2018453470.8904274</v>
      </c>
      <c r="K134" s="61">
        <f>K96*K115/'Demographic-Economic'!H$29</f>
        <v>1502717219.1764677</v>
      </c>
      <c r="L134" s="194">
        <f t="shared" si="138"/>
        <v>6.0753039012924424E-3</v>
      </c>
      <c r="M134" s="194"/>
      <c r="N134">
        <v>2080</v>
      </c>
      <c r="O134" t="s">
        <v>240</v>
      </c>
      <c r="P134" t="s">
        <v>240</v>
      </c>
      <c r="Q134" s="61">
        <f>Q96*Q115/'Demographic-Economic'!E$29</f>
        <v>39588320091.576859</v>
      </c>
      <c r="R134" s="61">
        <f>R96*R115/'Demographic-Economic'!F$29</f>
        <v>255730346.10133982</v>
      </c>
      <c r="S134" s="61">
        <f>S96*S115/'Demographic-Economic'!G$29</f>
        <v>2008676574.9715343</v>
      </c>
      <c r="T134" s="61">
        <f>T96*T115/'Demographic-Economic'!H$29</f>
        <v>1823064641.8284903</v>
      </c>
      <c r="U134" s="194">
        <f t="shared" si="139"/>
        <v>8.6358500513819911E-3</v>
      </c>
      <c r="W134">
        <v>2080</v>
      </c>
      <c r="X134" t="s">
        <v>240</v>
      </c>
      <c r="Y134" t="s">
        <v>240</v>
      </c>
      <c r="Z134" s="61">
        <f>Z96*Z115/'Demographic-Economic'!E$29</f>
        <v>50199756750.292221</v>
      </c>
      <c r="AA134" s="61">
        <f>AA96*AA115/'Demographic-Economic'!F$29</f>
        <v>0</v>
      </c>
      <c r="AB134" s="61">
        <f>AB96*AB115/'Demographic-Economic'!G$29</f>
        <v>1457448877.3273718</v>
      </c>
      <c r="AC134" s="61">
        <f>AC96*AC115/'Demographic-Economic'!H$29</f>
        <v>2318825341.0273433</v>
      </c>
      <c r="AD134" s="194">
        <f t="shared" si="140"/>
        <v>1.8313057244873549E-2</v>
      </c>
      <c r="AG134">
        <v>2080</v>
      </c>
      <c r="AH134" t="s">
        <v>240</v>
      </c>
      <c r="AI134" t="s">
        <v>240</v>
      </c>
      <c r="AJ134" s="61">
        <f>AJ96*AJ115/'Demographic-Economic'!E$29</f>
        <v>33940470243.687401</v>
      </c>
      <c r="AK134" s="61">
        <f>AK96*AK115/'Demographic-Economic'!F$29</f>
        <v>533437884.47061253</v>
      </c>
      <c r="AL134" s="61">
        <f>AL96*AL115/'Demographic-Economic'!G$29</f>
        <v>2029493346.6065834</v>
      </c>
      <c r="AM134" s="61">
        <f>AM96*AM115/'Demographic-Economic'!H$29</f>
        <v>1560847324.8979182</v>
      </c>
      <c r="AN134" s="194">
        <f t="shared" si="141"/>
        <v>4.0382036385408085E-3</v>
      </c>
    </row>
    <row r="135" spans="5:40">
      <c r="E135">
        <v>2090</v>
      </c>
      <c r="F135" s="320" t="s">
        <v>240</v>
      </c>
      <c r="G135" s="320" t="s">
        <v>240</v>
      </c>
      <c r="H135" s="61">
        <f>H97*H116/'Demographic-Economic'!E$29</f>
        <v>43764175294.222076</v>
      </c>
      <c r="I135" s="61">
        <f>I97*I116/'Demographic-Economic'!F$29</f>
        <v>775898556.44922543</v>
      </c>
      <c r="J135" s="61">
        <f>J97*J116/'Demographic-Economic'!G$29</f>
        <v>2638725650.9571719</v>
      </c>
      <c r="K135" s="61">
        <f>K97*K116/'Demographic-Economic'!H$29</f>
        <v>1991889661.3849051</v>
      </c>
      <c r="L135" s="194">
        <f t="shared" si="138"/>
        <v>7.3546132413096236E-3</v>
      </c>
      <c r="M135" s="194"/>
      <c r="N135">
        <v>2090</v>
      </c>
      <c r="O135" t="s">
        <v>240</v>
      </c>
      <c r="P135" t="s">
        <v>240</v>
      </c>
      <c r="Q135" s="61">
        <f>Q97*Q116/'Demographic-Economic'!E$29</f>
        <v>55147652394.15155</v>
      </c>
      <c r="R135" s="61">
        <f>R97*R116/'Demographic-Economic'!F$29</f>
        <v>418646059.53382272</v>
      </c>
      <c r="S135" s="61">
        <f>S97*S116/'Demographic-Economic'!G$29</f>
        <v>2766490189.434082</v>
      </c>
      <c r="T135" s="61">
        <f>T97*T116/'Demographic-Economic'!H$29</f>
        <v>2512328709.8236403</v>
      </c>
      <c r="U135" s="194">
        <f t="shared" si="139"/>
        <v>1.0319332835977956E-2</v>
      </c>
      <c r="W135">
        <v>2090</v>
      </c>
      <c r="X135" t="s">
        <v>240</v>
      </c>
      <c r="Y135" t="s">
        <v>240</v>
      </c>
      <c r="Z135" s="61">
        <f>Z97*Z116/'Demographic-Economic'!E$29</f>
        <v>74287209520.790436</v>
      </c>
      <c r="AA135" s="61">
        <f>AA97*AA116/'Demographic-Economic'!F$29</f>
        <v>0</v>
      </c>
      <c r="AB135" s="61">
        <f>AB97*AB116/'Demographic-Economic'!G$29</f>
        <v>2142869067.2567124</v>
      </c>
      <c r="AC135" s="61">
        <f>AC97*AC116/'Demographic-Economic'!H$29</f>
        <v>3389263188.5611143</v>
      </c>
      <c r="AD135" s="194">
        <f t="shared" si="140"/>
        <v>2.4967410597308042E-2</v>
      </c>
      <c r="AG135">
        <v>2090</v>
      </c>
      <c r="AH135" t="s">
        <v>240</v>
      </c>
      <c r="AI135" t="s">
        <v>240</v>
      </c>
      <c r="AJ135" s="61">
        <f>AJ97*AJ116/'Demographic-Economic'!E$29</f>
        <v>46049273447.142151</v>
      </c>
      <c r="AK135" s="61">
        <f>AK97*AK116/'Demographic-Economic'!F$29</f>
        <v>724711168.0750562</v>
      </c>
      <c r="AL135" s="61">
        <f>AL97*AL116/'Demographic-Economic'!G$29</f>
        <v>2684547189.5223837</v>
      </c>
      <c r="AM135" s="61">
        <f>AM97*AM116/'Demographic-Economic'!H$29</f>
        <v>2096512683.4588141</v>
      </c>
      <c r="AN135" s="194">
        <f t="shared" si="141"/>
        <v>4.5910238280622807E-3</v>
      </c>
    </row>
    <row r="136" spans="5:40">
      <c r="E136">
        <v>2100</v>
      </c>
      <c r="F136" s="320" t="s">
        <v>240</v>
      </c>
      <c r="G136" s="320" t="s">
        <v>240</v>
      </c>
      <c r="H136" s="61">
        <f>H98*H117/'Demographic-Economic'!E$29</f>
        <v>57663020253.212151</v>
      </c>
      <c r="I136" s="61">
        <f>I98*I117/'Demographic-Economic'!F$29</f>
        <v>1012743931.6015947</v>
      </c>
      <c r="J136" s="61">
        <f>J98*J117/'Demographic-Economic'!G$29</f>
        <v>3371863179.2873182</v>
      </c>
      <c r="K136" s="61">
        <f>K98*K117/'Demographic-Economic'!H$29</f>
        <v>2603580685.8702779</v>
      </c>
      <c r="L136" s="194">
        <f t="shared" si="138"/>
        <v>8.9772245872340763E-3</v>
      </c>
      <c r="M136" s="194"/>
      <c r="N136">
        <v>2100</v>
      </c>
      <c r="O136" t="s">
        <v>240</v>
      </c>
      <c r="P136" t="s">
        <v>240</v>
      </c>
      <c r="Q136" s="61">
        <f>Q98*Q117/'Demographic-Economic'!E$29</f>
        <v>76391617215.346603</v>
      </c>
      <c r="R136" s="61">
        <f>R98*R117/'Demographic-Economic'!F$29</f>
        <v>632293831.62213838</v>
      </c>
      <c r="S136" s="61">
        <f>S98*S117/'Demographic-Economic'!G$29</f>
        <v>3743314590.8032861</v>
      </c>
      <c r="T136" s="61">
        <f>T98*T117/'Demographic-Economic'!H$29</f>
        <v>3450419002.9426923</v>
      </c>
      <c r="U136" s="194">
        <f t="shared" si="139"/>
        <v>1.2349173814031233E-2</v>
      </c>
      <c r="W136">
        <v>2100</v>
      </c>
      <c r="X136" t="s">
        <v>240</v>
      </c>
      <c r="Y136" t="s">
        <v>240</v>
      </c>
      <c r="Z136" s="61">
        <f>Z98*Z117/'Demographic-Economic'!E$29</f>
        <v>109687067546.10893</v>
      </c>
      <c r="AA136" s="61">
        <f>AA98*AA117/'Demographic-Economic'!F$29</f>
        <v>0</v>
      </c>
      <c r="AB136" s="61">
        <f>AB98*AB117/'Demographic-Economic'!G$29</f>
        <v>3113761919.3245687</v>
      </c>
      <c r="AC136" s="61">
        <f>AC98*AC117/'Demographic-Economic'!H$29</f>
        <v>4955486748.5797577</v>
      </c>
      <c r="AD136" s="194">
        <f t="shared" si="140"/>
        <v>3.3813141714233982E-2</v>
      </c>
      <c r="AG136">
        <v>2100</v>
      </c>
      <c r="AH136" t="s">
        <v>240</v>
      </c>
      <c r="AI136" t="s">
        <v>240</v>
      </c>
      <c r="AJ136" s="61">
        <f>AJ98*AJ117/'Demographic-Economic'!E$29</f>
        <v>61706612774.691124</v>
      </c>
      <c r="AK136" s="61">
        <f>AK98*AK117/'Demographic-Economic'!F$29</f>
        <v>962244738.44364524</v>
      </c>
      <c r="AL136" s="61">
        <f>AL98*AL117/'Demographic-Economic'!G$29</f>
        <v>3484079814.4870949</v>
      </c>
      <c r="AM136" s="61">
        <f>AM98*AM117/'Demographic-Economic'!H$29</f>
        <v>2786654621.269908</v>
      </c>
      <c r="AN136" s="194">
        <f t="shared" si="141"/>
        <v>5.253693147058966E-3</v>
      </c>
    </row>
    <row r="137" spans="5:40">
      <c r="F137" s="581" t="s">
        <v>245</v>
      </c>
      <c r="G137" s="581"/>
      <c r="H137" s="581"/>
      <c r="I137" s="581"/>
      <c r="J137" s="581"/>
      <c r="K137" s="581"/>
      <c r="O137" s="581" t="s">
        <v>245</v>
      </c>
      <c r="P137" s="581"/>
      <c r="Q137" s="581"/>
      <c r="R137" s="581"/>
      <c r="S137" s="581"/>
      <c r="T137" s="581"/>
      <c r="X137" s="581" t="s">
        <v>245</v>
      </c>
      <c r="Y137" s="581"/>
      <c r="Z137" s="581"/>
      <c r="AA137" s="581"/>
      <c r="AB137" s="581"/>
      <c r="AC137" s="581"/>
      <c r="AH137" s="581" t="s">
        <v>245</v>
      </c>
      <c r="AI137" s="581"/>
      <c r="AJ137" s="581"/>
      <c r="AK137" s="581"/>
      <c r="AL137" s="581"/>
      <c r="AM137" s="581"/>
    </row>
    <row r="138" spans="5:40">
      <c r="E138">
        <v>2020</v>
      </c>
      <c r="H138" s="62">
        <f>(('Demographic-Economic'!E$23*1000*(1+'Inflation-Interest'!$C$65)*(1+'Inflation-Interest'!$C$66)*(1+'Inflation-Interest'!$C$67))/'Voluntary Costs (1)'!H5)*$C$5</f>
        <v>3679.8913927982908</v>
      </c>
      <c r="I138" s="62">
        <f>(('Demographic-Economic'!F$23*1000*(1+'Inflation-Interest'!$C$65)*(1+'Inflation-Interest'!$C$66)*(1+'Inflation-Interest'!$C$67))/'Voluntary Costs (1)'!I5)*$C$5</f>
        <v>1725.8329281201045</v>
      </c>
      <c r="J138" s="62">
        <f>(('Demographic-Economic'!G$23*1000*(1+'Inflation-Interest'!$C$65)*(1+'Inflation-Interest'!$C$66)*(1+'Inflation-Interest'!$C$67))/'Voluntary Costs (1)'!J5)*$C$5</f>
        <v>1973.4851002516946</v>
      </c>
      <c r="K138" s="62">
        <f>(('Demographic-Economic'!H$23*1000*(1+'Inflation-Interest'!$C$65)*(1+'Inflation-Interest'!$C$66)*(1+'Inflation-Interest'!$C$67))/'Voluntary Costs (1)'!K5)*$C$5</f>
        <v>593.7313408971421</v>
      </c>
      <c r="L138" s="329">
        <f>AVERAGE(H138:K138)</f>
        <v>1993.235190516808</v>
      </c>
      <c r="M138" s="329"/>
      <c r="N138">
        <v>2020</v>
      </c>
      <c r="O138" t="s">
        <v>240</v>
      </c>
      <c r="P138" t="s">
        <v>240</v>
      </c>
      <c r="Q138" t="s">
        <v>240</v>
      </c>
      <c r="R138" t="s">
        <v>240</v>
      </c>
      <c r="S138" t="s">
        <v>240</v>
      </c>
      <c r="T138" t="s">
        <v>240</v>
      </c>
      <c r="W138">
        <v>2020</v>
      </c>
      <c r="X138" t="s">
        <v>240</v>
      </c>
      <c r="Y138" t="s">
        <v>240</v>
      </c>
      <c r="Z138" t="s">
        <v>240</v>
      </c>
      <c r="AA138" t="s">
        <v>240</v>
      </c>
      <c r="AB138" t="s">
        <v>240</v>
      </c>
      <c r="AC138" t="s">
        <v>240</v>
      </c>
      <c r="AG138">
        <v>2020</v>
      </c>
      <c r="AH138" t="s">
        <v>240</v>
      </c>
      <c r="AI138" t="s">
        <v>240</v>
      </c>
      <c r="AJ138" t="s">
        <v>240</v>
      </c>
      <c r="AK138" t="s">
        <v>240</v>
      </c>
      <c r="AL138" t="s">
        <v>240</v>
      </c>
      <c r="AM138" t="s">
        <v>240</v>
      </c>
    </row>
    <row r="139" spans="5:40">
      <c r="E139">
        <v>2021</v>
      </c>
      <c r="F139" s="320" t="s">
        <v>240</v>
      </c>
      <c r="G139" s="320" t="s">
        <v>240</v>
      </c>
      <c r="H139" s="62">
        <f>H138*(1+$C$6)</f>
        <v>3818.0314491077779</v>
      </c>
      <c r="I139" s="62">
        <f t="shared" ref="I139:I148" si="142">I138*(1+$C$6)</f>
        <v>1790.6192580476265</v>
      </c>
      <c r="J139" s="62">
        <f t="shared" ref="J139:J148" si="143">J138*(1+$C$6)</f>
        <v>2047.5680863442262</v>
      </c>
      <c r="K139" s="62">
        <f t="shared" ref="K139:K148" si="144">K138*(1+$C$6)</f>
        <v>616.01952065830346</v>
      </c>
      <c r="L139" s="329">
        <f t="shared" ref="L139:L155" si="145">AVERAGE(H139:K139)</f>
        <v>2068.0595785394835</v>
      </c>
      <c r="M139" s="329"/>
      <c r="N139">
        <v>2021</v>
      </c>
      <c r="O139" t="s">
        <v>240</v>
      </c>
      <c r="P139" t="s">
        <v>240</v>
      </c>
      <c r="Q139" t="s">
        <v>240</v>
      </c>
      <c r="R139" t="s">
        <v>240</v>
      </c>
      <c r="S139" t="s">
        <v>240</v>
      </c>
      <c r="T139" t="s">
        <v>240</v>
      </c>
      <c r="W139">
        <v>2021</v>
      </c>
      <c r="X139" t="s">
        <v>240</v>
      </c>
      <c r="Y139" t="s">
        <v>240</v>
      </c>
      <c r="Z139" t="s">
        <v>240</v>
      </c>
      <c r="AA139" t="s">
        <v>240</v>
      </c>
      <c r="AB139" t="s">
        <v>240</v>
      </c>
      <c r="AC139" t="s">
        <v>240</v>
      </c>
      <c r="AG139">
        <v>2021</v>
      </c>
      <c r="AH139" t="s">
        <v>240</v>
      </c>
      <c r="AI139" t="s">
        <v>240</v>
      </c>
      <c r="AJ139" t="s">
        <v>240</v>
      </c>
      <c r="AK139" t="s">
        <v>240</v>
      </c>
      <c r="AL139" t="s">
        <v>240</v>
      </c>
      <c r="AM139" t="s">
        <v>240</v>
      </c>
    </row>
    <row r="140" spans="5:40">
      <c r="E140">
        <v>2022</v>
      </c>
      <c r="F140" s="320" t="s">
        <v>240</v>
      </c>
      <c r="G140" s="320" t="s">
        <v>240</v>
      </c>
      <c r="H140" s="62">
        <f t="shared" ref="H140:H148" si="146">H139*(1+$C$6)</f>
        <v>3961.3571680144096</v>
      </c>
      <c r="I140" s="62">
        <f t="shared" si="142"/>
        <v>1857.8376128120194</v>
      </c>
      <c r="J140" s="62">
        <f t="shared" si="143"/>
        <v>2124.4320859988497</v>
      </c>
      <c r="K140" s="62">
        <f t="shared" si="144"/>
        <v>639.14438011421566</v>
      </c>
      <c r="L140" s="329">
        <f t="shared" si="145"/>
        <v>2145.6928117348734</v>
      </c>
      <c r="M140" s="329"/>
      <c r="N140">
        <v>2022</v>
      </c>
      <c r="O140" t="s">
        <v>240</v>
      </c>
      <c r="P140" t="s">
        <v>240</v>
      </c>
      <c r="Q140" t="s">
        <v>240</v>
      </c>
      <c r="R140" t="s">
        <v>240</v>
      </c>
      <c r="S140" t="s">
        <v>240</v>
      </c>
      <c r="T140" t="s">
        <v>240</v>
      </c>
      <c r="W140">
        <v>2022</v>
      </c>
      <c r="X140" t="s">
        <v>240</v>
      </c>
      <c r="Y140" t="s">
        <v>240</v>
      </c>
      <c r="Z140" t="s">
        <v>240</v>
      </c>
      <c r="AA140" t="s">
        <v>240</v>
      </c>
      <c r="AB140" t="s">
        <v>240</v>
      </c>
      <c r="AC140" t="s">
        <v>240</v>
      </c>
      <c r="AG140">
        <v>2022</v>
      </c>
      <c r="AH140" t="s">
        <v>240</v>
      </c>
      <c r="AI140" t="s">
        <v>240</v>
      </c>
      <c r="AJ140" t="s">
        <v>240</v>
      </c>
      <c r="AK140" t="s">
        <v>240</v>
      </c>
      <c r="AL140" t="s">
        <v>240</v>
      </c>
      <c r="AM140" t="s">
        <v>240</v>
      </c>
    </row>
    <row r="141" spans="5:40">
      <c r="E141">
        <v>2023</v>
      </c>
      <c r="F141" s="320" t="s">
        <v>240</v>
      </c>
      <c r="G141" s="320" t="s">
        <v>240</v>
      </c>
      <c r="H141" s="62">
        <f t="shared" si="146"/>
        <v>4110.0632149706971</v>
      </c>
      <c r="I141" s="62">
        <f t="shared" si="142"/>
        <v>1927.579288598972</v>
      </c>
      <c r="J141" s="62">
        <f t="shared" si="143"/>
        <v>2204.181496147175</v>
      </c>
      <c r="K141" s="62">
        <f t="shared" si="144"/>
        <v>663.1373275233866</v>
      </c>
      <c r="L141" s="329">
        <f t="shared" si="145"/>
        <v>2226.2403318100578</v>
      </c>
      <c r="M141" s="329"/>
      <c r="N141">
        <v>2023</v>
      </c>
      <c r="O141" t="s">
        <v>240</v>
      </c>
      <c r="P141" t="s">
        <v>240</v>
      </c>
      <c r="Q141" t="s">
        <v>240</v>
      </c>
      <c r="R141" t="s">
        <v>240</v>
      </c>
      <c r="S141" t="s">
        <v>240</v>
      </c>
      <c r="T141" t="s">
        <v>240</v>
      </c>
      <c r="W141">
        <v>2023</v>
      </c>
      <c r="X141" t="s">
        <v>240</v>
      </c>
      <c r="Y141" t="s">
        <v>240</v>
      </c>
      <c r="Z141" t="s">
        <v>240</v>
      </c>
      <c r="AA141" t="s">
        <v>240</v>
      </c>
      <c r="AB141" t="s">
        <v>240</v>
      </c>
      <c r="AC141" t="s">
        <v>240</v>
      </c>
      <c r="AG141">
        <v>2023</v>
      </c>
      <c r="AH141" t="s">
        <v>240</v>
      </c>
      <c r="AI141" t="s">
        <v>240</v>
      </c>
      <c r="AJ141" t="s">
        <v>240</v>
      </c>
      <c r="AK141" t="s">
        <v>240</v>
      </c>
      <c r="AL141" t="s">
        <v>240</v>
      </c>
      <c r="AM141" t="s">
        <v>240</v>
      </c>
    </row>
    <row r="142" spans="5:40">
      <c r="E142">
        <v>2024</v>
      </c>
      <c r="F142" s="320" t="s">
        <v>240</v>
      </c>
      <c r="G142" s="320" t="s">
        <v>240</v>
      </c>
      <c r="H142" s="62">
        <f t="shared" si="146"/>
        <v>4264.3515630080183</v>
      </c>
      <c r="I142" s="62">
        <f t="shared" si="142"/>
        <v>1999.9390087769036</v>
      </c>
      <c r="J142" s="62">
        <f t="shared" si="143"/>
        <v>2286.9246326946268</v>
      </c>
      <c r="K142" s="62">
        <f t="shared" si="144"/>
        <v>688.03095018417491</v>
      </c>
      <c r="L142" s="329">
        <f t="shared" si="145"/>
        <v>2309.8115386659306</v>
      </c>
      <c r="M142" s="329"/>
      <c r="N142">
        <v>2024</v>
      </c>
      <c r="O142" t="s">
        <v>240</v>
      </c>
      <c r="P142" t="s">
        <v>240</v>
      </c>
      <c r="Q142" t="s">
        <v>240</v>
      </c>
      <c r="R142" t="s">
        <v>240</v>
      </c>
      <c r="S142" t="s">
        <v>240</v>
      </c>
      <c r="T142" t="s">
        <v>240</v>
      </c>
      <c r="W142">
        <v>2024</v>
      </c>
      <c r="X142" t="s">
        <v>240</v>
      </c>
      <c r="Y142" t="s">
        <v>240</v>
      </c>
      <c r="Z142" t="s">
        <v>240</v>
      </c>
      <c r="AA142" t="s">
        <v>240</v>
      </c>
      <c r="AB142" t="s">
        <v>240</v>
      </c>
      <c r="AC142" t="s">
        <v>240</v>
      </c>
      <c r="AG142">
        <v>2024</v>
      </c>
      <c r="AH142" t="s">
        <v>240</v>
      </c>
      <c r="AI142" t="s">
        <v>240</v>
      </c>
      <c r="AJ142" t="s">
        <v>240</v>
      </c>
      <c r="AK142" t="s">
        <v>240</v>
      </c>
      <c r="AL142" t="s">
        <v>240</v>
      </c>
      <c r="AM142" t="s">
        <v>240</v>
      </c>
    </row>
    <row r="143" spans="5:40">
      <c r="E143">
        <v>2025</v>
      </c>
      <c r="F143" s="320" t="s">
        <v>240</v>
      </c>
      <c r="G143" s="320" t="s">
        <v>240</v>
      </c>
      <c r="H143" s="62">
        <f t="shared" si="146"/>
        <v>4424.4317670570372</v>
      </c>
      <c r="I143" s="62">
        <f t="shared" si="142"/>
        <v>2075.0150525505478</v>
      </c>
      <c r="J143" s="62">
        <f t="shared" si="143"/>
        <v>2372.7738776354558</v>
      </c>
      <c r="K143" s="62">
        <f t="shared" si="144"/>
        <v>713.85905869496366</v>
      </c>
      <c r="L143" s="329">
        <f t="shared" si="145"/>
        <v>2396.5199389845011</v>
      </c>
      <c r="M143" s="329"/>
      <c r="N143">
        <v>2025</v>
      </c>
      <c r="O143" t="s">
        <v>240</v>
      </c>
      <c r="P143" t="s">
        <v>240</v>
      </c>
      <c r="Q143" t="s">
        <v>240</v>
      </c>
      <c r="R143" t="s">
        <v>240</v>
      </c>
      <c r="S143" t="s">
        <v>240</v>
      </c>
      <c r="T143" t="s">
        <v>240</v>
      </c>
      <c r="W143">
        <v>2025</v>
      </c>
      <c r="X143" t="s">
        <v>240</v>
      </c>
      <c r="Y143" t="s">
        <v>240</v>
      </c>
      <c r="Z143" t="s">
        <v>240</v>
      </c>
      <c r="AA143" t="s">
        <v>240</v>
      </c>
      <c r="AB143" t="s">
        <v>240</v>
      </c>
      <c r="AC143" t="s">
        <v>240</v>
      </c>
      <c r="AG143">
        <v>2025</v>
      </c>
      <c r="AH143" t="s">
        <v>240</v>
      </c>
      <c r="AI143" t="s">
        <v>240</v>
      </c>
      <c r="AJ143" t="s">
        <v>240</v>
      </c>
      <c r="AK143" t="s">
        <v>240</v>
      </c>
      <c r="AL143" t="s">
        <v>240</v>
      </c>
      <c r="AM143" t="s">
        <v>240</v>
      </c>
    </row>
    <row r="144" spans="5:40">
      <c r="E144">
        <v>2026</v>
      </c>
      <c r="F144" s="320" t="s">
        <v>240</v>
      </c>
      <c r="G144" s="320" t="s">
        <v>240</v>
      </c>
      <c r="H144" s="62">
        <f t="shared" si="146"/>
        <v>4590.5212485658858</v>
      </c>
      <c r="I144" s="62">
        <f t="shared" si="142"/>
        <v>2152.9093884440849</v>
      </c>
      <c r="J144" s="62">
        <f t="shared" si="143"/>
        <v>2461.8458316903261</v>
      </c>
      <c r="K144" s="62">
        <f t="shared" si="144"/>
        <v>740.65673287582365</v>
      </c>
      <c r="L144" s="329">
        <f t="shared" si="145"/>
        <v>2486.4833003940298</v>
      </c>
      <c r="M144" s="329"/>
      <c r="N144">
        <v>2026</v>
      </c>
      <c r="O144" t="s">
        <v>240</v>
      </c>
      <c r="P144" t="s">
        <v>240</v>
      </c>
      <c r="Q144" t="s">
        <v>240</v>
      </c>
      <c r="R144" t="s">
        <v>240</v>
      </c>
      <c r="S144" t="s">
        <v>240</v>
      </c>
      <c r="T144" t="s">
        <v>240</v>
      </c>
      <c r="W144">
        <v>2026</v>
      </c>
      <c r="X144" t="s">
        <v>240</v>
      </c>
      <c r="Y144" t="s">
        <v>240</v>
      </c>
      <c r="Z144" t="s">
        <v>240</v>
      </c>
      <c r="AA144" t="s">
        <v>240</v>
      </c>
      <c r="AB144" t="s">
        <v>240</v>
      </c>
      <c r="AC144" t="s">
        <v>240</v>
      </c>
      <c r="AG144">
        <v>2026</v>
      </c>
      <c r="AH144" t="s">
        <v>240</v>
      </c>
      <c r="AI144" t="s">
        <v>240</v>
      </c>
      <c r="AJ144" t="s">
        <v>240</v>
      </c>
      <c r="AK144" t="s">
        <v>240</v>
      </c>
      <c r="AL144" t="s">
        <v>240</v>
      </c>
      <c r="AM144" t="s">
        <v>240</v>
      </c>
    </row>
    <row r="145" spans="5:39">
      <c r="E145">
        <v>2027</v>
      </c>
      <c r="F145" s="320" t="s">
        <v>240</v>
      </c>
      <c r="G145" s="320" t="s">
        <v>240</v>
      </c>
      <c r="H145" s="62">
        <f t="shared" si="146"/>
        <v>4762.8455908026754</v>
      </c>
      <c r="I145" s="62">
        <f t="shared" si="142"/>
        <v>2233.727812795119</v>
      </c>
      <c r="J145" s="62">
        <f t="shared" si="143"/>
        <v>2554.2614726737879</v>
      </c>
      <c r="K145" s="62">
        <f t="shared" si="144"/>
        <v>768.46036941403804</v>
      </c>
      <c r="L145" s="329">
        <f t="shared" si="145"/>
        <v>2579.8238114214055</v>
      </c>
      <c r="M145" s="329"/>
      <c r="N145">
        <v>2027</v>
      </c>
      <c r="O145" t="s">
        <v>240</v>
      </c>
      <c r="P145" t="s">
        <v>240</v>
      </c>
      <c r="Q145" t="s">
        <v>240</v>
      </c>
      <c r="R145" t="s">
        <v>240</v>
      </c>
      <c r="S145" t="s">
        <v>240</v>
      </c>
      <c r="T145" t="s">
        <v>240</v>
      </c>
      <c r="W145">
        <v>2027</v>
      </c>
      <c r="X145" t="s">
        <v>240</v>
      </c>
      <c r="Y145" t="s">
        <v>240</v>
      </c>
      <c r="Z145" t="s">
        <v>240</v>
      </c>
      <c r="AA145" t="s">
        <v>240</v>
      </c>
      <c r="AB145" t="s">
        <v>240</v>
      </c>
      <c r="AC145" t="s">
        <v>240</v>
      </c>
      <c r="AG145">
        <v>2027</v>
      </c>
      <c r="AH145" t="s">
        <v>240</v>
      </c>
      <c r="AI145" t="s">
        <v>240</v>
      </c>
      <c r="AJ145" t="s">
        <v>240</v>
      </c>
      <c r="AK145" t="s">
        <v>240</v>
      </c>
      <c r="AL145" t="s">
        <v>240</v>
      </c>
      <c r="AM145" t="s">
        <v>240</v>
      </c>
    </row>
    <row r="146" spans="5:39">
      <c r="E146">
        <v>2028</v>
      </c>
      <c r="F146" s="320" t="s">
        <v>240</v>
      </c>
      <c r="G146" s="320" t="s">
        <v>240</v>
      </c>
      <c r="H146" s="62">
        <f t="shared" si="146"/>
        <v>4941.6388452434157</v>
      </c>
      <c r="I146" s="62">
        <f t="shared" si="142"/>
        <v>2317.5800934476038</v>
      </c>
      <c r="J146" s="62">
        <f t="shared" si="143"/>
        <v>2650.1463198067349</v>
      </c>
      <c r="K146" s="62">
        <f t="shared" si="144"/>
        <v>797.30773129819988</v>
      </c>
      <c r="L146" s="329">
        <f t="shared" si="145"/>
        <v>2676.6682474489885</v>
      </c>
      <c r="M146" s="329"/>
      <c r="N146">
        <v>2028</v>
      </c>
      <c r="O146" t="s">
        <v>240</v>
      </c>
      <c r="P146" t="s">
        <v>240</v>
      </c>
      <c r="Q146" t="s">
        <v>240</v>
      </c>
      <c r="R146" t="s">
        <v>240</v>
      </c>
      <c r="S146" t="s">
        <v>240</v>
      </c>
      <c r="T146" t="s">
        <v>240</v>
      </c>
      <c r="W146">
        <v>2028</v>
      </c>
      <c r="X146" t="s">
        <v>240</v>
      </c>
      <c r="Y146" t="s">
        <v>240</v>
      </c>
      <c r="Z146" t="s">
        <v>240</v>
      </c>
      <c r="AA146" t="s">
        <v>240</v>
      </c>
      <c r="AB146" t="s">
        <v>240</v>
      </c>
      <c r="AC146" t="s">
        <v>240</v>
      </c>
      <c r="AG146">
        <v>2028</v>
      </c>
      <c r="AH146" t="s">
        <v>240</v>
      </c>
      <c r="AI146" t="s">
        <v>240</v>
      </c>
      <c r="AJ146" t="s">
        <v>240</v>
      </c>
      <c r="AK146" t="s">
        <v>240</v>
      </c>
      <c r="AL146" t="s">
        <v>240</v>
      </c>
      <c r="AM146" t="s">
        <v>240</v>
      </c>
    </row>
    <row r="147" spans="5:39">
      <c r="E147">
        <v>2029</v>
      </c>
      <c r="F147" s="320" t="s">
        <v>240</v>
      </c>
      <c r="G147" s="320" t="s">
        <v>240</v>
      </c>
      <c r="H147" s="62">
        <f t="shared" si="146"/>
        <v>5127.1438494614822</v>
      </c>
      <c r="I147" s="62">
        <f t="shared" si="142"/>
        <v>2404.5801188388823</v>
      </c>
      <c r="J147" s="62">
        <f t="shared" si="143"/>
        <v>2749.6306041970133</v>
      </c>
      <c r="K147" s="62">
        <f t="shared" si="144"/>
        <v>827.23799910802495</v>
      </c>
      <c r="L147" s="329">
        <f t="shared" si="145"/>
        <v>2777.1481429013506</v>
      </c>
      <c r="M147" s="329"/>
      <c r="N147">
        <v>2029</v>
      </c>
      <c r="O147" t="s">
        <v>240</v>
      </c>
      <c r="P147" t="s">
        <v>240</v>
      </c>
      <c r="Q147" t="s">
        <v>240</v>
      </c>
      <c r="R147" t="s">
        <v>240</v>
      </c>
      <c r="S147" t="s">
        <v>240</v>
      </c>
      <c r="T147" t="s">
        <v>240</v>
      </c>
      <c r="W147">
        <v>2029</v>
      </c>
      <c r="X147" t="s">
        <v>240</v>
      </c>
      <c r="Y147" t="s">
        <v>240</v>
      </c>
      <c r="Z147" t="s">
        <v>240</v>
      </c>
      <c r="AA147" t="s">
        <v>240</v>
      </c>
      <c r="AB147" t="s">
        <v>240</v>
      </c>
      <c r="AC147" t="s">
        <v>240</v>
      </c>
      <c r="AG147">
        <v>2029</v>
      </c>
      <c r="AH147" t="s">
        <v>240</v>
      </c>
      <c r="AI147" t="s">
        <v>240</v>
      </c>
      <c r="AJ147" t="s">
        <v>240</v>
      </c>
      <c r="AK147" t="s">
        <v>240</v>
      </c>
      <c r="AL147" t="s">
        <v>240</v>
      </c>
      <c r="AM147" t="s">
        <v>240</v>
      </c>
    </row>
    <row r="148" spans="5:39">
      <c r="E148">
        <v>2030</v>
      </c>
      <c r="F148" s="320" t="s">
        <v>240</v>
      </c>
      <c r="G148" s="320" t="s">
        <v>240</v>
      </c>
      <c r="H148" s="62">
        <f t="shared" si="146"/>
        <v>5319.612556950392</v>
      </c>
      <c r="I148" s="62">
        <f t="shared" si="142"/>
        <v>2494.8460526833283</v>
      </c>
      <c r="J148" s="62">
        <f t="shared" si="143"/>
        <v>2852.8494457197326</v>
      </c>
      <c r="K148" s="62">
        <f t="shared" si="144"/>
        <v>858.29182422954091</v>
      </c>
      <c r="L148" s="329">
        <f t="shared" si="145"/>
        <v>2881.3999698957487</v>
      </c>
      <c r="M148" s="329"/>
      <c r="N148">
        <v>2030</v>
      </c>
      <c r="O148" t="s">
        <v>240</v>
      </c>
      <c r="P148" t="s">
        <v>240</v>
      </c>
      <c r="Q148" t="s">
        <v>240</v>
      </c>
      <c r="R148" t="s">
        <v>240</v>
      </c>
      <c r="S148" t="s">
        <v>240</v>
      </c>
      <c r="T148" t="s">
        <v>240</v>
      </c>
      <c r="W148">
        <v>2030</v>
      </c>
      <c r="X148" t="s">
        <v>240</v>
      </c>
      <c r="Y148" t="s">
        <v>240</v>
      </c>
      <c r="Z148" t="s">
        <v>240</v>
      </c>
      <c r="AA148" t="s">
        <v>240</v>
      </c>
      <c r="AB148" t="s">
        <v>240</v>
      </c>
      <c r="AC148" t="s">
        <v>240</v>
      </c>
      <c r="AG148">
        <v>2030</v>
      </c>
      <c r="AH148" t="s">
        <v>240</v>
      </c>
      <c r="AI148" t="s">
        <v>240</v>
      </c>
      <c r="AJ148" t="s">
        <v>240</v>
      </c>
      <c r="AK148" t="s">
        <v>240</v>
      </c>
      <c r="AL148" t="s">
        <v>240</v>
      </c>
      <c r="AM148" t="s">
        <v>240</v>
      </c>
    </row>
    <row r="149" spans="5:39">
      <c r="E149">
        <v>2040</v>
      </c>
      <c r="F149" s="320" t="s">
        <v>240</v>
      </c>
      <c r="G149" s="320" t="s">
        <v>240</v>
      </c>
      <c r="H149" s="62">
        <f t="shared" ref="H149:K155" si="147">H148*(1+$C$6)^10</f>
        <v>7689.9763431728607</v>
      </c>
      <c r="I149" s="62">
        <f t="shared" si="147"/>
        <v>3606.5233923711676</v>
      </c>
      <c r="J149" s="62">
        <f t="shared" si="147"/>
        <v>4124.049357608721</v>
      </c>
      <c r="K149" s="62">
        <f t="shared" si="147"/>
        <v>1240.7376953120836</v>
      </c>
      <c r="L149" s="329">
        <f t="shared" si="145"/>
        <v>4165.3216971162083</v>
      </c>
      <c r="M149" s="329"/>
      <c r="N149">
        <v>2040</v>
      </c>
      <c r="O149" t="s">
        <v>240</v>
      </c>
      <c r="P149" t="s">
        <v>240</v>
      </c>
      <c r="Q149" t="s">
        <v>240</v>
      </c>
      <c r="R149" t="s">
        <v>240</v>
      </c>
      <c r="S149" t="s">
        <v>240</v>
      </c>
      <c r="T149" t="s">
        <v>240</v>
      </c>
      <c r="W149">
        <v>2040</v>
      </c>
      <c r="X149" t="s">
        <v>240</v>
      </c>
      <c r="Y149" t="s">
        <v>240</v>
      </c>
      <c r="Z149" t="s">
        <v>240</v>
      </c>
      <c r="AA149" t="s">
        <v>240</v>
      </c>
      <c r="AB149" t="s">
        <v>240</v>
      </c>
      <c r="AC149" t="s">
        <v>240</v>
      </c>
      <c r="AG149">
        <v>2040</v>
      </c>
      <c r="AH149" t="s">
        <v>240</v>
      </c>
      <c r="AI149" t="s">
        <v>240</v>
      </c>
      <c r="AJ149" t="s">
        <v>240</v>
      </c>
      <c r="AK149" t="s">
        <v>240</v>
      </c>
      <c r="AL149" t="s">
        <v>240</v>
      </c>
      <c r="AM149" t="s">
        <v>240</v>
      </c>
    </row>
    <row r="150" spans="5:39">
      <c r="E150">
        <v>2050</v>
      </c>
      <c r="F150" s="320" t="s">
        <v>240</v>
      </c>
      <c r="G150" s="320" t="s">
        <v>240</v>
      </c>
      <c r="H150" s="62">
        <f t="shared" si="147"/>
        <v>11116.549471501241</v>
      </c>
      <c r="I150" s="62">
        <f t="shared" si="147"/>
        <v>5213.5525419417208</v>
      </c>
      <c r="J150" s="62">
        <f t="shared" si="147"/>
        <v>5961.6826711660169</v>
      </c>
      <c r="K150" s="62">
        <f t="shared" si="147"/>
        <v>1793.5974514847956</v>
      </c>
      <c r="L150" s="329">
        <f t="shared" si="145"/>
        <v>6021.3455340234432</v>
      </c>
      <c r="M150" s="329"/>
      <c r="N150">
        <v>2050</v>
      </c>
      <c r="O150" t="s">
        <v>240</v>
      </c>
      <c r="P150" t="s">
        <v>240</v>
      </c>
      <c r="Q150" t="s">
        <v>240</v>
      </c>
      <c r="R150" t="s">
        <v>240</v>
      </c>
      <c r="S150" t="s">
        <v>240</v>
      </c>
      <c r="T150" t="s">
        <v>240</v>
      </c>
      <c r="W150">
        <v>2050</v>
      </c>
      <c r="X150" t="s">
        <v>240</v>
      </c>
      <c r="Y150" t="s">
        <v>240</v>
      </c>
      <c r="Z150" t="s">
        <v>240</v>
      </c>
      <c r="AA150" t="s">
        <v>240</v>
      </c>
      <c r="AB150" t="s">
        <v>240</v>
      </c>
      <c r="AC150" t="s">
        <v>240</v>
      </c>
      <c r="AG150">
        <v>2050</v>
      </c>
      <c r="AH150" t="s">
        <v>240</v>
      </c>
      <c r="AI150" t="s">
        <v>240</v>
      </c>
      <c r="AJ150" t="s">
        <v>240</v>
      </c>
      <c r="AK150" t="s">
        <v>240</v>
      </c>
      <c r="AL150" t="s">
        <v>240</v>
      </c>
      <c r="AM150" t="s">
        <v>240</v>
      </c>
    </row>
    <row r="151" spans="5:39">
      <c r="E151">
        <v>2060</v>
      </c>
      <c r="F151" s="320" t="s">
        <v>240</v>
      </c>
      <c r="G151" s="320" t="s">
        <v>240</v>
      </c>
      <c r="H151" s="62">
        <f t="shared" si="147"/>
        <v>16069.967791519466</v>
      </c>
      <c r="I151" s="62">
        <f t="shared" si="147"/>
        <v>7536.6570933888497</v>
      </c>
      <c r="J151" s="62">
        <f t="shared" si="147"/>
        <v>8618.1461931603953</v>
      </c>
      <c r="K151" s="62">
        <f t="shared" si="147"/>
        <v>2592.8057397849766</v>
      </c>
      <c r="L151" s="329">
        <f t="shared" si="145"/>
        <v>8704.3942044634223</v>
      </c>
      <c r="M151" s="329"/>
      <c r="N151">
        <v>2060</v>
      </c>
      <c r="O151" t="s">
        <v>240</v>
      </c>
      <c r="P151" t="s">
        <v>240</v>
      </c>
      <c r="Q151" t="s">
        <v>240</v>
      </c>
      <c r="R151" t="s">
        <v>240</v>
      </c>
      <c r="S151" t="s">
        <v>240</v>
      </c>
      <c r="T151" t="s">
        <v>240</v>
      </c>
      <c r="W151">
        <v>2060</v>
      </c>
      <c r="X151" t="s">
        <v>240</v>
      </c>
      <c r="Y151" t="s">
        <v>240</v>
      </c>
      <c r="Z151" t="s">
        <v>240</v>
      </c>
      <c r="AA151" t="s">
        <v>240</v>
      </c>
      <c r="AB151" t="s">
        <v>240</v>
      </c>
      <c r="AC151" t="s">
        <v>240</v>
      </c>
      <c r="AG151">
        <v>2060</v>
      </c>
      <c r="AH151" t="s">
        <v>240</v>
      </c>
      <c r="AI151" t="s">
        <v>240</v>
      </c>
      <c r="AJ151" t="s">
        <v>240</v>
      </c>
      <c r="AK151" t="s">
        <v>240</v>
      </c>
      <c r="AL151" t="s">
        <v>240</v>
      </c>
      <c r="AM151" t="s">
        <v>240</v>
      </c>
    </row>
    <row r="152" spans="5:39">
      <c r="E152">
        <v>2070</v>
      </c>
      <c r="F152" s="320" t="s">
        <v>240</v>
      </c>
      <c r="G152" s="320" t="s">
        <v>240</v>
      </c>
      <c r="H152" s="62">
        <f t="shared" si="147"/>
        <v>23230.577571081358</v>
      </c>
      <c r="I152" s="62">
        <f t="shared" si="147"/>
        <v>10894.912765600246</v>
      </c>
      <c r="J152" s="62">
        <f t="shared" si="147"/>
        <v>12458.302110896893</v>
      </c>
      <c r="K152" s="62">
        <f t="shared" si="147"/>
        <v>3748.1328927495456</v>
      </c>
      <c r="L152" s="329">
        <f t="shared" si="145"/>
        <v>12582.981335082011</v>
      </c>
      <c r="M152" s="329"/>
      <c r="N152">
        <v>2070</v>
      </c>
      <c r="O152" t="s">
        <v>240</v>
      </c>
      <c r="P152" t="s">
        <v>240</v>
      </c>
      <c r="Q152" t="s">
        <v>240</v>
      </c>
      <c r="R152" t="s">
        <v>240</v>
      </c>
      <c r="S152" t="s">
        <v>240</v>
      </c>
      <c r="T152" t="s">
        <v>240</v>
      </c>
      <c r="W152">
        <v>2070</v>
      </c>
      <c r="X152" t="s">
        <v>240</v>
      </c>
      <c r="Y152" t="s">
        <v>240</v>
      </c>
      <c r="Z152" t="s">
        <v>240</v>
      </c>
      <c r="AA152" t="s">
        <v>240</v>
      </c>
      <c r="AB152" t="s">
        <v>240</v>
      </c>
      <c r="AC152" t="s">
        <v>240</v>
      </c>
      <c r="AG152">
        <v>2070</v>
      </c>
      <c r="AH152" t="s">
        <v>240</v>
      </c>
      <c r="AI152" t="s">
        <v>240</v>
      </c>
      <c r="AJ152" t="s">
        <v>240</v>
      </c>
      <c r="AK152" t="s">
        <v>240</v>
      </c>
      <c r="AL152" t="s">
        <v>240</v>
      </c>
      <c r="AM152" t="s">
        <v>240</v>
      </c>
    </row>
    <row r="153" spans="5:39">
      <c r="E153">
        <v>2080</v>
      </c>
      <c r="F153" s="320" t="s">
        <v>240</v>
      </c>
      <c r="G153" s="320" t="s">
        <v>240</v>
      </c>
      <c r="H153" s="62">
        <f t="shared" si="147"/>
        <v>33581.880268037654</v>
      </c>
      <c r="I153" s="62">
        <f t="shared" si="147"/>
        <v>15749.572084706093</v>
      </c>
      <c r="J153" s="62">
        <f t="shared" si="147"/>
        <v>18009.591390960213</v>
      </c>
      <c r="K153" s="62">
        <f t="shared" si="147"/>
        <v>5418.2617564230359</v>
      </c>
      <c r="L153" s="329">
        <f t="shared" si="145"/>
        <v>18189.826375031749</v>
      </c>
      <c r="M153" s="329"/>
      <c r="N153">
        <v>2080</v>
      </c>
      <c r="O153" t="s">
        <v>240</v>
      </c>
      <c r="P153" t="s">
        <v>240</v>
      </c>
      <c r="Q153" t="s">
        <v>240</v>
      </c>
      <c r="R153" t="s">
        <v>240</v>
      </c>
      <c r="S153" t="s">
        <v>240</v>
      </c>
      <c r="T153" t="s">
        <v>240</v>
      </c>
      <c r="W153">
        <v>2080</v>
      </c>
      <c r="X153" t="s">
        <v>240</v>
      </c>
      <c r="Y153" t="s">
        <v>240</v>
      </c>
      <c r="Z153" t="s">
        <v>240</v>
      </c>
      <c r="AA153" t="s">
        <v>240</v>
      </c>
      <c r="AB153" t="s">
        <v>240</v>
      </c>
      <c r="AC153" t="s">
        <v>240</v>
      </c>
      <c r="AG153">
        <v>2080</v>
      </c>
      <c r="AH153" t="s">
        <v>240</v>
      </c>
      <c r="AI153" t="s">
        <v>240</v>
      </c>
      <c r="AJ153" t="s">
        <v>240</v>
      </c>
      <c r="AK153" t="s">
        <v>240</v>
      </c>
      <c r="AL153" t="s">
        <v>240</v>
      </c>
      <c r="AM153" t="s">
        <v>240</v>
      </c>
    </row>
    <row r="154" spans="5:39">
      <c r="E154">
        <v>2090</v>
      </c>
      <c r="F154" s="320" t="s">
        <v>240</v>
      </c>
      <c r="G154" s="320" t="s">
        <v>240</v>
      </c>
      <c r="H154" s="62">
        <f t="shared" si="147"/>
        <v>48545.615316112075</v>
      </c>
      <c r="I154" s="62">
        <f t="shared" si="147"/>
        <v>22767.416884194521</v>
      </c>
      <c r="J154" s="62">
        <f t="shared" si="147"/>
        <v>26034.477184949086</v>
      </c>
      <c r="K154" s="62">
        <f t="shared" si="147"/>
        <v>7832.5825954320417</v>
      </c>
      <c r="L154" s="329">
        <f t="shared" si="145"/>
        <v>26295.022995171934</v>
      </c>
      <c r="M154" s="329"/>
      <c r="N154">
        <v>2090</v>
      </c>
      <c r="O154" t="s">
        <v>240</v>
      </c>
      <c r="P154" t="s">
        <v>240</v>
      </c>
      <c r="Q154" t="s">
        <v>240</v>
      </c>
      <c r="R154" t="s">
        <v>240</v>
      </c>
      <c r="S154" t="s">
        <v>240</v>
      </c>
      <c r="T154" t="s">
        <v>240</v>
      </c>
      <c r="W154">
        <v>2090</v>
      </c>
      <c r="X154" t="s">
        <v>240</v>
      </c>
      <c r="Y154" t="s">
        <v>240</v>
      </c>
      <c r="Z154" t="s">
        <v>240</v>
      </c>
      <c r="AA154" t="s">
        <v>240</v>
      </c>
      <c r="AB154" t="s">
        <v>240</v>
      </c>
      <c r="AC154" t="s">
        <v>240</v>
      </c>
      <c r="AG154">
        <v>2090</v>
      </c>
      <c r="AH154" t="s">
        <v>240</v>
      </c>
      <c r="AI154" t="s">
        <v>240</v>
      </c>
      <c r="AJ154" t="s">
        <v>240</v>
      </c>
      <c r="AK154" t="s">
        <v>240</v>
      </c>
      <c r="AL154" t="s">
        <v>240</v>
      </c>
      <c r="AM154" t="s">
        <v>240</v>
      </c>
    </row>
    <row r="155" spans="5:39">
      <c r="E155">
        <v>2100</v>
      </c>
      <c r="F155" s="320" t="s">
        <v>240</v>
      </c>
      <c r="G155" s="320" t="s">
        <v>240</v>
      </c>
      <c r="H155" s="62">
        <f t="shared" si="147"/>
        <v>70177.034389076711</v>
      </c>
      <c r="I155" s="62">
        <f t="shared" si="147"/>
        <v>32912.340017292532</v>
      </c>
      <c r="J155" s="62">
        <f t="shared" si="147"/>
        <v>37635.1682600555</v>
      </c>
      <c r="K155" s="62">
        <f t="shared" si="147"/>
        <v>11322.699580089284</v>
      </c>
      <c r="L155" s="329">
        <f t="shared" si="145"/>
        <v>38011.810561628503</v>
      </c>
      <c r="M155" s="329"/>
      <c r="N155">
        <v>2100</v>
      </c>
      <c r="O155" t="s">
        <v>240</v>
      </c>
      <c r="P155" t="s">
        <v>240</v>
      </c>
      <c r="Q155" t="s">
        <v>240</v>
      </c>
      <c r="R155" t="s">
        <v>240</v>
      </c>
      <c r="S155" t="s">
        <v>240</v>
      </c>
      <c r="T155" t="s">
        <v>240</v>
      </c>
      <c r="W155">
        <v>2100</v>
      </c>
      <c r="X155" t="s">
        <v>240</v>
      </c>
      <c r="Y155" t="s">
        <v>240</v>
      </c>
      <c r="Z155" t="s">
        <v>240</v>
      </c>
      <c r="AA155" t="s">
        <v>240</v>
      </c>
      <c r="AB155" t="s">
        <v>240</v>
      </c>
      <c r="AC155" t="s">
        <v>240</v>
      </c>
      <c r="AG155">
        <v>2100</v>
      </c>
      <c r="AH155" t="s">
        <v>240</v>
      </c>
      <c r="AI155" t="s">
        <v>240</v>
      </c>
      <c r="AJ155" t="s">
        <v>240</v>
      </c>
      <c r="AK155" t="s">
        <v>240</v>
      </c>
      <c r="AL155" t="s">
        <v>240</v>
      </c>
      <c r="AM155" t="s">
        <v>240</v>
      </c>
    </row>
    <row r="156" spans="5:39">
      <c r="F156" s="581" t="s">
        <v>246</v>
      </c>
      <c r="G156" s="581"/>
      <c r="H156" s="581"/>
      <c r="I156" s="581"/>
      <c r="J156" s="581"/>
      <c r="K156" s="581"/>
      <c r="O156" s="581" t="s">
        <v>246</v>
      </c>
      <c r="P156" s="581"/>
      <c r="Q156" s="581"/>
      <c r="R156" s="581"/>
      <c r="S156" s="581"/>
      <c r="T156" s="581"/>
      <c r="X156" s="581" t="s">
        <v>246</v>
      </c>
      <c r="Y156" s="581"/>
      <c r="Z156" s="581"/>
      <c r="AA156" s="581"/>
      <c r="AB156" s="581"/>
      <c r="AC156" s="581"/>
      <c r="AH156" s="581" t="s">
        <v>246</v>
      </c>
      <c r="AI156" s="581"/>
      <c r="AJ156" s="581"/>
      <c r="AK156" s="581"/>
      <c r="AL156" s="581"/>
      <c r="AM156" s="581"/>
    </row>
    <row r="157" spans="5:39">
      <c r="E157">
        <v>2020</v>
      </c>
      <c r="F157" s="320" t="s">
        <v>240</v>
      </c>
      <c r="G157" s="320" t="s">
        <v>240</v>
      </c>
      <c r="H157" s="63">
        <f>'Demographic-Economic'!E$22*1000/H5*(1+'Inflation-Interest'!$C$65)*(1+'Inflation-Interest'!$C$66)*(1+'Inflation-Interest'!$C$67)*$C$5</f>
        <v>918.50338180980054</v>
      </c>
      <c r="I157" s="63">
        <f>'Demographic-Economic'!F$22*1000/I5*(1+'Inflation-Interest'!$C$65)*(1+'Inflation-Interest'!$C$66)*(1+'Inflation-Interest'!$C$67)*$C$5</f>
        <v>719.11413961221217</v>
      </c>
      <c r="J157" s="63">
        <f>'Demographic-Economic'!G$22*1000/J5*(1+'Inflation-Interest'!$C$65)*(1+'Inflation-Interest'!$C$66)*(1+'Inflation-Interest'!$C$67)*$C$5</f>
        <v>540.13575753906809</v>
      </c>
      <c r="K157" s="63">
        <f>'Demographic-Economic'!H$22*1000/K5*(1+'Inflation-Interest'!$C$65)*(1+'Inflation-Interest'!$C$66)*(1+'Inflation-Interest'!$C$67)*$C$5</f>
        <v>128.59741636960283</v>
      </c>
      <c r="L157" s="63">
        <f>AVERAGE(H157:K157)</f>
        <v>576.58767383267093</v>
      </c>
      <c r="M157" s="63"/>
      <c r="N157">
        <v>2020</v>
      </c>
      <c r="O157" t="s">
        <v>240</v>
      </c>
      <c r="P157" t="s">
        <v>240</v>
      </c>
      <c r="Q157" t="s">
        <v>240</v>
      </c>
      <c r="R157" t="s">
        <v>240</v>
      </c>
      <c r="S157" t="s">
        <v>240</v>
      </c>
      <c r="T157" t="s">
        <v>240</v>
      </c>
      <c r="W157">
        <v>2020</v>
      </c>
      <c r="X157" t="s">
        <v>240</v>
      </c>
      <c r="Y157" t="s">
        <v>240</v>
      </c>
      <c r="Z157" t="s">
        <v>240</v>
      </c>
      <c r="AA157" t="s">
        <v>240</v>
      </c>
      <c r="AB157" t="s">
        <v>240</v>
      </c>
      <c r="AC157" t="s">
        <v>240</v>
      </c>
      <c r="AG157">
        <v>2020</v>
      </c>
      <c r="AH157" t="s">
        <v>240</v>
      </c>
      <c r="AI157" t="s">
        <v>240</v>
      </c>
      <c r="AJ157" t="s">
        <v>240</v>
      </c>
      <c r="AK157" t="s">
        <v>240</v>
      </c>
      <c r="AL157" t="s">
        <v>240</v>
      </c>
      <c r="AM157" t="s">
        <v>240</v>
      </c>
    </row>
    <row r="158" spans="5:39">
      <c r="E158">
        <v>2021</v>
      </c>
      <c r="F158" s="320" t="s">
        <v>240</v>
      </c>
      <c r="G158" s="320" t="s">
        <v>240</v>
      </c>
      <c r="H158" s="63">
        <f t="shared" ref="H158:H167" si="148">H157*(1+$C$6)</f>
        <v>952.98323334345559</v>
      </c>
      <c r="I158" s="63">
        <f t="shared" ref="I158:K158" si="149">I157*(1+$C$6)</f>
        <v>746.10908515147162</v>
      </c>
      <c r="J158" s="63">
        <f t="shared" si="149"/>
        <v>560.41200376395341</v>
      </c>
      <c r="K158" s="63">
        <f t="shared" si="149"/>
        <v>133.42485621560408</v>
      </c>
      <c r="L158" s="63">
        <f t="shared" ref="L158:L174" si="150">AVERAGE(H158:K158)</f>
        <v>598.23229461862115</v>
      </c>
      <c r="M158" s="63"/>
      <c r="N158">
        <v>2021</v>
      </c>
      <c r="O158" t="s">
        <v>240</v>
      </c>
      <c r="P158" t="s">
        <v>240</v>
      </c>
      <c r="Q158" t="s">
        <v>240</v>
      </c>
      <c r="R158" t="s">
        <v>240</v>
      </c>
      <c r="S158" t="s">
        <v>240</v>
      </c>
      <c r="T158" t="s">
        <v>240</v>
      </c>
      <c r="W158">
        <v>2021</v>
      </c>
      <c r="X158" t="s">
        <v>240</v>
      </c>
      <c r="Y158" t="s">
        <v>240</v>
      </c>
      <c r="Z158" t="s">
        <v>240</v>
      </c>
      <c r="AA158" t="s">
        <v>240</v>
      </c>
      <c r="AB158" t="s">
        <v>240</v>
      </c>
      <c r="AC158" t="s">
        <v>240</v>
      </c>
      <c r="AG158">
        <v>2021</v>
      </c>
      <c r="AH158" t="s">
        <v>240</v>
      </c>
      <c r="AI158" t="s">
        <v>240</v>
      </c>
      <c r="AJ158" t="s">
        <v>240</v>
      </c>
      <c r="AK158" t="s">
        <v>240</v>
      </c>
      <c r="AL158" t="s">
        <v>240</v>
      </c>
      <c r="AM158" t="s">
        <v>240</v>
      </c>
    </row>
    <row r="159" spans="5:39">
      <c r="E159">
        <v>2022</v>
      </c>
      <c r="F159" s="320" t="s">
        <v>240</v>
      </c>
      <c r="G159" s="320" t="s">
        <v>240</v>
      </c>
      <c r="H159" s="63">
        <f t="shared" si="148"/>
        <v>988.75742977047446</v>
      </c>
      <c r="I159" s="63">
        <f t="shared" ref="I159:I167" si="151">I158*(1+$C$6)</f>
        <v>774.11739845048692</v>
      </c>
      <c r="J159" s="63">
        <f t="shared" ref="J159:J167" si="152">J158*(1+$C$6)</f>
        <v>581.44940337524906</v>
      </c>
      <c r="K159" s="63">
        <f t="shared" ref="K159:K167" si="153">K158*(1+$C$6)</f>
        <v>138.43351413055768</v>
      </c>
      <c r="L159" s="63">
        <f t="shared" si="150"/>
        <v>620.689436431692</v>
      </c>
      <c r="M159" s="63"/>
      <c r="N159">
        <v>2022</v>
      </c>
      <c r="O159" t="s">
        <v>240</v>
      </c>
      <c r="P159" t="s">
        <v>240</v>
      </c>
      <c r="Q159" t="s">
        <v>240</v>
      </c>
      <c r="R159" t="s">
        <v>240</v>
      </c>
      <c r="S159" t="s">
        <v>240</v>
      </c>
      <c r="T159" t="s">
        <v>240</v>
      </c>
      <c r="W159">
        <v>2022</v>
      </c>
      <c r="X159" t="s">
        <v>240</v>
      </c>
      <c r="Y159" t="s">
        <v>240</v>
      </c>
      <c r="Z159" t="s">
        <v>240</v>
      </c>
      <c r="AA159" t="s">
        <v>240</v>
      </c>
      <c r="AB159" t="s">
        <v>240</v>
      </c>
      <c r="AC159" t="s">
        <v>240</v>
      </c>
      <c r="AG159">
        <v>2022</v>
      </c>
      <c r="AH159" t="s">
        <v>240</v>
      </c>
      <c r="AI159" t="s">
        <v>240</v>
      </c>
      <c r="AJ159" t="s">
        <v>240</v>
      </c>
      <c r="AK159" t="s">
        <v>240</v>
      </c>
      <c r="AL159" t="s">
        <v>240</v>
      </c>
      <c r="AM159" t="s">
        <v>240</v>
      </c>
    </row>
    <row r="160" spans="5:39">
      <c r="E160">
        <v>2023</v>
      </c>
      <c r="F160" s="320" t="s">
        <v>240</v>
      </c>
      <c r="G160" s="320" t="s">
        <v>240</v>
      </c>
      <c r="H160" s="63">
        <f t="shared" si="148"/>
        <v>1025.8745597195332</v>
      </c>
      <c r="I160" s="63">
        <f t="shared" si="151"/>
        <v>803.17712049048612</v>
      </c>
      <c r="J160" s="63">
        <f t="shared" si="152"/>
        <v>603.2765294367864</v>
      </c>
      <c r="K160" s="63">
        <f t="shared" si="153"/>
        <v>143.63019288975704</v>
      </c>
      <c r="L160" s="63">
        <f t="shared" si="150"/>
        <v>643.98960063414063</v>
      </c>
      <c r="M160" s="63"/>
      <c r="N160">
        <v>2023</v>
      </c>
      <c r="O160" t="s">
        <v>240</v>
      </c>
      <c r="P160" t="s">
        <v>240</v>
      </c>
      <c r="Q160" t="s">
        <v>240</v>
      </c>
      <c r="R160" t="s">
        <v>240</v>
      </c>
      <c r="S160" t="s">
        <v>240</v>
      </c>
      <c r="T160" t="s">
        <v>240</v>
      </c>
      <c r="W160">
        <v>2023</v>
      </c>
      <c r="X160" t="s">
        <v>240</v>
      </c>
      <c r="Y160" t="s">
        <v>240</v>
      </c>
      <c r="Z160" t="s">
        <v>240</v>
      </c>
      <c r="AA160" t="s">
        <v>240</v>
      </c>
      <c r="AB160" t="s">
        <v>240</v>
      </c>
      <c r="AC160" t="s">
        <v>240</v>
      </c>
      <c r="AG160">
        <v>2023</v>
      </c>
      <c r="AH160" t="s">
        <v>240</v>
      </c>
      <c r="AI160" t="s">
        <v>240</v>
      </c>
      <c r="AJ160" t="s">
        <v>240</v>
      </c>
      <c r="AK160" t="s">
        <v>240</v>
      </c>
      <c r="AL160" t="s">
        <v>240</v>
      </c>
      <c r="AM160" t="s">
        <v>240</v>
      </c>
    </row>
    <row r="161" spans="5:39">
      <c r="E161">
        <v>2024</v>
      </c>
      <c r="F161" s="320" t="s">
        <v>240</v>
      </c>
      <c r="G161" s="320" t="s">
        <v>240</v>
      </c>
      <c r="H161" s="63">
        <f t="shared" si="148"/>
        <v>1064.3850357959379</v>
      </c>
      <c r="I161" s="63">
        <f t="shared" si="151"/>
        <v>833.3277202794319</v>
      </c>
      <c r="J161" s="63">
        <f t="shared" si="152"/>
        <v>625.92302762140218</v>
      </c>
      <c r="K161" s="63">
        <f t="shared" si="153"/>
        <v>149.02195063901112</v>
      </c>
      <c r="L161" s="63">
        <f t="shared" si="150"/>
        <v>668.16443358394577</v>
      </c>
      <c r="M161" s="63"/>
      <c r="N161">
        <v>2024</v>
      </c>
      <c r="O161" t="s">
        <v>240</v>
      </c>
      <c r="P161" t="s">
        <v>240</v>
      </c>
      <c r="Q161" t="s">
        <v>240</v>
      </c>
      <c r="R161" t="s">
        <v>240</v>
      </c>
      <c r="S161" t="s">
        <v>240</v>
      </c>
      <c r="T161" t="s">
        <v>240</v>
      </c>
      <c r="W161">
        <v>2024</v>
      </c>
      <c r="X161" t="s">
        <v>240</v>
      </c>
      <c r="Y161" t="s">
        <v>240</v>
      </c>
      <c r="Z161" t="s">
        <v>240</v>
      </c>
      <c r="AA161" t="s">
        <v>240</v>
      </c>
      <c r="AB161" t="s">
        <v>240</v>
      </c>
      <c r="AC161" t="s">
        <v>240</v>
      </c>
      <c r="AG161">
        <v>2024</v>
      </c>
      <c r="AH161" t="s">
        <v>240</v>
      </c>
      <c r="AI161" t="s">
        <v>240</v>
      </c>
      <c r="AJ161" t="s">
        <v>240</v>
      </c>
      <c r="AK161" t="s">
        <v>240</v>
      </c>
      <c r="AL161" t="s">
        <v>240</v>
      </c>
      <c r="AM161" t="s">
        <v>240</v>
      </c>
    </row>
    <row r="162" spans="5:39">
      <c r="E162">
        <v>2025</v>
      </c>
      <c r="F162" s="320" t="s">
        <v>240</v>
      </c>
      <c r="G162" s="320" t="s">
        <v>240</v>
      </c>
      <c r="H162" s="63">
        <f t="shared" si="148"/>
        <v>1104.3411630521875</v>
      </c>
      <c r="I162" s="63">
        <f t="shared" si="151"/>
        <v>864.61014845895488</v>
      </c>
      <c r="J162" s="63">
        <f t="shared" si="152"/>
        <v>649.41965647578661</v>
      </c>
      <c r="K162" s="63">
        <f t="shared" si="153"/>
        <v>154.61611048104075</v>
      </c>
      <c r="L162" s="63">
        <f t="shared" si="150"/>
        <v>693.24676961699242</v>
      </c>
      <c r="M162" s="63"/>
      <c r="N162">
        <v>2025</v>
      </c>
      <c r="O162" t="s">
        <v>240</v>
      </c>
      <c r="P162" t="s">
        <v>240</v>
      </c>
      <c r="Q162" t="s">
        <v>240</v>
      </c>
      <c r="R162" t="s">
        <v>240</v>
      </c>
      <c r="S162" t="s">
        <v>240</v>
      </c>
      <c r="T162" t="s">
        <v>240</v>
      </c>
      <c r="W162">
        <v>2025</v>
      </c>
      <c r="X162" t="s">
        <v>240</v>
      </c>
      <c r="Y162" t="s">
        <v>240</v>
      </c>
      <c r="Z162" t="s">
        <v>240</v>
      </c>
      <c r="AA162" t="s">
        <v>240</v>
      </c>
      <c r="AB162" t="s">
        <v>240</v>
      </c>
      <c r="AC162" t="s">
        <v>240</v>
      </c>
      <c r="AG162">
        <v>2025</v>
      </c>
      <c r="AH162" t="s">
        <v>240</v>
      </c>
      <c r="AI162" t="s">
        <v>240</v>
      </c>
      <c r="AJ162" t="s">
        <v>240</v>
      </c>
      <c r="AK162" t="s">
        <v>240</v>
      </c>
      <c r="AL162" t="s">
        <v>240</v>
      </c>
      <c r="AM162" t="s">
        <v>240</v>
      </c>
    </row>
    <row r="163" spans="5:39">
      <c r="E163">
        <v>2026</v>
      </c>
      <c r="F163" s="320" t="s">
        <v>240</v>
      </c>
      <c r="G163" s="320" t="s">
        <v>240</v>
      </c>
      <c r="H163" s="63">
        <f t="shared" si="148"/>
        <v>1145.7972100288641</v>
      </c>
      <c r="I163" s="63">
        <f t="shared" si="151"/>
        <v>897.06689292364706</v>
      </c>
      <c r="J163" s="63">
        <f t="shared" si="152"/>
        <v>673.79832919684054</v>
      </c>
      <c r="K163" s="63">
        <f t="shared" si="153"/>
        <v>160.4202704217403</v>
      </c>
      <c r="L163" s="63">
        <f t="shared" si="150"/>
        <v>719.27067564277309</v>
      </c>
      <c r="M163" s="63"/>
      <c r="N163">
        <v>2026</v>
      </c>
      <c r="O163" t="s">
        <v>240</v>
      </c>
      <c r="P163" t="s">
        <v>240</v>
      </c>
      <c r="Q163" t="s">
        <v>240</v>
      </c>
      <c r="R163" t="s">
        <v>240</v>
      </c>
      <c r="S163" t="s">
        <v>240</v>
      </c>
      <c r="T163" t="s">
        <v>240</v>
      </c>
      <c r="W163">
        <v>2026</v>
      </c>
      <c r="X163" t="s">
        <v>240</v>
      </c>
      <c r="Y163" t="s">
        <v>240</v>
      </c>
      <c r="Z163" t="s">
        <v>240</v>
      </c>
      <c r="AA163" t="s">
        <v>240</v>
      </c>
      <c r="AB163" t="s">
        <v>240</v>
      </c>
      <c r="AC163" t="s">
        <v>240</v>
      </c>
      <c r="AG163">
        <v>2026</v>
      </c>
      <c r="AH163" t="s">
        <v>240</v>
      </c>
      <c r="AI163" t="s">
        <v>240</v>
      </c>
      <c r="AJ163" t="s">
        <v>240</v>
      </c>
      <c r="AK163" t="s">
        <v>240</v>
      </c>
      <c r="AL163" t="s">
        <v>240</v>
      </c>
      <c r="AM163" t="s">
        <v>240</v>
      </c>
    </row>
    <row r="164" spans="5:39">
      <c r="E164">
        <v>2027</v>
      </c>
      <c r="F164" s="320" t="s">
        <v>240</v>
      </c>
      <c r="G164" s="320" t="s">
        <v>240</v>
      </c>
      <c r="H164" s="63">
        <f t="shared" si="148"/>
        <v>1188.8094824623392</v>
      </c>
      <c r="I164" s="63">
        <f t="shared" si="151"/>
        <v>930.74203652825668</v>
      </c>
      <c r="J164" s="63">
        <f t="shared" si="152"/>
        <v>699.09215697628224</v>
      </c>
      <c r="K164" s="63">
        <f t="shared" si="153"/>
        <v>166.44231368981374</v>
      </c>
      <c r="L164" s="63">
        <f t="shared" si="150"/>
        <v>746.27149741417293</v>
      </c>
      <c r="M164" s="63"/>
      <c r="N164">
        <v>2027</v>
      </c>
      <c r="O164" t="s">
        <v>240</v>
      </c>
      <c r="P164" t="s">
        <v>240</v>
      </c>
      <c r="Q164" t="s">
        <v>240</v>
      </c>
      <c r="R164" t="s">
        <v>240</v>
      </c>
      <c r="S164" t="s">
        <v>240</v>
      </c>
      <c r="T164" t="s">
        <v>240</v>
      </c>
      <c r="W164">
        <v>2027</v>
      </c>
      <c r="X164" t="s">
        <v>240</v>
      </c>
      <c r="Y164" t="s">
        <v>240</v>
      </c>
      <c r="Z164" t="s">
        <v>240</v>
      </c>
      <c r="AA164" t="s">
        <v>240</v>
      </c>
      <c r="AB164" t="s">
        <v>240</v>
      </c>
      <c r="AC164" t="s">
        <v>240</v>
      </c>
      <c r="AG164">
        <v>2027</v>
      </c>
      <c r="AH164" t="s">
        <v>240</v>
      </c>
      <c r="AI164" t="s">
        <v>240</v>
      </c>
      <c r="AJ164" t="s">
        <v>240</v>
      </c>
      <c r="AK164" t="s">
        <v>240</v>
      </c>
      <c r="AL164" t="s">
        <v>240</v>
      </c>
      <c r="AM164" t="s">
        <v>240</v>
      </c>
    </row>
    <row r="165" spans="5:39">
      <c r="E165">
        <v>2028</v>
      </c>
      <c r="F165" s="320" t="s">
        <v>240</v>
      </c>
      <c r="G165" s="320" t="s">
        <v>240</v>
      </c>
      <c r="H165" s="63">
        <f t="shared" si="148"/>
        <v>1233.4363997594069</v>
      </c>
      <c r="I165" s="63">
        <f t="shared" si="151"/>
        <v>965.6813169611637</v>
      </c>
      <c r="J165" s="63">
        <f t="shared" si="152"/>
        <v>725.33549397237437</v>
      </c>
      <c r="K165" s="63">
        <f t="shared" si="153"/>
        <v>172.69041944380129</v>
      </c>
      <c r="L165" s="63">
        <f t="shared" si="150"/>
        <v>774.28590753418655</v>
      </c>
      <c r="M165" s="63"/>
      <c r="N165">
        <v>2028</v>
      </c>
      <c r="O165" t="s">
        <v>240</v>
      </c>
      <c r="P165" t="s">
        <v>240</v>
      </c>
      <c r="Q165" t="s">
        <v>240</v>
      </c>
      <c r="R165" t="s">
        <v>240</v>
      </c>
      <c r="S165" t="s">
        <v>240</v>
      </c>
      <c r="T165" t="s">
        <v>240</v>
      </c>
      <c r="W165">
        <v>2028</v>
      </c>
      <c r="X165" t="s">
        <v>240</v>
      </c>
      <c r="Y165" t="s">
        <v>240</v>
      </c>
      <c r="Z165" t="s">
        <v>240</v>
      </c>
      <c r="AA165" t="s">
        <v>240</v>
      </c>
      <c r="AB165" t="s">
        <v>240</v>
      </c>
      <c r="AC165" t="s">
        <v>240</v>
      </c>
      <c r="AG165">
        <v>2028</v>
      </c>
      <c r="AH165" t="s">
        <v>240</v>
      </c>
      <c r="AI165" t="s">
        <v>240</v>
      </c>
      <c r="AJ165" t="s">
        <v>240</v>
      </c>
      <c r="AK165" t="s">
        <v>240</v>
      </c>
      <c r="AL165" t="s">
        <v>240</v>
      </c>
      <c r="AM165" t="s">
        <v>240</v>
      </c>
    </row>
    <row r="166" spans="5:39">
      <c r="E166">
        <v>2029</v>
      </c>
      <c r="F166" s="320" t="s">
        <v>240</v>
      </c>
      <c r="G166" s="320" t="s">
        <v>240</v>
      </c>
      <c r="H166" s="63">
        <f t="shared" si="148"/>
        <v>1279.7385743427085</v>
      </c>
      <c r="I166" s="63">
        <f t="shared" si="151"/>
        <v>1001.932188865455</v>
      </c>
      <c r="J166" s="63">
        <f t="shared" si="152"/>
        <v>752.5639839698523</v>
      </c>
      <c r="K166" s="63">
        <f t="shared" si="153"/>
        <v>179.17307388103873</v>
      </c>
      <c r="L166" s="63">
        <f t="shared" si="150"/>
        <v>803.35195526476366</v>
      </c>
      <c r="M166" s="63"/>
      <c r="N166">
        <v>2029</v>
      </c>
      <c r="O166" t="s">
        <v>240</v>
      </c>
      <c r="P166" t="s">
        <v>240</v>
      </c>
      <c r="Q166" t="s">
        <v>240</v>
      </c>
      <c r="R166" t="s">
        <v>240</v>
      </c>
      <c r="S166" t="s">
        <v>240</v>
      </c>
      <c r="T166" t="s">
        <v>240</v>
      </c>
      <c r="W166">
        <v>2029</v>
      </c>
      <c r="X166" t="s">
        <v>240</v>
      </c>
      <c r="Y166" t="s">
        <v>240</v>
      </c>
      <c r="Z166" t="s">
        <v>240</v>
      </c>
      <c r="AA166" t="s">
        <v>240</v>
      </c>
      <c r="AB166" t="s">
        <v>240</v>
      </c>
      <c r="AC166" t="s">
        <v>240</v>
      </c>
      <c r="AG166">
        <v>2029</v>
      </c>
      <c r="AH166" t="s">
        <v>240</v>
      </c>
      <c r="AI166" t="s">
        <v>240</v>
      </c>
      <c r="AJ166" t="s">
        <v>240</v>
      </c>
      <c r="AK166" t="s">
        <v>240</v>
      </c>
      <c r="AL166" t="s">
        <v>240</v>
      </c>
      <c r="AM166" t="s">
        <v>240</v>
      </c>
    </row>
    <row r="167" spans="5:39">
      <c r="E167">
        <v>2030</v>
      </c>
      <c r="F167" s="320" t="s">
        <v>240</v>
      </c>
      <c r="G167" s="320" t="s">
        <v>240</v>
      </c>
      <c r="H167" s="63">
        <f t="shared" si="148"/>
        <v>1327.7788939747218</v>
      </c>
      <c r="I167" s="63">
        <f t="shared" si="151"/>
        <v>1039.5438882919734</v>
      </c>
      <c r="J167" s="63">
        <f t="shared" si="152"/>
        <v>780.8146087914273</v>
      </c>
      <c r="K167" s="63">
        <f t="shared" si="153"/>
        <v>185.89908176363804</v>
      </c>
      <c r="L167" s="63">
        <f t="shared" si="150"/>
        <v>833.50911820544013</v>
      </c>
      <c r="M167" s="63"/>
      <c r="N167">
        <v>2030</v>
      </c>
      <c r="O167" t="s">
        <v>240</v>
      </c>
      <c r="P167" t="s">
        <v>240</v>
      </c>
      <c r="Q167" t="s">
        <v>240</v>
      </c>
      <c r="R167" t="s">
        <v>240</v>
      </c>
      <c r="S167" t="s">
        <v>240</v>
      </c>
      <c r="T167" t="s">
        <v>240</v>
      </c>
      <c r="W167">
        <v>2030</v>
      </c>
      <c r="X167" t="s">
        <v>240</v>
      </c>
      <c r="Y167" t="s">
        <v>240</v>
      </c>
      <c r="Z167" t="s">
        <v>240</v>
      </c>
      <c r="AA167" t="s">
        <v>240</v>
      </c>
      <c r="AB167" t="s">
        <v>240</v>
      </c>
      <c r="AC167" t="s">
        <v>240</v>
      </c>
      <c r="AG167">
        <v>2030</v>
      </c>
      <c r="AH167" t="s">
        <v>240</v>
      </c>
      <c r="AI167" t="s">
        <v>240</v>
      </c>
      <c r="AJ167" t="s">
        <v>240</v>
      </c>
      <c r="AK167" t="s">
        <v>240</v>
      </c>
      <c r="AL167" t="s">
        <v>240</v>
      </c>
      <c r="AM167" t="s">
        <v>240</v>
      </c>
    </row>
    <row r="168" spans="5:39">
      <c r="E168">
        <v>2040</v>
      </c>
      <c r="F168" s="320" t="s">
        <v>240</v>
      </c>
      <c r="G168" s="320" t="s">
        <v>240</v>
      </c>
      <c r="H168" s="63">
        <f>H167*(1+$C$6)^10</f>
        <v>1919.4232990312598</v>
      </c>
      <c r="I168" s="63">
        <f t="shared" ref="I168:K168" si="154">I167*(1+$C$6)^10</f>
        <v>1502.7537857452567</v>
      </c>
      <c r="J168" s="63">
        <f t="shared" si="154"/>
        <v>1128.7374420087569</v>
      </c>
      <c r="K168" s="63">
        <f t="shared" si="154"/>
        <v>268.7337706788681</v>
      </c>
      <c r="L168" s="63">
        <f t="shared" si="150"/>
        <v>1204.9120743660355</v>
      </c>
      <c r="M168" s="63"/>
      <c r="N168">
        <v>2040</v>
      </c>
      <c r="O168" t="s">
        <v>240</v>
      </c>
      <c r="P168" t="s">
        <v>240</v>
      </c>
      <c r="Q168" t="s">
        <v>240</v>
      </c>
      <c r="R168" t="s">
        <v>240</v>
      </c>
      <c r="S168" t="s">
        <v>240</v>
      </c>
      <c r="T168" t="s">
        <v>240</v>
      </c>
      <c r="W168">
        <v>2040</v>
      </c>
      <c r="X168" t="s">
        <v>240</v>
      </c>
      <c r="Y168" t="s">
        <v>240</v>
      </c>
      <c r="Z168" t="s">
        <v>240</v>
      </c>
      <c r="AA168" t="s">
        <v>240</v>
      </c>
      <c r="AB168" t="s">
        <v>240</v>
      </c>
      <c r="AC168" t="s">
        <v>240</v>
      </c>
      <c r="AG168">
        <v>2040</v>
      </c>
      <c r="AH168" t="s">
        <v>240</v>
      </c>
      <c r="AI168" t="s">
        <v>240</v>
      </c>
      <c r="AJ168" t="s">
        <v>240</v>
      </c>
      <c r="AK168" t="s">
        <v>240</v>
      </c>
      <c r="AL168" t="s">
        <v>240</v>
      </c>
      <c r="AM168" t="s">
        <v>240</v>
      </c>
    </row>
    <row r="169" spans="5:39">
      <c r="E169">
        <v>2050</v>
      </c>
      <c r="F169" s="320" t="s">
        <v>240</v>
      </c>
      <c r="G169" s="320" t="s">
        <v>240</v>
      </c>
      <c r="H169" s="63">
        <f t="shared" ref="H169:H173" si="155">H168*(1+$C$6)^10</f>
        <v>2774.6982706099443</v>
      </c>
      <c r="I169" s="63">
        <f t="shared" ref="I169:I174" si="156">I168*(1+$C$6)^10</f>
        <v>2172.365174771176</v>
      </c>
      <c r="J169" s="63">
        <f t="shared" ref="J169:J174" si="157">J168*(1+$C$6)^10</f>
        <v>1631.6910552742977</v>
      </c>
      <c r="K169" s="63">
        <f t="shared" ref="K169:K174" si="158">K168*(1+$C$6)^10</f>
        <v>388.47873167606105</v>
      </c>
      <c r="L169" s="63">
        <f t="shared" si="150"/>
        <v>1741.8083080828696</v>
      </c>
      <c r="M169" s="63"/>
      <c r="N169">
        <v>2050</v>
      </c>
      <c r="O169" t="s">
        <v>240</v>
      </c>
      <c r="P169" t="s">
        <v>240</v>
      </c>
      <c r="Q169" t="s">
        <v>240</v>
      </c>
      <c r="R169" t="s">
        <v>240</v>
      </c>
      <c r="S169" t="s">
        <v>240</v>
      </c>
      <c r="T169" t="s">
        <v>240</v>
      </c>
      <c r="W169">
        <v>2050</v>
      </c>
      <c r="X169" t="s">
        <v>240</v>
      </c>
      <c r="Y169" t="s">
        <v>240</v>
      </c>
      <c r="Z169" t="s">
        <v>240</v>
      </c>
      <c r="AA169" t="s">
        <v>240</v>
      </c>
      <c r="AB169" t="s">
        <v>240</v>
      </c>
      <c r="AC169" t="s">
        <v>240</v>
      </c>
      <c r="AG169">
        <v>2050</v>
      </c>
      <c r="AH169" t="s">
        <v>240</v>
      </c>
      <c r="AI169" t="s">
        <v>240</v>
      </c>
      <c r="AJ169" t="s">
        <v>240</v>
      </c>
      <c r="AK169" t="s">
        <v>240</v>
      </c>
      <c r="AL169" t="s">
        <v>240</v>
      </c>
      <c r="AM169" t="s">
        <v>240</v>
      </c>
    </row>
    <row r="170" spans="5:39">
      <c r="E170">
        <v>2060</v>
      </c>
      <c r="F170" s="320" t="s">
        <v>240</v>
      </c>
      <c r="G170" s="320" t="s">
        <v>240</v>
      </c>
      <c r="H170" s="63">
        <f t="shared" si="155"/>
        <v>4011.0748352442656</v>
      </c>
      <c r="I170" s="63">
        <f t="shared" si="156"/>
        <v>3140.3484039258215</v>
      </c>
      <c r="J170" s="63">
        <f t="shared" si="157"/>
        <v>2358.7555447119612</v>
      </c>
      <c r="K170" s="63">
        <f t="shared" si="158"/>
        <v>561.58079642689393</v>
      </c>
      <c r="L170" s="63">
        <f t="shared" si="150"/>
        <v>2517.9398950772356</v>
      </c>
      <c r="M170" s="63"/>
      <c r="N170">
        <v>2060</v>
      </c>
      <c r="O170" t="s">
        <v>240</v>
      </c>
      <c r="P170" t="s">
        <v>240</v>
      </c>
      <c r="Q170" t="s">
        <v>240</v>
      </c>
      <c r="R170" t="s">
        <v>240</v>
      </c>
      <c r="S170" t="s">
        <v>240</v>
      </c>
      <c r="T170" t="s">
        <v>240</v>
      </c>
      <c r="W170">
        <v>2060</v>
      </c>
      <c r="X170" t="s">
        <v>240</v>
      </c>
      <c r="Y170" t="s">
        <v>240</v>
      </c>
      <c r="Z170" t="s">
        <v>240</v>
      </c>
      <c r="AA170" t="s">
        <v>240</v>
      </c>
      <c r="AB170" t="s">
        <v>240</v>
      </c>
      <c r="AC170" t="s">
        <v>240</v>
      </c>
      <c r="AG170">
        <v>2060</v>
      </c>
      <c r="AH170" t="s">
        <v>240</v>
      </c>
      <c r="AI170" t="s">
        <v>240</v>
      </c>
      <c r="AJ170" t="s">
        <v>240</v>
      </c>
      <c r="AK170" t="s">
        <v>240</v>
      </c>
      <c r="AL170" t="s">
        <v>240</v>
      </c>
      <c r="AM170" t="s">
        <v>240</v>
      </c>
    </row>
    <row r="171" spans="5:39">
      <c r="E171">
        <v>2070</v>
      </c>
      <c r="F171" s="320" t="s">
        <v>240</v>
      </c>
      <c r="G171" s="320" t="s">
        <v>240</v>
      </c>
      <c r="H171" s="63">
        <f t="shared" si="155"/>
        <v>5798.3678817780547</v>
      </c>
      <c r="I171" s="63">
        <f t="shared" si="156"/>
        <v>4539.6548483512843</v>
      </c>
      <c r="J171" s="63">
        <f t="shared" si="157"/>
        <v>3409.7923756615328</v>
      </c>
      <c r="K171" s="63">
        <f t="shared" si="158"/>
        <v>811.81533299084981</v>
      </c>
      <c r="L171" s="63">
        <f t="shared" si="150"/>
        <v>3639.90760969543</v>
      </c>
      <c r="M171" s="63"/>
      <c r="N171">
        <v>2070</v>
      </c>
      <c r="O171" t="s">
        <v>240</v>
      </c>
      <c r="P171" t="s">
        <v>240</v>
      </c>
      <c r="Q171" t="s">
        <v>240</v>
      </c>
      <c r="R171" t="s">
        <v>240</v>
      </c>
      <c r="S171" t="s">
        <v>240</v>
      </c>
      <c r="T171" t="s">
        <v>240</v>
      </c>
      <c r="W171">
        <v>2070</v>
      </c>
      <c r="X171" t="s">
        <v>240</v>
      </c>
      <c r="Y171" t="s">
        <v>240</v>
      </c>
      <c r="Z171" t="s">
        <v>240</v>
      </c>
      <c r="AA171" t="s">
        <v>240</v>
      </c>
      <c r="AB171" t="s">
        <v>240</v>
      </c>
      <c r="AC171" t="s">
        <v>240</v>
      </c>
      <c r="AG171">
        <v>2070</v>
      </c>
      <c r="AH171" t="s">
        <v>240</v>
      </c>
      <c r="AI171" t="s">
        <v>240</v>
      </c>
      <c r="AJ171" t="s">
        <v>240</v>
      </c>
      <c r="AK171" t="s">
        <v>240</v>
      </c>
      <c r="AL171" t="s">
        <v>240</v>
      </c>
      <c r="AM171" t="s">
        <v>240</v>
      </c>
    </row>
    <row r="172" spans="5:39">
      <c r="E172">
        <v>2080</v>
      </c>
      <c r="F172" s="320" t="s">
        <v>240</v>
      </c>
      <c r="G172" s="320" t="s">
        <v>240</v>
      </c>
      <c r="H172" s="63">
        <f t="shared" si="155"/>
        <v>8382.0600396222417</v>
      </c>
      <c r="I172" s="63">
        <f t="shared" si="156"/>
        <v>6562.4776271308647</v>
      </c>
      <c r="J172" s="63">
        <f t="shared" si="157"/>
        <v>4929.1602392562936</v>
      </c>
      <c r="K172" s="63">
        <f t="shared" si="158"/>
        <v>1173.5517650750689</v>
      </c>
      <c r="L172" s="63">
        <f t="shared" si="150"/>
        <v>5261.812417771117</v>
      </c>
      <c r="M172" s="63"/>
      <c r="N172">
        <v>2080</v>
      </c>
      <c r="O172" t="s">
        <v>240</v>
      </c>
      <c r="P172" t="s">
        <v>240</v>
      </c>
      <c r="Q172" t="s">
        <v>240</v>
      </c>
      <c r="R172" t="s">
        <v>240</v>
      </c>
      <c r="S172" t="s">
        <v>240</v>
      </c>
      <c r="T172" t="s">
        <v>240</v>
      </c>
      <c r="W172">
        <v>2080</v>
      </c>
      <c r="X172" t="s">
        <v>240</v>
      </c>
      <c r="Y172" t="s">
        <v>240</v>
      </c>
      <c r="Z172" t="s">
        <v>240</v>
      </c>
      <c r="AA172" t="s">
        <v>240</v>
      </c>
      <c r="AB172" t="s">
        <v>240</v>
      </c>
      <c r="AC172" t="s">
        <v>240</v>
      </c>
      <c r="AG172">
        <v>2080</v>
      </c>
      <c r="AH172" t="s">
        <v>240</v>
      </c>
      <c r="AI172" t="s">
        <v>240</v>
      </c>
      <c r="AJ172" t="s">
        <v>240</v>
      </c>
      <c r="AK172" t="s">
        <v>240</v>
      </c>
      <c r="AL172" t="s">
        <v>240</v>
      </c>
      <c r="AM172" t="s">
        <v>240</v>
      </c>
    </row>
    <row r="173" spans="5:39">
      <c r="E173">
        <v>2090</v>
      </c>
      <c r="F173" s="320" t="s">
        <v>240</v>
      </c>
      <c r="G173" s="320" t="s">
        <v>240</v>
      </c>
      <c r="H173" s="63">
        <f t="shared" si="155"/>
        <v>12117.018433519483</v>
      </c>
      <c r="I173" s="63">
        <f t="shared" si="156"/>
        <v>9486.6491055446495</v>
      </c>
      <c r="J173" s="63">
        <f t="shared" si="157"/>
        <v>7125.5425514145509</v>
      </c>
      <c r="K173" s="63">
        <f t="shared" si="158"/>
        <v>1696.4741725644801</v>
      </c>
      <c r="L173" s="63">
        <f t="shared" si="150"/>
        <v>7606.421065760791</v>
      </c>
      <c r="M173" s="63"/>
      <c r="N173">
        <v>2090</v>
      </c>
      <c r="O173" t="s">
        <v>240</v>
      </c>
      <c r="P173" t="s">
        <v>240</v>
      </c>
      <c r="Q173" t="s">
        <v>240</v>
      </c>
      <c r="R173" t="s">
        <v>240</v>
      </c>
      <c r="S173" t="s">
        <v>240</v>
      </c>
      <c r="T173" t="s">
        <v>240</v>
      </c>
      <c r="W173">
        <v>2090</v>
      </c>
      <c r="X173" t="s">
        <v>240</v>
      </c>
      <c r="Y173" t="s">
        <v>240</v>
      </c>
      <c r="Z173" t="s">
        <v>240</v>
      </c>
      <c r="AA173" t="s">
        <v>240</v>
      </c>
      <c r="AB173" t="s">
        <v>240</v>
      </c>
      <c r="AC173" t="s">
        <v>240</v>
      </c>
      <c r="AG173">
        <v>2090</v>
      </c>
      <c r="AH173" t="s">
        <v>240</v>
      </c>
      <c r="AI173" t="s">
        <v>240</v>
      </c>
      <c r="AJ173" t="s">
        <v>240</v>
      </c>
      <c r="AK173" t="s">
        <v>240</v>
      </c>
      <c r="AL173" t="s">
        <v>240</v>
      </c>
      <c r="AM173" t="s">
        <v>240</v>
      </c>
    </row>
    <row r="174" spans="5:39">
      <c r="E174">
        <v>2100</v>
      </c>
      <c r="F174" s="320" t="s">
        <v>240</v>
      </c>
      <c r="G174" s="320" t="s">
        <v>240</v>
      </c>
      <c r="H174" s="63">
        <f>H173*(1+$C$6)^10</f>
        <v>17516.235272023638</v>
      </c>
      <c r="I174" s="63">
        <f t="shared" si="156"/>
        <v>13713.800848579478</v>
      </c>
      <c r="J174" s="63">
        <f t="shared" si="157"/>
        <v>10300.609878261945</v>
      </c>
      <c r="K174" s="63">
        <f t="shared" si="158"/>
        <v>2452.4053423363375</v>
      </c>
      <c r="L174" s="63">
        <f t="shared" si="150"/>
        <v>10995.762835300349</v>
      </c>
      <c r="M174" s="63"/>
      <c r="N174">
        <v>2100</v>
      </c>
      <c r="O174" t="s">
        <v>240</v>
      </c>
      <c r="P174" t="s">
        <v>240</v>
      </c>
      <c r="Q174" t="s">
        <v>240</v>
      </c>
      <c r="R174" t="s">
        <v>240</v>
      </c>
      <c r="S174" t="s">
        <v>240</v>
      </c>
      <c r="T174" t="s">
        <v>240</v>
      </c>
      <c r="W174">
        <v>2100</v>
      </c>
      <c r="X174" t="s">
        <v>240</v>
      </c>
      <c r="Y174" t="s">
        <v>240</v>
      </c>
      <c r="Z174" t="s">
        <v>240</v>
      </c>
      <c r="AA174" t="s">
        <v>240</v>
      </c>
      <c r="AB174" t="s">
        <v>240</v>
      </c>
      <c r="AC174" t="s">
        <v>240</v>
      </c>
      <c r="AG174">
        <v>2100</v>
      </c>
      <c r="AH174" t="s">
        <v>240</v>
      </c>
      <c r="AI174" t="s">
        <v>240</v>
      </c>
      <c r="AJ174" t="s">
        <v>240</v>
      </c>
      <c r="AK174" t="s">
        <v>240</v>
      </c>
      <c r="AL174" t="s">
        <v>240</v>
      </c>
      <c r="AM174" t="s">
        <v>240</v>
      </c>
    </row>
    <row r="175" spans="5:39">
      <c r="F175" s="581" t="s">
        <v>247</v>
      </c>
      <c r="G175" s="581"/>
      <c r="H175" s="581"/>
      <c r="I175" s="581"/>
      <c r="J175" s="581"/>
      <c r="K175" s="581"/>
      <c r="L175" s="63"/>
      <c r="M175" s="63"/>
      <c r="O175" s="581" t="s">
        <v>247</v>
      </c>
      <c r="P175" s="581"/>
      <c r="Q175" s="581"/>
      <c r="R175" s="581"/>
      <c r="S175" s="581"/>
      <c r="T175" s="581"/>
      <c r="X175" s="581" t="s">
        <v>247</v>
      </c>
      <c r="Y175" s="581"/>
      <c r="Z175" s="581"/>
      <c r="AA175" s="581"/>
      <c r="AB175" s="581"/>
      <c r="AC175" s="581"/>
      <c r="AH175" s="581" t="s">
        <v>247</v>
      </c>
      <c r="AI175" s="581"/>
      <c r="AJ175" s="581"/>
      <c r="AK175" s="581"/>
      <c r="AL175" s="581"/>
      <c r="AM175" s="581"/>
    </row>
    <row r="176" spans="5:39">
      <c r="E176">
        <v>2020</v>
      </c>
      <c r="F176" s="320" t="s">
        <v>240</v>
      </c>
      <c r="G176" s="320" t="s">
        <v>240</v>
      </c>
      <c r="H176" s="63">
        <f>('Demographic-Economic'!E$24*1000*(1+'Inflation-Interest'!$C$65)*(1+'Inflation-Interest'!$C$66)*(1+'Inflation-Interest'!$C$67))*$C$5/H5</f>
        <v>206.13165593491917</v>
      </c>
      <c r="I176" s="63">
        <f>('Demographic-Economic'!F$24*1000*(1+'Inflation-Interest'!$C$65)*(1+'Inflation-Interest'!$C$66)*(1+'Inflation-Interest'!$C$67))*$C$5/I5</f>
        <v>579.22367593505658</v>
      </c>
      <c r="J176" s="63">
        <f>('Demographic-Economic'!G$24*1000*(1+'Inflation-Interest'!$C$65)*(1+'Inflation-Interest'!$C$66)*(1+'Inflation-Interest'!$C$67))*$C$5/J5</f>
        <v>477.32507030724815</v>
      </c>
      <c r="K176" s="63">
        <f>('Demographic-Economic'!H$24*1000)*$C$5/K5</f>
        <v>161.65030819710586</v>
      </c>
      <c r="L176" s="63">
        <f t="shared" ref="L176:L193" si="159">AVERAGE(H176:K176)</f>
        <v>356.08267759358245</v>
      </c>
      <c r="M176" s="63"/>
      <c r="N176">
        <v>2020</v>
      </c>
      <c r="O176" t="s">
        <v>240</v>
      </c>
      <c r="P176" t="s">
        <v>240</v>
      </c>
      <c r="Q176" t="s">
        <v>240</v>
      </c>
      <c r="R176" t="s">
        <v>240</v>
      </c>
      <c r="S176" t="s">
        <v>240</v>
      </c>
      <c r="T176" t="s">
        <v>240</v>
      </c>
      <c r="W176">
        <v>2020</v>
      </c>
      <c r="X176" t="s">
        <v>240</v>
      </c>
      <c r="Y176" t="s">
        <v>240</v>
      </c>
      <c r="Z176" t="s">
        <v>240</v>
      </c>
      <c r="AA176" t="s">
        <v>240</v>
      </c>
      <c r="AB176" t="s">
        <v>240</v>
      </c>
      <c r="AC176" t="s">
        <v>240</v>
      </c>
      <c r="AG176">
        <v>2020</v>
      </c>
      <c r="AH176" t="s">
        <v>240</v>
      </c>
      <c r="AI176" t="s">
        <v>240</v>
      </c>
      <c r="AJ176" t="s">
        <v>240</v>
      </c>
      <c r="AK176" t="s">
        <v>240</v>
      </c>
      <c r="AL176" t="s">
        <v>240</v>
      </c>
      <c r="AM176" t="s">
        <v>240</v>
      </c>
    </row>
    <row r="177" spans="5:39">
      <c r="E177">
        <v>2021</v>
      </c>
      <c r="F177" s="320" t="s">
        <v>240</v>
      </c>
      <c r="G177" s="320" t="s">
        <v>240</v>
      </c>
      <c r="H177" s="63">
        <f t="shared" ref="H177:H186" si="160">H176*(1+$C$6)</f>
        <v>213.86966652233608</v>
      </c>
      <c r="I177" s="63">
        <f t="shared" ref="I177:I186" si="161">I176*(1+$C$6)</f>
        <v>600.96725004326197</v>
      </c>
      <c r="J177" s="63">
        <f t="shared" ref="J177:J186" si="162">J176*(1+$C$6)</f>
        <v>495.24345567569031</v>
      </c>
      <c r="K177" s="63">
        <f t="shared" ref="K177:K186" si="163">K176*(1+$C$6)</f>
        <v>167.71852605823506</v>
      </c>
      <c r="L177" s="63">
        <f t="shared" si="159"/>
        <v>369.44972457488086</v>
      </c>
      <c r="M177" s="63"/>
      <c r="N177">
        <v>2021</v>
      </c>
      <c r="O177" t="s">
        <v>240</v>
      </c>
      <c r="P177" t="s">
        <v>240</v>
      </c>
      <c r="Q177" t="s">
        <v>240</v>
      </c>
      <c r="R177" t="s">
        <v>240</v>
      </c>
      <c r="S177" t="s">
        <v>240</v>
      </c>
      <c r="T177" t="s">
        <v>240</v>
      </c>
      <c r="W177">
        <v>2021</v>
      </c>
      <c r="X177" t="s">
        <v>240</v>
      </c>
      <c r="Y177" t="s">
        <v>240</v>
      </c>
      <c r="Z177" t="s">
        <v>240</v>
      </c>
      <c r="AA177" t="s">
        <v>240</v>
      </c>
      <c r="AB177" t="s">
        <v>240</v>
      </c>
      <c r="AC177" t="s">
        <v>240</v>
      </c>
      <c r="AG177">
        <v>2021</v>
      </c>
      <c r="AH177" t="s">
        <v>240</v>
      </c>
      <c r="AI177" t="s">
        <v>240</v>
      </c>
      <c r="AJ177" t="s">
        <v>240</v>
      </c>
      <c r="AK177" t="s">
        <v>240</v>
      </c>
      <c r="AL177" t="s">
        <v>240</v>
      </c>
      <c r="AM177" t="s">
        <v>240</v>
      </c>
    </row>
    <row r="178" spans="5:39">
      <c r="E178">
        <v>2022</v>
      </c>
      <c r="F178" s="320" t="s">
        <v>240</v>
      </c>
      <c r="G178" s="320" t="s">
        <v>240</v>
      </c>
      <c r="H178" s="63">
        <f t="shared" si="160"/>
        <v>221.89815557886249</v>
      </c>
      <c r="I178" s="63">
        <f t="shared" si="161"/>
        <v>623.52705980384428</v>
      </c>
      <c r="J178" s="63">
        <f t="shared" si="162"/>
        <v>513.83448229887597</v>
      </c>
      <c r="K178" s="63">
        <f t="shared" si="163"/>
        <v>174.01453976102283</v>
      </c>
      <c r="L178" s="63">
        <f t="shared" si="159"/>
        <v>383.31855936065136</v>
      </c>
      <c r="M178" s="63"/>
      <c r="N178">
        <v>2022</v>
      </c>
      <c r="O178" t="s">
        <v>240</v>
      </c>
      <c r="P178" t="s">
        <v>240</v>
      </c>
      <c r="Q178" t="s">
        <v>240</v>
      </c>
      <c r="R178" t="s">
        <v>240</v>
      </c>
      <c r="S178" t="s">
        <v>240</v>
      </c>
      <c r="T178" t="s">
        <v>240</v>
      </c>
      <c r="W178">
        <v>2022</v>
      </c>
      <c r="X178" t="s">
        <v>240</v>
      </c>
      <c r="Y178" t="s">
        <v>240</v>
      </c>
      <c r="Z178" t="s">
        <v>240</v>
      </c>
      <c r="AA178" t="s">
        <v>240</v>
      </c>
      <c r="AB178" t="s">
        <v>240</v>
      </c>
      <c r="AC178" t="s">
        <v>240</v>
      </c>
      <c r="AG178">
        <v>2022</v>
      </c>
      <c r="AH178" t="s">
        <v>240</v>
      </c>
      <c r="AI178" t="s">
        <v>240</v>
      </c>
      <c r="AJ178" t="s">
        <v>240</v>
      </c>
      <c r="AK178" t="s">
        <v>240</v>
      </c>
      <c r="AL178" t="s">
        <v>240</v>
      </c>
      <c r="AM178" t="s">
        <v>240</v>
      </c>
    </row>
    <row r="179" spans="5:39">
      <c r="E179">
        <v>2023</v>
      </c>
      <c r="F179" s="320" t="s">
        <v>240</v>
      </c>
      <c r="G179" s="320" t="s">
        <v>240</v>
      </c>
      <c r="H179" s="63">
        <f t="shared" si="160"/>
        <v>230.22802742416334</v>
      </c>
      <c r="I179" s="63">
        <f t="shared" si="161"/>
        <v>646.93374602299741</v>
      </c>
      <c r="J179" s="63">
        <f t="shared" si="162"/>
        <v>533.12340056897381</v>
      </c>
      <c r="K179" s="63">
        <f t="shared" si="163"/>
        <v>180.54690057153516</v>
      </c>
      <c r="L179" s="63">
        <f t="shared" si="159"/>
        <v>397.70801864691742</v>
      </c>
      <c r="M179" s="63"/>
      <c r="N179">
        <v>2023</v>
      </c>
      <c r="O179" t="s">
        <v>240</v>
      </c>
      <c r="P179" t="s">
        <v>240</v>
      </c>
      <c r="Q179" t="s">
        <v>240</v>
      </c>
      <c r="R179" t="s">
        <v>240</v>
      </c>
      <c r="S179" t="s">
        <v>240</v>
      </c>
      <c r="T179" t="s">
        <v>240</v>
      </c>
      <c r="W179">
        <v>2023</v>
      </c>
      <c r="X179" t="s">
        <v>240</v>
      </c>
      <c r="Y179" t="s">
        <v>240</v>
      </c>
      <c r="Z179" t="s">
        <v>240</v>
      </c>
      <c r="AA179" t="s">
        <v>240</v>
      </c>
      <c r="AB179" t="s">
        <v>240</v>
      </c>
      <c r="AC179" t="s">
        <v>240</v>
      </c>
      <c r="AG179">
        <v>2023</v>
      </c>
      <c r="AH179" t="s">
        <v>240</v>
      </c>
      <c r="AI179" t="s">
        <v>240</v>
      </c>
      <c r="AJ179" t="s">
        <v>240</v>
      </c>
      <c r="AK179" t="s">
        <v>240</v>
      </c>
      <c r="AL179" t="s">
        <v>240</v>
      </c>
      <c r="AM179" t="s">
        <v>240</v>
      </c>
    </row>
    <row r="180" spans="5:39">
      <c r="E180">
        <v>2024</v>
      </c>
      <c r="F180" s="320" t="s">
        <v>240</v>
      </c>
      <c r="G180" s="320" t="s">
        <v>240</v>
      </c>
      <c r="H180" s="63">
        <f t="shared" si="160"/>
        <v>238.87059571697691</v>
      </c>
      <c r="I180" s="63">
        <f t="shared" si="161"/>
        <v>671.21909973724576</v>
      </c>
      <c r="J180" s="63">
        <f t="shared" si="162"/>
        <v>553.13640875683257</v>
      </c>
      <c r="K180" s="63">
        <f t="shared" si="163"/>
        <v>187.3244807632401</v>
      </c>
      <c r="L180" s="63">
        <f t="shared" si="159"/>
        <v>412.63764624357384</v>
      </c>
      <c r="M180" s="63"/>
      <c r="N180">
        <v>2024</v>
      </c>
      <c r="O180" t="s">
        <v>240</v>
      </c>
      <c r="P180" t="s">
        <v>240</v>
      </c>
      <c r="Q180" t="s">
        <v>240</v>
      </c>
      <c r="R180" t="s">
        <v>240</v>
      </c>
      <c r="S180" t="s">
        <v>240</v>
      </c>
      <c r="T180" t="s">
        <v>240</v>
      </c>
      <c r="W180">
        <v>2024</v>
      </c>
      <c r="X180" t="s">
        <v>240</v>
      </c>
      <c r="Y180" t="s">
        <v>240</v>
      </c>
      <c r="Z180" t="s">
        <v>240</v>
      </c>
      <c r="AA180" t="s">
        <v>240</v>
      </c>
      <c r="AB180" t="s">
        <v>240</v>
      </c>
      <c r="AC180" t="s">
        <v>240</v>
      </c>
      <c r="AG180">
        <v>2024</v>
      </c>
      <c r="AH180" t="s">
        <v>240</v>
      </c>
      <c r="AI180" t="s">
        <v>240</v>
      </c>
      <c r="AJ180" t="s">
        <v>240</v>
      </c>
      <c r="AK180" t="s">
        <v>240</v>
      </c>
      <c r="AL180" t="s">
        <v>240</v>
      </c>
      <c r="AM180" t="s">
        <v>240</v>
      </c>
    </row>
    <row r="181" spans="5:39">
      <c r="E181">
        <v>2025</v>
      </c>
      <c r="F181" s="320" t="s">
        <v>240</v>
      </c>
      <c r="G181" s="320" t="s">
        <v>240</v>
      </c>
      <c r="H181" s="63">
        <f t="shared" si="160"/>
        <v>247.83759882136246</v>
      </c>
      <c r="I181" s="63">
        <f t="shared" si="161"/>
        <v>696.41610539213218</v>
      </c>
      <c r="J181" s="63">
        <f t="shared" si="162"/>
        <v>573.90068859455675</v>
      </c>
      <c r="K181" s="63">
        <f t="shared" si="163"/>
        <v>194.35648566735816</v>
      </c>
      <c r="L181" s="63">
        <f t="shared" si="159"/>
        <v>428.12771961885238</v>
      </c>
      <c r="M181" s="63"/>
      <c r="N181">
        <v>2025</v>
      </c>
      <c r="O181" t="s">
        <v>240</v>
      </c>
      <c r="P181" t="s">
        <v>240</v>
      </c>
      <c r="Q181" t="s">
        <v>240</v>
      </c>
      <c r="R181" t="s">
        <v>240</v>
      </c>
      <c r="S181" t="s">
        <v>240</v>
      </c>
      <c r="T181" t="s">
        <v>240</v>
      </c>
      <c r="W181">
        <v>2025</v>
      </c>
      <c r="X181" t="s">
        <v>240</v>
      </c>
      <c r="Y181" t="s">
        <v>240</v>
      </c>
      <c r="Z181" t="s">
        <v>240</v>
      </c>
      <c r="AA181" t="s">
        <v>240</v>
      </c>
      <c r="AB181" t="s">
        <v>240</v>
      </c>
      <c r="AC181" t="s">
        <v>240</v>
      </c>
      <c r="AG181">
        <v>2025</v>
      </c>
      <c r="AH181" t="s">
        <v>240</v>
      </c>
      <c r="AI181" t="s">
        <v>240</v>
      </c>
      <c r="AJ181" t="s">
        <v>240</v>
      </c>
      <c r="AK181" t="s">
        <v>240</v>
      </c>
      <c r="AL181" t="s">
        <v>240</v>
      </c>
      <c r="AM181" t="s">
        <v>240</v>
      </c>
    </row>
    <row r="182" spans="5:39">
      <c r="E182">
        <v>2026</v>
      </c>
      <c r="F182" s="320" t="s">
        <v>240</v>
      </c>
      <c r="G182" s="320" t="s">
        <v>240</v>
      </c>
      <c r="H182" s="63">
        <f t="shared" si="160"/>
        <v>257.14121574978407</v>
      </c>
      <c r="I182" s="63">
        <f t="shared" si="161"/>
        <v>722.55898564179836</v>
      </c>
      <c r="J182" s="63">
        <f t="shared" si="162"/>
        <v>595.44444219382262</v>
      </c>
      <c r="K182" s="63">
        <f t="shared" si="163"/>
        <v>201.65246617557273</v>
      </c>
      <c r="L182" s="63">
        <f t="shared" si="159"/>
        <v>444.19927744024443</v>
      </c>
      <c r="M182" s="63"/>
      <c r="N182">
        <v>2026</v>
      </c>
      <c r="O182" t="s">
        <v>240</v>
      </c>
      <c r="P182" t="s">
        <v>240</v>
      </c>
      <c r="Q182" t="s">
        <v>240</v>
      </c>
      <c r="R182" t="s">
        <v>240</v>
      </c>
      <c r="S182" t="s">
        <v>240</v>
      </c>
      <c r="T182" t="s">
        <v>240</v>
      </c>
      <c r="W182">
        <v>2026</v>
      </c>
      <c r="X182" t="s">
        <v>240</v>
      </c>
      <c r="Y182" t="s">
        <v>240</v>
      </c>
      <c r="Z182" t="s">
        <v>240</v>
      </c>
      <c r="AA182" t="s">
        <v>240</v>
      </c>
      <c r="AB182" t="s">
        <v>240</v>
      </c>
      <c r="AC182" t="s">
        <v>240</v>
      </c>
      <c r="AG182">
        <v>2026</v>
      </c>
      <c r="AH182" t="s">
        <v>240</v>
      </c>
      <c r="AI182" t="s">
        <v>240</v>
      </c>
      <c r="AJ182" t="s">
        <v>240</v>
      </c>
      <c r="AK182" t="s">
        <v>240</v>
      </c>
      <c r="AL182" t="s">
        <v>240</v>
      </c>
      <c r="AM182" t="s">
        <v>240</v>
      </c>
    </row>
    <row r="183" spans="5:39">
      <c r="E183">
        <v>2027</v>
      </c>
      <c r="F183" s="320" t="s">
        <v>240</v>
      </c>
      <c r="G183" s="320" t="s">
        <v>240</v>
      </c>
      <c r="H183" s="63">
        <f t="shared" si="160"/>
        <v>266.79408270468451</v>
      </c>
      <c r="I183" s="63">
        <f t="shared" si="161"/>
        <v>749.68324783030346</v>
      </c>
      <c r="J183" s="63">
        <f t="shared" si="162"/>
        <v>617.79693035007688</v>
      </c>
      <c r="K183" s="63">
        <f t="shared" si="163"/>
        <v>209.22233171208191</v>
      </c>
      <c r="L183" s="63">
        <f t="shared" si="159"/>
        <v>460.87414814928673</v>
      </c>
      <c r="M183" s="63"/>
      <c r="N183">
        <v>2027</v>
      </c>
      <c r="O183" t="s">
        <v>240</v>
      </c>
      <c r="P183" t="s">
        <v>240</v>
      </c>
      <c r="Q183" t="s">
        <v>240</v>
      </c>
      <c r="R183" t="s">
        <v>240</v>
      </c>
      <c r="S183" t="s">
        <v>240</v>
      </c>
      <c r="T183" t="s">
        <v>240</v>
      </c>
      <c r="W183">
        <v>2027</v>
      </c>
      <c r="X183" t="s">
        <v>240</v>
      </c>
      <c r="Y183" t="s">
        <v>240</v>
      </c>
      <c r="Z183" t="s">
        <v>240</v>
      </c>
      <c r="AA183" t="s">
        <v>240</v>
      </c>
      <c r="AB183" t="s">
        <v>240</v>
      </c>
      <c r="AC183" t="s">
        <v>240</v>
      </c>
      <c r="AG183">
        <v>2027</v>
      </c>
      <c r="AH183" t="s">
        <v>240</v>
      </c>
      <c r="AI183" t="s">
        <v>240</v>
      </c>
      <c r="AJ183" t="s">
        <v>240</v>
      </c>
      <c r="AK183" t="s">
        <v>240</v>
      </c>
      <c r="AL183" t="s">
        <v>240</v>
      </c>
      <c r="AM183" t="s">
        <v>240</v>
      </c>
    </row>
    <row r="184" spans="5:39">
      <c r="E184">
        <v>2028</v>
      </c>
      <c r="F184" s="320" t="s">
        <v>240</v>
      </c>
      <c r="G184" s="320" t="s">
        <v>240</v>
      </c>
      <c r="H184" s="63">
        <f t="shared" si="160"/>
        <v>276.80931024101614</v>
      </c>
      <c r="I184" s="63">
        <f t="shared" si="161"/>
        <v>777.8257322178132</v>
      </c>
      <c r="J184" s="63">
        <f t="shared" si="162"/>
        <v>640.98851228464343</v>
      </c>
      <c r="K184" s="63">
        <f t="shared" si="163"/>
        <v>217.07636369261039</v>
      </c>
      <c r="L184" s="63">
        <f t="shared" si="159"/>
        <v>478.17497960902074</v>
      </c>
      <c r="M184" s="63"/>
      <c r="N184">
        <v>2028</v>
      </c>
      <c r="O184" t="s">
        <v>240</v>
      </c>
      <c r="P184" t="s">
        <v>240</v>
      </c>
      <c r="Q184" t="s">
        <v>240</v>
      </c>
      <c r="R184" t="s">
        <v>240</v>
      </c>
      <c r="S184" t="s">
        <v>240</v>
      </c>
      <c r="T184" t="s">
        <v>240</v>
      </c>
      <c r="W184">
        <v>2028</v>
      </c>
      <c r="X184" t="s">
        <v>240</v>
      </c>
      <c r="Y184" t="s">
        <v>240</v>
      </c>
      <c r="Z184" t="s">
        <v>240</v>
      </c>
      <c r="AA184" t="s">
        <v>240</v>
      </c>
      <c r="AB184" t="s">
        <v>240</v>
      </c>
      <c r="AC184" t="s">
        <v>240</v>
      </c>
      <c r="AG184">
        <v>2028</v>
      </c>
      <c r="AH184" t="s">
        <v>240</v>
      </c>
      <c r="AI184" t="s">
        <v>240</v>
      </c>
      <c r="AJ184" t="s">
        <v>240</v>
      </c>
      <c r="AK184" t="s">
        <v>240</v>
      </c>
      <c r="AL184" t="s">
        <v>240</v>
      </c>
      <c r="AM184" t="s">
        <v>240</v>
      </c>
    </row>
    <row r="185" spans="5:39">
      <c r="E185">
        <v>2029</v>
      </c>
      <c r="F185" s="320" t="s">
        <v>240</v>
      </c>
      <c r="G185" s="320" t="s">
        <v>240</v>
      </c>
      <c r="H185" s="63">
        <f t="shared" si="160"/>
        <v>287.20050107303871</v>
      </c>
      <c r="I185" s="63">
        <f t="shared" si="161"/>
        <v>807.0246620171597</v>
      </c>
      <c r="J185" s="63">
        <f t="shared" si="162"/>
        <v>665.0506868787154</v>
      </c>
      <c r="K185" s="63">
        <f t="shared" si="163"/>
        <v>225.22522948866123</v>
      </c>
      <c r="L185" s="63">
        <f t="shared" si="159"/>
        <v>496.12526986439372</v>
      </c>
      <c r="M185" s="63"/>
      <c r="N185">
        <v>2029</v>
      </c>
      <c r="O185" t="s">
        <v>240</v>
      </c>
      <c r="P185" t="s">
        <v>240</v>
      </c>
      <c r="Q185" t="s">
        <v>240</v>
      </c>
      <c r="R185" t="s">
        <v>240</v>
      </c>
      <c r="S185" t="s">
        <v>240</v>
      </c>
      <c r="T185" t="s">
        <v>240</v>
      </c>
      <c r="W185">
        <v>2029</v>
      </c>
      <c r="X185" t="s">
        <v>240</v>
      </c>
      <c r="Y185" t="s">
        <v>240</v>
      </c>
      <c r="Z185" t="s">
        <v>240</v>
      </c>
      <c r="AA185" t="s">
        <v>240</v>
      </c>
      <c r="AB185" t="s">
        <v>240</v>
      </c>
      <c r="AC185" t="s">
        <v>240</v>
      </c>
      <c r="AG185">
        <v>2029</v>
      </c>
      <c r="AH185" t="s">
        <v>240</v>
      </c>
      <c r="AI185" t="s">
        <v>240</v>
      </c>
      <c r="AJ185" t="s">
        <v>240</v>
      </c>
      <c r="AK185" t="s">
        <v>240</v>
      </c>
      <c r="AL185" t="s">
        <v>240</v>
      </c>
      <c r="AM185" t="s">
        <v>240</v>
      </c>
    </row>
    <row r="186" spans="5:39">
      <c r="E186">
        <v>2030</v>
      </c>
      <c r="F186" s="320" t="s">
        <v>240</v>
      </c>
      <c r="G186" s="320" t="s">
        <v>240</v>
      </c>
      <c r="H186" s="63">
        <f t="shared" si="160"/>
        <v>297.98176854956967</v>
      </c>
      <c r="I186" s="63">
        <f t="shared" si="161"/>
        <v>837.31969530873221</v>
      </c>
      <c r="J186" s="63">
        <f t="shared" si="162"/>
        <v>690.01613545523662</v>
      </c>
      <c r="K186" s="63">
        <f t="shared" si="163"/>
        <v>233.67999691597433</v>
      </c>
      <c r="L186" s="63">
        <f t="shared" si="159"/>
        <v>514.74939905737813</v>
      </c>
      <c r="M186" s="63"/>
      <c r="N186">
        <v>2030</v>
      </c>
      <c r="O186" t="s">
        <v>240</v>
      </c>
      <c r="P186" t="s">
        <v>240</v>
      </c>
      <c r="Q186" t="s">
        <v>240</v>
      </c>
      <c r="R186" t="s">
        <v>240</v>
      </c>
      <c r="S186" t="s">
        <v>240</v>
      </c>
      <c r="T186" t="s">
        <v>240</v>
      </c>
      <c r="W186">
        <v>2030</v>
      </c>
      <c r="X186" t="s">
        <v>240</v>
      </c>
      <c r="Y186" t="s">
        <v>240</v>
      </c>
      <c r="Z186" t="s">
        <v>240</v>
      </c>
      <c r="AA186" t="s">
        <v>240</v>
      </c>
      <c r="AB186" t="s">
        <v>240</v>
      </c>
      <c r="AC186" t="s">
        <v>240</v>
      </c>
      <c r="AG186">
        <v>2030</v>
      </c>
      <c r="AH186" t="s">
        <v>240</v>
      </c>
      <c r="AI186" t="s">
        <v>240</v>
      </c>
      <c r="AJ186" t="s">
        <v>240</v>
      </c>
      <c r="AK186" t="s">
        <v>240</v>
      </c>
      <c r="AL186" t="s">
        <v>240</v>
      </c>
      <c r="AM186" t="s">
        <v>240</v>
      </c>
    </row>
    <row r="187" spans="5:39">
      <c r="E187">
        <v>2040</v>
      </c>
      <c r="F187" s="320" t="s">
        <v>240</v>
      </c>
      <c r="G187" s="320" t="s">
        <v>240</v>
      </c>
      <c r="H187" s="63">
        <f t="shared" ref="H187:K193" si="164">H186*(1+$C$6)^10</f>
        <v>430.75933187071217</v>
      </c>
      <c r="I187" s="63">
        <f t="shared" si="164"/>
        <v>1210.4206048209207</v>
      </c>
      <c r="J187" s="63">
        <f t="shared" si="164"/>
        <v>997.48011744303676</v>
      </c>
      <c r="K187" s="63">
        <f t="shared" si="164"/>
        <v>337.80536249931777</v>
      </c>
      <c r="L187" s="63">
        <f t="shared" si="159"/>
        <v>744.11635415849685</v>
      </c>
      <c r="M187" s="63"/>
      <c r="N187">
        <v>2040</v>
      </c>
      <c r="O187" t="s">
        <v>240</v>
      </c>
      <c r="P187" t="s">
        <v>240</v>
      </c>
      <c r="Q187" t="s">
        <v>240</v>
      </c>
      <c r="R187" t="s">
        <v>240</v>
      </c>
      <c r="S187" t="s">
        <v>240</v>
      </c>
      <c r="T187" t="s">
        <v>240</v>
      </c>
      <c r="W187">
        <v>2040</v>
      </c>
      <c r="X187" t="s">
        <v>240</v>
      </c>
      <c r="Y187" t="s">
        <v>240</v>
      </c>
      <c r="Z187" t="s">
        <v>240</v>
      </c>
      <c r="AA187" t="s">
        <v>240</v>
      </c>
      <c r="AB187" t="s">
        <v>240</v>
      </c>
      <c r="AC187" t="s">
        <v>240</v>
      </c>
      <c r="AG187">
        <v>2040</v>
      </c>
      <c r="AH187" t="s">
        <v>240</v>
      </c>
      <c r="AI187" t="s">
        <v>240</v>
      </c>
      <c r="AJ187" t="s">
        <v>240</v>
      </c>
      <c r="AK187" t="s">
        <v>240</v>
      </c>
      <c r="AL187" t="s">
        <v>240</v>
      </c>
      <c r="AM187" t="s">
        <v>240</v>
      </c>
    </row>
    <row r="188" spans="5:39">
      <c r="E188">
        <v>2050</v>
      </c>
      <c r="F188" s="320" t="s">
        <v>240</v>
      </c>
      <c r="G188" s="320" t="s">
        <v>240</v>
      </c>
      <c r="H188" s="63">
        <f t="shared" si="164"/>
        <v>622.70119040130214</v>
      </c>
      <c r="I188" s="63">
        <f t="shared" si="164"/>
        <v>1749.771382165844</v>
      </c>
      <c r="J188" s="63">
        <f t="shared" si="164"/>
        <v>1441.9468380079943</v>
      </c>
      <c r="K188" s="63">
        <f t="shared" si="164"/>
        <v>488.32790328359835</v>
      </c>
      <c r="L188" s="63">
        <f t="shared" si="159"/>
        <v>1075.6868284646846</v>
      </c>
      <c r="M188" s="63"/>
      <c r="N188">
        <v>2050</v>
      </c>
      <c r="O188" t="s">
        <v>240</v>
      </c>
      <c r="P188" t="s">
        <v>240</v>
      </c>
      <c r="Q188" t="s">
        <v>240</v>
      </c>
      <c r="R188" t="s">
        <v>240</v>
      </c>
      <c r="S188" t="s">
        <v>240</v>
      </c>
      <c r="T188" t="s">
        <v>240</v>
      </c>
      <c r="W188">
        <v>2050</v>
      </c>
      <c r="X188" t="s">
        <v>240</v>
      </c>
      <c r="Y188" t="s">
        <v>240</v>
      </c>
      <c r="Z188" t="s">
        <v>240</v>
      </c>
      <c r="AA188" t="s">
        <v>240</v>
      </c>
      <c r="AB188" t="s">
        <v>240</v>
      </c>
      <c r="AC188" t="s">
        <v>240</v>
      </c>
      <c r="AG188">
        <v>2050</v>
      </c>
      <c r="AH188" t="s">
        <v>240</v>
      </c>
      <c r="AI188" t="s">
        <v>240</v>
      </c>
      <c r="AJ188" t="s">
        <v>240</v>
      </c>
      <c r="AK188" t="s">
        <v>240</v>
      </c>
      <c r="AL188" t="s">
        <v>240</v>
      </c>
      <c r="AM188" t="s">
        <v>240</v>
      </c>
    </row>
    <row r="189" spans="5:39">
      <c r="E189">
        <v>2060</v>
      </c>
      <c r="F189" s="320" t="s">
        <v>240</v>
      </c>
      <c r="G189" s="320" t="s">
        <v>240</v>
      </c>
      <c r="H189" s="63">
        <f t="shared" si="164"/>
        <v>900.17033605108259</v>
      </c>
      <c r="I189" s="63">
        <f t="shared" si="164"/>
        <v>2529.4512317885901</v>
      </c>
      <c r="J189" s="63">
        <f t="shared" si="164"/>
        <v>2084.4632863170737</v>
      </c>
      <c r="K189" s="63">
        <f t="shared" si="164"/>
        <v>705.92171586925883</v>
      </c>
      <c r="L189" s="63">
        <f t="shared" si="159"/>
        <v>1555.0016425065014</v>
      </c>
      <c r="M189" s="63"/>
      <c r="N189">
        <v>2060</v>
      </c>
      <c r="O189" t="s">
        <v>240</v>
      </c>
      <c r="P189" t="s">
        <v>240</v>
      </c>
      <c r="Q189" t="s">
        <v>240</v>
      </c>
      <c r="R189" t="s">
        <v>240</v>
      </c>
      <c r="S189" t="s">
        <v>240</v>
      </c>
      <c r="T189" t="s">
        <v>240</v>
      </c>
      <c r="W189">
        <v>2060</v>
      </c>
      <c r="X189" t="s">
        <v>240</v>
      </c>
      <c r="Y189" t="s">
        <v>240</v>
      </c>
      <c r="Z189" t="s">
        <v>240</v>
      </c>
      <c r="AA189" t="s">
        <v>240</v>
      </c>
      <c r="AB189" t="s">
        <v>240</v>
      </c>
      <c r="AC189" t="s">
        <v>240</v>
      </c>
      <c r="AG189">
        <v>2060</v>
      </c>
      <c r="AH189" t="s">
        <v>240</v>
      </c>
      <c r="AI189" t="s">
        <v>240</v>
      </c>
      <c r="AJ189" t="s">
        <v>240</v>
      </c>
      <c r="AK189" t="s">
        <v>240</v>
      </c>
      <c r="AL189" t="s">
        <v>240</v>
      </c>
      <c r="AM189" t="s">
        <v>240</v>
      </c>
    </row>
    <row r="190" spans="5:39">
      <c r="E190">
        <v>2070</v>
      </c>
      <c r="F190" s="320" t="s">
        <v>240</v>
      </c>
      <c r="G190" s="320" t="s">
        <v>240</v>
      </c>
      <c r="H190" s="63">
        <f t="shared" si="164"/>
        <v>1301.2768345345762</v>
      </c>
      <c r="I190" s="63">
        <f t="shared" si="164"/>
        <v>3656.5482777968982</v>
      </c>
      <c r="J190" s="63">
        <f t="shared" si="164"/>
        <v>3013.2783522076602</v>
      </c>
      <c r="K190" s="63">
        <f t="shared" si="164"/>
        <v>1020.4730583384135</v>
      </c>
      <c r="L190" s="63">
        <f t="shared" si="159"/>
        <v>2247.8941307193872</v>
      </c>
      <c r="M190" s="63"/>
      <c r="N190">
        <v>2070</v>
      </c>
      <c r="O190" t="s">
        <v>240</v>
      </c>
      <c r="P190" t="s">
        <v>240</v>
      </c>
      <c r="Q190" t="s">
        <v>240</v>
      </c>
      <c r="R190" t="s">
        <v>240</v>
      </c>
      <c r="S190" t="s">
        <v>240</v>
      </c>
      <c r="T190" t="s">
        <v>240</v>
      </c>
      <c r="W190">
        <v>2070</v>
      </c>
      <c r="X190" t="s">
        <v>240</v>
      </c>
      <c r="Y190" t="s">
        <v>240</v>
      </c>
      <c r="Z190" t="s">
        <v>240</v>
      </c>
      <c r="AA190" t="s">
        <v>240</v>
      </c>
      <c r="AB190" t="s">
        <v>240</v>
      </c>
      <c r="AC190" t="s">
        <v>240</v>
      </c>
      <c r="AG190">
        <v>2070</v>
      </c>
      <c r="AH190" t="s">
        <v>240</v>
      </c>
      <c r="AI190" t="s">
        <v>240</v>
      </c>
      <c r="AJ190" t="s">
        <v>240</v>
      </c>
      <c r="AK190" t="s">
        <v>240</v>
      </c>
      <c r="AL190" t="s">
        <v>240</v>
      </c>
      <c r="AM190" t="s">
        <v>240</v>
      </c>
    </row>
    <row r="191" spans="5:39">
      <c r="E191">
        <v>2080</v>
      </c>
      <c r="F191" s="320" t="s">
        <v>240</v>
      </c>
      <c r="G191" s="320" t="s">
        <v>240</v>
      </c>
      <c r="H191" s="63">
        <f t="shared" si="164"/>
        <v>1881.112198747499</v>
      </c>
      <c r="I191" s="63">
        <f t="shared" si="164"/>
        <v>5285.8679937486722</v>
      </c>
      <c r="J191" s="63">
        <f t="shared" si="164"/>
        <v>4355.9637089727803</v>
      </c>
      <c r="K191" s="63">
        <f t="shared" si="164"/>
        <v>1475.1851931800077</v>
      </c>
      <c r="L191" s="63">
        <f t="shared" si="159"/>
        <v>3249.5322736622402</v>
      </c>
      <c r="M191" s="63"/>
      <c r="N191">
        <v>2080</v>
      </c>
      <c r="O191" t="s">
        <v>240</v>
      </c>
      <c r="P191" t="s">
        <v>240</v>
      </c>
      <c r="Q191" t="s">
        <v>240</v>
      </c>
      <c r="R191" t="s">
        <v>240</v>
      </c>
      <c r="S191" t="s">
        <v>240</v>
      </c>
      <c r="T191" t="s">
        <v>240</v>
      </c>
      <c r="W191">
        <v>2080</v>
      </c>
      <c r="X191" t="s">
        <v>240</v>
      </c>
      <c r="Y191" t="s">
        <v>240</v>
      </c>
      <c r="Z191" t="s">
        <v>240</v>
      </c>
      <c r="AA191" t="s">
        <v>240</v>
      </c>
      <c r="AB191" t="s">
        <v>240</v>
      </c>
      <c r="AC191" t="s">
        <v>240</v>
      </c>
      <c r="AG191">
        <v>2080</v>
      </c>
      <c r="AH191" t="s">
        <v>240</v>
      </c>
      <c r="AI191" t="s">
        <v>240</v>
      </c>
      <c r="AJ191" t="s">
        <v>240</v>
      </c>
      <c r="AK191" t="s">
        <v>240</v>
      </c>
      <c r="AL191" t="s">
        <v>240</v>
      </c>
      <c r="AM191" t="s">
        <v>240</v>
      </c>
    </row>
    <row r="192" spans="5:39">
      <c r="E192">
        <v>2090</v>
      </c>
      <c r="F192" s="320" t="s">
        <v>240</v>
      </c>
      <c r="G192" s="320" t="s">
        <v>240</v>
      </c>
      <c r="H192" s="63">
        <f t="shared" si="164"/>
        <v>2719.3161442409632</v>
      </c>
      <c r="I192" s="63">
        <f t="shared" si="164"/>
        <v>7641.1955551072188</v>
      </c>
      <c r="J192" s="63">
        <f t="shared" si="164"/>
        <v>6296.9356348995798</v>
      </c>
      <c r="K192" s="63">
        <f t="shared" si="164"/>
        <v>2132.5123053428674</v>
      </c>
      <c r="L192" s="63">
        <f t="shared" si="159"/>
        <v>4697.4899098976575</v>
      </c>
      <c r="M192" s="63"/>
      <c r="N192">
        <v>2090</v>
      </c>
      <c r="O192" t="s">
        <v>240</v>
      </c>
      <c r="P192" t="s">
        <v>240</v>
      </c>
      <c r="Q192" t="s">
        <v>240</v>
      </c>
      <c r="R192" t="s">
        <v>240</v>
      </c>
      <c r="S192" t="s">
        <v>240</v>
      </c>
      <c r="T192" t="s">
        <v>240</v>
      </c>
      <c r="W192">
        <v>2090</v>
      </c>
      <c r="X192" t="s">
        <v>240</v>
      </c>
      <c r="Y192" t="s">
        <v>240</v>
      </c>
      <c r="Z192" t="s">
        <v>240</v>
      </c>
      <c r="AA192" t="s">
        <v>240</v>
      </c>
      <c r="AB192" t="s">
        <v>240</v>
      </c>
      <c r="AC192" t="s">
        <v>240</v>
      </c>
      <c r="AG192">
        <v>2090</v>
      </c>
      <c r="AH192" t="s">
        <v>240</v>
      </c>
      <c r="AI192" t="s">
        <v>240</v>
      </c>
      <c r="AJ192" t="s">
        <v>240</v>
      </c>
      <c r="AK192" t="s">
        <v>240</v>
      </c>
      <c r="AL192" t="s">
        <v>240</v>
      </c>
      <c r="AM192" t="s">
        <v>240</v>
      </c>
    </row>
    <row r="193" spans="5:39">
      <c r="E193">
        <v>2100</v>
      </c>
      <c r="F193" s="320" t="s">
        <v>240</v>
      </c>
      <c r="G193" s="320" t="s">
        <v>240</v>
      </c>
      <c r="H193" s="63">
        <f t="shared" si="164"/>
        <v>3931.0150118919755</v>
      </c>
      <c r="I193" s="63">
        <f t="shared" si="164"/>
        <v>11046.03247384208</v>
      </c>
      <c r="J193" s="63">
        <f t="shared" si="164"/>
        <v>9102.7843754508085</v>
      </c>
      <c r="K193" s="63">
        <f t="shared" si="164"/>
        <v>3082.7375121869422</v>
      </c>
      <c r="L193" s="63">
        <f t="shared" si="159"/>
        <v>6790.6423433429518</v>
      </c>
      <c r="M193" s="63"/>
      <c r="N193">
        <v>2100</v>
      </c>
      <c r="O193" t="s">
        <v>240</v>
      </c>
      <c r="P193" t="s">
        <v>240</v>
      </c>
      <c r="Q193" t="s">
        <v>240</v>
      </c>
      <c r="R193" t="s">
        <v>240</v>
      </c>
      <c r="S193" t="s">
        <v>240</v>
      </c>
      <c r="T193" t="s">
        <v>240</v>
      </c>
      <c r="W193">
        <v>2100</v>
      </c>
      <c r="X193" t="s">
        <v>240</v>
      </c>
      <c r="Y193" t="s">
        <v>240</v>
      </c>
      <c r="Z193" t="s">
        <v>240</v>
      </c>
      <c r="AA193" t="s">
        <v>240</v>
      </c>
      <c r="AB193" t="s">
        <v>240</v>
      </c>
      <c r="AC193" t="s">
        <v>240</v>
      </c>
      <c r="AG193">
        <v>2100</v>
      </c>
      <c r="AH193" t="s">
        <v>240</v>
      </c>
      <c r="AI193" t="s">
        <v>240</v>
      </c>
      <c r="AJ193" t="s">
        <v>240</v>
      </c>
      <c r="AK193" t="s">
        <v>240</v>
      </c>
      <c r="AL193" t="s">
        <v>240</v>
      </c>
      <c r="AM193" t="s">
        <v>240</v>
      </c>
    </row>
    <row r="194" spans="5:39">
      <c r="F194" s="581" t="s">
        <v>248</v>
      </c>
      <c r="G194" s="581"/>
      <c r="H194" s="581"/>
      <c r="I194" s="581"/>
      <c r="J194" s="581"/>
      <c r="K194" s="581"/>
      <c r="O194" s="581" t="s">
        <v>248</v>
      </c>
      <c r="P194" s="581"/>
      <c r="Q194" s="581"/>
      <c r="R194" s="581"/>
      <c r="S194" s="581"/>
      <c r="T194" s="581"/>
      <c r="X194" s="581" t="s">
        <v>248</v>
      </c>
      <c r="Y194" s="581"/>
      <c r="Z194" s="581"/>
      <c r="AA194" s="581"/>
      <c r="AB194" s="581"/>
      <c r="AC194" s="581"/>
      <c r="AH194" s="581" t="s">
        <v>248</v>
      </c>
      <c r="AI194" s="581"/>
      <c r="AJ194" s="581"/>
      <c r="AK194" s="581"/>
      <c r="AL194" s="581"/>
      <c r="AM194" s="581"/>
    </row>
    <row r="195" spans="5:39">
      <c r="E195">
        <v>2020</v>
      </c>
      <c r="F195" s="320" t="s">
        <v>240</v>
      </c>
      <c r="G195" s="320" t="s">
        <v>240</v>
      </c>
      <c r="H195" s="179">
        <f>'Demographic-Economic'!E30*$C$5</f>
        <v>17979</v>
      </c>
      <c r="I195" s="179">
        <f>'Demographic-Economic'!F30*$C$5</f>
        <v>12153.75</v>
      </c>
      <c r="J195" s="179">
        <f>'Demographic-Economic'!G30*$C$5</f>
        <v>15379.5</v>
      </c>
      <c r="K195" s="179">
        <f>'Demographic-Economic'!H30*$C$5</f>
        <v>17335</v>
      </c>
      <c r="L195" s="330">
        <f>AVERAGE(H195:K195)</f>
        <v>15711.8125</v>
      </c>
      <c r="M195" s="330"/>
      <c r="N195">
        <v>2020</v>
      </c>
      <c r="O195" t="s">
        <v>240</v>
      </c>
      <c r="P195" t="s">
        <v>240</v>
      </c>
      <c r="Q195" t="s">
        <v>240</v>
      </c>
      <c r="R195" t="s">
        <v>240</v>
      </c>
      <c r="S195" t="s">
        <v>240</v>
      </c>
      <c r="T195" t="s">
        <v>240</v>
      </c>
      <c r="W195">
        <v>2020</v>
      </c>
      <c r="X195" t="s">
        <v>240</v>
      </c>
      <c r="Y195" t="s">
        <v>240</v>
      </c>
      <c r="Z195" t="s">
        <v>240</v>
      </c>
      <c r="AA195" t="s">
        <v>240</v>
      </c>
      <c r="AB195" t="s">
        <v>240</v>
      </c>
      <c r="AC195" t="s">
        <v>240</v>
      </c>
      <c r="AG195">
        <v>2020</v>
      </c>
      <c r="AH195" t="s">
        <v>240</v>
      </c>
      <c r="AI195" t="s">
        <v>240</v>
      </c>
      <c r="AJ195" t="s">
        <v>240</v>
      </c>
      <c r="AK195" t="s">
        <v>240</v>
      </c>
      <c r="AL195" t="s">
        <v>240</v>
      </c>
      <c r="AM195" t="s">
        <v>240</v>
      </c>
    </row>
    <row r="196" spans="5:39">
      <c r="E196">
        <v>2021</v>
      </c>
      <c r="F196" s="320" t="s">
        <v>240</v>
      </c>
      <c r="G196" s="320" t="s">
        <v>240</v>
      </c>
      <c r="H196" s="179">
        <f t="shared" ref="H196:H205" si="165">H195*(1+$C$6)</f>
        <v>18653.916677500001</v>
      </c>
      <c r="I196" s="179">
        <f t="shared" ref="I196:K205" si="166">I195*(1+$C$6)</f>
        <v>12609.991646875</v>
      </c>
      <c r="J196" s="179">
        <f t="shared" si="166"/>
        <v>15956.833613750001</v>
      </c>
      <c r="K196" s="179">
        <f t="shared" si="166"/>
        <v>17985.741454166666</v>
      </c>
      <c r="L196" s="330">
        <f t="shared" ref="L196:L212" si="167">AVERAGE(H196:K196)</f>
        <v>16301.620848072916</v>
      </c>
      <c r="M196" s="330"/>
      <c r="N196">
        <v>2021</v>
      </c>
      <c r="O196" t="s">
        <v>240</v>
      </c>
      <c r="P196" t="s">
        <v>240</v>
      </c>
      <c r="Q196" t="s">
        <v>240</v>
      </c>
      <c r="R196" t="s">
        <v>240</v>
      </c>
      <c r="S196" t="s">
        <v>240</v>
      </c>
      <c r="T196" t="s">
        <v>240</v>
      </c>
      <c r="W196">
        <v>2021</v>
      </c>
      <c r="X196" t="s">
        <v>240</v>
      </c>
      <c r="Y196" t="s">
        <v>240</v>
      </c>
      <c r="Z196" t="s">
        <v>240</v>
      </c>
      <c r="AA196" t="s">
        <v>240</v>
      </c>
      <c r="AB196" t="s">
        <v>240</v>
      </c>
      <c r="AC196" t="s">
        <v>240</v>
      </c>
      <c r="AG196">
        <v>2021</v>
      </c>
      <c r="AH196" t="s">
        <v>240</v>
      </c>
      <c r="AI196" t="s">
        <v>240</v>
      </c>
      <c r="AJ196" t="s">
        <v>240</v>
      </c>
      <c r="AK196" t="s">
        <v>240</v>
      </c>
      <c r="AL196" t="s">
        <v>240</v>
      </c>
      <c r="AM196" t="s">
        <v>240</v>
      </c>
    </row>
    <row r="197" spans="5:39">
      <c r="E197">
        <v>2022</v>
      </c>
      <c r="F197" s="320" t="s">
        <v>240</v>
      </c>
      <c r="G197" s="320" t="s">
        <v>240</v>
      </c>
      <c r="H197" s="179">
        <f t="shared" si="165"/>
        <v>19354.169164642786</v>
      </c>
      <c r="I197" s="179">
        <f t="shared" si="166"/>
        <v>13083.360224972315</v>
      </c>
      <c r="J197" s="179">
        <f t="shared" si="166"/>
        <v>16555.839850248831</v>
      </c>
      <c r="K197" s="179">
        <f t="shared" si="166"/>
        <v>18660.911200238203</v>
      </c>
      <c r="L197" s="330">
        <f t="shared" si="167"/>
        <v>16913.570110025532</v>
      </c>
      <c r="M197" s="330"/>
      <c r="N197">
        <v>2022</v>
      </c>
      <c r="O197" t="s">
        <v>240</v>
      </c>
      <c r="P197" t="s">
        <v>240</v>
      </c>
      <c r="Q197" t="s">
        <v>240</v>
      </c>
      <c r="R197" t="s">
        <v>240</v>
      </c>
      <c r="S197" t="s">
        <v>240</v>
      </c>
      <c r="T197" t="s">
        <v>240</v>
      </c>
      <c r="W197">
        <v>2022</v>
      </c>
      <c r="X197" t="s">
        <v>240</v>
      </c>
      <c r="Y197" t="s">
        <v>240</v>
      </c>
      <c r="Z197" t="s">
        <v>240</v>
      </c>
      <c r="AA197" t="s">
        <v>240</v>
      </c>
      <c r="AB197" t="s">
        <v>240</v>
      </c>
      <c r="AC197" t="s">
        <v>240</v>
      </c>
      <c r="AG197">
        <v>2022</v>
      </c>
      <c r="AH197" t="s">
        <v>240</v>
      </c>
      <c r="AI197" t="s">
        <v>240</v>
      </c>
      <c r="AJ197" t="s">
        <v>240</v>
      </c>
      <c r="AK197" t="s">
        <v>240</v>
      </c>
      <c r="AL197" t="s">
        <v>240</v>
      </c>
      <c r="AM197" t="s">
        <v>240</v>
      </c>
    </row>
    <row r="198" spans="5:39">
      <c r="E198">
        <v>2023</v>
      </c>
      <c r="F198" s="320" t="s">
        <v>240</v>
      </c>
      <c r="G198" s="320" t="s">
        <v>240</v>
      </c>
      <c r="H198" s="179">
        <f t="shared" si="165"/>
        <v>20080.708546609174</v>
      </c>
      <c r="I198" s="179">
        <f t="shared" si="166"/>
        <v>13574.498665017589</v>
      </c>
      <c r="J198" s="179">
        <f t="shared" si="166"/>
        <v>17177.332281693965</v>
      </c>
      <c r="K198" s="179">
        <f t="shared" si="166"/>
        <v>19361.42625593581</v>
      </c>
      <c r="L198" s="330">
        <f t="shared" si="167"/>
        <v>17548.491437314136</v>
      </c>
      <c r="M198" s="330"/>
      <c r="N198">
        <v>2023</v>
      </c>
      <c r="O198" t="s">
        <v>240</v>
      </c>
      <c r="P198" t="s">
        <v>240</v>
      </c>
      <c r="Q198" t="s">
        <v>240</v>
      </c>
      <c r="R198" t="s">
        <v>240</v>
      </c>
      <c r="S198" t="s">
        <v>240</v>
      </c>
      <c r="T198" t="s">
        <v>240</v>
      </c>
      <c r="W198">
        <v>2023</v>
      </c>
      <c r="X198" t="s">
        <v>240</v>
      </c>
      <c r="Y198" t="s">
        <v>240</v>
      </c>
      <c r="Z198" t="s">
        <v>240</v>
      </c>
      <c r="AA198" t="s">
        <v>240</v>
      </c>
      <c r="AB198" t="s">
        <v>240</v>
      </c>
      <c r="AC198" t="s">
        <v>240</v>
      </c>
      <c r="AG198">
        <v>2023</v>
      </c>
      <c r="AH198" t="s">
        <v>240</v>
      </c>
      <c r="AI198" t="s">
        <v>240</v>
      </c>
      <c r="AJ198" t="s">
        <v>240</v>
      </c>
      <c r="AK198" t="s">
        <v>240</v>
      </c>
      <c r="AL198" t="s">
        <v>240</v>
      </c>
      <c r="AM198" t="s">
        <v>240</v>
      </c>
    </row>
    <row r="199" spans="5:39">
      <c r="E199">
        <v>2024</v>
      </c>
      <c r="F199" s="320" t="s">
        <v>240</v>
      </c>
      <c r="G199" s="320" t="s">
        <v>240</v>
      </c>
      <c r="H199" s="179">
        <f t="shared" si="165"/>
        <v>20834.521611525095</v>
      </c>
      <c r="I199" s="179">
        <f t="shared" si="166"/>
        <v>14084.074032820128</v>
      </c>
      <c r="J199" s="179">
        <f t="shared" si="166"/>
        <v>17822.155021105187</v>
      </c>
      <c r="K199" s="179">
        <f t="shared" si="166"/>
        <v>20088.238063061763</v>
      </c>
      <c r="L199" s="330">
        <f t="shared" si="167"/>
        <v>18207.247182128041</v>
      </c>
      <c r="M199" s="330"/>
      <c r="N199">
        <v>2024</v>
      </c>
      <c r="O199" t="s">
        <v>240</v>
      </c>
      <c r="P199" t="s">
        <v>240</v>
      </c>
      <c r="Q199" t="s">
        <v>240</v>
      </c>
      <c r="R199" t="s">
        <v>240</v>
      </c>
      <c r="S199" t="s">
        <v>240</v>
      </c>
      <c r="T199" t="s">
        <v>240</v>
      </c>
      <c r="W199">
        <v>2024</v>
      </c>
      <c r="X199" t="s">
        <v>240</v>
      </c>
      <c r="Y199" t="s">
        <v>240</v>
      </c>
      <c r="Z199" t="s">
        <v>240</v>
      </c>
      <c r="AA199" t="s">
        <v>240</v>
      </c>
      <c r="AB199" t="s">
        <v>240</v>
      </c>
      <c r="AC199" t="s">
        <v>240</v>
      </c>
      <c r="AG199">
        <v>2024</v>
      </c>
      <c r="AH199" t="s">
        <v>240</v>
      </c>
      <c r="AI199" t="s">
        <v>240</v>
      </c>
      <c r="AJ199" t="s">
        <v>240</v>
      </c>
      <c r="AK199" t="s">
        <v>240</v>
      </c>
      <c r="AL199" t="s">
        <v>240</v>
      </c>
      <c r="AM199" t="s">
        <v>240</v>
      </c>
    </row>
    <row r="200" spans="5:39">
      <c r="E200">
        <v>2025</v>
      </c>
      <c r="F200" s="320" t="s">
        <v>240</v>
      </c>
      <c r="G200" s="320" t="s">
        <v>240</v>
      </c>
      <c r="H200" s="179">
        <f>H199*(1+$C$6)</f>
        <v>21616.632190720404</v>
      </c>
      <c r="I200" s="179">
        <f t="shared" si="166"/>
        <v>14612.778435283835</v>
      </c>
      <c r="J200" s="179">
        <f t="shared" si="166"/>
        <v>18491.183868801625</v>
      </c>
      <c r="K200" s="179">
        <f t="shared" si="166"/>
        <v>20842.333779750716</v>
      </c>
      <c r="L200" s="330">
        <f t="shared" si="167"/>
        <v>18890.732068639143</v>
      </c>
      <c r="M200" s="330"/>
      <c r="N200">
        <v>2025</v>
      </c>
      <c r="O200" t="s">
        <v>240</v>
      </c>
      <c r="P200" t="s">
        <v>240</v>
      </c>
      <c r="Q200" t="s">
        <v>240</v>
      </c>
      <c r="R200" t="s">
        <v>240</v>
      </c>
      <c r="S200" t="s">
        <v>240</v>
      </c>
      <c r="T200" t="s">
        <v>240</v>
      </c>
      <c r="W200">
        <v>2025</v>
      </c>
      <c r="X200" t="s">
        <v>240</v>
      </c>
      <c r="Y200" t="s">
        <v>240</v>
      </c>
      <c r="Z200" t="s">
        <v>240</v>
      </c>
      <c r="AA200" t="s">
        <v>240</v>
      </c>
      <c r="AB200" t="s">
        <v>240</v>
      </c>
      <c r="AC200" t="s">
        <v>240</v>
      </c>
      <c r="AG200">
        <v>2025</v>
      </c>
      <c r="AH200" t="s">
        <v>240</v>
      </c>
      <c r="AI200" t="s">
        <v>240</v>
      </c>
      <c r="AJ200" t="s">
        <v>240</v>
      </c>
      <c r="AK200" t="s">
        <v>240</v>
      </c>
      <c r="AL200" t="s">
        <v>240</v>
      </c>
      <c r="AM200" t="s">
        <v>240</v>
      </c>
    </row>
    <row r="201" spans="5:39">
      <c r="E201">
        <v>2026</v>
      </c>
      <c r="F201" s="320" t="s">
        <v>240</v>
      </c>
      <c r="G201" s="320" t="s">
        <v>240</v>
      </c>
      <c r="H201" s="179">
        <f t="shared" si="165"/>
        <v>22428.102549299889</v>
      </c>
      <c r="I201" s="179">
        <f t="shared" si="166"/>
        <v>15161.329960429028</v>
      </c>
      <c r="J201" s="179">
        <f t="shared" si="166"/>
        <v>19185.327501916548</v>
      </c>
      <c r="K201" s="179">
        <f t="shared" si="166"/>
        <v>21624.737621231074</v>
      </c>
      <c r="L201" s="330">
        <f t="shared" si="167"/>
        <v>19599.874408219137</v>
      </c>
      <c r="M201" s="330"/>
      <c r="N201">
        <v>2026</v>
      </c>
      <c r="O201" t="s">
        <v>240</v>
      </c>
      <c r="P201" t="s">
        <v>240</v>
      </c>
      <c r="Q201" t="s">
        <v>240</v>
      </c>
      <c r="R201" t="s">
        <v>240</v>
      </c>
      <c r="S201" t="s">
        <v>240</v>
      </c>
      <c r="T201" t="s">
        <v>240</v>
      </c>
      <c r="W201">
        <v>2026</v>
      </c>
      <c r="X201" t="s">
        <v>240</v>
      </c>
      <c r="Y201" t="s">
        <v>240</v>
      </c>
      <c r="Z201" t="s">
        <v>240</v>
      </c>
      <c r="AA201" t="s">
        <v>240</v>
      </c>
      <c r="AB201" t="s">
        <v>240</v>
      </c>
      <c r="AC201" t="s">
        <v>240</v>
      </c>
      <c r="AG201">
        <v>2026</v>
      </c>
      <c r="AH201" t="s">
        <v>240</v>
      </c>
      <c r="AI201" t="s">
        <v>240</v>
      </c>
      <c r="AJ201" t="s">
        <v>240</v>
      </c>
      <c r="AK201" t="s">
        <v>240</v>
      </c>
      <c r="AL201" t="s">
        <v>240</v>
      </c>
      <c r="AM201" t="s">
        <v>240</v>
      </c>
    </row>
    <row r="202" spans="5:39">
      <c r="E202">
        <v>2027</v>
      </c>
      <c r="F202" s="320" t="s">
        <v>240</v>
      </c>
      <c r="G202" s="320" t="s">
        <v>240</v>
      </c>
      <c r="H202" s="179">
        <f t="shared" si="165"/>
        <v>23270.034828915148</v>
      </c>
      <c r="I202" s="179">
        <f t="shared" si="166"/>
        <v>15730.473652701899</v>
      </c>
      <c r="J202" s="179">
        <f t="shared" si="166"/>
        <v>19905.528708565576</v>
      </c>
      <c r="K202" s="179">
        <f t="shared" si="166"/>
        <v>22436.512250917403</v>
      </c>
      <c r="L202" s="330">
        <f t="shared" si="167"/>
        <v>20335.63736027501</v>
      </c>
      <c r="M202" s="330"/>
      <c r="N202">
        <v>2027</v>
      </c>
      <c r="O202" t="s">
        <v>240</v>
      </c>
      <c r="P202" t="s">
        <v>240</v>
      </c>
      <c r="Q202" t="s">
        <v>240</v>
      </c>
      <c r="R202" t="s">
        <v>240</v>
      </c>
      <c r="S202" t="s">
        <v>240</v>
      </c>
      <c r="T202" t="s">
        <v>240</v>
      </c>
      <c r="W202">
        <v>2027</v>
      </c>
      <c r="X202" t="s">
        <v>240</v>
      </c>
      <c r="Y202" t="s">
        <v>240</v>
      </c>
      <c r="Z202" t="s">
        <v>240</v>
      </c>
      <c r="AA202" t="s">
        <v>240</v>
      </c>
      <c r="AB202" t="s">
        <v>240</v>
      </c>
      <c r="AC202" t="s">
        <v>240</v>
      </c>
      <c r="AG202">
        <v>2027</v>
      </c>
      <c r="AH202" t="s">
        <v>240</v>
      </c>
      <c r="AI202" t="s">
        <v>240</v>
      </c>
      <c r="AJ202" t="s">
        <v>240</v>
      </c>
      <c r="AK202" t="s">
        <v>240</v>
      </c>
      <c r="AL202" t="s">
        <v>240</v>
      </c>
      <c r="AM202" t="s">
        <v>240</v>
      </c>
    </row>
    <row r="203" spans="5:39">
      <c r="E203">
        <v>2028</v>
      </c>
      <c r="F203" s="320" t="s">
        <v>240</v>
      </c>
      <c r="G203" s="320" t="s">
        <v>240</v>
      </c>
      <c r="H203" s="179">
        <f t="shared" si="165"/>
        <v>24143.572544696934</v>
      </c>
      <c r="I203" s="179">
        <f t="shared" si="166"/>
        <v>16320.982524896284</v>
      </c>
      <c r="J203" s="179">
        <f t="shared" si="166"/>
        <v>20652.765668344538</v>
      </c>
      <c r="K203" s="179">
        <f t="shared" si="166"/>
        <v>23278.7602237233</v>
      </c>
      <c r="L203" s="330">
        <f t="shared" si="167"/>
        <v>21099.020240415266</v>
      </c>
      <c r="M203" s="330"/>
      <c r="N203">
        <v>2028</v>
      </c>
      <c r="O203" t="s">
        <v>240</v>
      </c>
      <c r="P203" t="s">
        <v>240</v>
      </c>
      <c r="Q203" t="s">
        <v>240</v>
      </c>
      <c r="R203" t="s">
        <v>240</v>
      </c>
      <c r="S203" t="s">
        <v>240</v>
      </c>
      <c r="T203" t="s">
        <v>240</v>
      </c>
      <c r="W203">
        <v>2028</v>
      </c>
      <c r="X203" t="s">
        <v>240</v>
      </c>
      <c r="Y203" t="s">
        <v>240</v>
      </c>
      <c r="Z203" t="s">
        <v>240</v>
      </c>
      <c r="AA203" t="s">
        <v>240</v>
      </c>
      <c r="AB203" t="s">
        <v>240</v>
      </c>
      <c r="AC203" t="s">
        <v>240</v>
      </c>
      <c r="AG203">
        <v>2028</v>
      </c>
      <c r="AH203" t="s">
        <v>240</v>
      </c>
      <c r="AI203" t="s">
        <v>240</v>
      </c>
      <c r="AJ203" t="s">
        <v>240</v>
      </c>
      <c r="AK203" t="s">
        <v>240</v>
      </c>
      <c r="AL203" t="s">
        <v>240</v>
      </c>
      <c r="AM203" t="s">
        <v>240</v>
      </c>
    </row>
    <row r="204" spans="5:39">
      <c r="E204">
        <v>2029</v>
      </c>
      <c r="F204" s="320" t="s">
        <v>240</v>
      </c>
      <c r="G204" s="320" t="s">
        <v>240</v>
      </c>
      <c r="H204" s="179">
        <f t="shared" si="165"/>
        <v>25049.902138381069</v>
      </c>
      <c r="I204" s="179">
        <f t="shared" si="166"/>
        <v>16933.65860806212</v>
      </c>
      <c r="J204" s="179">
        <f t="shared" si="166"/>
        <v>21428.053280896136</v>
      </c>
      <c r="K204" s="179">
        <f t="shared" si="166"/>
        <v>24152.625483555021</v>
      </c>
      <c r="L204" s="330">
        <f t="shared" si="167"/>
        <v>21891.059877723586</v>
      </c>
      <c r="M204" s="330"/>
      <c r="N204">
        <v>2029</v>
      </c>
      <c r="O204" t="s">
        <v>240</v>
      </c>
      <c r="P204" t="s">
        <v>240</v>
      </c>
      <c r="Q204" t="s">
        <v>240</v>
      </c>
      <c r="R204" t="s">
        <v>240</v>
      </c>
      <c r="S204" t="s">
        <v>240</v>
      </c>
      <c r="T204" t="s">
        <v>240</v>
      </c>
      <c r="W204">
        <v>2029</v>
      </c>
      <c r="X204" t="s">
        <v>240</v>
      </c>
      <c r="Y204" t="s">
        <v>240</v>
      </c>
      <c r="Z204" t="s">
        <v>240</v>
      </c>
      <c r="AA204" t="s">
        <v>240</v>
      </c>
      <c r="AB204" t="s">
        <v>240</v>
      </c>
      <c r="AC204" t="s">
        <v>240</v>
      </c>
      <c r="AG204">
        <v>2029</v>
      </c>
      <c r="AH204" t="s">
        <v>240</v>
      </c>
      <c r="AI204" t="s">
        <v>240</v>
      </c>
      <c r="AJ204" t="s">
        <v>240</v>
      </c>
      <c r="AK204" t="s">
        <v>240</v>
      </c>
      <c r="AL204" t="s">
        <v>240</v>
      </c>
      <c r="AM204" t="s">
        <v>240</v>
      </c>
    </row>
    <row r="205" spans="5:39">
      <c r="E205">
        <v>2030</v>
      </c>
      <c r="F205" s="320" t="s">
        <v>240</v>
      </c>
      <c r="G205" s="320" t="s">
        <v>240</v>
      </c>
      <c r="H205" s="179">
        <f t="shared" si="165"/>
        <v>25990.254589737444</v>
      </c>
      <c r="I205" s="179">
        <f t="shared" si="166"/>
        <v>17569.334040826598</v>
      </c>
      <c r="J205" s="179">
        <f t="shared" si="166"/>
        <v>22232.44454434991</v>
      </c>
      <c r="K205" s="179">
        <f t="shared" si="166"/>
        <v>25059.294917019775</v>
      </c>
      <c r="L205" s="330">
        <f t="shared" si="167"/>
        <v>22712.832022983435</v>
      </c>
      <c r="M205" s="330"/>
      <c r="N205">
        <v>2030</v>
      </c>
      <c r="O205" t="s">
        <v>240</v>
      </c>
      <c r="P205" t="s">
        <v>240</v>
      </c>
      <c r="Q205" t="s">
        <v>240</v>
      </c>
      <c r="R205" t="s">
        <v>240</v>
      </c>
      <c r="S205" t="s">
        <v>240</v>
      </c>
      <c r="T205" t="s">
        <v>240</v>
      </c>
      <c r="W205">
        <v>2030</v>
      </c>
      <c r="X205" t="s">
        <v>240</v>
      </c>
      <c r="Y205" t="s">
        <v>240</v>
      </c>
      <c r="Z205" t="s">
        <v>240</v>
      </c>
      <c r="AA205" t="s">
        <v>240</v>
      </c>
      <c r="AB205" t="s">
        <v>240</v>
      </c>
      <c r="AC205" t="s">
        <v>240</v>
      </c>
      <c r="AG205">
        <v>2030</v>
      </c>
      <c r="AH205" t="s">
        <v>240</v>
      </c>
      <c r="AI205" t="s">
        <v>240</v>
      </c>
      <c r="AJ205" t="s">
        <v>240</v>
      </c>
      <c r="AK205" t="s">
        <v>240</v>
      </c>
      <c r="AL205" t="s">
        <v>240</v>
      </c>
      <c r="AM205" t="s">
        <v>240</v>
      </c>
    </row>
    <row r="206" spans="5:39">
      <c r="E206">
        <v>2040</v>
      </c>
      <c r="F206" s="320" t="s">
        <v>240</v>
      </c>
      <c r="G206" s="320" t="s">
        <v>240</v>
      </c>
      <c r="H206" s="330">
        <f>H205*($C$6+1)^10</f>
        <v>37571.240538370781</v>
      </c>
      <c r="I206" s="330">
        <f t="shared" ref="I206:K212" si="168">I205*($C$6+1)^10</f>
        <v>25398.045758564091</v>
      </c>
      <c r="J206" s="330">
        <f t="shared" si="168"/>
        <v>32138.989591182682</v>
      </c>
      <c r="K206" s="330">
        <f t="shared" si="168"/>
        <v>36225.454960379189</v>
      </c>
      <c r="L206" s="330">
        <f t="shared" si="167"/>
        <v>32833.432712124188</v>
      </c>
      <c r="M206" s="330"/>
      <c r="N206">
        <v>2040</v>
      </c>
      <c r="O206" t="s">
        <v>240</v>
      </c>
      <c r="P206" t="s">
        <v>240</v>
      </c>
      <c r="Q206" t="s">
        <v>240</v>
      </c>
      <c r="R206" t="s">
        <v>240</v>
      </c>
      <c r="S206" t="s">
        <v>240</v>
      </c>
      <c r="T206" t="s">
        <v>240</v>
      </c>
      <c r="W206">
        <v>2040</v>
      </c>
      <c r="X206" t="s">
        <v>240</v>
      </c>
      <c r="Y206" t="s">
        <v>240</v>
      </c>
      <c r="Z206" t="s">
        <v>240</v>
      </c>
      <c r="AA206" t="s">
        <v>240</v>
      </c>
      <c r="AB206" t="s">
        <v>240</v>
      </c>
      <c r="AC206" t="s">
        <v>240</v>
      </c>
      <c r="AG206">
        <v>2040</v>
      </c>
      <c r="AH206" t="s">
        <v>240</v>
      </c>
      <c r="AI206" t="s">
        <v>240</v>
      </c>
      <c r="AJ206" t="s">
        <v>240</v>
      </c>
      <c r="AK206" t="s">
        <v>240</v>
      </c>
      <c r="AL206" t="s">
        <v>240</v>
      </c>
      <c r="AM206" t="s">
        <v>240</v>
      </c>
    </row>
    <row r="207" spans="5:39">
      <c r="E207">
        <v>2050</v>
      </c>
      <c r="F207" s="320" t="s">
        <v>240</v>
      </c>
      <c r="G207" s="320" t="s">
        <v>240</v>
      </c>
      <c r="H207" s="330">
        <f t="shared" ref="H207:H211" si="169">H206*($C$6+1)^10</f>
        <v>54312.592849686895</v>
      </c>
      <c r="I207" s="330">
        <f t="shared" si="168"/>
        <v>36715.149638293675</v>
      </c>
      <c r="J207" s="330">
        <f t="shared" si="168"/>
        <v>46459.787626217236</v>
      </c>
      <c r="K207" s="330">
        <f t="shared" si="168"/>
        <v>52367.139276340306</v>
      </c>
      <c r="L207" s="330">
        <f t="shared" si="167"/>
        <v>47463.667347634531</v>
      </c>
      <c r="M207" s="330"/>
      <c r="N207">
        <v>2050</v>
      </c>
      <c r="O207" t="s">
        <v>240</v>
      </c>
      <c r="P207" t="s">
        <v>240</v>
      </c>
      <c r="Q207" t="s">
        <v>240</v>
      </c>
      <c r="R207" t="s">
        <v>240</v>
      </c>
      <c r="S207" t="s">
        <v>240</v>
      </c>
      <c r="T207" t="s">
        <v>240</v>
      </c>
      <c r="W207">
        <v>2050</v>
      </c>
      <c r="X207" t="s">
        <v>240</v>
      </c>
      <c r="Y207" t="s">
        <v>240</v>
      </c>
      <c r="Z207" t="s">
        <v>240</v>
      </c>
      <c r="AA207" t="s">
        <v>240</v>
      </c>
      <c r="AB207" t="s">
        <v>240</v>
      </c>
      <c r="AC207" t="s">
        <v>240</v>
      </c>
      <c r="AG207">
        <v>2050</v>
      </c>
      <c r="AH207" t="s">
        <v>240</v>
      </c>
      <c r="AI207" t="s">
        <v>240</v>
      </c>
      <c r="AJ207" t="s">
        <v>240</v>
      </c>
      <c r="AK207" t="s">
        <v>240</v>
      </c>
      <c r="AL207" t="s">
        <v>240</v>
      </c>
      <c r="AM207" t="s">
        <v>240</v>
      </c>
    </row>
    <row r="208" spans="5:39">
      <c r="E208">
        <v>2060</v>
      </c>
      <c r="F208" s="320" t="s">
        <v>240</v>
      </c>
      <c r="G208" s="320" t="s">
        <v>240</v>
      </c>
      <c r="H208" s="330">
        <f t="shared" si="169"/>
        <v>78513.71686924278</v>
      </c>
      <c r="I208" s="330">
        <f t="shared" si="168"/>
        <v>53075.036787338518</v>
      </c>
      <c r="J208" s="330">
        <f t="shared" si="168"/>
        <v>67161.78366930972</v>
      </c>
      <c r="K208" s="330">
        <f t="shared" si="168"/>
        <v>75701.389505997198</v>
      </c>
      <c r="L208" s="330">
        <f t="shared" si="167"/>
        <v>68612.981707972052</v>
      </c>
      <c r="M208" s="330"/>
      <c r="N208">
        <v>2060</v>
      </c>
      <c r="O208" t="s">
        <v>240</v>
      </c>
      <c r="P208" t="s">
        <v>240</v>
      </c>
      <c r="Q208" t="s">
        <v>240</v>
      </c>
      <c r="R208" t="s">
        <v>240</v>
      </c>
      <c r="S208" t="s">
        <v>240</v>
      </c>
      <c r="T208" t="s">
        <v>240</v>
      </c>
      <c r="W208">
        <v>2060</v>
      </c>
      <c r="X208" t="s">
        <v>240</v>
      </c>
      <c r="Y208" t="s">
        <v>240</v>
      </c>
      <c r="Z208" t="s">
        <v>240</v>
      </c>
      <c r="AA208" t="s">
        <v>240</v>
      </c>
      <c r="AB208" t="s">
        <v>240</v>
      </c>
      <c r="AC208" t="s">
        <v>240</v>
      </c>
      <c r="AG208">
        <v>2060</v>
      </c>
      <c r="AH208" t="s">
        <v>240</v>
      </c>
      <c r="AI208" t="s">
        <v>240</v>
      </c>
      <c r="AJ208" t="s">
        <v>240</v>
      </c>
      <c r="AK208" t="s">
        <v>240</v>
      </c>
      <c r="AL208" t="s">
        <v>240</v>
      </c>
      <c r="AM208" t="s">
        <v>240</v>
      </c>
    </row>
    <row r="209" spans="5:40">
      <c r="E209">
        <v>2070</v>
      </c>
      <c r="F209" s="320" t="s">
        <v>240</v>
      </c>
      <c r="G209" s="320" t="s">
        <v>240</v>
      </c>
      <c r="H209" s="330">
        <f t="shared" si="169"/>
        <v>113498.6089447791</v>
      </c>
      <c r="I209" s="330">
        <f t="shared" si="168"/>
        <v>76724.718753134686</v>
      </c>
      <c r="J209" s="330">
        <f t="shared" si="168"/>
        <v>97088.372894278335</v>
      </c>
      <c r="K209" s="330">
        <f t="shared" si="168"/>
        <v>109433.13788629767</v>
      </c>
      <c r="L209" s="330">
        <f t="shared" si="167"/>
        <v>99186.209619622445</v>
      </c>
      <c r="M209" s="330"/>
      <c r="N209">
        <v>2070</v>
      </c>
      <c r="O209" t="s">
        <v>240</v>
      </c>
      <c r="P209" t="s">
        <v>240</v>
      </c>
      <c r="Q209" t="s">
        <v>240</v>
      </c>
      <c r="R209" t="s">
        <v>240</v>
      </c>
      <c r="S209" t="s">
        <v>240</v>
      </c>
      <c r="T209" t="s">
        <v>240</v>
      </c>
      <c r="W209">
        <v>2070</v>
      </c>
      <c r="X209" t="s">
        <v>240</v>
      </c>
      <c r="Y209" t="s">
        <v>240</v>
      </c>
      <c r="Z209" t="s">
        <v>240</v>
      </c>
      <c r="AA209" t="s">
        <v>240</v>
      </c>
      <c r="AB209" t="s">
        <v>240</v>
      </c>
      <c r="AC209" t="s">
        <v>240</v>
      </c>
      <c r="AG209">
        <v>2070</v>
      </c>
      <c r="AH209" t="s">
        <v>240</v>
      </c>
      <c r="AI209" t="s">
        <v>240</v>
      </c>
      <c r="AJ209" t="s">
        <v>240</v>
      </c>
      <c r="AK209" t="s">
        <v>240</v>
      </c>
      <c r="AL209" t="s">
        <v>240</v>
      </c>
      <c r="AM209" t="s">
        <v>240</v>
      </c>
    </row>
    <row r="210" spans="5:40">
      <c r="E210">
        <v>2080</v>
      </c>
      <c r="F210" s="320" t="s">
        <v>240</v>
      </c>
      <c r="G210" s="320" t="s">
        <v>240</v>
      </c>
      <c r="H210" s="330">
        <f t="shared" si="169"/>
        <v>164072.40347382281</v>
      </c>
      <c r="I210" s="330">
        <f t="shared" si="168"/>
        <v>110912.45195616961</v>
      </c>
      <c r="J210" s="330">
        <f t="shared" si="168"/>
        <v>140349.93766203115</v>
      </c>
      <c r="K210" s="330">
        <f t="shared" si="168"/>
        <v>158195.40097996098</v>
      </c>
      <c r="L210" s="330">
        <f t="shared" si="167"/>
        <v>143382.54851799615</v>
      </c>
      <c r="M210" s="330"/>
      <c r="N210">
        <v>2080</v>
      </c>
      <c r="O210" t="s">
        <v>240</v>
      </c>
      <c r="P210" t="s">
        <v>240</v>
      </c>
      <c r="Q210" t="s">
        <v>240</v>
      </c>
      <c r="R210" t="s">
        <v>240</v>
      </c>
      <c r="S210" t="s">
        <v>240</v>
      </c>
      <c r="T210" t="s">
        <v>240</v>
      </c>
      <c r="W210">
        <v>2080</v>
      </c>
      <c r="X210" t="s">
        <v>240</v>
      </c>
      <c r="Y210" t="s">
        <v>240</v>
      </c>
      <c r="Z210" t="s">
        <v>240</v>
      </c>
      <c r="AA210" t="s">
        <v>240</v>
      </c>
      <c r="AB210" t="s">
        <v>240</v>
      </c>
      <c r="AC210" t="s">
        <v>240</v>
      </c>
      <c r="AG210">
        <v>2080</v>
      </c>
      <c r="AH210" t="s">
        <v>240</v>
      </c>
      <c r="AI210" t="s">
        <v>240</v>
      </c>
      <c r="AJ210" t="s">
        <v>240</v>
      </c>
      <c r="AK210" t="s">
        <v>240</v>
      </c>
      <c r="AL210" t="s">
        <v>240</v>
      </c>
      <c r="AM210" t="s">
        <v>240</v>
      </c>
    </row>
    <row r="211" spans="5:40">
      <c r="E211">
        <v>2090</v>
      </c>
      <c r="F211" s="320" t="s">
        <v>240</v>
      </c>
      <c r="G211" s="320" t="s">
        <v>240</v>
      </c>
      <c r="H211" s="330">
        <f t="shared" si="169"/>
        <v>237181.35254656972</v>
      </c>
      <c r="I211" s="330">
        <f t="shared" si="168"/>
        <v>160333.8819463191</v>
      </c>
      <c r="J211" s="330">
        <f t="shared" si="168"/>
        <v>202888.40377607039</v>
      </c>
      <c r="K211" s="330">
        <f t="shared" si="168"/>
        <v>228685.61913314345</v>
      </c>
      <c r="L211" s="330">
        <f t="shared" si="167"/>
        <v>207272.31435052567</v>
      </c>
      <c r="M211" s="330"/>
      <c r="N211">
        <v>2090</v>
      </c>
      <c r="O211" t="s">
        <v>240</v>
      </c>
      <c r="P211" t="s">
        <v>240</v>
      </c>
      <c r="Q211" t="s">
        <v>240</v>
      </c>
      <c r="R211" t="s">
        <v>240</v>
      </c>
      <c r="S211" t="s">
        <v>240</v>
      </c>
      <c r="T211" t="s">
        <v>240</v>
      </c>
      <c r="W211">
        <v>2090</v>
      </c>
      <c r="X211" t="s">
        <v>240</v>
      </c>
      <c r="Y211" t="s">
        <v>240</v>
      </c>
      <c r="Z211" t="s">
        <v>240</v>
      </c>
      <c r="AA211" t="s">
        <v>240</v>
      </c>
      <c r="AB211" t="s">
        <v>240</v>
      </c>
      <c r="AC211" t="s">
        <v>240</v>
      </c>
      <c r="AG211">
        <v>2090</v>
      </c>
      <c r="AH211" t="s">
        <v>240</v>
      </c>
      <c r="AI211" t="s">
        <v>240</v>
      </c>
      <c r="AJ211" t="s">
        <v>240</v>
      </c>
      <c r="AK211" t="s">
        <v>240</v>
      </c>
      <c r="AL211" t="s">
        <v>240</v>
      </c>
      <c r="AM211" t="s">
        <v>240</v>
      </c>
    </row>
    <row r="212" spans="5:40">
      <c r="E212">
        <v>2100</v>
      </c>
      <c r="F212" s="320" t="s">
        <v>240</v>
      </c>
      <c r="G212" s="320" t="s">
        <v>240</v>
      </c>
      <c r="H212" s="330">
        <f>H211*($C$6+1)^10</f>
        <v>342866.88562342839</v>
      </c>
      <c r="I212" s="330">
        <f t="shared" si="168"/>
        <v>231776.98487934488</v>
      </c>
      <c r="J212" s="330">
        <f t="shared" si="168"/>
        <v>293293.35710804368</v>
      </c>
      <c r="K212" s="330">
        <f t="shared" si="168"/>
        <v>330585.54214818013</v>
      </c>
      <c r="L212" s="330">
        <f t="shared" si="167"/>
        <v>299630.69243974925</v>
      </c>
      <c r="M212" s="330"/>
      <c r="N212">
        <v>2100</v>
      </c>
      <c r="O212" t="s">
        <v>240</v>
      </c>
      <c r="P212" t="s">
        <v>240</v>
      </c>
      <c r="Q212" t="s">
        <v>240</v>
      </c>
      <c r="R212" t="s">
        <v>240</v>
      </c>
      <c r="S212" t="s">
        <v>240</v>
      </c>
      <c r="T212" t="s">
        <v>240</v>
      </c>
      <c r="W212">
        <v>2100</v>
      </c>
      <c r="X212" t="s">
        <v>240</v>
      </c>
      <c r="Y212" t="s">
        <v>240</v>
      </c>
      <c r="Z212" t="s">
        <v>240</v>
      </c>
      <c r="AA212" t="s">
        <v>240</v>
      </c>
      <c r="AB212" t="s">
        <v>240</v>
      </c>
      <c r="AC212" t="s">
        <v>240</v>
      </c>
      <c r="AG212">
        <v>2100</v>
      </c>
      <c r="AH212" t="s">
        <v>240</v>
      </c>
      <c r="AI212" t="s">
        <v>240</v>
      </c>
      <c r="AJ212" t="s">
        <v>240</v>
      </c>
      <c r="AK212" t="s">
        <v>240</v>
      </c>
      <c r="AL212" t="s">
        <v>240</v>
      </c>
      <c r="AM212" t="s">
        <v>240</v>
      </c>
    </row>
    <row r="213" spans="5:40">
      <c r="F213" s="581" t="s">
        <v>249</v>
      </c>
      <c r="G213" s="581"/>
      <c r="H213" s="581"/>
      <c r="I213" s="581"/>
      <c r="J213" s="581"/>
      <c r="K213" s="581"/>
      <c r="O213" s="581" t="s">
        <v>249</v>
      </c>
      <c r="P213" s="581"/>
      <c r="Q213" s="581"/>
      <c r="R213" s="581"/>
      <c r="S213" s="581"/>
      <c r="T213" s="581"/>
      <c r="X213" s="581" t="s">
        <v>249</v>
      </c>
      <c r="Y213" s="581"/>
      <c r="Z213" s="581"/>
      <c r="AA213" s="581"/>
      <c r="AB213" s="581"/>
      <c r="AC213" s="581"/>
      <c r="AH213" s="581" t="s">
        <v>249</v>
      </c>
      <c r="AI213" s="581"/>
      <c r="AJ213" s="581"/>
      <c r="AK213" s="581"/>
      <c r="AL213" s="581"/>
      <c r="AM213" s="581"/>
    </row>
    <row r="214" spans="5:40">
      <c r="E214">
        <v>2020</v>
      </c>
      <c r="F214" s="320" t="s">
        <v>240</v>
      </c>
      <c r="G214" s="320" t="s">
        <v>240</v>
      </c>
      <c r="H214" s="179">
        <f>SUM($L138, $L157, $L195,$L176)*H81</f>
        <v>361449055.20535642</v>
      </c>
      <c r="I214" s="179">
        <f t="shared" ref="H214:K231" si="170">SUM($L138, $L157, $L195,$L176)*I81</f>
        <v>174837718.14190012</v>
      </c>
      <c r="J214" s="179">
        <f t="shared" si="170"/>
        <v>113536064.56779018</v>
      </c>
      <c r="K214" s="179">
        <f t="shared" si="170"/>
        <v>36562569.08130239</v>
      </c>
      <c r="L214" s="194">
        <f>SUM(H214:K214)/(SUM(F252:K252)*1000)</f>
        <v>5.2923495112466759E-4</v>
      </c>
      <c r="M214" s="194"/>
      <c r="N214">
        <v>2020</v>
      </c>
      <c r="O214" t="s">
        <v>240</v>
      </c>
      <c r="P214" t="s">
        <v>240</v>
      </c>
      <c r="Q214" s="179">
        <f>SUM($L138, $L157, $L195,$L176)*Q81</f>
        <v>361449055.20535642</v>
      </c>
      <c r="R214" s="179">
        <f t="shared" ref="Q214:T229" si="171">SUM($L138, $L157, $L195,$L176)*R81</f>
        <v>174837718.14190012</v>
      </c>
      <c r="S214" s="179">
        <f t="shared" si="171"/>
        <v>113536064.56779018</v>
      </c>
      <c r="T214" s="179">
        <f t="shared" si="171"/>
        <v>36562569.08130239</v>
      </c>
      <c r="U214" s="194">
        <f>SUM(Q214:T214)/(SUM(O252:T252)*1000)</f>
        <v>5.2923495112466759E-4</v>
      </c>
      <c r="W214">
        <v>2020</v>
      </c>
      <c r="X214" t="s">
        <v>240</v>
      </c>
      <c r="Y214" t="s">
        <v>240</v>
      </c>
      <c r="Z214" s="179">
        <f>SUM($L138, $L157, $L195,$L176)*Z81</f>
        <v>361449055.20535642</v>
      </c>
      <c r="AA214" s="179">
        <f t="shared" ref="AA214:AB214" si="172">SUM($L138, $L157, $L195,$L176)*AA81</f>
        <v>174837718.14190012</v>
      </c>
      <c r="AB214" s="179">
        <f t="shared" si="172"/>
        <v>113536064.56779018</v>
      </c>
      <c r="AC214" s="179">
        <f>SUM($L138, $L157, $L195,$L176)*AC81</f>
        <v>36562569.08130239</v>
      </c>
      <c r="AD214" s="194">
        <f>SUM(Z214:AC214)/(SUM(X252:AC252)*1000)</f>
        <v>5.2923495112466759E-4</v>
      </c>
      <c r="AG214">
        <v>2020</v>
      </c>
      <c r="AH214" t="s">
        <v>240</v>
      </c>
      <c r="AI214" t="s">
        <v>240</v>
      </c>
      <c r="AJ214" s="179">
        <f>SUM($L138, $L157, $L195,$L176)*AJ81</f>
        <v>361449055.20535642</v>
      </c>
      <c r="AK214" s="179">
        <f t="shared" ref="AK214:AL214" si="173">SUM($L138, $L157, $L195,$L176)*AK81</f>
        <v>174837718.14190012</v>
      </c>
      <c r="AL214" s="179">
        <f t="shared" si="173"/>
        <v>113536064.56779018</v>
      </c>
      <c r="AM214" s="179">
        <f>SUM($L138, $L157, $L195,$L176)*AM81</f>
        <v>36562569.08130239</v>
      </c>
      <c r="AN214" s="194">
        <f>SUM(AJ214:AM214)/(SUM(AH252:AM252)*1000)</f>
        <v>5.2923495112466759E-4</v>
      </c>
    </row>
    <row r="215" spans="5:40">
      <c r="E215">
        <v>2021</v>
      </c>
      <c r="F215" s="320" t="s">
        <v>240</v>
      </c>
      <c r="G215" s="320" t="s">
        <v>240</v>
      </c>
      <c r="H215" s="179">
        <f t="shared" si="170"/>
        <v>398365908.61887997</v>
      </c>
      <c r="I215" s="179">
        <f t="shared" si="170"/>
        <v>166150135.83632985</v>
      </c>
      <c r="J215" s="179">
        <f t="shared" si="170"/>
        <v>112395684.47719513</v>
      </c>
      <c r="K215" s="179">
        <f t="shared" si="170"/>
        <v>38341533.55594258</v>
      </c>
      <c r="L215" s="194">
        <f t="shared" ref="L215:L231" si="174">SUM(H215:K215)/(SUM(F253:K253)*1000)</f>
        <v>5.2370348266723803E-4</v>
      </c>
      <c r="M215" s="194"/>
      <c r="N215">
        <v>2021</v>
      </c>
      <c r="O215" t="s">
        <v>240</v>
      </c>
      <c r="P215" t="s">
        <v>240</v>
      </c>
      <c r="Q215" s="179">
        <f t="shared" si="171"/>
        <v>397878088.07333702</v>
      </c>
      <c r="R215" s="179">
        <f t="shared" si="171"/>
        <v>167794294.27363989</v>
      </c>
      <c r="S215" s="179">
        <f t="shared" si="171"/>
        <v>112526080.64791036</v>
      </c>
      <c r="T215" s="179">
        <f t="shared" si="171"/>
        <v>38624808.367093794</v>
      </c>
      <c r="U215" s="194">
        <f t="shared" ref="U215:U231" si="175">SUM(Q215:T215)/(SUM(O253:T253)*1000)</f>
        <v>5.3080736398444426E-4</v>
      </c>
      <c r="W215">
        <v>2021</v>
      </c>
      <c r="X215" t="s">
        <v>240</v>
      </c>
      <c r="Y215" t="s">
        <v>240</v>
      </c>
      <c r="Z215" s="179">
        <f t="shared" ref="Z215:AC215" si="176">SUM($L139, $L158, $L196,$L177)*Z82</f>
        <v>397393904.73350674</v>
      </c>
      <c r="AA215" s="179">
        <f t="shared" si="176"/>
        <v>169311091.58518606</v>
      </c>
      <c r="AB215" s="179">
        <f t="shared" si="176"/>
        <v>112638806.90157253</v>
      </c>
      <c r="AC215" s="179">
        <f t="shared" si="176"/>
        <v>38885398.771328986</v>
      </c>
      <c r="AD215" s="194">
        <f t="shared" ref="AD215:AD231" si="177">SUM(Z215:AC215)/(SUM(X253:AC253)*1000)</f>
        <v>5.3573046560149897E-4</v>
      </c>
      <c r="AG215">
        <v>2021</v>
      </c>
      <c r="AH215" t="s">
        <v>240</v>
      </c>
      <c r="AI215" t="s">
        <v>240</v>
      </c>
      <c r="AJ215" s="179">
        <f t="shared" ref="AJ215:AM215" si="178">SUM($L139, $L158, $L196,$L177)*AJ82</f>
        <v>398304933.77682644</v>
      </c>
      <c r="AK215" s="179">
        <f t="shared" si="178"/>
        <v>166363140.38721603</v>
      </c>
      <c r="AL215" s="179">
        <f t="shared" si="178"/>
        <v>112413070.40180269</v>
      </c>
      <c r="AM215" s="179">
        <f t="shared" si="178"/>
        <v>38378280.720373236</v>
      </c>
      <c r="AN215" s="194">
        <f t="shared" ref="AN215:AN231" si="179">SUM(AJ215:AM215)/(SUM(AH253:AM253)*1000)</f>
        <v>5.1910034285170871E-4</v>
      </c>
    </row>
    <row r="216" spans="5:40">
      <c r="E216">
        <v>2022</v>
      </c>
      <c r="F216" s="320" t="s">
        <v>240</v>
      </c>
      <c r="G216" s="320" t="s">
        <v>240</v>
      </c>
      <c r="H216" s="179">
        <f t="shared" si="170"/>
        <v>435466589.68026614</v>
      </c>
      <c r="I216" s="179">
        <f t="shared" si="170"/>
        <v>158118504.58711866</v>
      </c>
      <c r="J216" s="179">
        <f t="shared" si="170"/>
        <v>111549247.66267984</v>
      </c>
      <c r="K216" s="179">
        <f t="shared" si="170"/>
        <v>40171667.625728525</v>
      </c>
      <c r="L216" s="194">
        <f t="shared" si="174"/>
        <v>5.1952868533420291E-4</v>
      </c>
      <c r="M216" s="194"/>
      <c r="N216">
        <v>2022</v>
      </c>
      <c r="O216" t="s">
        <v>240</v>
      </c>
      <c r="P216" t="s">
        <v>240</v>
      </c>
      <c r="Q216" s="179">
        <f t="shared" si="171"/>
        <v>435362125.6727953</v>
      </c>
      <c r="R216" s="179">
        <f t="shared" si="171"/>
        <v>160833605.75604317</v>
      </c>
      <c r="S216" s="179">
        <f t="shared" si="171"/>
        <v>111610268.56666976</v>
      </c>
      <c r="T216" s="179">
        <f t="shared" si="171"/>
        <v>40751500.86268355</v>
      </c>
      <c r="U216" s="194">
        <f t="shared" si="175"/>
        <v>5.3318331169243272E-4</v>
      </c>
      <c r="W216">
        <v>2022</v>
      </c>
      <c r="X216" t="s">
        <v>240</v>
      </c>
      <c r="Y216" t="s">
        <v>240</v>
      </c>
      <c r="Z216" s="179">
        <f t="shared" ref="Z216:AC216" si="180">SUM($L140, $L159, $L197,$L178)*Z83</f>
        <v>435132686.04554665</v>
      </c>
      <c r="AA216" s="179">
        <f t="shared" si="180"/>
        <v>163402350.4903453</v>
      </c>
      <c r="AB216" s="179">
        <f t="shared" si="180"/>
        <v>111635912.42992067</v>
      </c>
      <c r="AC216" s="179">
        <f t="shared" si="180"/>
        <v>41298236.845715687</v>
      </c>
      <c r="AD216" s="194">
        <f t="shared" si="177"/>
        <v>5.4282429213214E-4</v>
      </c>
      <c r="AG216">
        <v>2022</v>
      </c>
      <c r="AH216" t="s">
        <v>240</v>
      </c>
      <c r="AI216" t="s">
        <v>240</v>
      </c>
      <c r="AJ216" s="179">
        <f t="shared" ref="AJ216:AM216" si="181">SUM($L140, $L159, $L197,$L178)*AJ83</f>
        <v>435461464.97868693</v>
      </c>
      <c r="AK216" s="179">
        <f t="shared" si="181"/>
        <v>158466345.58707604</v>
      </c>
      <c r="AL216" s="179">
        <f t="shared" si="181"/>
        <v>111559093.88521756</v>
      </c>
      <c r="AM216" s="179">
        <f t="shared" si="181"/>
        <v>40246068.64330779</v>
      </c>
      <c r="AN216" s="194">
        <f t="shared" si="179"/>
        <v>5.1091696298611938E-4</v>
      </c>
    </row>
    <row r="217" spans="5:40">
      <c r="E217">
        <v>2023</v>
      </c>
      <c r="F217" s="320" t="s">
        <v>240</v>
      </c>
      <c r="G217" s="320" t="s">
        <v>240</v>
      </c>
      <c r="H217" s="179">
        <f t="shared" si="170"/>
        <v>472894944.42589283</v>
      </c>
      <c r="I217" s="179">
        <f t="shared" si="170"/>
        <v>150666787.87726641</v>
      </c>
      <c r="J217" s="179">
        <f t="shared" si="170"/>
        <v>110972667.7806966</v>
      </c>
      <c r="K217" s="179">
        <f t="shared" si="170"/>
        <v>42057010.648471616</v>
      </c>
      <c r="L217" s="194">
        <f t="shared" si="174"/>
        <v>5.1655601622302937E-4</v>
      </c>
      <c r="M217" s="194"/>
      <c r="N217">
        <v>2023</v>
      </c>
      <c r="O217" t="s">
        <v>240</v>
      </c>
      <c r="P217" t="s">
        <v>240</v>
      </c>
      <c r="Q217" s="179">
        <f t="shared" si="171"/>
        <v>473939942.23625374</v>
      </c>
      <c r="R217" s="179">
        <f t="shared" si="171"/>
        <v>153962563.5381842</v>
      </c>
      <c r="S217" s="179">
        <f t="shared" si="171"/>
        <v>110793826.6825759</v>
      </c>
      <c r="T217" s="179">
        <f t="shared" si="171"/>
        <v>42945463.624161191</v>
      </c>
      <c r="U217" s="194">
        <f t="shared" si="175"/>
        <v>5.3631115008009151E-4</v>
      </c>
      <c r="W217">
        <v>2023</v>
      </c>
      <c r="X217" t="s">
        <v>240</v>
      </c>
      <c r="Y217" t="s">
        <v>240</v>
      </c>
      <c r="Z217" s="179">
        <f t="shared" ref="Z217:AC217" si="182">SUM($L141, $L160, $L198,$L179)*Z84</f>
        <v>474675431.27158809</v>
      </c>
      <c r="AA217" s="179">
        <f t="shared" si="182"/>
        <v>157142976.09159401</v>
      </c>
      <c r="AB217" s="179">
        <f t="shared" si="182"/>
        <v>110543715.21217507</v>
      </c>
      <c r="AC217" s="179">
        <f t="shared" si="182"/>
        <v>43802253.965418406</v>
      </c>
      <c r="AD217" s="194">
        <f t="shared" si="177"/>
        <v>5.5050281266507718E-4</v>
      </c>
      <c r="AG217">
        <v>2023</v>
      </c>
      <c r="AH217" t="s">
        <v>240</v>
      </c>
      <c r="AI217" t="s">
        <v>240</v>
      </c>
      <c r="AJ217" s="179">
        <f t="shared" ref="AJ217:AM217" si="183">SUM($L141, $L160, $L198,$L179)*AJ84</f>
        <v>473044500.55951625</v>
      </c>
      <c r="AK217" s="179">
        <f t="shared" si="183"/>
        <v>151085462.73794428</v>
      </c>
      <c r="AL217" s="179">
        <f t="shared" si="183"/>
        <v>110954719.14484058</v>
      </c>
      <c r="AM217" s="179">
        <f t="shared" si="183"/>
        <v>42169910.257549159</v>
      </c>
      <c r="AN217" s="194">
        <f t="shared" si="179"/>
        <v>5.0440735964001266E-4</v>
      </c>
    </row>
    <row r="218" spans="5:40">
      <c r="E218">
        <v>2024</v>
      </c>
      <c r="F218" s="320" t="s">
        <v>240</v>
      </c>
      <c r="G218" s="320" t="s">
        <v>240</v>
      </c>
      <c r="H218" s="179">
        <f t="shared" si="170"/>
        <v>510782639.27492911</v>
      </c>
      <c r="I218" s="179">
        <f t="shared" si="170"/>
        <v>143729417.21659842</v>
      </c>
      <c r="J218" s="179">
        <f t="shared" si="170"/>
        <v>110645570.61146003</v>
      </c>
      <c r="K218" s="179">
        <f t="shared" si="170"/>
        <v>44001500.095833287</v>
      </c>
      <c r="L218" s="194">
        <f t="shared" si="174"/>
        <v>5.146591993318891E-4</v>
      </c>
      <c r="M218" s="194"/>
      <c r="N218">
        <v>2024</v>
      </c>
      <c r="O218" t="s">
        <v>240</v>
      </c>
      <c r="P218" t="s">
        <v>240</v>
      </c>
      <c r="Q218" s="179">
        <f t="shared" si="171"/>
        <v>513655025.62208122</v>
      </c>
      <c r="R218" s="179">
        <f t="shared" si="171"/>
        <v>147186062.8813082</v>
      </c>
      <c r="S218" s="179">
        <f t="shared" si="171"/>
        <v>110081243.03379071</v>
      </c>
      <c r="T218" s="179">
        <f t="shared" si="171"/>
        <v>45209705.99697803</v>
      </c>
      <c r="U218" s="194">
        <f t="shared" si="175"/>
        <v>5.4014799236214552E-4</v>
      </c>
      <c r="W218">
        <v>2024</v>
      </c>
      <c r="X218" t="s">
        <v>240</v>
      </c>
      <c r="Y218" t="s">
        <v>240</v>
      </c>
      <c r="Z218" s="179">
        <f t="shared" ref="Z218:AC218" si="184">SUM($L142, $L161, $L199,$L180)*Z85</f>
        <v>516034439.24026108</v>
      </c>
      <c r="AA218" s="179">
        <f t="shared" si="184"/>
        <v>150564356.43560848</v>
      </c>
      <c r="AB218" s="179">
        <f t="shared" si="184"/>
        <v>109378581.24237433</v>
      </c>
      <c r="AC218" s="179">
        <f t="shared" si="184"/>
        <v>46398847.118700348</v>
      </c>
      <c r="AD218" s="194">
        <f t="shared" si="177"/>
        <v>5.5875567931663655E-4</v>
      </c>
      <c r="AG218">
        <v>2024</v>
      </c>
      <c r="AH218" t="s">
        <v>240</v>
      </c>
      <c r="AI218" t="s">
        <v>240</v>
      </c>
      <c r="AJ218" s="179">
        <f t="shared" ref="AJ218:AM218" si="185">SUM($L142, $L161, $L199,$L180)*AJ85</f>
        <v>511171421.34876317</v>
      </c>
      <c r="AK218" s="179">
        <f t="shared" si="185"/>
        <v>144166314.01195252</v>
      </c>
      <c r="AL218" s="179">
        <f t="shared" si="185"/>
        <v>110583310.64010899</v>
      </c>
      <c r="AM218" s="179">
        <f t="shared" si="185"/>
        <v>44153715.961708911</v>
      </c>
      <c r="AN218" s="194">
        <f t="shared" si="179"/>
        <v>4.9935091246534652E-4</v>
      </c>
    </row>
    <row r="219" spans="5:40">
      <c r="E219">
        <v>2025</v>
      </c>
      <c r="F219" s="320" t="s">
        <v>240</v>
      </c>
      <c r="G219" s="320" t="s">
        <v>240</v>
      </c>
      <c r="H219" s="179">
        <f t="shared" si="170"/>
        <v>549251509.56738472</v>
      </c>
      <c r="I219" s="179">
        <f t="shared" si="170"/>
        <v>137249575.46790734</v>
      </c>
      <c r="J219" s="179">
        <f t="shared" si="170"/>
        <v>110550700.31260048</v>
      </c>
      <c r="K219" s="179">
        <f t="shared" si="170"/>
        <v>46009008.081116125</v>
      </c>
      <c r="L219" s="194">
        <f t="shared" si="174"/>
        <v>5.1373434385012574E-4</v>
      </c>
      <c r="M219" s="194"/>
      <c r="N219">
        <v>2025</v>
      </c>
      <c r="O219" t="s">
        <v>240</v>
      </c>
      <c r="P219" t="s">
        <v>240</v>
      </c>
      <c r="Q219" s="179">
        <f t="shared" si="171"/>
        <v>554555336.61131895</v>
      </c>
      <c r="R219" s="179">
        <f t="shared" si="171"/>
        <v>140507222.58929783</v>
      </c>
      <c r="S219" s="179">
        <f t="shared" si="171"/>
        <v>109476390.56582223</v>
      </c>
      <c r="T219" s="179">
        <f t="shared" si="171"/>
        <v>47547423.00012216</v>
      </c>
      <c r="U219" s="194">
        <f t="shared" si="175"/>
        <v>5.4465826741537538E-4</v>
      </c>
      <c r="W219">
        <v>2025</v>
      </c>
      <c r="X219" t="s">
        <v>240</v>
      </c>
      <c r="Y219" t="s">
        <v>240</v>
      </c>
      <c r="Z219" s="179">
        <f t="shared" ref="Z219:AC219" si="186">SUM($L143, $L162, $L200,$L181)*Z86</f>
        <v>559225018.7193296</v>
      </c>
      <c r="AA219" s="179">
        <f t="shared" si="186"/>
        <v>143697319.57990515</v>
      </c>
      <c r="AB219" s="179">
        <f t="shared" si="186"/>
        <v>108156705.54992794</v>
      </c>
      <c r="AC219" s="179">
        <f t="shared" si="186"/>
        <v>49089664.408472098</v>
      </c>
      <c r="AD219" s="194">
        <f t="shared" si="177"/>
        <v>5.6757540761040416E-4</v>
      </c>
      <c r="AG219">
        <v>2025</v>
      </c>
      <c r="AH219" t="s">
        <v>240</v>
      </c>
      <c r="AI219" t="s">
        <v>240</v>
      </c>
      <c r="AJ219" s="179">
        <f t="shared" ref="AJ219:AM219" si="187">SUM($L143, $L162, $L200,$L181)*AJ86</f>
        <v>549952720.50065446</v>
      </c>
      <c r="AK219" s="179">
        <f t="shared" si="187"/>
        <v>137661276.58560076</v>
      </c>
      <c r="AL219" s="179">
        <f t="shared" si="187"/>
        <v>110430615.80072242</v>
      </c>
      <c r="AM219" s="179">
        <f t="shared" si="187"/>
        <v>46201357.721526697</v>
      </c>
      <c r="AN219" s="194">
        <f t="shared" si="179"/>
        <v>4.9557031174305094E-4</v>
      </c>
    </row>
    <row r="220" spans="5:40">
      <c r="E220">
        <v>2026</v>
      </c>
      <c r="F220" s="320" t="s">
        <v>240</v>
      </c>
      <c r="G220" s="320" t="s">
        <v>240</v>
      </c>
      <c r="H220" s="179">
        <f t="shared" si="170"/>
        <v>588415484.05438757</v>
      </c>
      <c r="I220" s="179">
        <f t="shared" si="170"/>
        <v>131177801.30591048</v>
      </c>
      <c r="J220" s="179">
        <f t="shared" si="170"/>
        <v>110673437.36474104</v>
      </c>
      <c r="K220" s="179">
        <f t="shared" si="170"/>
        <v>48083372.018635072</v>
      </c>
      <c r="L220" s="194">
        <f t="shared" si="174"/>
        <v>5.1369548456171399E-4</v>
      </c>
      <c r="M220" s="194"/>
      <c r="N220">
        <v>2026</v>
      </c>
      <c r="O220" t="s">
        <v>240</v>
      </c>
      <c r="P220" t="s">
        <v>240</v>
      </c>
      <c r="Q220" s="179">
        <f t="shared" si="171"/>
        <v>596693091.14060009</v>
      </c>
      <c r="R220" s="179">
        <f t="shared" si="171"/>
        <v>133927609.12614852</v>
      </c>
      <c r="S220" s="179">
        <f t="shared" si="171"/>
        <v>108982616.82659587</v>
      </c>
      <c r="T220" s="179">
        <f t="shared" si="171"/>
        <v>49961989.861294746</v>
      </c>
      <c r="U220" s="194">
        <f t="shared" si="175"/>
        <v>5.4981256622559126E-4</v>
      </c>
      <c r="W220">
        <v>2026</v>
      </c>
      <c r="X220" t="s">
        <v>240</v>
      </c>
      <c r="Y220" t="s">
        <v>240</v>
      </c>
      <c r="Z220" s="179">
        <f t="shared" ref="Z220:AC220" si="188">SUM($L144, $L163, $L201,$L182)*Z87</f>
        <v>604266150.13501513</v>
      </c>
      <c r="AA220" s="179">
        <f t="shared" si="188"/>
        <v>136571728.79660892</v>
      </c>
      <c r="AB220" s="179">
        <f t="shared" si="188"/>
        <v>106893937.00898451</v>
      </c>
      <c r="AC220" s="179">
        <f t="shared" si="188"/>
        <v>51876625.56556765</v>
      </c>
      <c r="AD220" s="194">
        <f t="shared" si="177"/>
        <v>5.7695704065437474E-4</v>
      </c>
      <c r="AG220">
        <v>2026</v>
      </c>
      <c r="AH220" t="s">
        <v>240</v>
      </c>
      <c r="AI220" t="s">
        <v>240</v>
      </c>
      <c r="AJ220" s="179">
        <f t="shared" ref="AJ220:AM220" si="189">SUM($L144, $L163, $L201,$L182)*AJ87</f>
        <v>589493335.14968026</v>
      </c>
      <c r="AK220" s="179">
        <f t="shared" si="189"/>
        <v>131528335.63510719</v>
      </c>
      <c r="AL220" s="179">
        <f t="shared" si="189"/>
        <v>110484434.96900228</v>
      </c>
      <c r="AM220" s="179">
        <f t="shared" si="189"/>
        <v>48316693.741404414</v>
      </c>
      <c r="AN220" s="194">
        <f t="shared" si="179"/>
        <v>4.9292173560211005E-4</v>
      </c>
    </row>
    <row r="221" spans="5:40">
      <c r="E221">
        <v>2027</v>
      </c>
      <c r="F221" s="320" t="s">
        <v>240</v>
      </c>
      <c r="G221" s="320" t="s">
        <v>240</v>
      </c>
      <c r="H221" s="179">
        <f t="shared" si="170"/>
        <v>628382174.72447646</v>
      </c>
      <c r="I221" s="179">
        <f t="shared" si="170"/>
        <v>125470847.64135592</v>
      </c>
      <c r="J221" s="179">
        <f t="shared" si="170"/>
        <v>111001404.85647777</v>
      </c>
      <c r="K221" s="179">
        <f t="shared" si="170"/>
        <v>50228420.663567714</v>
      </c>
      <c r="L221" s="194">
        <f t="shared" si="174"/>
        <v>5.1447115925344242E-4</v>
      </c>
      <c r="M221" s="194"/>
      <c r="N221">
        <v>2027</v>
      </c>
      <c r="O221" t="s">
        <v>240</v>
      </c>
      <c r="P221" t="s">
        <v>240</v>
      </c>
      <c r="Q221" s="179">
        <f t="shared" si="171"/>
        <v>640124568.12322044</v>
      </c>
      <c r="R221" s="179">
        <f t="shared" si="171"/>
        <v>127447443.81486462</v>
      </c>
      <c r="S221" s="179">
        <f t="shared" si="171"/>
        <v>108602827.38574825</v>
      </c>
      <c r="T221" s="179">
        <f t="shared" si="171"/>
        <v>52456957.734387204</v>
      </c>
      <c r="U221" s="194">
        <f t="shared" si="175"/>
        <v>5.5558671201619508E-4</v>
      </c>
      <c r="W221">
        <v>2027</v>
      </c>
      <c r="X221" t="s">
        <v>240</v>
      </c>
      <c r="Y221" t="s">
        <v>240</v>
      </c>
      <c r="Z221" s="179">
        <f t="shared" ref="Z221:AC221" si="190">SUM($L145, $L164, $L202,$L183)*Z88</f>
        <v>651181061.08839834</v>
      </c>
      <c r="AA221" s="179">
        <f t="shared" si="190"/>
        <v>129216143.0541002</v>
      </c>
      <c r="AB221" s="179">
        <f t="shared" si="190"/>
        <v>105605632.26186538</v>
      </c>
      <c r="AC221" s="179">
        <f t="shared" si="190"/>
        <v>54761938.346131824</v>
      </c>
      <c r="AD221" s="194">
        <f t="shared" si="177"/>
        <v>5.8689787080998246E-4</v>
      </c>
      <c r="AG221">
        <v>2027</v>
      </c>
      <c r="AH221" t="s">
        <v>240</v>
      </c>
      <c r="AI221" t="s">
        <v>240</v>
      </c>
      <c r="AJ221" s="179">
        <f t="shared" ref="AJ221:AM221" si="191">SUM($L145, $L164, $L202,$L183)*AJ88</f>
        <v>629893774.2643317</v>
      </c>
      <c r="AK221" s="179">
        <f t="shared" si="191"/>
        <v>125730292.67504232</v>
      </c>
      <c r="AL221" s="179">
        <f t="shared" si="191"/>
        <v>110734346.04500954</v>
      </c>
      <c r="AM221" s="179">
        <f t="shared" si="191"/>
        <v>50503589.985577419</v>
      </c>
      <c r="AN221" s="194">
        <f t="shared" si="179"/>
        <v>4.9128759730281634E-4</v>
      </c>
    </row>
    <row r="222" spans="5:40">
      <c r="E222">
        <v>2028</v>
      </c>
      <c r="F222" s="320" t="s">
        <v>240</v>
      </c>
      <c r="G222" s="320" t="s">
        <v>240</v>
      </c>
      <c r="H222" s="179">
        <f t="shared" si="170"/>
        <v>669254200.81092966</v>
      </c>
      <c r="I222" s="179">
        <f t="shared" si="170"/>
        <v>120090742.29333165</v>
      </c>
      <c r="J222" s="179">
        <f t="shared" si="170"/>
        <v>111524145.13109002</v>
      </c>
      <c r="K222" s="179">
        <f t="shared" si="170"/>
        <v>52447996.498703577</v>
      </c>
      <c r="L222" s="194">
        <f t="shared" si="174"/>
        <v>5.1600175278651691E-4</v>
      </c>
      <c r="M222" s="194"/>
      <c r="N222">
        <v>2028</v>
      </c>
      <c r="O222" t="s">
        <v>240</v>
      </c>
      <c r="P222" t="s">
        <v>240</v>
      </c>
      <c r="Q222" s="179">
        <f t="shared" si="171"/>
        <v>684909944.31003702</v>
      </c>
      <c r="R222" s="179">
        <f t="shared" si="171"/>
        <v>121065792.20095833</v>
      </c>
      <c r="S222" s="179">
        <f t="shared" si="171"/>
        <v>108339562.58498953</v>
      </c>
      <c r="T222" s="179">
        <f t="shared" si="171"/>
        <v>55036050.59737882</v>
      </c>
      <c r="U222" s="194">
        <f t="shared" si="175"/>
        <v>5.6196100557563266E-4</v>
      </c>
      <c r="W222">
        <v>2028</v>
      </c>
      <c r="X222" t="s">
        <v>240</v>
      </c>
      <c r="Y222" t="s">
        <v>240</v>
      </c>
      <c r="Z222" s="179">
        <f t="shared" ref="Z222:AC222" si="192">SUM($L146, $L165, $L203,$L184)*Z89</f>
        <v>699997714.94823194</v>
      </c>
      <c r="AA222" s="179">
        <f t="shared" si="192"/>
        <v>121657543.21258444</v>
      </c>
      <c r="AB222" s="179">
        <f t="shared" si="192"/>
        <v>104306538.9090575</v>
      </c>
      <c r="AC222" s="179">
        <f t="shared" si="192"/>
        <v>57748111.105681531</v>
      </c>
      <c r="AD222" s="194">
        <f t="shared" si="177"/>
        <v>5.9739720826649167E-4</v>
      </c>
      <c r="AG222">
        <v>2028</v>
      </c>
      <c r="AH222" t="s">
        <v>240</v>
      </c>
      <c r="AI222" t="s">
        <v>240</v>
      </c>
      <c r="AJ222" s="179">
        <f t="shared" ref="AJ222:AM222" si="193">SUM($L146, $L165, $L203,$L184)*AJ89</f>
        <v>671251080.67126966</v>
      </c>
      <c r="AK222" s="179">
        <f t="shared" si="193"/>
        <v>120234100.79095443</v>
      </c>
      <c r="AL222" s="179">
        <f t="shared" si="193"/>
        <v>111171473.82871914</v>
      </c>
      <c r="AM222" s="179">
        <f t="shared" si="193"/>
        <v>52765939.151578687</v>
      </c>
      <c r="AN222" s="194">
        <f t="shared" si="179"/>
        <v>4.9057111137811255E-4</v>
      </c>
    </row>
    <row r="223" spans="5:40">
      <c r="E223">
        <v>2029</v>
      </c>
      <c r="F223" s="320" t="s">
        <v>240</v>
      </c>
      <c r="G223" s="320" t="s">
        <v>240</v>
      </c>
      <c r="H223" s="179">
        <f>SUM($L147, $L166, $L204,$L185)*H90</f>
        <v>711130300.42079949</v>
      </c>
      <c r="I223" s="179">
        <f t="shared" si="170"/>
        <v>115004010.78289309</v>
      </c>
      <c r="J223" s="179">
        <f t="shared" si="170"/>
        <v>112232852.8486423</v>
      </c>
      <c r="K223" s="179">
        <f t="shared" si="170"/>
        <v>54745975.221953876</v>
      </c>
      <c r="L223" s="194">
        <f t="shared" si="174"/>
        <v>5.1823741516271264E-4</v>
      </c>
      <c r="M223" s="194"/>
      <c r="N223">
        <v>2029</v>
      </c>
      <c r="O223" t="s">
        <v>240</v>
      </c>
      <c r="P223" t="s">
        <v>240</v>
      </c>
      <c r="Q223" s="179">
        <f t="shared" si="171"/>
        <v>731113156.7005415</v>
      </c>
      <c r="R223" s="179">
        <f t="shared" si="171"/>
        <v>114780735.35962202</v>
      </c>
      <c r="S223" s="179">
        <f t="shared" si="171"/>
        <v>108195067.5017041</v>
      </c>
      <c r="T223" s="179">
        <f t="shared" si="171"/>
        <v>57703163.304328777</v>
      </c>
      <c r="U223" s="194">
        <f t="shared" si="175"/>
        <v>5.6891960897206373E-4</v>
      </c>
      <c r="W223">
        <v>2029</v>
      </c>
      <c r="X223" t="s">
        <v>240</v>
      </c>
      <c r="Y223" t="s">
        <v>240</v>
      </c>
      <c r="Z223" s="179">
        <f t="shared" ref="Z223:AC223" si="194">SUM($L147, $L166, $L204,$L185)*Z90</f>
        <v>750749215.14887989</v>
      </c>
      <c r="AA223" s="179">
        <f t="shared" si="194"/>
        <v>113921121.98019879</v>
      </c>
      <c r="AB223" s="179">
        <f t="shared" si="194"/>
        <v>103010707.0648718</v>
      </c>
      <c r="AC223" s="179">
        <f t="shared" si="194"/>
        <v>60837961.942101277</v>
      </c>
      <c r="AD223" s="194">
        <f t="shared" si="177"/>
        <v>6.0845618812815623E-4</v>
      </c>
      <c r="AG223">
        <v>2029</v>
      </c>
      <c r="AH223" t="s">
        <v>240</v>
      </c>
      <c r="AI223" t="s">
        <v>240</v>
      </c>
      <c r="AJ223" s="179">
        <f t="shared" ref="AJ223:AM223" si="195">SUM($L147, $L166, $L204,$L185)*AJ90</f>
        <v>713659657.60351765</v>
      </c>
      <c r="AK223" s="179">
        <f t="shared" si="195"/>
        <v>115010304.04231764</v>
      </c>
      <c r="AL223" s="179">
        <f t="shared" si="195"/>
        <v>111788296.06911118</v>
      </c>
      <c r="AM223" s="179">
        <f t="shared" si="195"/>
        <v>55107677.580667146</v>
      </c>
      <c r="AN223" s="194">
        <f t="shared" si="179"/>
        <v>4.9069216832787663E-4</v>
      </c>
    </row>
    <row r="224" spans="5:40">
      <c r="E224">
        <v>2030</v>
      </c>
      <c r="F224" s="320" t="s">
        <v>240</v>
      </c>
      <c r="G224" s="320" t="s">
        <v>240</v>
      </c>
      <c r="H224" s="179">
        <f t="shared" si="170"/>
        <v>754106271.57627273</v>
      </c>
      <c r="I224" s="179">
        <f t="shared" si="170"/>
        <v>110181029.88808104</v>
      </c>
      <c r="J224" s="179">
        <f t="shared" si="170"/>
        <v>113120153.56615396</v>
      </c>
      <c r="K224" s="179">
        <f t="shared" si="170"/>
        <v>57126282.927223042</v>
      </c>
      <c r="L224" s="194">
        <f t="shared" si="174"/>
        <v>5.211364143540327E-4</v>
      </c>
      <c r="M224" s="194"/>
      <c r="N224">
        <v>2030</v>
      </c>
      <c r="O224" t="s">
        <v>240</v>
      </c>
      <c r="P224" t="s">
        <v>240</v>
      </c>
      <c r="Q224" s="179">
        <f t="shared" si="171"/>
        <v>778801792.30062842</v>
      </c>
      <c r="R224" s="179">
        <f t="shared" si="171"/>
        <v>108589523.45254335</v>
      </c>
      <c r="S224" s="179">
        <f t="shared" si="171"/>
        <v>108171355.21754898</v>
      </c>
      <c r="T224" s="179">
        <f t="shared" si="171"/>
        <v>60462360.748087928</v>
      </c>
      <c r="U224" s="194">
        <f t="shared" si="175"/>
        <v>5.7645003944710893E-4</v>
      </c>
      <c r="W224">
        <v>2030</v>
      </c>
      <c r="X224" t="s">
        <v>240</v>
      </c>
      <c r="Y224" t="s">
        <v>240</v>
      </c>
      <c r="Z224" s="179">
        <f t="shared" ref="Z224:AC224" si="196">SUM($L148, $L167, $L205,$L186)*Z91</f>
        <v>803474130.48801303</v>
      </c>
      <c r="AA224" s="179">
        <f t="shared" si="196"/>
        <v>106030133.78347552</v>
      </c>
      <c r="AB224" s="179">
        <f t="shared" si="196"/>
        <v>101731427.54539452</v>
      </c>
      <c r="AC224" s="179">
        <f t="shared" si="196"/>
        <v>64034624.86568857</v>
      </c>
      <c r="AD224" s="194">
        <f t="shared" si="177"/>
        <v>6.200776093178861E-4</v>
      </c>
      <c r="AG224">
        <v>2030</v>
      </c>
      <c r="AH224" t="s">
        <v>240</v>
      </c>
      <c r="AI224" t="s">
        <v>240</v>
      </c>
      <c r="AJ224" s="179">
        <f t="shared" ref="AJ224:AM224" si="197">SUM($L148, $L167, $L205,$L186)*AJ91</f>
        <v>757211984.17515814</v>
      </c>
      <c r="AK224" s="179">
        <f t="shared" si="197"/>
        <v>110032562.7858797</v>
      </c>
      <c r="AL224" s="179">
        <f t="shared" si="197"/>
        <v>112578479.80468445</v>
      </c>
      <c r="AM224" s="179">
        <f t="shared" si="197"/>
        <v>57532800.497399449</v>
      </c>
      <c r="AN224" s="194">
        <f t="shared" si="179"/>
        <v>4.9158416490222001E-4</v>
      </c>
    </row>
    <row r="225" spans="5:40">
      <c r="E225">
        <v>2040</v>
      </c>
      <c r="F225" s="320" t="s">
        <v>240</v>
      </c>
      <c r="G225" s="320" t="s">
        <v>240</v>
      </c>
      <c r="H225" s="179">
        <f t="shared" si="170"/>
        <v>1233053233.4746237</v>
      </c>
      <c r="I225" s="179">
        <f t="shared" si="170"/>
        <v>75113647.588905185</v>
      </c>
      <c r="J225" s="179">
        <f t="shared" si="170"/>
        <v>134825076.13349649</v>
      </c>
      <c r="K225" s="179">
        <f t="shared" si="170"/>
        <v>83221530.942139059</v>
      </c>
      <c r="L225" s="194">
        <f t="shared" si="174"/>
        <v>5.3682738951120153E-4</v>
      </c>
      <c r="M225" s="194"/>
      <c r="N225">
        <v>2040</v>
      </c>
      <c r="O225" t="s">
        <v>240</v>
      </c>
      <c r="P225" t="s">
        <v>240</v>
      </c>
      <c r="Q225" s="179">
        <f t="shared" si="171"/>
        <v>1327831303.4815443</v>
      </c>
      <c r="R225" s="179">
        <f t="shared" si="171"/>
        <v>54014996.433237307</v>
      </c>
      <c r="S225" s="179">
        <f t="shared" si="171"/>
        <v>119770195.21285038</v>
      </c>
      <c r="T225" s="179">
        <f t="shared" si="171"/>
        <v>91056991.869338185</v>
      </c>
      <c r="U225" s="194">
        <f t="shared" si="175"/>
        <v>6.7008476320164873E-4</v>
      </c>
      <c r="W225">
        <v>2040</v>
      </c>
      <c r="X225" t="s">
        <v>240</v>
      </c>
      <c r="Y225" t="s">
        <v>240</v>
      </c>
      <c r="Z225" s="179">
        <f t="shared" ref="Z225:AC225" si="198">SUM($L149, $L168, $L206,$L187)*Z92</f>
        <v>1443257808.2687788</v>
      </c>
      <c r="AA225" s="179">
        <f t="shared" si="198"/>
        <v>20085018.543579195</v>
      </c>
      <c r="AB225" s="179">
        <f t="shared" si="198"/>
        <v>93917388.845719799</v>
      </c>
      <c r="AC225" s="179">
        <f t="shared" si="198"/>
        <v>100962246.19784865</v>
      </c>
      <c r="AD225" s="194">
        <f t="shared" si="177"/>
        <v>8.1197341301054429E-4</v>
      </c>
      <c r="AG225">
        <v>2040</v>
      </c>
      <c r="AH225" t="s">
        <v>240</v>
      </c>
      <c r="AI225" t="s">
        <v>240</v>
      </c>
      <c r="AJ225" s="179">
        <f t="shared" ref="AJ225:AM225" si="199">SUM($L149, $L168, $L206,$L187)*AJ92</f>
        <v>1243472294.8463767</v>
      </c>
      <c r="AK225" s="179">
        <f t="shared" si="199"/>
        <v>73103989.071938589</v>
      </c>
      <c r="AL225" s="179">
        <f t="shared" si="199"/>
        <v>133461042.85467359</v>
      </c>
      <c r="AM225" s="179">
        <f t="shared" si="199"/>
        <v>84066900.378489643</v>
      </c>
      <c r="AN225" s="194">
        <f t="shared" si="179"/>
        <v>4.6323592705708311E-4</v>
      </c>
    </row>
    <row r="226" spans="5:40">
      <c r="E226">
        <v>2050</v>
      </c>
      <c r="F226" s="320" t="s">
        <v>240</v>
      </c>
      <c r="G226" s="320" t="s">
        <v>240</v>
      </c>
      <c r="H226" s="179">
        <f t="shared" si="170"/>
        <v>1833687193.6046793</v>
      </c>
      <c r="I226" s="179">
        <f t="shared" si="170"/>
        <v>68093867.493048057</v>
      </c>
      <c r="J226" s="179">
        <f t="shared" si="170"/>
        <v>180219543.05342799</v>
      </c>
      <c r="K226" s="179">
        <f t="shared" si="170"/>
        <v>117192590.92707984</v>
      </c>
      <c r="L226" s="194">
        <f t="shared" si="174"/>
        <v>5.9270210160800865E-4</v>
      </c>
      <c r="M226" s="194"/>
      <c r="N226">
        <v>2050</v>
      </c>
      <c r="O226" t="s">
        <v>240</v>
      </c>
      <c r="P226" t="s">
        <v>240</v>
      </c>
      <c r="Q226" s="179">
        <f t="shared" si="171"/>
        <v>2037075838.1094518</v>
      </c>
      <c r="R226" s="179">
        <f t="shared" si="171"/>
        <v>28114086.677481174</v>
      </c>
      <c r="S226" s="179">
        <f t="shared" si="171"/>
        <v>158253453.22045276</v>
      </c>
      <c r="T226" s="179">
        <f t="shared" si="171"/>
        <v>131433667.51972495</v>
      </c>
      <c r="U226" s="194">
        <f t="shared" si="175"/>
        <v>7.9794155034783006E-4</v>
      </c>
      <c r="W226">
        <v>2050</v>
      </c>
      <c r="X226" t="s">
        <v>240</v>
      </c>
      <c r="Y226" t="s">
        <v>240</v>
      </c>
      <c r="Z226" s="179">
        <f t="shared" ref="Z226:AC226" si="200">SUM($L150, $L169, $L207,$L188)*Z93</f>
        <v>2273824822.0905747</v>
      </c>
      <c r="AA226" s="179">
        <f t="shared" si="200"/>
        <v>0</v>
      </c>
      <c r="AB226" s="179">
        <f t="shared" si="200"/>
        <v>105293575.34986024</v>
      </c>
      <c r="AC226" s="179">
        <f t="shared" si="200"/>
        <v>148736671.91268888</v>
      </c>
      <c r="AD226" s="194">
        <f t="shared" si="177"/>
        <v>1.1069486610998001E-3</v>
      </c>
      <c r="AG226">
        <v>2050</v>
      </c>
      <c r="AH226" t="s">
        <v>240</v>
      </c>
      <c r="AI226" t="s">
        <v>240</v>
      </c>
      <c r="AJ226" s="179">
        <f t="shared" ref="AJ226:AM226" si="201">SUM($L150, $L169, $L207,$L188)*AJ93</f>
        <v>1860170850.5146723</v>
      </c>
      <c r="AK226" s="179">
        <f t="shared" si="201"/>
        <v>63658989.904551297</v>
      </c>
      <c r="AL226" s="179">
        <f t="shared" si="201"/>
        <v>178007796.02945113</v>
      </c>
      <c r="AM226" s="179">
        <f t="shared" si="201"/>
        <v>119036230.03558573</v>
      </c>
      <c r="AN226" s="194">
        <f t="shared" si="179"/>
        <v>4.7845686517421432E-4</v>
      </c>
    </row>
    <row r="227" spans="5:40">
      <c r="E227">
        <v>2060</v>
      </c>
      <c r="F227" s="320" t="s">
        <v>240</v>
      </c>
      <c r="G227" s="320" t="s">
        <v>240</v>
      </c>
      <c r="H227" s="179">
        <f t="shared" si="170"/>
        <v>2613473838.2531576</v>
      </c>
      <c r="I227" s="179">
        <f t="shared" si="170"/>
        <v>79463148.145270422</v>
      </c>
      <c r="J227" s="179">
        <f t="shared" si="170"/>
        <v>247421518.94958752</v>
      </c>
      <c r="K227" s="179">
        <f t="shared" si="170"/>
        <v>162060205.30890611</v>
      </c>
      <c r="L227" s="194">
        <f t="shared" si="174"/>
        <v>6.83613052969424E-4</v>
      </c>
      <c r="M227" s="194"/>
      <c r="N227">
        <v>2060</v>
      </c>
      <c r="O227" t="s">
        <v>240</v>
      </c>
      <c r="P227" t="s">
        <v>240</v>
      </c>
      <c r="Q227" s="179">
        <f t="shared" si="171"/>
        <v>2978830428.1169052</v>
      </c>
      <c r="R227" s="179">
        <f t="shared" si="171"/>
        <v>24955742.865004819</v>
      </c>
      <c r="S227" s="179">
        <f t="shared" si="171"/>
        <v>224619102.2973552</v>
      </c>
      <c r="T227" s="179">
        <f t="shared" si="171"/>
        <v>185725152.94980469</v>
      </c>
      <c r="U227" s="194">
        <f t="shared" si="175"/>
        <v>9.557781916423796E-4</v>
      </c>
      <c r="W227">
        <v>2060</v>
      </c>
      <c r="X227" t="s">
        <v>240</v>
      </c>
      <c r="Y227" t="s">
        <v>240</v>
      </c>
      <c r="Z227" s="179">
        <f t="shared" ref="Z227:AC227" si="202">SUM($L151, $L170, $L208,$L189)*Z94</f>
        <v>3439620518.2349243</v>
      </c>
      <c r="AA227" s="179">
        <f t="shared" si="202"/>
        <v>0</v>
      </c>
      <c r="AB227" s="179">
        <f t="shared" si="202"/>
        <v>146341820.82981232</v>
      </c>
      <c r="AC227" s="179">
        <f t="shared" si="202"/>
        <v>216335988.21195158</v>
      </c>
      <c r="AD227" s="194">
        <f t="shared" si="177"/>
        <v>1.5236768206990823E-3</v>
      </c>
      <c r="AG227">
        <v>2060</v>
      </c>
      <c r="AH227" t="s">
        <v>240</v>
      </c>
      <c r="AI227" t="s">
        <v>240</v>
      </c>
      <c r="AJ227" s="179">
        <f t="shared" ref="AJ227:AM227" si="203">SUM($L151, $L170, $L208,$L189)*AJ94</f>
        <v>2668018947.2648687</v>
      </c>
      <c r="AK227" s="179">
        <f t="shared" si="203"/>
        <v>72678715.632327691</v>
      </c>
      <c r="AL227" s="179">
        <f t="shared" si="203"/>
        <v>245145299.08268064</v>
      </c>
      <c r="AM227" s="179">
        <f t="shared" si="203"/>
        <v>165590474.66214883</v>
      </c>
      <c r="AN227" s="194">
        <f t="shared" si="179"/>
        <v>5.1768122891228299E-4</v>
      </c>
    </row>
    <row r="228" spans="5:40">
      <c r="E228">
        <v>2070</v>
      </c>
      <c r="F228" s="320" t="s">
        <v>240</v>
      </c>
      <c r="G228" s="320" t="s">
        <v>240</v>
      </c>
      <c r="H228" s="179">
        <f t="shared" si="170"/>
        <v>3636813877.8132439</v>
      </c>
      <c r="I228" s="179">
        <f t="shared" si="170"/>
        <v>104071912.98741044</v>
      </c>
      <c r="J228" s="179">
        <f t="shared" si="170"/>
        <v>336807596.02044886</v>
      </c>
      <c r="K228" s="179">
        <f t="shared" si="170"/>
        <v>221297777.85008836</v>
      </c>
      <c r="L228" s="194">
        <f t="shared" si="174"/>
        <v>8.0494390573010823E-4</v>
      </c>
      <c r="M228" s="194"/>
      <c r="N228">
        <v>2070</v>
      </c>
      <c r="O228" t="s">
        <v>240</v>
      </c>
      <c r="P228" t="s">
        <v>240</v>
      </c>
      <c r="Q228" s="179">
        <f t="shared" si="171"/>
        <v>4264351996.1650009</v>
      </c>
      <c r="R228" s="179">
        <f t="shared" si="171"/>
        <v>36478620.910786845</v>
      </c>
      <c r="S228" s="179">
        <f t="shared" si="171"/>
        <v>319358571.9238953</v>
      </c>
      <c r="T228" s="179">
        <f t="shared" si="171"/>
        <v>260308881.81462258</v>
      </c>
      <c r="U228" s="194">
        <f t="shared" si="175"/>
        <v>1.1390951215183014E-3</v>
      </c>
      <c r="W228">
        <v>2070</v>
      </c>
      <c r="X228" t="s">
        <v>240</v>
      </c>
      <c r="Y228" t="s">
        <v>240</v>
      </c>
      <c r="Z228" s="179">
        <f t="shared" ref="Z228:AC228" si="204">SUM($L152, $L171, $L209,$L190)*Z95</f>
        <v>5136956610.1069908</v>
      </c>
      <c r="AA228" s="179">
        <f t="shared" si="204"/>
        <v>0</v>
      </c>
      <c r="AB228" s="179">
        <f t="shared" si="204"/>
        <v>217646506.41563949</v>
      </c>
      <c r="AC228" s="179">
        <f t="shared" si="204"/>
        <v>315248951.59924054</v>
      </c>
      <c r="AD228" s="194">
        <f t="shared" si="177"/>
        <v>2.0864631327286308E-3</v>
      </c>
      <c r="AG228">
        <v>2070</v>
      </c>
      <c r="AH228" t="s">
        <v>240</v>
      </c>
      <c r="AI228" t="s">
        <v>240</v>
      </c>
      <c r="AJ228" s="179">
        <f t="shared" ref="AJ228:AM228" si="205">SUM($L152, $L171, $L209,$L190)*AJ95</f>
        <v>3740725624.0121803</v>
      </c>
      <c r="AK228" s="179">
        <f t="shared" si="205"/>
        <v>95034155.843610972</v>
      </c>
      <c r="AL228" s="179">
        <f t="shared" si="205"/>
        <v>335751762.75014931</v>
      </c>
      <c r="AM228" s="179">
        <f t="shared" si="205"/>
        <v>227763118.18774635</v>
      </c>
      <c r="AN228" s="194">
        <f t="shared" si="179"/>
        <v>5.7056676173693546E-4</v>
      </c>
    </row>
    <row r="229" spans="5:40">
      <c r="E229">
        <v>2080</v>
      </c>
      <c r="F229" s="320" t="s">
        <v>240</v>
      </c>
      <c r="G229" s="320" t="s">
        <v>240</v>
      </c>
      <c r="H229" s="179">
        <f t="shared" si="170"/>
        <v>4962516209.0258713</v>
      </c>
      <c r="I229" s="179">
        <f t="shared" si="170"/>
        <v>140658059.14753214</v>
      </c>
      <c r="J229" s="179">
        <f t="shared" si="170"/>
        <v>450200507.40242994</v>
      </c>
      <c r="K229" s="179">
        <f t="shared" si="170"/>
        <v>298026973.89915341</v>
      </c>
      <c r="L229" s="194">
        <f t="shared" si="174"/>
        <v>9.6626453157954144E-4</v>
      </c>
      <c r="M229" s="194"/>
      <c r="N229">
        <v>2080</v>
      </c>
      <c r="O229" t="s">
        <v>240</v>
      </c>
      <c r="P229" t="s">
        <v>240</v>
      </c>
      <c r="Q229" s="179">
        <f t="shared" si="171"/>
        <v>6009624840.4775753</v>
      </c>
      <c r="R229" s="179">
        <f t="shared" si="171"/>
        <v>62178913.278370187</v>
      </c>
      <c r="S229" s="179">
        <f t="shared" si="171"/>
        <v>448019846.03619856</v>
      </c>
      <c r="T229" s="179">
        <f t="shared" si="171"/>
        <v>361560000.44003302</v>
      </c>
      <c r="U229" s="194">
        <f t="shared" si="175"/>
        <v>1.3606301034626129E-3</v>
      </c>
      <c r="W229">
        <v>2080</v>
      </c>
      <c r="X229" t="s">
        <v>240</v>
      </c>
      <c r="Y229" t="s">
        <v>240</v>
      </c>
      <c r="Z229" s="179">
        <f t="shared" ref="Z229:AC229" si="206">SUM($L153, $L172, $L210,$L191)*Z96</f>
        <v>7620472514.4848042</v>
      </c>
      <c r="AA229" s="179">
        <f t="shared" si="206"/>
        <v>0</v>
      </c>
      <c r="AB229" s="179">
        <f t="shared" si="206"/>
        <v>325072751.76198685</v>
      </c>
      <c r="AC229" s="179">
        <f t="shared" si="206"/>
        <v>459881932.92000687</v>
      </c>
      <c r="AD229" s="194">
        <f t="shared" si="177"/>
        <v>2.8518041564666269E-3</v>
      </c>
      <c r="AG229">
        <v>2080</v>
      </c>
      <c r="AH229" t="s">
        <v>240</v>
      </c>
      <c r="AI229" t="s">
        <v>240</v>
      </c>
      <c r="AJ229" s="179">
        <f t="shared" ref="AJ229:AM229" si="207">SUM($L153, $L172, $L210,$L191)*AJ96</f>
        <v>5152264420.4686031</v>
      </c>
      <c r="AK229" s="179">
        <f t="shared" si="207"/>
        <v>129701415.82161529</v>
      </c>
      <c r="AL229" s="179">
        <f t="shared" si="207"/>
        <v>452662866.68925595</v>
      </c>
      <c r="AM229" s="179">
        <f t="shared" si="207"/>
        <v>309555649.60707933</v>
      </c>
      <c r="AN229" s="194">
        <f t="shared" si="179"/>
        <v>6.4122235468476777E-4</v>
      </c>
    </row>
    <row r="230" spans="5:40">
      <c r="E230">
        <v>2090</v>
      </c>
      <c r="F230" s="320" t="s">
        <v>240</v>
      </c>
      <c r="G230" s="320" t="s">
        <v>240</v>
      </c>
      <c r="H230" s="179">
        <f t="shared" si="170"/>
        <v>6643532091.3536663</v>
      </c>
      <c r="I230" s="179">
        <f t="shared" si="170"/>
        <v>188653907.48406073</v>
      </c>
      <c r="J230" s="179">
        <f t="shared" si="170"/>
        <v>588547441.9346745</v>
      </c>
      <c r="K230" s="179">
        <f t="shared" si="170"/>
        <v>395042287.76248574</v>
      </c>
      <c r="L230" s="194">
        <f t="shared" si="174"/>
        <v>1.1690299371973725E-3</v>
      </c>
      <c r="M230" s="194"/>
      <c r="N230">
        <v>2090</v>
      </c>
      <c r="O230" t="s">
        <v>240</v>
      </c>
      <c r="P230" t="s">
        <v>240</v>
      </c>
      <c r="Q230" s="179">
        <f t="shared" ref="Q230:T231" si="208">SUM($L154, $L173, $L211,$L192)*Q97</f>
        <v>8371577802.6264553</v>
      </c>
      <c r="R230" s="179">
        <f t="shared" si="208"/>
        <v>101790645.60359026</v>
      </c>
      <c r="S230" s="179">
        <f t="shared" si="208"/>
        <v>617044338.63300061</v>
      </c>
      <c r="T230" s="179">
        <f t="shared" si="208"/>
        <v>498258563.40358949</v>
      </c>
      <c r="U230" s="194">
        <f t="shared" si="175"/>
        <v>1.6262388080252655E-3</v>
      </c>
      <c r="W230">
        <v>2090</v>
      </c>
      <c r="X230" t="s">
        <v>240</v>
      </c>
      <c r="Y230" t="s">
        <v>240</v>
      </c>
      <c r="Z230" s="179">
        <f t="shared" ref="Z230:AC230" si="209">SUM($L154, $L173, $L211,$L192)*Z97</f>
        <v>11277019551.049156</v>
      </c>
      <c r="AA230" s="179">
        <f t="shared" si="209"/>
        <v>0</v>
      </c>
      <c r="AB230" s="179">
        <f t="shared" si="209"/>
        <v>477950448.34516966</v>
      </c>
      <c r="AC230" s="179">
        <f t="shared" si="209"/>
        <v>672176933.18788481</v>
      </c>
      <c r="AD230" s="194">
        <f t="shared" si="177"/>
        <v>3.8871991814618742E-3</v>
      </c>
      <c r="AG230">
        <v>2090</v>
      </c>
      <c r="AH230" t="s">
        <v>240</v>
      </c>
      <c r="AI230" t="s">
        <v>240</v>
      </c>
      <c r="AJ230" s="179">
        <f t="shared" ref="AJ230:AM230" si="210">SUM($L154, $L173, $L211,$L192)*AJ97</f>
        <v>6990416793.4817495</v>
      </c>
      <c r="AK230" s="179">
        <f t="shared" si="210"/>
        <v>176208078.38639683</v>
      </c>
      <c r="AL230" s="179">
        <f t="shared" si="210"/>
        <v>598767583.34963512</v>
      </c>
      <c r="AM230" s="179">
        <f t="shared" si="210"/>
        <v>415791689.09426743</v>
      </c>
      <c r="AN230" s="194">
        <f t="shared" si="179"/>
        <v>7.285419248721605E-4</v>
      </c>
    </row>
    <row r="231" spans="5:40">
      <c r="E231">
        <v>2100</v>
      </c>
      <c r="F231" s="320" t="s">
        <v>240</v>
      </c>
      <c r="G231" s="320" t="s">
        <v>240</v>
      </c>
      <c r="H231" s="179">
        <f t="shared" si="170"/>
        <v>8753418131.6371765</v>
      </c>
      <c r="I231" s="179">
        <f t="shared" si="170"/>
        <v>246241081.89059889</v>
      </c>
      <c r="J231" s="179">
        <f t="shared" si="170"/>
        <v>752068123.49112964</v>
      </c>
      <c r="K231" s="179">
        <f t="shared" si="170"/>
        <v>516356146.85871303</v>
      </c>
      <c r="L231" s="194">
        <f t="shared" si="174"/>
        <v>1.425787611640447E-3</v>
      </c>
      <c r="M231" s="194"/>
      <c r="N231">
        <v>2100</v>
      </c>
      <c r="O231" t="s">
        <v>240</v>
      </c>
      <c r="P231" t="s">
        <v>240</v>
      </c>
      <c r="Q231" s="179">
        <f>SUM($L155, $L174, $L212,$L193)*Q98</f>
        <v>11596474903.69969</v>
      </c>
      <c r="R231" s="179">
        <f t="shared" si="208"/>
        <v>153737497.02470431</v>
      </c>
      <c r="S231" s="179">
        <f t="shared" si="208"/>
        <v>834917501.17139184</v>
      </c>
      <c r="T231" s="179">
        <f t="shared" si="208"/>
        <v>684305683.73648643</v>
      </c>
      <c r="U231" s="194">
        <f t="shared" si="175"/>
        <v>1.9457510021818347E-3</v>
      </c>
      <c r="W231">
        <v>2100</v>
      </c>
      <c r="X231" t="s">
        <v>240</v>
      </c>
      <c r="Y231" t="s">
        <v>240</v>
      </c>
      <c r="Z231" s="179">
        <f>SUM($L155, $L174, $L212,$L193)*Z98</f>
        <v>16650823381.224756</v>
      </c>
      <c r="AA231" s="179">
        <f t="shared" ref="AA231:AB231" si="211">SUM($L155, $L174, $L212,$L193)*AA98</f>
        <v>0</v>
      </c>
      <c r="AB231" s="179">
        <f t="shared" si="211"/>
        <v>694500624.47656143</v>
      </c>
      <c r="AC231" s="179">
        <f>SUM($L155, $L174, $L212,$L193)*AC98</f>
        <v>982798826.70536399</v>
      </c>
      <c r="AD231" s="194">
        <f t="shared" si="177"/>
        <v>5.2628294991984917E-3</v>
      </c>
      <c r="AG231">
        <v>2100</v>
      </c>
      <c r="AH231" t="s">
        <v>240</v>
      </c>
      <c r="AI231" t="s">
        <v>240</v>
      </c>
      <c r="AJ231" s="179">
        <f>SUM($L155, $L174, $L212,$L193)*AJ98</f>
        <v>9367247513.7791004</v>
      </c>
      <c r="AK231" s="179">
        <f t="shared" ref="AK231:AM231" si="212">SUM($L155, $L174, $L212,$L193)*AK98</f>
        <v>233962582.2918399</v>
      </c>
      <c r="AL231" s="179">
        <f t="shared" si="212"/>
        <v>777097180.0606854</v>
      </c>
      <c r="AM231" s="179">
        <f t="shared" si="212"/>
        <v>552664355.92872143</v>
      </c>
      <c r="AN231" s="194">
        <f t="shared" si="179"/>
        <v>8.3301872161682547E-4</v>
      </c>
    </row>
    <row r="232" spans="5:40">
      <c r="F232" s="581" t="s">
        <v>250</v>
      </c>
      <c r="G232" s="581"/>
      <c r="H232" s="581"/>
      <c r="I232" s="581"/>
      <c r="J232" s="581"/>
      <c r="K232" s="581"/>
      <c r="O232" s="581" t="s">
        <v>250</v>
      </c>
      <c r="P232" s="581"/>
      <c r="Q232" s="581"/>
      <c r="R232" s="581"/>
      <c r="S232" s="581"/>
      <c r="T232" s="581"/>
      <c r="X232" s="581" t="s">
        <v>250</v>
      </c>
      <c r="Y232" s="581"/>
      <c r="Z232" s="581"/>
      <c r="AA232" s="581"/>
      <c r="AB232" s="581"/>
      <c r="AC232" s="581"/>
      <c r="AH232" s="581" t="s">
        <v>250</v>
      </c>
      <c r="AI232" s="581"/>
      <c r="AJ232" s="581"/>
      <c r="AK232" s="581"/>
      <c r="AL232" s="581"/>
      <c r="AM232" s="581"/>
    </row>
    <row r="233" spans="5:40">
      <c r="E233">
        <v>2020</v>
      </c>
      <c r="H233" s="330">
        <f>H214+H119</f>
        <v>2742489681.5501046</v>
      </c>
      <c r="I233" s="330">
        <f t="shared" ref="H233:K250" si="213">I214+I119</f>
        <v>893912848.51330972</v>
      </c>
      <c r="J233" s="330">
        <f t="shared" si="213"/>
        <v>622569839.1415832</v>
      </c>
      <c r="K233" s="330">
        <f t="shared" si="213"/>
        <v>220919043.31908047</v>
      </c>
      <c r="L233" s="194">
        <f>SUM(H233:K233)/(SUM(F252:K252)*1000)</f>
        <v>3.4542038460960603E-3</v>
      </c>
      <c r="M233" s="194"/>
      <c r="N233">
        <v>2020</v>
      </c>
      <c r="O233" t="s">
        <v>240</v>
      </c>
      <c r="P233" t="s">
        <v>240</v>
      </c>
      <c r="Q233">
        <f t="shared" ref="Q233:T248" si="214">Q214+Q119</f>
        <v>2742489681.5501046</v>
      </c>
      <c r="R233">
        <f t="shared" si="214"/>
        <v>893912848.51330972</v>
      </c>
      <c r="S233">
        <f t="shared" si="214"/>
        <v>622569839.1415832</v>
      </c>
      <c r="T233">
        <f t="shared" si="214"/>
        <v>220919043.31908047</v>
      </c>
      <c r="U233" s="194">
        <f>SUM(Q233:T233)/(SUM(O252:T252)*1000)</f>
        <v>3.4542038460960603E-3</v>
      </c>
      <c r="W233">
        <v>2020</v>
      </c>
      <c r="X233" t="s">
        <v>240</v>
      </c>
      <c r="Y233" t="s">
        <v>240</v>
      </c>
      <c r="Z233">
        <f t="shared" ref="Z233:AC233" si="215">Z214+Z119</f>
        <v>2742489681.5501046</v>
      </c>
      <c r="AA233">
        <f t="shared" si="215"/>
        <v>893912848.51330972</v>
      </c>
      <c r="AB233">
        <f t="shared" si="215"/>
        <v>622569839.1415832</v>
      </c>
      <c r="AC233">
        <f t="shared" si="215"/>
        <v>220919043.31908047</v>
      </c>
      <c r="AD233" s="194">
        <f>SUM(Z233:AC233)/(SUM(X252:AC252)*1000)</f>
        <v>3.4542038460960603E-3</v>
      </c>
      <c r="AG233">
        <v>2020</v>
      </c>
      <c r="AH233" t="s">
        <v>240</v>
      </c>
      <c r="AI233" t="s">
        <v>240</v>
      </c>
      <c r="AJ233">
        <f t="shared" ref="AJ233:AM233" si="216">AJ214+AJ119</f>
        <v>2742489681.5501046</v>
      </c>
      <c r="AK233">
        <f t="shared" si="216"/>
        <v>893912848.51330972</v>
      </c>
      <c r="AL233">
        <f t="shared" si="216"/>
        <v>622569839.1415832</v>
      </c>
      <c r="AM233">
        <f t="shared" si="216"/>
        <v>220919043.31908047</v>
      </c>
      <c r="AN233" s="194">
        <f>SUM(AJ233:AM233)/(SUM(AH252:AM252)*1000)</f>
        <v>3.4542038460960603E-3</v>
      </c>
    </row>
    <row r="234" spans="5:40">
      <c r="E234">
        <v>2021</v>
      </c>
      <c r="H234" s="330">
        <f t="shared" si="213"/>
        <v>3022595793.6116357</v>
      </c>
      <c r="I234" s="330">
        <f t="shared" si="213"/>
        <v>849494850.33763433</v>
      </c>
      <c r="J234" s="330">
        <f t="shared" si="213"/>
        <v>616316616.85257101</v>
      </c>
      <c r="K234" s="330">
        <f t="shared" si="213"/>
        <v>231667935.96287227</v>
      </c>
      <c r="L234" s="194">
        <f t="shared" ref="L234:L250" si="217">SUM(H234:K234)/(SUM(F253:K253)*1000)</f>
        <v>3.456006352766829E-3</v>
      </c>
      <c r="M234" s="194"/>
      <c r="N234">
        <v>2021</v>
      </c>
      <c r="O234" t="s">
        <v>240</v>
      </c>
      <c r="P234" t="s">
        <v>240</v>
      </c>
      <c r="Q234">
        <f t="shared" si="214"/>
        <v>3018894462.0039501</v>
      </c>
      <c r="R234">
        <f t="shared" si="214"/>
        <v>857901127.69999492</v>
      </c>
      <c r="S234">
        <f t="shared" si="214"/>
        <v>617031638.31589115</v>
      </c>
      <c r="T234">
        <f t="shared" si="214"/>
        <v>233379544.36043215</v>
      </c>
      <c r="U234" s="194">
        <f t="shared" ref="U234:U250" si="218">SUM(Q234:T234)/(SUM(O253:T253)*1000)</f>
        <v>3.5004948445507013E-3</v>
      </c>
      <c r="W234">
        <v>2021</v>
      </c>
      <c r="X234" t="s">
        <v>240</v>
      </c>
      <c r="Y234" t="s">
        <v>240</v>
      </c>
      <c r="Z234">
        <f t="shared" ref="Z234:AC234" si="219">Z215+Z120</f>
        <v>3015220727.6440454</v>
      </c>
      <c r="AA234">
        <f t="shared" si="219"/>
        <v>865656231.23137999</v>
      </c>
      <c r="AB234">
        <f t="shared" si="219"/>
        <v>617649767.5938139</v>
      </c>
      <c r="AC234">
        <f t="shared" si="219"/>
        <v>234954088.6074121</v>
      </c>
      <c r="AD234" s="194">
        <f t="shared" ref="AD234:AD250" si="220">SUM(Z234:AC234)/(SUM(X253:AC253)*1000)</f>
        <v>3.5307251138564201E-3</v>
      </c>
      <c r="AG234">
        <v>2021</v>
      </c>
      <c r="AH234" t="s">
        <v>240</v>
      </c>
      <c r="AI234" t="s">
        <v>240</v>
      </c>
      <c r="AJ234">
        <f t="shared" ref="AJ234:AM234" si="221">AJ215+AJ120</f>
        <v>3022133147.8452191</v>
      </c>
      <c r="AK234">
        <f t="shared" si="221"/>
        <v>850583903.12814522</v>
      </c>
      <c r="AL234">
        <f t="shared" si="221"/>
        <v>616411951.77832747</v>
      </c>
      <c r="AM234">
        <f t="shared" si="221"/>
        <v>231889970.37168691</v>
      </c>
      <c r="AN234" s="194">
        <f t="shared" ref="AN234:AN250" si="222">SUM(AJ234:AM234)/(SUM(AH253:AM253)*1000)</f>
        <v>3.4253271128231707E-3</v>
      </c>
    </row>
    <row r="235" spans="5:40">
      <c r="E235">
        <v>2022</v>
      </c>
      <c r="H235" s="330">
        <f t="shared" si="213"/>
        <v>3304096695.3957758</v>
      </c>
      <c r="I235" s="330">
        <f t="shared" si="213"/>
        <v>808430608.33944118</v>
      </c>
      <c r="J235" s="330">
        <f t="shared" si="213"/>
        <v>611675219.13051367</v>
      </c>
      <c r="K235" s="330">
        <f t="shared" si="213"/>
        <v>242726006.4978973</v>
      </c>
      <c r="L235" s="194">
        <f t="shared" si="217"/>
        <v>3.4622850425521223E-3</v>
      </c>
      <c r="M235" s="194"/>
      <c r="N235">
        <v>2022</v>
      </c>
      <c r="O235" t="s">
        <v>240</v>
      </c>
      <c r="P235" t="s">
        <v>240</v>
      </c>
      <c r="Q235">
        <f t="shared" si="214"/>
        <v>3303304076.1913362</v>
      </c>
      <c r="R235">
        <f t="shared" si="214"/>
        <v>822312417.40048897</v>
      </c>
      <c r="S235">
        <f t="shared" si="214"/>
        <v>612009824.47839069</v>
      </c>
      <c r="T235">
        <f t="shared" si="214"/>
        <v>246229485.79958063</v>
      </c>
      <c r="U235" s="194">
        <f t="shared" si="218"/>
        <v>3.5499059717634903E-3</v>
      </c>
      <c r="W235">
        <v>2022</v>
      </c>
      <c r="X235" t="s">
        <v>240</v>
      </c>
      <c r="Y235" t="s">
        <v>240</v>
      </c>
      <c r="Z235">
        <f t="shared" ref="Z235:AC235" si="223">Z216+Z121</f>
        <v>3301563206.2092285</v>
      </c>
      <c r="AA235">
        <f t="shared" si="223"/>
        <v>835445933.13695002</v>
      </c>
      <c r="AB235">
        <f t="shared" si="223"/>
        <v>612150441.4345963</v>
      </c>
      <c r="AC235">
        <f t="shared" si="223"/>
        <v>249532984.25044149</v>
      </c>
      <c r="AD235" s="194">
        <f t="shared" si="220"/>
        <v>3.6108090716573927E-3</v>
      </c>
      <c r="AG235">
        <v>2022</v>
      </c>
      <c r="AH235" t="s">
        <v>240</v>
      </c>
      <c r="AI235" t="s">
        <v>240</v>
      </c>
      <c r="AJ235">
        <f t="shared" ref="AJ235:AM235" si="224">AJ216+AJ121</f>
        <v>3304057811.7937856</v>
      </c>
      <c r="AK235">
        <f t="shared" si="224"/>
        <v>810209054.90352452</v>
      </c>
      <c r="AL235">
        <f t="shared" si="224"/>
        <v>611729210.44336045</v>
      </c>
      <c r="AM235">
        <f t="shared" si="224"/>
        <v>243175553.72716963</v>
      </c>
      <c r="AN235" s="194">
        <f t="shared" si="222"/>
        <v>3.404481456231353E-3</v>
      </c>
    </row>
    <row r="236" spans="5:40">
      <c r="E236">
        <v>2023</v>
      </c>
      <c r="H236" s="330">
        <f t="shared" si="213"/>
        <v>3588083816.7038097</v>
      </c>
      <c r="I236" s="330">
        <f t="shared" si="213"/>
        <v>770331361.89988303</v>
      </c>
      <c r="J236" s="330">
        <f t="shared" si="213"/>
        <v>608513569.60756183</v>
      </c>
      <c r="K236" s="330">
        <f t="shared" si="213"/>
        <v>254117661.60797825</v>
      </c>
      <c r="L236" s="194">
        <f t="shared" si="217"/>
        <v>3.4728209669851111E-3</v>
      </c>
      <c r="M236" s="194"/>
      <c r="N236">
        <v>2023</v>
      </c>
      <c r="O236" t="s">
        <v>240</v>
      </c>
      <c r="P236" t="s">
        <v>240</v>
      </c>
      <c r="Q236">
        <f t="shared" si="214"/>
        <v>3596012723.0624914</v>
      </c>
      <c r="R236">
        <f t="shared" si="214"/>
        <v>787182052.01653588</v>
      </c>
      <c r="S236">
        <f t="shared" si="214"/>
        <v>607532902.59120214</v>
      </c>
      <c r="T236">
        <f t="shared" si="214"/>
        <v>259485888.90587083</v>
      </c>
      <c r="U236" s="194">
        <f t="shared" si="218"/>
        <v>3.6023509620052431E-3</v>
      </c>
      <c r="W236">
        <v>2023</v>
      </c>
      <c r="X236" t="s">
        <v>240</v>
      </c>
      <c r="Y236" t="s">
        <v>240</v>
      </c>
      <c r="Z236">
        <f t="shared" ref="Z236:AC236" si="225">Z217+Z122</f>
        <v>3601593235.8934116</v>
      </c>
      <c r="AA236">
        <f t="shared" si="225"/>
        <v>803442911.94584846</v>
      </c>
      <c r="AB236">
        <f t="shared" si="225"/>
        <v>606161427.73440075</v>
      </c>
      <c r="AC236">
        <f t="shared" si="225"/>
        <v>264662803.6378383</v>
      </c>
      <c r="AD236" s="194">
        <f t="shared" si="220"/>
        <v>3.6943622283723905E-3</v>
      </c>
      <c r="AG236">
        <v>2023</v>
      </c>
      <c r="AH236" t="s">
        <v>240</v>
      </c>
      <c r="AI236" t="s">
        <v>240</v>
      </c>
      <c r="AJ236">
        <f t="shared" ref="AJ236:AM236" si="226">AJ217+AJ122</f>
        <v>3589218571.7885661</v>
      </c>
      <c r="AK236">
        <f t="shared" si="226"/>
        <v>772471968.86551332</v>
      </c>
      <c r="AL236">
        <f t="shared" si="226"/>
        <v>608415149.08030272</v>
      </c>
      <c r="AM236">
        <f t="shared" si="226"/>
        <v>254799825.75166973</v>
      </c>
      <c r="AN236" s="194">
        <f t="shared" si="222"/>
        <v>3.3907561565899857E-3</v>
      </c>
    </row>
    <row r="237" spans="5:40">
      <c r="E237">
        <v>2024</v>
      </c>
      <c r="H237" s="330">
        <f t="shared" si="213"/>
        <v>3875556174.6607747</v>
      </c>
      <c r="I237" s="330">
        <f t="shared" si="213"/>
        <v>734861871.48113227</v>
      </c>
      <c r="J237" s="330">
        <f t="shared" si="213"/>
        <v>606719947.17745137</v>
      </c>
      <c r="K237" s="330">
        <f t="shared" si="213"/>
        <v>265866692.35852438</v>
      </c>
      <c r="L237" s="194">
        <f t="shared" si="217"/>
        <v>3.4874213323563027E-3</v>
      </c>
      <c r="M237" s="194"/>
      <c r="N237">
        <v>2024</v>
      </c>
      <c r="O237" t="s">
        <v>240</v>
      </c>
      <c r="P237" t="s">
        <v>240</v>
      </c>
      <c r="Q237">
        <f t="shared" si="214"/>
        <v>3897350366.1382279</v>
      </c>
      <c r="R237">
        <f t="shared" si="214"/>
        <v>752535060.11159742</v>
      </c>
      <c r="S237">
        <f t="shared" si="214"/>
        <v>603625482.60718274</v>
      </c>
      <c r="T237">
        <f t="shared" si="214"/>
        <v>273166936.80305004</v>
      </c>
      <c r="U237" s="194">
        <f t="shared" si="218"/>
        <v>3.6577708084896557E-3</v>
      </c>
      <c r="W237">
        <v>2024</v>
      </c>
      <c r="X237" t="s">
        <v>240</v>
      </c>
      <c r="Y237" t="s">
        <v>240</v>
      </c>
      <c r="Z237">
        <f t="shared" ref="Z237:AC237" si="227">Z218+Z123</f>
        <v>3915404133.8878508</v>
      </c>
      <c r="AA237">
        <f t="shared" si="227"/>
        <v>769807648.92328477</v>
      </c>
      <c r="AB237">
        <f t="shared" si="227"/>
        <v>599772468.67616141</v>
      </c>
      <c r="AC237">
        <f t="shared" si="227"/>
        <v>280351987.67838955</v>
      </c>
      <c r="AD237" s="194">
        <f t="shared" si="220"/>
        <v>3.7813146100887526E-3</v>
      </c>
      <c r="AG237">
        <v>2024</v>
      </c>
      <c r="AH237" t="s">
        <v>240</v>
      </c>
      <c r="AI237" t="s">
        <v>240</v>
      </c>
      <c r="AJ237">
        <f t="shared" ref="AJ237:AM237" si="228">AJ218+AJ123</f>
        <v>3878506053.24119</v>
      </c>
      <c r="AK237">
        <f t="shared" si="228"/>
        <v>737095643.82151687</v>
      </c>
      <c r="AL237">
        <f t="shared" si="228"/>
        <v>606378547.460132</v>
      </c>
      <c r="AM237">
        <f t="shared" si="228"/>
        <v>266786413.92930493</v>
      </c>
      <c r="AN237" s="194">
        <f t="shared" si="222"/>
        <v>3.3834168991604928E-3</v>
      </c>
    </row>
    <row r="238" spans="5:40">
      <c r="E238">
        <v>2025</v>
      </c>
      <c r="H238" s="330">
        <f t="shared" si="213"/>
        <v>4167438193.2152543</v>
      </c>
      <c r="I238" s="330">
        <f t="shared" si="213"/>
        <v>701731641.59111083</v>
      </c>
      <c r="J238" s="330">
        <f t="shared" si="213"/>
        <v>606199730.21445227</v>
      </c>
      <c r="K238" s="330">
        <f t="shared" si="213"/>
        <v>277996494.9054383</v>
      </c>
      <c r="L238" s="194">
        <f t="shared" si="217"/>
        <v>3.5059176761191519E-3</v>
      </c>
      <c r="M238" s="194"/>
      <c r="N238">
        <v>2025</v>
      </c>
      <c r="O238" t="s">
        <v>240</v>
      </c>
      <c r="P238" t="s">
        <v>240</v>
      </c>
      <c r="Q238">
        <f t="shared" si="214"/>
        <v>4207680907.1779504</v>
      </c>
      <c r="R238">
        <f t="shared" si="214"/>
        <v>718387387.55188751</v>
      </c>
      <c r="S238">
        <f t="shared" si="214"/>
        <v>600308801.64663482</v>
      </c>
      <c r="T238">
        <f t="shared" si="214"/>
        <v>287291934.49500525</v>
      </c>
      <c r="U238" s="194">
        <f t="shared" si="218"/>
        <v>3.7161290250423617E-3</v>
      </c>
      <c r="W238">
        <v>2025</v>
      </c>
      <c r="X238" t="s">
        <v>240</v>
      </c>
      <c r="Y238" t="s">
        <v>240</v>
      </c>
      <c r="Z238">
        <f t="shared" ref="Z238:AC238" si="229">Z219+Z124</f>
        <v>4243112055.2551317</v>
      </c>
      <c r="AA238">
        <f t="shared" si="229"/>
        <v>734697762.21368158</v>
      </c>
      <c r="AB238">
        <f t="shared" si="229"/>
        <v>593072368.9660542</v>
      </c>
      <c r="AC238">
        <f t="shared" si="229"/>
        <v>296610494.57053268</v>
      </c>
      <c r="AD238" s="194">
        <f t="shared" si="220"/>
        <v>3.8716178792628664E-3</v>
      </c>
      <c r="AG238">
        <v>2025</v>
      </c>
      <c r="AH238" t="s">
        <v>240</v>
      </c>
      <c r="AI238" t="s">
        <v>240</v>
      </c>
      <c r="AJ238">
        <f t="shared" ref="AJ238:AM238" si="230">AJ219+AJ124</f>
        <v>4172758621.4232893</v>
      </c>
      <c r="AK238">
        <f t="shared" si="230"/>
        <v>703836593.10137224</v>
      </c>
      <c r="AL238">
        <f t="shared" si="230"/>
        <v>605541252.26272917</v>
      </c>
      <c r="AM238">
        <f t="shared" si="230"/>
        <v>279158713.52437019</v>
      </c>
      <c r="AN238" s="194">
        <f t="shared" si="222"/>
        <v>3.3818661242682106E-3</v>
      </c>
    </row>
    <row r="239" spans="5:40">
      <c r="E239">
        <v>2026</v>
      </c>
      <c r="H239" s="330">
        <f t="shared" si="213"/>
        <v>4464594305.1826077</v>
      </c>
      <c r="I239" s="330">
        <f t="shared" si="213"/>
        <v>670687785.64078891</v>
      </c>
      <c r="J239" s="330">
        <f t="shared" si="213"/>
        <v>606872753.249897</v>
      </c>
      <c r="K239" s="330">
        <f t="shared" si="213"/>
        <v>290530255.74574637</v>
      </c>
      <c r="L239" s="194">
        <f t="shared" si="217"/>
        <v>3.5281638996852768E-3</v>
      </c>
      <c r="M239" s="194"/>
      <c r="N239">
        <v>2026</v>
      </c>
      <c r="O239" t="s">
        <v>240</v>
      </c>
      <c r="P239" t="s">
        <v>240</v>
      </c>
      <c r="Q239">
        <f t="shared" si="214"/>
        <v>4527400533.8749638</v>
      </c>
      <c r="R239">
        <f t="shared" si="214"/>
        <v>684747043.37748718</v>
      </c>
      <c r="S239">
        <f t="shared" si="214"/>
        <v>597601215.836146</v>
      </c>
      <c r="T239">
        <f t="shared" si="214"/>
        <v>301881275.84610265</v>
      </c>
      <c r="U239" s="194">
        <f t="shared" si="218"/>
        <v>3.7774078932170186E-3</v>
      </c>
      <c r="W239">
        <v>2026</v>
      </c>
      <c r="X239" t="s">
        <v>240</v>
      </c>
      <c r="Y239" t="s">
        <v>240</v>
      </c>
      <c r="Z239">
        <f t="shared" ref="Z239:AC239" si="231">Z220+Z125</f>
        <v>4584861013.7153492</v>
      </c>
      <c r="AA239">
        <f t="shared" si="231"/>
        <v>698265937.19256771</v>
      </c>
      <c r="AB239">
        <f t="shared" si="231"/>
        <v>586148035.18364787</v>
      </c>
      <c r="AC239">
        <f t="shared" si="231"/>
        <v>313449923.74805856</v>
      </c>
      <c r="AD239" s="194">
        <f t="shared" si="220"/>
        <v>3.9652436577727081E-3</v>
      </c>
      <c r="AG239">
        <v>2026</v>
      </c>
      <c r="AH239" t="s">
        <v>240</v>
      </c>
      <c r="AI239" t="s">
        <v>240</v>
      </c>
      <c r="AJ239">
        <f t="shared" ref="AJ239:AM239" si="232">AJ220+AJ125</f>
        <v>4472772485.3839865</v>
      </c>
      <c r="AK239">
        <f t="shared" si="232"/>
        <v>672480002.69809234</v>
      </c>
      <c r="AL239">
        <f t="shared" si="232"/>
        <v>605836367.22083747</v>
      </c>
      <c r="AM239">
        <f t="shared" si="232"/>
        <v>291940036.6521467</v>
      </c>
      <c r="AN239" s="194">
        <f t="shared" si="222"/>
        <v>3.3856138888708766E-3</v>
      </c>
    </row>
    <row r="240" spans="5:40">
      <c r="E240">
        <v>2027</v>
      </c>
      <c r="H240" s="330">
        <f t="shared" si="213"/>
        <v>4767841015.0298624</v>
      </c>
      <c r="I240" s="330">
        <f t="shared" si="213"/>
        <v>641509189.27821803</v>
      </c>
      <c r="J240" s="330">
        <f t="shared" si="213"/>
        <v>608671148.05379915</v>
      </c>
      <c r="K240" s="330">
        <f t="shared" si="213"/>
        <v>303491109.056072</v>
      </c>
      <c r="L240" s="194">
        <f t="shared" si="217"/>
        <v>3.5540343169740739E-3</v>
      </c>
      <c r="M240" s="194"/>
      <c r="N240">
        <v>2027</v>
      </c>
      <c r="O240" t="s">
        <v>240</v>
      </c>
      <c r="P240" t="s">
        <v>240</v>
      </c>
      <c r="Q240">
        <f t="shared" si="214"/>
        <v>4856936261.7015162</v>
      </c>
      <c r="R240">
        <f t="shared" si="214"/>
        <v>651615159.17189753</v>
      </c>
      <c r="S240">
        <f t="shared" si="214"/>
        <v>595518657.73448658</v>
      </c>
      <c r="T240">
        <f t="shared" si="214"/>
        <v>316956417.70524782</v>
      </c>
      <c r="U240" s="194">
        <f t="shared" si="218"/>
        <v>3.8416054782494497E-3</v>
      </c>
      <c r="W240">
        <v>2027</v>
      </c>
      <c r="X240" t="s">
        <v>240</v>
      </c>
      <c r="Y240" t="s">
        <v>240</v>
      </c>
      <c r="Z240">
        <f t="shared" ref="Z240:AC240" si="233">Z221+Z126</f>
        <v>4940827248.3687906</v>
      </c>
      <c r="AA240">
        <f t="shared" si="233"/>
        <v>660658190.57216549</v>
      </c>
      <c r="AB240">
        <f t="shared" si="233"/>
        <v>579083674.77770495</v>
      </c>
      <c r="AC240">
        <f t="shared" si="233"/>
        <v>330883614.9567138</v>
      </c>
      <c r="AD240" s="194">
        <f t="shared" si="220"/>
        <v>4.0621820086248024E-3</v>
      </c>
      <c r="AG240">
        <v>2027</v>
      </c>
      <c r="AH240" t="s">
        <v>240</v>
      </c>
      <c r="AI240" t="s">
        <v>240</v>
      </c>
      <c r="AJ240">
        <f t="shared" ref="AJ240:AM240" si="234">AJ221+AJ126</f>
        <v>4779310255.5244427</v>
      </c>
      <c r="AK240">
        <f t="shared" si="234"/>
        <v>642835683.65002751</v>
      </c>
      <c r="AL240">
        <f t="shared" si="234"/>
        <v>607206743.22410858</v>
      </c>
      <c r="AM240">
        <f t="shared" si="234"/>
        <v>305153742.31452739</v>
      </c>
      <c r="AN240" s="194">
        <f t="shared" si="222"/>
        <v>3.394256094609382E-3</v>
      </c>
    </row>
    <row r="241" spans="5:40">
      <c r="E241">
        <v>2028</v>
      </c>
      <c r="H241" s="330">
        <f t="shared" si="213"/>
        <v>5077956944.7629213</v>
      </c>
      <c r="I241" s="330">
        <f t="shared" si="213"/>
        <v>614001707.78014266</v>
      </c>
      <c r="J241" s="330">
        <f t="shared" si="213"/>
        <v>611537570.54181719</v>
      </c>
      <c r="K241" s="330">
        <f t="shared" si="213"/>
        <v>316902271.95827419</v>
      </c>
      <c r="L241" s="194">
        <f t="shared" si="217"/>
        <v>3.5834218040270197E-3</v>
      </c>
      <c r="M241" s="194"/>
      <c r="N241">
        <v>2028</v>
      </c>
      <c r="O241" t="s">
        <v>240</v>
      </c>
      <c r="P241" t="s">
        <v>240</v>
      </c>
      <c r="Q241">
        <f t="shared" si="214"/>
        <v>5196744680.918169</v>
      </c>
      <c r="R241">
        <f t="shared" si="214"/>
        <v>618986957.24251437</v>
      </c>
      <c r="S241">
        <f t="shared" si="214"/>
        <v>594075057.18972647</v>
      </c>
      <c r="T241">
        <f t="shared" si="214"/>
        <v>332539861.16230369</v>
      </c>
      <c r="U241" s="194">
        <f t="shared" si="218"/>
        <v>3.908733249338177E-3</v>
      </c>
      <c r="W241">
        <v>2028</v>
      </c>
      <c r="X241" t="s">
        <v>240</v>
      </c>
      <c r="Y241" t="s">
        <v>240</v>
      </c>
      <c r="Z241">
        <f t="shared" ref="Z241:AC241" si="235">Z222+Z127</f>
        <v>5311222930.8871317</v>
      </c>
      <c r="AA241">
        <f t="shared" si="235"/>
        <v>622012470.49008489</v>
      </c>
      <c r="AB241">
        <f t="shared" si="235"/>
        <v>571960155.54382658</v>
      </c>
      <c r="AC241">
        <f t="shared" si="235"/>
        <v>348926724.22943133</v>
      </c>
      <c r="AD241" s="194">
        <f t="shared" si="220"/>
        <v>4.162440046446815E-3</v>
      </c>
      <c r="AG241">
        <v>2028</v>
      </c>
      <c r="AH241" t="s">
        <v>240</v>
      </c>
      <c r="AI241" t="s">
        <v>240</v>
      </c>
      <c r="AJ241">
        <f t="shared" ref="AJ241:AM241" si="236">AJ222+AJ127</f>
        <v>5093108242.942872</v>
      </c>
      <c r="AK241">
        <f t="shared" si="236"/>
        <v>614734673.20848656</v>
      </c>
      <c r="AL241">
        <f t="shared" si="236"/>
        <v>609603713.51741946</v>
      </c>
      <c r="AM241">
        <f t="shared" si="236"/>
        <v>318823351.04183942</v>
      </c>
      <c r="AN241" s="194">
        <f t="shared" si="222"/>
        <v>3.4074579759566987E-3</v>
      </c>
    </row>
    <row r="242" spans="5:40">
      <c r="E242">
        <v>2029</v>
      </c>
      <c r="H242" s="330">
        <f t="shared" si="213"/>
        <v>5395691268.3963957</v>
      </c>
      <c r="I242" s="330">
        <f t="shared" si="213"/>
        <v>587994192.33986402</v>
      </c>
      <c r="J242" s="330">
        <f t="shared" si="213"/>
        <v>615423737.0334475</v>
      </c>
      <c r="K242" s="330">
        <f t="shared" si="213"/>
        <v>330787162.26724517</v>
      </c>
      <c r="L242" s="194">
        <f t="shared" si="217"/>
        <v>3.6162360912829978E-3</v>
      </c>
      <c r="M242" s="194"/>
      <c r="N242">
        <v>2029</v>
      </c>
      <c r="O242" t="s">
        <v>240</v>
      </c>
      <c r="P242" t="s">
        <v>240</v>
      </c>
      <c r="Q242">
        <f t="shared" si="214"/>
        <v>5547310912.6197157</v>
      </c>
      <c r="R242">
        <f t="shared" si="214"/>
        <v>586852626.48244834</v>
      </c>
      <c r="S242">
        <f t="shared" si="214"/>
        <v>593282724.98145223</v>
      </c>
      <c r="T242">
        <f t="shared" si="214"/>
        <v>348655139.77780086</v>
      </c>
      <c r="U242" s="194">
        <f t="shared" si="218"/>
        <v>3.9788141780818034E-3</v>
      </c>
      <c r="W242">
        <v>2029</v>
      </c>
      <c r="X242" t="s">
        <v>240</v>
      </c>
      <c r="Y242" t="s">
        <v>240</v>
      </c>
      <c r="Z242">
        <f t="shared" ref="Z242:AC242" si="237">Z223+Z128</f>
        <v>5696299233.1184015</v>
      </c>
      <c r="AA242">
        <f t="shared" si="237"/>
        <v>582457582.5938251</v>
      </c>
      <c r="AB242">
        <f t="shared" si="237"/>
        <v>564854520.64393508</v>
      </c>
      <c r="AC242">
        <f t="shared" si="237"/>
        <v>367596279.13030905</v>
      </c>
      <c r="AD242" s="194">
        <f t="shared" si="220"/>
        <v>4.2660406578225426E-3</v>
      </c>
      <c r="AG242">
        <v>2029</v>
      </c>
      <c r="AH242" t="s">
        <v>240</v>
      </c>
      <c r="AI242" t="s">
        <v>240</v>
      </c>
      <c r="AJ242">
        <f t="shared" ref="AJ242:AM242" si="238">AJ223+AJ128</f>
        <v>5414882730.8574562</v>
      </c>
      <c r="AK242">
        <f t="shared" si="238"/>
        <v>588026368.60891187</v>
      </c>
      <c r="AL242">
        <f t="shared" si="238"/>
        <v>612986030.17989755</v>
      </c>
      <c r="AM242">
        <f t="shared" si="238"/>
        <v>332972647.06935257</v>
      </c>
      <c r="AN242" s="194">
        <f t="shared" si="222"/>
        <v>3.4249414085947383E-3</v>
      </c>
    </row>
    <row r="243" spans="5:40">
      <c r="E243">
        <v>2030</v>
      </c>
      <c r="H243" s="330">
        <f t="shared" si="213"/>
        <v>5721770852.0918579</v>
      </c>
      <c r="I243" s="330">
        <f t="shared" si="213"/>
        <v>563335184.91385996</v>
      </c>
      <c r="J243" s="330">
        <f t="shared" si="213"/>
        <v>620289210.10646927</v>
      </c>
      <c r="K243" s="330">
        <f t="shared" si="213"/>
        <v>345169502.30149657</v>
      </c>
      <c r="L243" s="194">
        <f t="shared" si="217"/>
        <v>3.6524022145574308E-3</v>
      </c>
      <c r="M243" s="194"/>
      <c r="N243">
        <v>2030</v>
      </c>
      <c r="O243" t="s">
        <v>240</v>
      </c>
      <c r="P243" t="s">
        <v>240</v>
      </c>
      <c r="Q243">
        <f t="shared" si="214"/>
        <v>5909147772.2737989</v>
      </c>
      <c r="R243">
        <f t="shared" si="214"/>
        <v>555198107.47806263</v>
      </c>
      <c r="S243">
        <f t="shared" si="214"/>
        <v>593152699.75124598</v>
      </c>
      <c r="T243">
        <f t="shared" si="214"/>
        <v>365326814.52385813</v>
      </c>
      <c r="U243" s="194">
        <f t="shared" si="218"/>
        <v>4.0518812174664435E-3</v>
      </c>
      <c r="W243">
        <v>2030</v>
      </c>
      <c r="X243" t="s">
        <v>240</v>
      </c>
      <c r="Y243" t="s">
        <v>240</v>
      </c>
      <c r="Z243">
        <f t="shared" ref="Z243:AC243" si="239">Z224+Z129</f>
        <v>6096348795.2787533</v>
      </c>
      <c r="AA243">
        <f t="shared" si="239"/>
        <v>542112422.45628095</v>
      </c>
      <c r="AB243">
        <f t="shared" si="239"/>
        <v>557839649.66271877</v>
      </c>
      <c r="AC243">
        <f t="shared" si="239"/>
        <v>386911216.03537518</v>
      </c>
      <c r="AD243" s="194">
        <f t="shared" si="220"/>
        <v>4.3730213200276055E-3</v>
      </c>
      <c r="AG243">
        <v>2030</v>
      </c>
      <c r="AH243" t="s">
        <v>240</v>
      </c>
      <c r="AI243" t="s">
        <v>240</v>
      </c>
      <c r="AJ243">
        <f t="shared" ref="AJ243:AM243" si="240">AJ224+AJ129</f>
        <v>5745335403.260664</v>
      </c>
      <c r="AK243">
        <f t="shared" si="240"/>
        <v>562576100.13713241</v>
      </c>
      <c r="AL243">
        <f t="shared" si="240"/>
        <v>617318966.70558095</v>
      </c>
      <c r="AM243">
        <f t="shared" si="240"/>
        <v>347625770.41810703</v>
      </c>
      <c r="AN243" s="194">
        <f t="shared" si="222"/>
        <v>3.446475035362973E-3</v>
      </c>
    </row>
    <row r="244" spans="5:40">
      <c r="E244">
        <v>2040</v>
      </c>
      <c r="H244" s="330">
        <f t="shared" si="213"/>
        <v>9355774267.2335358</v>
      </c>
      <c r="I244" s="330">
        <f t="shared" si="213"/>
        <v>384042158.59147453</v>
      </c>
      <c r="J244" s="330">
        <f t="shared" si="213"/>
        <v>739307164.46988404</v>
      </c>
      <c r="K244" s="330">
        <f t="shared" si="213"/>
        <v>502842701.18996012</v>
      </c>
      <c r="L244" s="194">
        <f t="shared" si="217"/>
        <v>3.8627756482127644E-3</v>
      </c>
      <c r="M244" s="194"/>
      <c r="N244">
        <v>2040</v>
      </c>
      <c r="O244" t="s">
        <v>240</v>
      </c>
      <c r="P244" t="s">
        <v>240</v>
      </c>
      <c r="Q244">
        <f t="shared" si="214"/>
        <v>10074901555.817915</v>
      </c>
      <c r="R244">
        <f t="shared" si="214"/>
        <v>276168665.64732367</v>
      </c>
      <c r="S244">
        <f t="shared" si="214"/>
        <v>656754410.60491204</v>
      </c>
      <c r="T244">
        <f t="shared" si="214"/>
        <v>550186270.73376656</v>
      </c>
      <c r="U244" s="194">
        <f t="shared" si="218"/>
        <v>4.8627964627517978E-3</v>
      </c>
      <c r="W244">
        <v>2040</v>
      </c>
      <c r="X244" t="s">
        <v>240</v>
      </c>
      <c r="Y244" t="s">
        <v>240</v>
      </c>
      <c r="Z244">
        <f t="shared" ref="Z244:AC244" si="241">Z225+Z130</f>
        <v>10950698556.245911</v>
      </c>
      <c r="AA244">
        <f t="shared" si="241"/>
        <v>102690977.26476654</v>
      </c>
      <c r="AB244">
        <f t="shared" si="241"/>
        <v>514991724.33765233</v>
      </c>
      <c r="AC244">
        <f t="shared" si="241"/>
        <v>610035984.93795145</v>
      </c>
      <c r="AD244" s="194">
        <f t="shared" si="220"/>
        <v>5.9633440272085763E-3</v>
      </c>
      <c r="AG244">
        <v>2040</v>
      </c>
      <c r="AH244" t="s">
        <v>240</v>
      </c>
      <c r="AI244" t="s">
        <v>240</v>
      </c>
      <c r="AJ244">
        <f t="shared" ref="AJ244:AM244" si="242">AJ225+AJ130</f>
        <v>9434828750.5471954</v>
      </c>
      <c r="AK244">
        <f t="shared" si="242"/>
        <v>373767147.06345505</v>
      </c>
      <c r="AL244">
        <f t="shared" si="242"/>
        <v>731827550.10934317</v>
      </c>
      <c r="AM244">
        <f t="shared" si="242"/>
        <v>507950608.31526303</v>
      </c>
      <c r="AN244" s="194">
        <f t="shared" si="222"/>
        <v>3.3361512912483244E-3</v>
      </c>
    </row>
    <row r="245" spans="5:40">
      <c r="E245">
        <v>2050</v>
      </c>
      <c r="H245" s="330">
        <f t="shared" si="213"/>
        <v>13913076089.780516</v>
      </c>
      <c r="I245" s="330">
        <f t="shared" si="213"/>
        <v>348151324.0043304</v>
      </c>
      <c r="J245" s="330">
        <f t="shared" si="213"/>
        <v>988225656.36798429</v>
      </c>
      <c r="K245" s="330">
        <f t="shared" si="213"/>
        <v>708103279.4529382</v>
      </c>
      <c r="L245" s="194">
        <f t="shared" si="217"/>
        <v>4.3007031879266503E-3</v>
      </c>
      <c r="M245" s="194"/>
      <c r="N245">
        <v>2050</v>
      </c>
      <c r="O245" t="s">
        <v>240</v>
      </c>
      <c r="P245" t="s">
        <v>240</v>
      </c>
      <c r="Q245">
        <f t="shared" si="214"/>
        <v>15456284602.476427</v>
      </c>
      <c r="R245">
        <f t="shared" si="214"/>
        <v>143742114.52943045</v>
      </c>
      <c r="S245">
        <f t="shared" si="214"/>
        <v>867775603.19814217</v>
      </c>
      <c r="T245">
        <f t="shared" si="214"/>
        <v>794150980.57823455</v>
      </c>
      <c r="U245" s="194">
        <f t="shared" si="218"/>
        <v>5.849150300658211E-3</v>
      </c>
      <c r="W245">
        <v>2050</v>
      </c>
      <c r="X245" t="s">
        <v>240</v>
      </c>
      <c r="Y245" t="s">
        <v>240</v>
      </c>
      <c r="Z245">
        <f t="shared" ref="Z245:AC245" si="243">Z226+Z131</f>
        <v>17252614227.177792</v>
      </c>
      <c r="AA245">
        <f t="shared" si="243"/>
        <v>0</v>
      </c>
      <c r="AB245">
        <f t="shared" si="243"/>
        <v>577372524.9131254</v>
      </c>
      <c r="AC245">
        <f t="shared" si="243"/>
        <v>898699519.5099324</v>
      </c>
      <c r="AD245" s="194">
        <f t="shared" si="220"/>
        <v>8.2012985807022529E-3</v>
      </c>
      <c r="AG245">
        <v>2050</v>
      </c>
      <c r="AH245" t="s">
        <v>240</v>
      </c>
      <c r="AI245" t="s">
        <v>240</v>
      </c>
      <c r="AJ245">
        <f t="shared" ref="AJ245:AM245" si="244">AJ226+AJ131</f>
        <v>14114020468.412529</v>
      </c>
      <c r="AK245">
        <f t="shared" si="244"/>
        <v>325476616.85261935</v>
      </c>
      <c r="AL245">
        <f t="shared" si="244"/>
        <v>976097642.29438567</v>
      </c>
      <c r="AM245">
        <f t="shared" si="244"/>
        <v>719242950.38719571</v>
      </c>
      <c r="AN245" s="194">
        <f t="shared" si="222"/>
        <v>3.4760298511261277E-3</v>
      </c>
    </row>
    <row r="246" spans="5:40">
      <c r="E246">
        <v>2060</v>
      </c>
      <c r="H246" s="330">
        <f t="shared" si="213"/>
        <v>19829696415.552334</v>
      </c>
      <c r="I246" s="330">
        <f t="shared" si="213"/>
        <v>406280348.8016389</v>
      </c>
      <c r="J246" s="330">
        <f t="shared" si="213"/>
        <v>1356724630.5304012</v>
      </c>
      <c r="K246" s="330">
        <f t="shared" si="213"/>
        <v>979203223.85786784</v>
      </c>
      <c r="L246" s="194">
        <f t="shared" si="217"/>
        <v>4.9736834601818488E-3</v>
      </c>
      <c r="M246" s="194"/>
      <c r="N246">
        <v>2060</v>
      </c>
      <c r="O246" t="s">
        <v>240</v>
      </c>
      <c r="P246" t="s">
        <v>240</v>
      </c>
      <c r="Q246">
        <f t="shared" si="214"/>
        <v>22601834462.000912</v>
      </c>
      <c r="R246">
        <f t="shared" si="214"/>
        <v>127594087.98229997</v>
      </c>
      <c r="S246">
        <f t="shared" si="214"/>
        <v>1231688617.3370478</v>
      </c>
      <c r="T246">
        <f t="shared" si="214"/>
        <v>1122192016.0676856</v>
      </c>
      <c r="U246" s="194">
        <f t="shared" si="218"/>
        <v>7.0220164137621286E-3</v>
      </c>
      <c r="W246">
        <v>2060</v>
      </c>
      <c r="X246" t="s">
        <v>240</v>
      </c>
      <c r="Y246" t="s">
        <v>240</v>
      </c>
      <c r="Z246">
        <f t="shared" ref="Z246:AC246" si="245">Z227+Z132</f>
        <v>26098072864.923931</v>
      </c>
      <c r="AA246">
        <f t="shared" si="245"/>
        <v>0</v>
      </c>
      <c r="AB246">
        <f t="shared" si="245"/>
        <v>802458709.49053228</v>
      </c>
      <c r="AC246">
        <f t="shared" si="245"/>
        <v>1307149381.2428179</v>
      </c>
      <c r="AD246" s="194">
        <f t="shared" si="220"/>
        <v>1.1303529060170554E-2</v>
      </c>
      <c r="AG246">
        <v>2060</v>
      </c>
      <c r="AH246" t="s">
        <v>240</v>
      </c>
      <c r="AI246" t="s">
        <v>240</v>
      </c>
      <c r="AJ246">
        <f t="shared" ref="AJ246:AM246" si="246">AJ227+AJ132</f>
        <v>20243556671.899261</v>
      </c>
      <c r="AK246">
        <f t="shared" si="246"/>
        <v>371592802.78671789</v>
      </c>
      <c r="AL246">
        <f t="shared" si="246"/>
        <v>1344243082.5589635</v>
      </c>
      <c r="AM246">
        <f t="shared" si="246"/>
        <v>1000533883.8134857</v>
      </c>
      <c r="AN246" s="194">
        <f t="shared" si="222"/>
        <v>3.7715925703979509E-3</v>
      </c>
    </row>
    <row r="247" spans="5:40">
      <c r="E247">
        <v>2070</v>
      </c>
      <c r="H247" s="330">
        <f t="shared" si="213"/>
        <v>27594274739.366478</v>
      </c>
      <c r="I247" s="330">
        <f t="shared" si="213"/>
        <v>532100402.46178627</v>
      </c>
      <c r="J247" s="330">
        <f t="shared" si="213"/>
        <v>1846869113.1258528</v>
      </c>
      <c r="K247" s="330">
        <f t="shared" si="213"/>
        <v>1337129600.0171127</v>
      </c>
      <c r="L247" s="194">
        <f t="shared" si="217"/>
        <v>5.8625602275733145E-3</v>
      </c>
      <c r="M247" s="194"/>
      <c r="N247">
        <v>2070</v>
      </c>
      <c r="O247" t="s">
        <v>240</v>
      </c>
      <c r="P247" t="s">
        <v>240</v>
      </c>
      <c r="Q247">
        <f t="shared" si="214"/>
        <v>32355711488.402298</v>
      </c>
      <c r="R247">
        <f t="shared" si="214"/>
        <v>186508427.7852053</v>
      </c>
      <c r="S247">
        <f t="shared" si="214"/>
        <v>1751188184.1952686</v>
      </c>
      <c r="T247">
        <f t="shared" si="214"/>
        <v>1572843226.9097416</v>
      </c>
      <c r="U247" s="194">
        <f t="shared" si="218"/>
        <v>8.3710865819995282E-3</v>
      </c>
      <c r="W247">
        <v>2070</v>
      </c>
      <c r="X247" t="s">
        <v>240</v>
      </c>
      <c r="Y247" t="s">
        <v>240</v>
      </c>
      <c r="Z247">
        <f t="shared" ref="Z247:AC247" si="247">Z228+Z133</f>
        <v>38976586865.844582</v>
      </c>
      <c r="AA247">
        <f t="shared" si="247"/>
        <v>0</v>
      </c>
      <c r="AB247">
        <f t="shared" si="247"/>
        <v>1193454705.3813701</v>
      </c>
      <c r="AC247">
        <f t="shared" si="247"/>
        <v>1904803150.998013</v>
      </c>
      <c r="AD247" s="194">
        <f t="shared" si="220"/>
        <v>1.5483228005502728E-2</v>
      </c>
      <c r="AG247">
        <v>2070</v>
      </c>
      <c r="AH247" t="s">
        <v>240</v>
      </c>
      <c r="AI247" t="s">
        <v>240</v>
      </c>
      <c r="AJ247">
        <f t="shared" ref="AJ247:AM247" si="248">AJ228+AJ133</f>
        <v>28382703669.082527</v>
      </c>
      <c r="AK247">
        <f t="shared" si="248"/>
        <v>485892025.23949647</v>
      </c>
      <c r="AL247">
        <f t="shared" si="248"/>
        <v>1841079499.4753084</v>
      </c>
      <c r="AM247">
        <f t="shared" si="248"/>
        <v>1376194601.1375642</v>
      </c>
      <c r="AN247" s="194">
        <f t="shared" si="222"/>
        <v>4.1613975570932212E-3</v>
      </c>
    </row>
    <row r="248" spans="5:40">
      <c r="E248">
        <v>2080</v>
      </c>
      <c r="H248" s="330">
        <f t="shared" si="213"/>
        <v>37653022747.690697</v>
      </c>
      <c r="I248" s="330">
        <f t="shared" si="213"/>
        <v>719158586.91815794</v>
      </c>
      <c r="J248" s="330">
        <f t="shared" si="213"/>
        <v>2468653978.2928572</v>
      </c>
      <c r="K248" s="330">
        <f t="shared" si="213"/>
        <v>1800744193.0756211</v>
      </c>
      <c r="L248" s="194">
        <f t="shared" si="217"/>
        <v>7.0415684328719828E-3</v>
      </c>
      <c r="M248" s="194"/>
      <c r="N248">
        <v>2080</v>
      </c>
      <c r="O248" t="s">
        <v>240</v>
      </c>
      <c r="P248" t="s">
        <v>240</v>
      </c>
      <c r="Q248">
        <f t="shared" si="214"/>
        <v>45597944932.054436</v>
      </c>
      <c r="R248">
        <f t="shared" si="214"/>
        <v>317909259.37971002</v>
      </c>
      <c r="S248">
        <f t="shared" si="214"/>
        <v>2456696421.0077329</v>
      </c>
      <c r="T248">
        <f t="shared" si="214"/>
        <v>2184624642.2685232</v>
      </c>
      <c r="U248" s="194">
        <f t="shared" si="218"/>
        <v>9.9964801548446044E-3</v>
      </c>
      <c r="W248">
        <v>2080</v>
      </c>
      <c r="X248" t="s">
        <v>240</v>
      </c>
      <c r="Y248" t="s">
        <v>240</v>
      </c>
      <c r="Z248">
        <f t="shared" ref="Z248:AC248" si="249">Z229+Z134</f>
        <v>57820229264.777023</v>
      </c>
      <c r="AA248">
        <f t="shared" si="249"/>
        <v>0</v>
      </c>
      <c r="AB248">
        <f t="shared" si="249"/>
        <v>1782521629.0893588</v>
      </c>
      <c r="AC248">
        <f t="shared" si="249"/>
        <v>2778707273.94735</v>
      </c>
      <c r="AD248" s="194">
        <f t="shared" si="220"/>
        <v>2.1164861401340173E-2</v>
      </c>
      <c r="AG248">
        <v>2080</v>
      </c>
      <c r="AH248" t="s">
        <v>240</v>
      </c>
      <c r="AI248" t="s">
        <v>240</v>
      </c>
      <c r="AJ248">
        <f t="shared" ref="AJ248:AM248" si="250">AJ229+AJ134</f>
        <v>39092734664.156006</v>
      </c>
      <c r="AK248">
        <f t="shared" si="250"/>
        <v>663139300.29222786</v>
      </c>
      <c r="AL248">
        <f t="shared" si="250"/>
        <v>2482156213.2958393</v>
      </c>
      <c r="AM248">
        <f t="shared" si="250"/>
        <v>1870402974.5049975</v>
      </c>
      <c r="AN248" s="194">
        <f t="shared" si="222"/>
        <v>4.6794259932255765E-3</v>
      </c>
    </row>
    <row r="249" spans="5:40">
      <c r="E249">
        <v>2090</v>
      </c>
      <c r="H249" s="330">
        <f t="shared" si="213"/>
        <v>50407707385.575745</v>
      </c>
      <c r="I249" s="330">
        <f t="shared" si="213"/>
        <v>964552463.93328619</v>
      </c>
      <c r="J249" s="330">
        <f t="shared" si="213"/>
        <v>3227273092.8918467</v>
      </c>
      <c r="K249" s="330">
        <f t="shared" si="213"/>
        <v>2386931949.1473908</v>
      </c>
      <c r="L249" s="194">
        <f t="shared" si="217"/>
        <v>8.5236431785069983E-3</v>
      </c>
      <c r="M249" s="194"/>
      <c r="N249">
        <v>2090</v>
      </c>
      <c r="O249" t="s">
        <v>240</v>
      </c>
      <c r="P249" t="s">
        <v>240</v>
      </c>
      <c r="Q249">
        <f t="shared" ref="Q249:T250" si="251">Q230+Q135</f>
        <v>63519230196.778008</v>
      </c>
      <c r="R249">
        <f t="shared" si="251"/>
        <v>520436705.13741297</v>
      </c>
      <c r="S249">
        <f t="shared" si="251"/>
        <v>3383534528.0670824</v>
      </c>
      <c r="T249">
        <f t="shared" si="251"/>
        <v>3010587273.2272301</v>
      </c>
      <c r="U249" s="194">
        <f t="shared" si="218"/>
        <v>1.1945571644003223E-2</v>
      </c>
      <c r="W249">
        <v>2090</v>
      </c>
      <c r="X249" t="s">
        <v>240</v>
      </c>
      <c r="Y249" t="s">
        <v>240</v>
      </c>
      <c r="Z249">
        <f t="shared" ref="Z249:AC249" si="252">Z230+Z135</f>
        <v>85564229071.8396</v>
      </c>
      <c r="AA249">
        <f t="shared" si="252"/>
        <v>0</v>
      </c>
      <c r="AB249">
        <f t="shared" si="252"/>
        <v>2620819515.601882</v>
      </c>
      <c r="AC249">
        <f t="shared" si="252"/>
        <v>4061440121.7489991</v>
      </c>
      <c r="AD249" s="194">
        <f t="shared" si="220"/>
        <v>2.8854609778769916E-2</v>
      </c>
      <c r="AG249">
        <v>2090</v>
      </c>
      <c r="AH249" t="s">
        <v>240</v>
      </c>
      <c r="AI249" t="s">
        <v>240</v>
      </c>
      <c r="AJ249">
        <f t="shared" ref="AJ249:AM249" si="253">AJ230+AJ135</f>
        <v>53039690240.623901</v>
      </c>
      <c r="AK249">
        <f t="shared" si="253"/>
        <v>900919246.46145296</v>
      </c>
      <c r="AL249">
        <f t="shared" si="253"/>
        <v>3283314772.8720188</v>
      </c>
      <c r="AM249">
        <f t="shared" si="253"/>
        <v>2512304372.5530815</v>
      </c>
      <c r="AN249" s="194">
        <f t="shared" si="222"/>
        <v>5.3195657529344405E-3</v>
      </c>
    </row>
    <row r="250" spans="5:40">
      <c r="E250">
        <v>2100</v>
      </c>
      <c r="H250" s="330">
        <f t="shared" si="213"/>
        <v>66416438384.849327</v>
      </c>
      <c r="I250" s="330">
        <f t="shared" si="213"/>
        <v>1258985013.4921937</v>
      </c>
      <c r="J250" s="330">
        <f t="shared" si="213"/>
        <v>4123931302.7784481</v>
      </c>
      <c r="K250" s="330">
        <f t="shared" si="213"/>
        <v>3119936832.728991</v>
      </c>
      <c r="L250" s="194">
        <f t="shared" si="217"/>
        <v>1.0403012198874524E-2</v>
      </c>
      <c r="M250" s="194"/>
      <c r="N250">
        <v>2100</v>
      </c>
      <c r="O250" t="s">
        <v>240</v>
      </c>
      <c r="P250" t="s">
        <v>240</v>
      </c>
      <c r="Q250">
        <f t="shared" si="251"/>
        <v>87988092119.046295</v>
      </c>
      <c r="R250">
        <f t="shared" si="251"/>
        <v>786031328.64684272</v>
      </c>
      <c r="S250">
        <f t="shared" si="251"/>
        <v>4578232091.974678</v>
      </c>
      <c r="T250">
        <f t="shared" si="251"/>
        <v>4134724686.6791787</v>
      </c>
      <c r="U250" s="194">
        <f t="shared" si="218"/>
        <v>1.429492481621307E-2</v>
      </c>
      <c r="W250">
        <v>2100</v>
      </c>
      <c r="X250" t="s">
        <v>240</v>
      </c>
      <c r="Y250" t="s">
        <v>240</v>
      </c>
      <c r="Z250">
        <f t="shared" ref="Z250:AC250" si="254">Z231+Z136</f>
        <v>126337890927.33369</v>
      </c>
      <c r="AA250">
        <f t="shared" si="254"/>
        <v>0</v>
      </c>
      <c r="AB250">
        <f t="shared" si="254"/>
        <v>3808262543.8011303</v>
      </c>
      <c r="AC250">
        <f t="shared" si="254"/>
        <v>5938285575.2851219</v>
      </c>
      <c r="AD250" s="194">
        <f t="shared" si="220"/>
        <v>3.9075971213432474E-2</v>
      </c>
      <c r="AG250">
        <v>2100</v>
      </c>
      <c r="AH250" t="s">
        <v>240</v>
      </c>
      <c r="AI250" t="s">
        <v>240</v>
      </c>
      <c r="AJ250">
        <f t="shared" ref="AJ250:AM250" si="255">AJ231+AJ136</f>
        <v>71073860288.47023</v>
      </c>
      <c r="AK250">
        <f t="shared" si="255"/>
        <v>1196207320.7354851</v>
      </c>
      <c r="AL250">
        <f t="shared" si="255"/>
        <v>4261176994.54778</v>
      </c>
      <c r="AM250">
        <f t="shared" si="255"/>
        <v>3339318977.1986294</v>
      </c>
      <c r="AN250" s="194">
        <f t="shared" si="222"/>
        <v>6.0867118686757917E-3</v>
      </c>
    </row>
    <row r="251" spans="5:40">
      <c r="F251" s="581" t="s">
        <v>251</v>
      </c>
      <c r="G251" s="581"/>
      <c r="H251" s="581"/>
      <c r="I251" s="581"/>
      <c r="J251" s="581"/>
      <c r="K251" s="581"/>
      <c r="O251" s="581" t="s">
        <v>251</v>
      </c>
      <c r="P251" s="581"/>
      <c r="Q251" s="581"/>
      <c r="R251" s="581"/>
      <c r="S251" s="581"/>
      <c r="T251" s="581"/>
      <c r="X251" s="581" t="s">
        <v>251</v>
      </c>
      <c r="Y251" s="581"/>
      <c r="Z251" s="581"/>
      <c r="AA251" s="581"/>
      <c r="AB251" s="581"/>
      <c r="AC251" s="581"/>
      <c r="AH251" s="581" t="s">
        <v>251</v>
      </c>
      <c r="AI251" s="581"/>
      <c r="AJ251" s="581"/>
      <c r="AK251" s="581"/>
      <c r="AL251" s="581"/>
      <c r="AM251" s="581"/>
    </row>
    <row r="252" spans="5:40">
      <c r="E252">
        <v>2020</v>
      </c>
      <c r="F252" s="61">
        <f>'Demographic-Economic'!C$38</f>
        <v>531771287</v>
      </c>
      <c r="G252" s="61">
        <f>'Demographic-Economic'!D$38</f>
        <v>222153795</v>
      </c>
      <c r="H252" s="61">
        <f>'Demographic-Economic'!E$38</f>
        <v>417708522</v>
      </c>
      <c r="I252" s="61">
        <f>'Demographic-Economic'!F$38</f>
        <v>45815957</v>
      </c>
      <c r="J252" s="61">
        <f>'Demographic-Economic'!G$38</f>
        <v>69643447</v>
      </c>
      <c r="K252" s="61">
        <f>'Demographic-Economic'!H$38</f>
        <v>9845914</v>
      </c>
      <c r="N252">
        <v>2020</v>
      </c>
      <c r="O252" s="61">
        <f>'Demographic-Economic'!C$38</f>
        <v>531771287</v>
      </c>
      <c r="P252" s="61">
        <f>'Demographic-Economic'!D$38</f>
        <v>222153795</v>
      </c>
      <c r="Q252" s="61">
        <f>'Demographic-Economic'!E$38</f>
        <v>417708522</v>
      </c>
      <c r="R252" s="61">
        <f>'Demographic-Economic'!F$38</f>
        <v>45815957</v>
      </c>
      <c r="S252" s="61">
        <f>'Demographic-Economic'!G$38</f>
        <v>69643447</v>
      </c>
      <c r="T252" s="61">
        <f>'Demographic-Economic'!H$38</f>
        <v>9845914</v>
      </c>
      <c r="W252">
        <v>2020</v>
      </c>
      <c r="X252" s="61">
        <f>'Demographic-Economic'!C$38</f>
        <v>531771287</v>
      </c>
      <c r="Y252" s="61">
        <f>'Demographic-Economic'!D$38</f>
        <v>222153795</v>
      </c>
      <c r="Z252" s="61">
        <f>'Demographic-Economic'!E$38</f>
        <v>417708522</v>
      </c>
      <c r="AA252" s="61">
        <f>'Demographic-Economic'!F$38</f>
        <v>45815957</v>
      </c>
      <c r="AB252" s="61">
        <f>'Demographic-Economic'!G$38</f>
        <v>69643447</v>
      </c>
      <c r="AC252" s="61">
        <f>'Demographic-Economic'!H$38</f>
        <v>9845914</v>
      </c>
      <c r="AG252">
        <v>2020</v>
      </c>
      <c r="AH252" s="61">
        <f>'Demographic-Economic'!C$38</f>
        <v>531771287</v>
      </c>
      <c r="AI252" s="61">
        <f>'Demographic-Economic'!D$38</f>
        <v>222153795</v>
      </c>
      <c r="AJ252" s="61">
        <f>'Demographic-Economic'!E$38</f>
        <v>417708522</v>
      </c>
      <c r="AK252" s="61">
        <f>'Demographic-Economic'!F$38</f>
        <v>45815957</v>
      </c>
      <c r="AL252" s="61">
        <f>'Demographic-Economic'!G$38</f>
        <v>69643447</v>
      </c>
      <c r="AM252" s="61">
        <f>'Demographic-Economic'!H$38</f>
        <v>9845914</v>
      </c>
    </row>
    <row r="253" spans="5:40">
      <c r="E253">
        <v>2021</v>
      </c>
      <c r="F253" s="61">
        <f>F$252*'Economic Projections'!$H4</f>
        <v>559989321.41034174</v>
      </c>
      <c r="G253" s="61">
        <f>G$252*'Economic Projections'!$H4</f>
        <v>233942215.29449028</v>
      </c>
      <c r="H253" s="61">
        <f>H$252*'Economic Projections'!$H4</f>
        <v>439873903.50035357</v>
      </c>
      <c r="I253" s="61">
        <f>I$252*'Economic Projections'!$H4</f>
        <v>48247145.525545083</v>
      </c>
      <c r="J253" s="61">
        <f>J$252*'Economic Projections'!$H4</f>
        <v>73339022.958956987</v>
      </c>
      <c r="K253" s="61">
        <f>K$252*'Economic Projections'!$H4</f>
        <v>10368379.85486152</v>
      </c>
      <c r="N253">
        <v>2021</v>
      </c>
      <c r="O253" s="61">
        <f>O$252*'Economic Projections'!$I4</f>
        <v>553707641.09896207</v>
      </c>
      <c r="P253" s="61">
        <f>P$252*'Economic Projections'!$I4</f>
        <v>231317968.45329183</v>
      </c>
      <c r="Q253" s="61">
        <f>Q$252*'Economic Projections'!$I4</f>
        <v>434939617.91049826</v>
      </c>
      <c r="R253" s="61">
        <f>R$252*'Economic Projections'!$I4</f>
        <v>47705933.162129305</v>
      </c>
      <c r="S253" s="61">
        <f>S$252*'Economic Projections'!$I4</f>
        <v>72516342.456020176</v>
      </c>
      <c r="T253" s="61">
        <f>T$252*'Economic Projections'!$I4</f>
        <v>10252072.552016608</v>
      </c>
      <c r="W253">
        <v>2021</v>
      </c>
      <c r="X253" s="61">
        <f>X$252*'Economic Projections'!$J4</f>
        <v>549695364.36366522</v>
      </c>
      <c r="Y253" s="61">
        <f>Y$252*'Economic Projections'!$J4</f>
        <v>229641792.01216632</v>
      </c>
      <c r="Z253" s="61">
        <f>Z$252*'Economic Projections'!$J4</f>
        <v>431787958.11628336</v>
      </c>
      <c r="AA253" s="61">
        <f>AA$252*'Economic Projections'!$J4</f>
        <v>47360246.392515399</v>
      </c>
      <c r="AB253" s="61">
        <f>AB$252*'Economic Projections'!$J4</f>
        <v>71990874.479476377</v>
      </c>
      <c r="AC253" s="61">
        <f>AC$252*'Economic Projections'!$J4</f>
        <v>10177783.975995893</v>
      </c>
      <c r="AG253">
        <v>2021</v>
      </c>
      <c r="AH253" s="61">
        <f>AH$252*'Economic Projections'!$K4</f>
        <v>565117886.84229636</v>
      </c>
      <c r="AI253" s="61">
        <f>AI$252*'Economic Projections'!$K4</f>
        <v>236084734.64720312</v>
      </c>
      <c r="AJ253" s="61">
        <f>AJ$252*'Economic Projections'!$K4</f>
        <v>443902412.63375854</v>
      </c>
      <c r="AK253" s="61">
        <f>AK$252*'Economic Projections'!$K4</f>
        <v>48689008.670559369</v>
      </c>
      <c r="AL253" s="61">
        <f>AL$252*'Economic Projections'!$K4</f>
        <v>74010685.727477908</v>
      </c>
      <c r="AM253" s="61">
        <f>AM$252*'Economic Projections'!$K4</f>
        <v>10463336.870068694</v>
      </c>
    </row>
    <row r="254" spans="5:40">
      <c r="E254">
        <v>2022</v>
      </c>
      <c r="F254" s="61">
        <f>F$252*'Economic Projections'!$H5</f>
        <v>588207355.8206836</v>
      </c>
      <c r="G254" s="61">
        <f>G$252*'Economic Projections'!$H5</f>
        <v>245730635.58898056</v>
      </c>
      <c r="H254" s="61">
        <f>H$252*'Economic Projections'!$H5</f>
        <v>462039285.00070715</v>
      </c>
      <c r="I254" s="61">
        <f>I$252*'Economic Projections'!$H5</f>
        <v>50678334.051090159</v>
      </c>
      <c r="J254" s="61">
        <f>J$252*'Economic Projections'!$H5</f>
        <v>77034598.917913973</v>
      </c>
      <c r="K254" s="61">
        <f>K$252*'Economic Projections'!$H5</f>
        <v>10890845.70972304</v>
      </c>
      <c r="N254">
        <v>2022</v>
      </c>
      <c r="O254" s="61">
        <f>O$252*'Economic Projections'!$I5</f>
        <v>575643995.19792414</v>
      </c>
      <c r="P254" s="61">
        <f>P$252*'Economic Projections'!$I5</f>
        <v>240482141.90658364</v>
      </c>
      <c r="Q254" s="61">
        <f>Q$252*'Economic Projections'!$I5</f>
        <v>452170713.82099646</v>
      </c>
      <c r="R254" s="61">
        <f>R$252*'Economic Projections'!$I5</f>
        <v>49595909.324258603</v>
      </c>
      <c r="S254" s="61">
        <f>S$252*'Economic Projections'!$I5</f>
        <v>75389237.912040338</v>
      </c>
      <c r="T254" s="61">
        <f>T$252*'Economic Projections'!$I5</f>
        <v>10658231.104033215</v>
      </c>
      <c r="W254">
        <v>2022</v>
      </c>
      <c r="X254" s="61">
        <f>X$252*'Economic Projections'!$J5</f>
        <v>567619441.72733057</v>
      </c>
      <c r="Y254" s="61">
        <f>Y$252*'Economic Projections'!$J5</f>
        <v>237129789.02433264</v>
      </c>
      <c r="Z254" s="61">
        <f>Z$252*'Economic Projections'!$J5</f>
        <v>445867394.23256671</v>
      </c>
      <c r="AA254" s="61">
        <f>AA$252*'Economic Projections'!$J5</f>
        <v>48904535.785030797</v>
      </c>
      <c r="AB254" s="61">
        <f>AB$252*'Economic Projections'!$J5</f>
        <v>74338301.95895277</v>
      </c>
      <c r="AC254" s="61">
        <f>AC$252*'Economic Projections'!$J5</f>
        <v>10509653.951991785</v>
      </c>
      <c r="AG254">
        <v>2022</v>
      </c>
      <c r="AH254" s="61">
        <f>AH$252*'Economic Projections'!$K5</f>
        <v>598464486.68459272</v>
      </c>
      <c r="AI254" s="61">
        <f>AI$252*'Economic Projections'!$K5</f>
        <v>250015674.29440629</v>
      </c>
      <c r="AJ254" s="61">
        <f>AJ$252*'Economic Projections'!$K5</f>
        <v>470096303.26751721</v>
      </c>
      <c r="AK254" s="61">
        <f>AK$252*'Economic Projections'!$K5</f>
        <v>51562060.341118746</v>
      </c>
      <c r="AL254" s="61">
        <f>AL$252*'Economic Projections'!$K5</f>
        <v>78377924.454955846</v>
      </c>
      <c r="AM254" s="61">
        <f>AM$252*'Economic Projections'!$K5</f>
        <v>11080759.740137389</v>
      </c>
    </row>
    <row r="255" spans="5:40">
      <c r="E255">
        <v>2023</v>
      </c>
      <c r="F255" s="61">
        <f>F$252*'Economic Projections'!$H6</f>
        <v>616425390.23102546</v>
      </c>
      <c r="G255" s="61">
        <f>G$252*'Economic Projections'!$H6</f>
        <v>257519055.88347089</v>
      </c>
      <c r="H255" s="61">
        <f>H$252*'Economic Projections'!$H6</f>
        <v>484204666.50106084</v>
      </c>
      <c r="I255" s="61">
        <f>I$252*'Economic Projections'!$H6</f>
        <v>53109522.576635249</v>
      </c>
      <c r="J255" s="61">
        <f>J$252*'Economic Projections'!$H6</f>
        <v>80730174.876870975</v>
      </c>
      <c r="K255" s="61">
        <f>K$252*'Economic Projections'!$H6</f>
        <v>11413311.564584564</v>
      </c>
      <c r="N255">
        <v>2023</v>
      </c>
      <c r="O255" s="61">
        <f>O$252*'Economic Projections'!$I6</f>
        <v>597580349.29688621</v>
      </c>
      <c r="P255" s="61">
        <f>P$252*'Economic Projections'!$I6</f>
        <v>249646315.35987547</v>
      </c>
      <c r="Q255" s="61">
        <f>Q$252*'Economic Projections'!$I6</f>
        <v>469401809.73149472</v>
      </c>
      <c r="R255" s="61">
        <f>R$252*'Economic Projections'!$I6</f>
        <v>51485885.486387908</v>
      </c>
      <c r="S255" s="61">
        <f>S$252*'Economic Projections'!$I6</f>
        <v>78262133.368060499</v>
      </c>
      <c r="T255" s="61">
        <f>T$252*'Economic Projections'!$I6</f>
        <v>11064389.656049823</v>
      </c>
      <c r="W255">
        <v>2023</v>
      </c>
      <c r="X255" s="61">
        <f>X$252*'Economic Projections'!$J6</f>
        <v>585543519.09099591</v>
      </c>
      <c r="Y255" s="61">
        <f>Y$252*'Economic Projections'!$J6</f>
        <v>244617786.03649899</v>
      </c>
      <c r="Z255" s="61">
        <f>Z$252*'Economic Projections'!$J6</f>
        <v>459946830.34885013</v>
      </c>
      <c r="AA255" s="61">
        <f>AA$252*'Economic Projections'!$J6</f>
        <v>50448825.177546203</v>
      </c>
      <c r="AB255" s="61">
        <f>AB$252*'Economic Projections'!$J6</f>
        <v>76685729.438429162</v>
      </c>
      <c r="AC255" s="61">
        <f>AC$252*'Economic Projections'!$J6</f>
        <v>10841523.92798768</v>
      </c>
      <c r="AG255">
        <v>2023</v>
      </c>
      <c r="AH255" s="61">
        <f>AH$252*'Economic Projections'!$K6</f>
        <v>631811086.52688909</v>
      </c>
      <c r="AI255" s="61">
        <f>AI$252*'Economic Projections'!$K6</f>
        <v>263946613.94160941</v>
      </c>
      <c r="AJ255" s="61">
        <f>AJ$252*'Economic Projections'!$K6</f>
        <v>496290193.90127575</v>
      </c>
      <c r="AK255" s="61">
        <f>AK$252*'Economic Projections'!$K6</f>
        <v>54435112.011678115</v>
      </c>
      <c r="AL255" s="61">
        <f>AL$252*'Economic Projections'!$K6</f>
        <v>82745163.182433754</v>
      </c>
      <c r="AM255" s="61">
        <f>AM$252*'Economic Projections'!$K6</f>
        <v>11698182.610206084</v>
      </c>
    </row>
    <row r="256" spans="5:40">
      <c r="E256">
        <v>2024</v>
      </c>
      <c r="F256" s="61">
        <f>F$252*'Economic Projections'!$H7</f>
        <v>644643424.64136732</v>
      </c>
      <c r="G256" s="61">
        <f>G$252*'Economic Projections'!$H7</f>
        <v>269307476.17796117</v>
      </c>
      <c r="H256" s="61">
        <f>H$252*'Economic Projections'!$H7</f>
        <v>506370048.00141436</v>
      </c>
      <c r="I256" s="61">
        <f>I$252*'Economic Projections'!$H7</f>
        <v>55540711.102180332</v>
      </c>
      <c r="J256" s="61">
        <f>J$252*'Economic Projections'!$H7</f>
        <v>84425750.835827947</v>
      </c>
      <c r="K256" s="61">
        <f>K$252*'Economic Projections'!$H7</f>
        <v>11935777.419446085</v>
      </c>
      <c r="N256">
        <v>2024</v>
      </c>
      <c r="O256" s="61">
        <f>O$252*'Economic Projections'!$I7</f>
        <v>619516703.39584816</v>
      </c>
      <c r="P256" s="61">
        <f>P$252*'Economic Projections'!$I7</f>
        <v>258810488.81316727</v>
      </c>
      <c r="Q256" s="61">
        <f>Q$252*'Economic Projections'!$I7</f>
        <v>486632905.64199287</v>
      </c>
      <c r="R256" s="61">
        <f>R$252*'Economic Projections'!$I7</f>
        <v>53375861.648517199</v>
      </c>
      <c r="S256" s="61">
        <f>S$252*'Economic Projections'!$I7</f>
        <v>81135028.824080661</v>
      </c>
      <c r="T256" s="61">
        <f>T$252*'Economic Projections'!$I7</f>
        <v>11470548.20806643</v>
      </c>
      <c r="W256">
        <v>2024</v>
      </c>
      <c r="X256" s="61">
        <f>X$252*'Economic Projections'!$J7</f>
        <v>603467596.45466125</v>
      </c>
      <c r="Y256" s="61">
        <f>Y$252*'Economic Projections'!$J7</f>
        <v>252105783.04866531</v>
      </c>
      <c r="Z256" s="61">
        <f>Z$252*'Economic Projections'!$J7</f>
        <v>474026266.46513349</v>
      </c>
      <c r="AA256" s="61">
        <f>AA$252*'Economic Projections'!$J7</f>
        <v>51993114.570061602</v>
      </c>
      <c r="AB256" s="61">
        <f>AB$252*'Economic Projections'!$J7</f>
        <v>79033156.917905554</v>
      </c>
      <c r="AC256" s="61">
        <f>AC$252*'Economic Projections'!$J7</f>
        <v>11173393.903983572</v>
      </c>
      <c r="AG256">
        <v>2024</v>
      </c>
      <c r="AH256" s="61">
        <f>AH$252*'Economic Projections'!$K7</f>
        <v>665157686.36918545</v>
      </c>
      <c r="AI256" s="61">
        <f>AI$252*'Economic Projections'!$K7</f>
        <v>277877553.58881259</v>
      </c>
      <c r="AJ256" s="61">
        <f>AJ$252*'Economic Projections'!$K7</f>
        <v>522484084.53503436</v>
      </c>
      <c r="AK256" s="61">
        <f>AK$252*'Economic Projections'!$K7</f>
        <v>57308163.682237491</v>
      </c>
      <c r="AL256" s="61">
        <f>AL$252*'Economic Projections'!$K7</f>
        <v>87112401.909911677</v>
      </c>
      <c r="AM256" s="61">
        <f>AM$252*'Economic Projections'!$K7</f>
        <v>12315605.48027478</v>
      </c>
    </row>
    <row r="257" spans="5:39">
      <c r="E257">
        <v>2025</v>
      </c>
      <c r="F257" s="61">
        <f>F$252*'Economic Projections'!$H8</f>
        <v>672861459.05170894</v>
      </c>
      <c r="G257" s="61">
        <f>G$252*'Economic Projections'!$H8</f>
        <v>281095896.47245139</v>
      </c>
      <c r="H257" s="61">
        <f>H$252*'Economic Projections'!$H8</f>
        <v>528535429.50176787</v>
      </c>
      <c r="I257" s="61">
        <f>I$252*'Economic Projections'!$H8</f>
        <v>57971899.6277254</v>
      </c>
      <c r="J257" s="61">
        <f>J$252*'Economic Projections'!$H8</f>
        <v>88121326.794784918</v>
      </c>
      <c r="K257" s="61">
        <f>K$252*'Economic Projections'!$H8</f>
        <v>12458243.274307603</v>
      </c>
      <c r="N257">
        <v>2025</v>
      </c>
      <c r="O257" s="61">
        <f>O$252*'Economic Projections'!$I8</f>
        <v>641453057.49481022</v>
      </c>
      <c r="P257" s="61">
        <f>P$252*'Economic Projections'!$I8</f>
        <v>267974662.26645911</v>
      </c>
      <c r="Q257" s="61">
        <f>Q$252*'Economic Projections'!$I8</f>
        <v>503864001.55249113</v>
      </c>
      <c r="R257" s="61">
        <f>R$252*'Economic Projections'!$I8</f>
        <v>55265837.810646504</v>
      </c>
      <c r="S257" s="61">
        <f>S$252*'Economic Projections'!$I8</f>
        <v>84007924.280100837</v>
      </c>
      <c r="T257" s="61">
        <f>T$252*'Economic Projections'!$I8</f>
        <v>11876706.760083038</v>
      </c>
      <c r="W257">
        <v>2025</v>
      </c>
      <c r="X257" s="61">
        <f>X$252*'Economic Projections'!$J8</f>
        <v>621391673.81832647</v>
      </c>
      <c r="Y257" s="61">
        <f>Y$252*'Economic Projections'!$J8</f>
        <v>259593780.06083164</v>
      </c>
      <c r="Z257" s="61">
        <f>Z$252*'Economic Projections'!$J8</f>
        <v>488105702.58141685</v>
      </c>
      <c r="AA257" s="61">
        <f>AA$252*'Economic Projections'!$J8</f>
        <v>53537403.962577</v>
      </c>
      <c r="AB257" s="61">
        <f>AB$252*'Economic Projections'!$J8</f>
        <v>81380584.397381932</v>
      </c>
      <c r="AC257" s="61">
        <f>AC$252*'Economic Projections'!$J8</f>
        <v>11505263.879979467</v>
      </c>
      <c r="AG257">
        <v>2025</v>
      </c>
      <c r="AH257" s="61">
        <f>AH$252*'Economic Projections'!$K8</f>
        <v>698504286.21148193</v>
      </c>
      <c r="AI257" s="61">
        <f>AI$252*'Economic Projections'!$K8</f>
        <v>291808493.23601574</v>
      </c>
      <c r="AJ257" s="61">
        <f>AJ$252*'Economic Projections'!$K8</f>
        <v>548677975.16879296</v>
      </c>
      <c r="AK257" s="61">
        <f>AK$252*'Economic Projections'!$K8</f>
        <v>60181215.352796867</v>
      </c>
      <c r="AL257" s="61">
        <f>AL$252*'Economic Projections'!$K8</f>
        <v>91479640.637389615</v>
      </c>
      <c r="AM257" s="61">
        <f>AM$252*'Economic Projections'!$K8</f>
        <v>12933028.350343475</v>
      </c>
    </row>
    <row r="258" spans="5:39">
      <c r="E258">
        <v>2026</v>
      </c>
      <c r="F258" s="61">
        <f>F$252*'Economic Projections'!$H9</f>
        <v>701079493.4620508</v>
      </c>
      <c r="G258" s="61">
        <f>G$252*'Economic Projections'!$H9</f>
        <v>292884316.76694167</v>
      </c>
      <c r="H258" s="61">
        <f>H$252*'Economic Projections'!$H9</f>
        <v>550700811.00212145</v>
      </c>
      <c r="I258" s="61">
        <f>I$252*'Economic Projections'!$H9</f>
        <v>60403088.153270483</v>
      </c>
      <c r="J258" s="61">
        <f>J$252*'Economic Projections'!$H9</f>
        <v>91816902.753741905</v>
      </c>
      <c r="K258" s="61">
        <f>K$252*'Economic Projections'!$H9</f>
        <v>12980709.129169123</v>
      </c>
      <c r="N258">
        <v>2026</v>
      </c>
      <c r="O258" s="61">
        <f>O$252*'Economic Projections'!$I9</f>
        <v>663389411.59377229</v>
      </c>
      <c r="P258" s="61">
        <f>P$252*'Economic Projections'!$I9</f>
        <v>277138835.71975088</v>
      </c>
      <c r="Q258" s="61">
        <f>Q$252*'Economic Projections'!$I9</f>
        <v>521095097.46298933</v>
      </c>
      <c r="R258" s="61">
        <f>R$252*'Economic Projections'!$I9</f>
        <v>57155813.972775802</v>
      </c>
      <c r="S258" s="61">
        <f>S$252*'Economic Projections'!$I9</f>
        <v>86880819.736120999</v>
      </c>
      <c r="T258" s="61">
        <f>T$252*'Economic Projections'!$I9</f>
        <v>12282865.312099645</v>
      </c>
      <c r="W258">
        <v>2026</v>
      </c>
      <c r="X258" s="61">
        <f>X$252*'Economic Projections'!$J9</f>
        <v>639315751.18199182</v>
      </c>
      <c r="Y258" s="61">
        <f>Y$252*'Economic Projections'!$J9</f>
        <v>267081777.07299793</v>
      </c>
      <c r="Z258" s="61">
        <f>Z$252*'Economic Projections'!$J9</f>
        <v>502185138.6977002</v>
      </c>
      <c r="AA258" s="61">
        <f>AA$252*'Economic Projections'!$J9</f>
        <v>55081693.355092399</v>
      </c>
      <c r="AB258" s="61">
        <f>AB$252*'Economic Projections'!$J9</f>
        <v>83728011.876858309</v>
      </c>
      <c r="AC258" s="61">
        <f>AC$252*'Economic Projections'!$J9</f>
        <v>11837133.85597536</v>
      </c>
      <c r="AG258">
        <v>2026</v>
      </c>
      <c r="AH258" s="61">
        <f>AH$252*'Economic Projections'!$K9</f>
        <v>731850886.05377829</v>
      </c>
      <c r="AI258" s="61">
        <f>AI$252*'Economic Projections'!$K9</f>
        <v>305739432.88321888</v>
      </c>
      <c r="AJ258" s="61">
        <f>AJ$252*'Economic Projections'!$K9</f>
        <v>574871865.80255151</v>
      </c>
      <c r="AK258" s="61">
        <f>AK$252*'Economic Projections'!$K9</f>
        <v>63054267.023356237</v>
      </c>
      <c r="AL258" s="61">
        <f>AL$252*'Economic Projections'!$K9</f>
        <v>95846879.364867523</v>
      </c>
      <c r="AM258" s="61">
        <f>AM$252*'Economic Projections'!$K9</f>
        <v>13550451.220412169</v>
      </c>
    </row>
    <row r="259" spans="5:39">
      <c r="E259">
        <v>2027</v>
      </c>
      <c r="F259" s="61">
        <f>F$252*'Economic Projections'!$H10</f>
        <v>729297527.87239242</v>
      </c>
      <c r="G259" s="61">
        <f>G$252*'Economic Projections'!$H10</f>
        <v>304672737.06143194</v>
      </c>
      <c r="H259" s="61">
        <f>H$252*'Economic Projections'!$H10</f>
        <v>572866192.5024749</v>
      </c>
      <c r="I259" s="61">
        <f>I$252*'Economic Projections'!$H10</f>
        <v>62834276.678815551</v>
      </c>
      <c r="J259" s="61">
        <f>J$252*'Economic Projections'!$H10</f>
        <v>95512478.712698877</v>
      </c>
      <c r="K259" s="61">
        <f>K$252*'Economic Projections'!$H10</f>
        <v>13503174.984030642</v>
      </c>
      <c r="N259">
        <v>2027</v>
      </c>
      <c r="O259" s="61">
        <f>O$252*'Economic Projections'!$I10</f>
        <v>685325765.69273436</v>
      </c>
      <c r="P259" s="61">
        <f>P$252*'Economic Projections'!$I10</f>
        <v>286303009.17304271</v>
      </c>
      <c r="Q259" s="61">
        <f>Q$252*'Economic Projections'!$I10</f>
        <v>538326193.37348759</v>
      </c>
      <c r="R259" s="61">
        <f>R$252*'Economic Projections'!$I10</f>
        <v>59045790.134905107</v>
      </c>
      <c r="S259" s="61">
        <f>S$252*'Economic Projections'!$I10</f>
        <v>89753715.192141175</v>
      </c>
      <c r="T259" s="61">
        <f>T$252*'Economic Projections'!$I10</f>
        <v>12689023.864116253</v>
      </c>
      <c r="W259">
        <v>2027</v>
      </c>
      <c r="X259" s="61">
        <f>X$252*'Economic Projections'!$J10</f>
        <v>657239828.54565716</v>
      </c>
      <c r="Y259" s="61">
        <f>Y$252*'Economic Projections'!$J10</f>
        <v>274569774.08516431</v>
      </c>
      <c r="Z259" s="61">
        <f>Z$252*'Economic Projections'!$J10</f>
        <v>516264574.81398362</v>
      </c>
      <c r="AA259" s="61">
        <f>AA$252*'Economic Projections'!$J10</f>
        <v>56625982.747607812</v>
      </c>
      <c r="AB259" s="61">
        <f>AB$252*'Economic Projections'!$J10</f>
        <v>86075439.356334716</v>
      </c>
      <c r="AC259" s="61">
        <f>AC$252*'Economic Projections'!$J10</f>
        <v>12169003.831971254</v>
      </c>
      <c r="AG259">
        <v>2027</v>
      </c>
      <c r="AH259" s="61">
        <f>AH$252*'Economic Projections'!$K10</f>
        <v>765197485.89607453</v>
      </c>
      <c r="AI259" s="61">
        <f>AI$252*'Economic Projections'!$K10</f>
        <v>319670372.53042197</v>
      </c>
      <c r="AJ259" s="61">
        <f>AJ$252*'Economic Projections'!$K10</f>
        <v>601065756.43631005</v>
      </c>
      <c r="AK259" s="61">
        <f>AK$252*'Economic Projections'!$K10</f>
        <v>65927318.693915598</v>
      </c>
      <c r="AL259" s="61">
        <f>AL$252*'Economic Projections'!$K10</f>
        <v>100214118.09234543</v>
      </c>
      <c r="AM259" s="61">
        <f>AM$252*'Economic Projections'!$K10</f>
        <v>14167874.090480864</v>
      </c>
    </row>
    <row r="260" spans="5:39">
      <c r="E260">
        <v>2028</v>
      </c>
      <c r="F260" s="61">
        <f>F$252*'Economic Projections'!$H11</f>
        <v>757515562.28273416</v>
      </c>
      <c r="G260" s="61">
        <f>G$252*'Economic Projections'!$H11</f>
        <v>316461157.35592222</v>
      </c>
      <c r="H260" s="61">
        <f>H$252*'Economic Projections'!$H11</f>
        <v>595031574.00282848</v>
      </c>
      <c r="I260" s="61">
        <f>I$252*'Economic Projections'!$H11</f>
        <v>65265465.204360634</v>
      </c>
      <c r="J260" s="61">
        <f>J$252*'Economic Projections'!$H11</f>
        <v>99208054.671655864</v>
      </c>
      <c r="K260" s="61">
        <f>K$252*'Economic Projections'!$H11</f>
        <v>14025640.838892162</v>
      </c>
      <c r="N260">
        <v>2028</v>
      </c>
      <c r="O260" s="61">
        <f>O$252*'Economic Projections'!$I11</f>
        <v>707262119.79169643</v>
      </c>
      <c r="P260" s="61">
        <f>P$252*'Economic Projections'!$I11</f>
        <v>295467182.62633455</v>
      </c>
      <c r="Q260" s="61">
        <f>Q$252*'Economic Projections'!$I11</f>
        <v>555557289.28398585</v>
      </c>
      <c r="R260" s="61">
        <f>R$252*'Economic Projections'!$I11</f>
        <v>60935766.297034413</v>
      </c>
      <c r="S260" s="61">
        <f>S$252*'Economic Projections'!$I11</f>
        <v>92626610.648161352</v>
      </c>
      <c r="T260" s="61">
        <f>T$252*'Economic Projections'!$I11</f>
        <v>13095182.416132862</v>
      </c>
      <c r="W260">
        <v>2028</v>
      </c>
      <c r="X260" s="61">
        <f>X$252*'Economic Projections'!$J11</f>
        <v>675163905.90932238</v>
      </c>
      <c r="Y260" s="61">
        <f>Y$252*'Economic Projections'!$J11</f>
        <v>282057771.09733063</v>
      </c>
      <c r="Z260" s="61">
        <f>Z$252*'Economic Projections'!$J11</f>
        <v>530344010.93026698</v>
      </c>
      <c r="AA260" s="61">
        <f>AA$252*'Economic Projections'!$J11</f>
        <v>58170272.140123211</v>
      </c>
      <c r="AB260" s="61">
        <f>AB$252*'Economic Projections'!$J11</f>
        <v>88422866.835811093</v>
      </c>
      <c r="AC260" s="61">
        <f>AC$252*'Economic Projections'!$J11</f>
        <v>12500873.807967147</v>
      </c>
      <c r="AG260">
        <v>2028</v>
      </c>
      <c r="AH260" s="61">
        <f>AH$252*'Economic Projections'!$K11</f>
        <v>798544085.73837078</v>
      </c>
      <c r="AI260" s="61">
        <f>AI$252*'Economic Projections'!$K11</f>
        <v>333601312.17762506</v>
      </c>
      <c r="AJ260" s="61">
        <f>AJ$252*'Economic Projections'!$K11</f>
        <v>627259647.0700686</v>
      </c>
      <c r="AK260" s="61">
        <f>AK$252*'Economic Projections'!$K11</f>
        <v>68800370.364474952</v>
      </c>
      <c r="AL260" s="61">
        <f>AL$252*'Economic Projections'!$K11</f>
        <v>104581356.81982332</v>
      </c>
      <c r="AM260" s="61">
        <f>AM$252*'Economic Projections'!$K11</f>
        <v>14785296.960549554</v>
      </c>
    </row>
    <row r="261" spans="5:39">
      <c r="E261">
        <v>2029</v>
      </c>
      <c r="F261" s="61">
        <f>F$252*'Economic Projections'!$H12</f>
        <v>785733596.6930759</v>
      </c>
      <c r="G261" s="61">
        <f>G$252*'Economic Projections'!$H12</f>
        <v>328249577.65041244</v>
      </c>
      <c r="H261" s="61">
        <f>H$252*'Economic Projections'!$H12</f>
        <v>617196955.50318193</v>
      </c>
      <c r="I261" s="61">
        <f>I$252*'Economic Projections'!$H12</f>
        <v>67696653.72990571</v>
      </c>
      <c r="J261" s="61">
        <f>J$252*'Economic Projections'!$H12</f>
        <v>102903630.63061284</v>
      </c>
      <c r="K261" s="61">
        <f>K$252*'Economic Projections'!$H12</f>
        <v>14548106.69375368</v>
      </c>
      <c r="N261">
        <v>2029</v>
      </c>
      <c r="O261" s="61">
        <f>O$252*'Economic Projections'!$I12</f>
        <v>729198473.89065838</v>
      </c>
      <c r="P261" s="61">
        <f>P$252*'Economic Projections'!$I12</f>
        <v>304631356.07962638</v>
      </c>
      <c r="Q261" s="61">
        <f>Q$252*'Economic Projections'!$I12</f>
        <v>572788385.194484</v>
      </c>
      <c r="R261" s="61">
        <f>R$252*'Economic Projections'!$I12</f>
        <v>62825742.45916371</v>
      </c>
      <c r="S261" s="61">
        <f>S$252*'Economic Projections'!$I12</f>
        <v>95499506.104181498</v>
      </c>
      <c r="T261" s="61">
        <f>T$252*'Economic Projections'!$I12</f>
        <v>13501340.968149468</v>
      </c>
      <c r="W261">
        <v>2029</v>
      </c>
      <c r="X261" s="61">
        <f>X$252*'Economic Projections'!$J12</f>
        <v>693087983.27298772</v>
      </c>
      <c r="Y261" s="61">
        <f>Y$252*'Economic Projections'!$J12</f>
        <v>289545768.10949695</v>
      </c>
      <c r="Z261" s="61">
        <f>Z$252*'Economic Projections'!$J12</f>
        <v>544423447.04655027</v>
      </c>
      <c r="AA261" s="61">
        <f>AA$252*'Economic Projections'!$J12</f>
        <v>59714561.532638609</v>
      </c>
      <c r="AB261" s="61">
        <f>AB$252*'Economic Projections'!$J12</f>
        <v>90770294.315287471</v>
      </c>
      <c r="AC261" s="61">
        <f>AC$252*'Economic Projections'!$J12</f>
        <v>12832743.78396304</v>
      </c>
      <c r="AG261">
        <v>2029</v>
      </c>
      <c r="AH261" s="61">
        <f>AH$252*'Economic Projections'!$K12</f>
        <v>831890685.58066702</v>
      </c>
      <c r="AI261" s="61">
        <f>AI$252*'Economic Projections'!$K12</f>
        <v>347532251.82482815</v>
      </c>
      <c r="AJ261" s="61">
        <f>AJ$252*'Economic Projections'!$K12</f>
        <v>653453537.70382714</v>
      </c>
      <c r="AK261" s="61">
        <f>AK$252*'Economic Projections'!$K12</f>
        <v>71673422.035034329</v>
      </c>
      <c r="AL261" s="61">
        <f>AL$252*'Economic Projections'!$K12</f>
        <v>108948595.54730125</v>
      </c>
      <c r="AM261" s="61">
        <f>AM$252*'Economic Projections'!$K12</f>
        <v>15402719.830618249</v>
      </c>
    </row>
    <row r="262" spans="5:39">
      <c r="E262">
        <v>2030</v>
      </c>
      <c r="F262" s="61">
        <f>F$252*'Economic Projections'!$H13</f>
        <v>813951631.10341775</v>
      </c>
      <c r="G262" s="61">
        <f>G$252*'Economic Projections'!$H13</f>
        <v>340037997.94490278</v>
      </c>
      <c r="H262" s="61">
        <f>H$252*'Economic Projections'!$H13</f>
        <v>639362337.00353563</v>
      </c>
      <c r="I262" s="61">
        <f>I$252*'Economic Projections'!$H13</f>
        <v>70127842.2554508</v>
      </c>
      <c r="J262" s="61">
        <f>J$252*'Economic Projections'!$H13</f>
        <v>106599206.58956982</v>
      </c>
      <c r="K262" s="61">
        <f>K$252*'Economic Projections'!$H13</f>
        <v>15070572.548615202</v>
      </c>
      <c r="N262">
        <v>2030</v>
      </c>
      <c r="O262" s="61">
        <f>O$252*'Economic Projections'!$I13</f>
        <v>751134827.98962033</v>
      </c>
      <c r="P262" s="61">
        <f>P$252*'Economic Projections'!$I13</f>
        <v>313795529.5329181</v>
      </c>
      <c r="Q262" s="61">
        <f>Q$252*'Economic Projections'!$I13</f>
        <v>590019481.10498214</v>
      </c>
      <c r="R262" s="61">
        <f>R$252*'Economic Projections'!$I13</f>
        <v>64715718.621292993</v>
      </c>
      <c r="S262" s="61">
        <f>S$252*'Economic Projections'!$I13</f>
        <v>98372401.560201645</v>
      </c>
      <c r="T262" s="61">
        <f>T$252*'Economic Projections'!$I13</f>
        <v>13907499.520166071</v>
      </c>
      <c r="W262">
        <v>2030</v>
      </c>
      <c r="X262" s="61">
        <f>X$252*'Economic Projections'!$J13</f>
        <v>711012060.63665283</v>
      </c>
      <c r="Y262" s="61">
        <f>Y$252*'Economic Projections'!$J13</f>
        <v>297033765.12166321</v>
      </c>
      <c r="Z262" s="61">
        <f>Z$252*'Economic Projections'!$J13</f>
        <v>558502883.16283357</v>
      </c>
      <c r="AA262" s="61">
        <f>AA$252*'Economic Projections'!$J13</f>
        <v>61258850.925153993</v>
      </c>
      <c r="AB262" s="61">
        <f>AB$252*'Economic Projections'!$J13</f>
        <v>93117721.794763848</v>
      </c>
      <c r="AC262" s="61">
        <f>AC$252*'Economic Projections'!$J13</f>
        <v>13164613.75995893</v>
      </c>
      <c r="AG262">
        <v>2030</v>
      </c>
      <c r="AH262" s="61">
        <f>AH$252*'Economic Projections'!$K13</f>
        <v>865237285.42296374</v>
      </c>
      <c r="AI262" s="61">
        <f>AI$252*'Economic Projections'!$K13</f>
        <v>361463191.47203141</v>
      </c>
      <c r="AJ262" s="61">
        <f>AJ$252*'Economic Projections'!$K13</f>
        <v>679647428.33758593</v>
      </c>
      <c r="AK262" s="61">
        <f>AK$252*'Economic Projections'!$K13</f>
        <v>74546473.70559372</v>
      </c>
      <c r="AL262" s="61">
        <f>AL$252*'Economic Projections'!$K13</f>
        <v>113315834.2747792</v>
      </c>
      <c r="AM262" s="61">
        <f>AM$252*'Economic Projections'!$K13</f>
        <v>16020142.700686948</v>
      </c>
    </row>
    <row r="263" spans="5:39">
      <c r="E263">
        <v>2040</v>
      </c>
      <c r="F263" s="61">
        <f>F$252*'Economic Projections'!$H14</f>
        <v>1165697812.39835</v>
      </c>
      <c r="G263" s="61">
        <f>G$252*'Economic Projections'!$H14</f>
        <v>486984158.75073659</v>
      </c>
      <c r="H263" s="61">
        <f>H$252*'Economic Projections'!$H14</f>
        <v>915660401.79139662</v>
      </c>
      <c r="I263" s="61">
        <f>I$252*'Economic Projections'!$H14</f>
        <v>100433329.42840306</v>
      </c>
      <c r="J263" s="61">
        <f>J$252*'Economic Projections'!$H14</f>
        <v>152665658.71538007</v>
      </c>
      <c r="K263" s="61">
        <f>K$252*'Economic Projections'!$H14</f>
        <v>21583264.631703004</v>
      </c>
      <c r="N263">
        <v>2040</v>
      </c>
      <c r="O263" s="61">
        <f>O$252*'Economic Projections'!$I14</f>
        <v>974546054.73438108</v>
      </c>
      <c r="P263" s="61">
        <f>P$252*'Economic Projections'!$I14</f>
        <v>407128233.047153</v>
      </c>
      <c r="Q263" s="61">
        <f>Q$252*'Economic Projections'!$I14</f>
        <v>765509913.93416369</v>
      </c>
      <c r="R263" s="61">
        <f>R$252*'Economic Projections'!$I14</f>
        <v>83964217.756326601</v>
      </c>
      <c r="S263" s="61">
        <f>S$252*'Economic Projections'!$I14</f>
        <v>127631461.44058916</v>
      </c>
      <c r="T263" s="61">
        <f>T$252*'Economic Projections'!$I14</f>
        <v>18044029.225583233</v>
      </c>
      <c r="W263">
        <v>2040</v>
      </c>
      <c r="X263" s="61">
        <f>X$252*'Economic Projections'!$J14</f>
        <v>837348688.78018475</v>
      </c>
      <c r="Y263" s="61">
        <f>Y$252*'Economic Projections'!$J14</f>
        <v>349812397.73254621</v>
      </c>
      <c r="Z263" s="61">
        <f>Z$252*'Economic Projections'!$J14</f>
        <v>657740821.55174541</v>
      </c>
      <c r="AA263" s="61">
        <f>AA$252*'Economic Projections'!$J14</f>
        <v>72143668.635420948</v>
      </c>
      <c r="AB263" s="61">
        <f>AB$252*'Economic Projections'!$J14</f>
        <v>109663403.14568788</v>
      </c>
      <c r="AC263" s="61">
        <f>AC$252*'Economic Projections'!$J14</f>
        <v>15503776.490554415</v>
      </c>
      <c r="AG263">
        <v>2040</v>
      </c>
      <c r="AH263" s="61">
        <f>AH$252*'Economic Projections'!$K14</f>
        <v>1357869370.7301276</v>
      </c>
      <c r="AI263" s="61">
        <f>AI$252*'Economic Projections'!$K14</f>
        <v>567266118.34151125</v>
      </c>
      <c r="AJ263" s="61">
        <f>AJ$252*'Economic Projections'!$K14</f>
        <v>1066611947.2463199</v>
      </c>
      <c r="AK263" s="61">
        <f>AK$252*'Economic Projections'!$K14</f>
        <v>116990304.33169773</v>
      </c>
      <c r="AL263" s="61">
        <f>AL$252*'Economic Projections'!$K14</f>
        <v>177833414.22374877</v>
      </c>
      <c r="AM263" s="61">
        <f>AM$252*'Economic Projections'!$K14</f>
        <v>25141381.97055937</v>
      </c>
    </row>
    <row r="264" spans="5:39">
      <c r="E264">
        <v>2050</v>
      </c>
      <c r="F264" s="61">
        <f>F$252*'Economic Projections'!$H15</f>
        <v>1521360989.0306425</v>
      </c>
      <c r="G264" s="61">
        <f>G$252*'Economic Projections'!$H15</f>
        <v>635566691.05774903</v>
      </c>
      <c r="H264" s="61">
        <f>H$252*'Economic Projections'!$H15</f>
        <v>1195035282.445492</v>
      </c>
      <c r="I264" s="61">
        <f>I$252*'Economic Projections'!$H15</f>
        <v>131076294.18680024</v>
      </c>
      <c r="J264" s="61">
        <f>J$252*'Economic Projections'!$H15</f>
        <v>199245100.28579849</v>
      </c>
      <c r="K264" s="61">
        <f>K$252*'Economic Projections'!$H15</f>
        <v>28168481.125515617</v>
      </c>
      <c r="N264">
        <v>2050</v>
      </c>
      <c r="O264" s="61">
        <f>O$252*'Economic Projections'!$I15</f>
        <v>1210047771.3970938</v>
      </c>
      <c r="P264" s="61">
        <f>P$252*'Economic Projections'!$I15</f>
        <v>505511882.8692171</v>
      </c>
      <c r="Q264" s="61">
        <f>Q$252*'Economic Projections'!$I15</f>
        <v>950497476.06939507</v>
      </c>
      <c r="R264" s="61">
        <f>R$252*'Economic Projections'!$I15</f>
        <v>104254400.37396204</v>
      </c>
      <c r="S264" s="61">
        <f>S$252*'Economic Projections'!$I15</f>
        <v>158473952.79685649</v>
      </c>
      <c r="T264" s="61">
        <f>T$252*'Economic Projections'!$I15</f>
        <v>22404418.185646504</v>
      </c>
      <c r="W264">
        <v>2050</v>
      </c>
      <c r="X264" s="61">
        <f>X$252*'Economic Projections'!$J15</f>
        <v>936332399.59445584</v>
      </c>
      <c r="Y264" s="61">
        <f>Y$252*'Economic Projections'!$J15</f>
        <v>391164023.02361393</v>
      </c>
      <c r="Z264" s="61">
        <f>Z$252*'Economic Projections'!$J15</f>
        <v>735492931.44763863</v>
      </c>
      <c r="AA264" s="61">
        <f>AA$252*'Economic Projections'!$J15</f>
        <v>80671833.937371656</v>
      </c>
      <c r="AB264" s="61">
        <f>AB$252*'Economic Projections'!$J15</f>
        <v>122626808.62936345</v>
      </c>
      <c r="AC264" s="61">
        <f>AC$252*'Economic Projections'!$J15</f>
        <v>17336491.283367556</v>
      </c>
      <c r="AG264">
        <v>2050</v>
      </c>
      <c r="AH264" s="61">
        <f>AH$252*'Economic Projections'!$K15</f>
        <v>1903208914.3169773</v>
      </c>
      <c r="AI264" s="61">
        <f>AI$252*'Economic Projections'!$K15</f>
        <v>795088214.29342484</v>
      </c>
      <c r="AJ264" s="61">
        <f>AJ$252*'Economic Projections'!$K15</f>
        <v>1494978390.3179586</v>
      </c>
      <c r="AK264" s="61">
        <f>AK$252*'Economic Projections'!$K15</f>
        <v>163975265.14131501</v>
      </c>
      <c r="AL264" s="61">
        <f>AL$252*'Economic Projections'!$K15</f>
        <v>249253828.46810597</v>
      </c>
      <c r="AM264" s="61">
        <f>AM$252*'Economic Projections'!$K15</f>
        <v>35238516.543670259</v>
      </c>
    </row>
    <row r="265" spans="5:39">
      <c r="E265">
        <v>2060</v>
      </c>
      <c r="F265" s="61">
        <f>F$252*'Economic Projections'!$H16</f>
        <v>1860781691.6640153</v>
      </c>
      <c r="G265" s="61">
        <f>G$252*'Economic Projections'!$H16</f>
        <v>777363736.20654106</v>
      </c>
      <c r="H265" s="61">
        <f>H$252*'Economic Projections'!$H16</f>
        <v>1461651633.3076019</v>
      </c>
      <c r="I265" s="61">
        <f>I$252*'Economic Projections'!$H16</f>
        <v>160319851.89088592</v>
      </c>
      <c r="J265" s="61">
        <f>J$252*'Economic Projections'!$H16</f>
        <v>243697345.62590852</v>
      </c>
      <c r="K265" s="61">
        <f>K$252*'Economic Projections'!$H16</f>
        <v>34452963.062856026</v>
      </c>
      <c r="N265">
        <v>2060</v>
      </c>
      <c r="O265" s="61">
        <f>O$252*'Economic Projections'!$I16</f>
        <v>1464631435.1911824</v>
      </c>
      <c r="P265" s="61">
        <f>P$252*'Economic Projections'!$I16</f>
        <v>611867243.60320282</v>
      </c>
      <c r="Q265" s="61">
        <f>Q$252*'Economic Projections'!$I16</f>
        <v>1150473985.7615659</v>
      </c>
      <c r="R265" s="61">
        <f>R$252*'Economic Projections'!$I16</f>
        <v>126188631.27066034</v>
      </c>
      <c r="S265" s="61">
        <f>S$252*'Economic Projections'!$I16</f>
        <v>191815512.09114274</v>
      </c>
      <c r="T265" s="61">
        <f>T$252*'Economic Projections'!$I16</f>
        <v>27118115.447607752</v>
      </c>
      <c r="W265">
        <v>2060</v>
      </c>
      <c r="X265" s="61">
        <f>X$252*'Economic Projections'!$J16</f>
        <v>1023195656.0233059</v>
      </c>
      <c r="Y265" s="61">
        <f>Y$252*'Economic Projections'!$J16</f>
        <v>427452183.99332643</v>
      </c>
      <c r="Z265" s="61">
        <f>Z$252*'Economic Projections'!$J16</f>
        <v>803724374.82566726</v>
      </c>
      <c r="AA265" s="61">
        <f>AA$252*'Economic Projections'!$J16</f>
        <v>88155734.100308001</v>
      </c>
      <c r="AB265" s="61">
        <f>AB$252*'Economic Projections'!$J16</f>
        <v>134002858.33952771</v>
      </c>
      <c r="AC265" s="61">
        <f>AC$252*'Economic Projections'!$J16</f>
        <v>18944792.019917861</v>
      </c>
      <c r="AG265">
        <v>2060</v>
      </c>
      <c r="AH265" s="61">
        <f>AH$252*'Economic Projections'!$K16</f>
        <v>2496037355.9578018</v>
      </c>
      <c r="AI265" s="61">
        <f>AI$252*'Economic Projections'!$K16</f>
        <v>1042749363.5770363</v>
      </c>
      <c r="AJ265" s="61">
        <f>AJ$252*'Economic Projections'!$K16</f>
        <v>1960647557.1403337</v>
      </c>
      <c r="AK265" s="61">
        <f>AK$252*'Economic Projections'!$K16</f>
        <v>215051739.28459272</v>
      </c>
      <c r="AL265" s="61">
        <f>AL$252*'Economic Projections'!$K16</f>
        <v>326893628.06771344</v>
      </c>
      <c r="AM265" s="61">
        <f>AM$252*'Economic Projections'!$K16</f>
        <v>46214923.12266928</v>
      </c>
    </row>
    <row r="266" spans="5:39">
      <c r="E266">
        <v>2070</v>
      </c>
      <c r="F266" s="61">
        <f>F$252*'Economic Projections'!$H17</f>
        <v>2189809300.0022593</v>
      </c>
      <c r="G266" s="61">
        <f>G$252*'Economic Projections'!$H17</f>
        <v>914818942.30553937</v>
      </c>
      <c r="H266" s="61">
        <f>H$252*'Economic Projections'!$H17</f>
        <v>1720104166.0713027</v>
      </c>
      <c r="I266" s="61">
        <f>I$252*'Economic Projections'!$H17</f>
        <v>188667969.06825775</v>
      </c>
      <c r="J266" s="61">
        <f>J$252*'Economic Projections'!$H17</f>
        <v>286788458.97299159</v>
      </c>
      <c r="K266" s="61">
        <f>K$252*'Economic Projections'!$H17</f>
        <v>40545013.563739941</v>
      </c>
      <c r="N266">
        <v>2070</v>
      </c>
      <c r="O266" s="61">
        <f>O$252*'Economic Projections'!$I17</f>
        <v>1756748185.0783908</v>
      </c>
      <c r="P266" s="61">
        <f>P$252*'Economic Projections'!$I17</f>
        <v>733902498.52758014</v>
      </c>
      <c r="Q266" s="61">
        <f>Q$252*'Economic Projections'!$I17</f>
        <v>1379932888.1690392</v>
      </c>
      <c r="R266" s="61">
        <f>R$252*'Economic Projections'!$I17</f>
        <v>151356610.0220443</v>
      </c>
      <c r="S266" s="61">
        <f>S$252*'Economic Projections'!$I17</f>
        <v>230072593.44533414</v>
      </c>
      <c r="T266" s="61">
        <f>T$252*'Economic Projections'!$I17</f>
        <v>32526749.700079087</v>
      </c>
      <c r="W266">
        <v>2070</v>
      </c>
      <c r="X266" s="61">
        <f>X$252*'Economic Projections'!$J17</f>
        <v>1114208257.1967146</v>
      </c>
      <c r="Y266" s="61">
        <f>Y$252*'Economic Projections'!$J17</f>
        <v>465473783.19917864</v>
      </c>
      <c r="Z266" s="61">
        <f>Z$252*'Economic Projections'!$J17</f>
        <v>875215145.48008204</v>
      </c>
      <c r="AA266" s="61">
        <f>AA$252*'Economic Projections'!$J17</f>
        <v>95997130.43696098</v>
      </c>
      <c r="AB266" s="61">
        <f>AB$252*'Economic Projections'!$J17</f>
        <v>145922327.14332649</v>
      </c>
      <c r="AC266" s="61">
        <f>AC$252*'Economic Projections'!$J17</f>
        <v>20629919.190143738</v>
      </c>
      <c r="AG266">
        <v>2070</v>
      </c>
      <c r="AH266" s="61">
        <f>AH$252*'Economic Projections'!$K17</f>
        <v>3161403784.7360153</v>
      </c>
      <c r="AI266" s="61">
        <f>AI$252*'Economic Projections'!$K17</f>
        <v>1320714121.7958782</v>
      </c>
      <c r="AJ266" s="61">
        <f>AJ$252*'Economic Projections'!$K17</f>
        <v>2483295609.6918545</v>
      </c>
      <c r="AK266" s="61">
        <f>AK$252*'Economic Projections'!$K17</f>
        <v>272377887.64082426</v>
      </c>
      <c r="AL266" s="61">
        <f>AL$252*'Economic Projections'!$K17</f>
        <v>414033367.93523055</v>
      </c>
      <c r="AM266" s="61">
        <f>AM$252*'Economic Projections'!$K17</f>
        <v>58534393.534838066</v>
      </c>
    </row>
    <row r="267" spans="5:39">
      <c r="E267">
        <v>2080</v>
      </c>
      <c r="F267" s="61">
        <f>F$252*'Economic Projections'!$H18</f>
        <v>2482957231.0502849</v>
      </c>
      <c r="G267" s="61">
        <f>G$252*'Economic Projections'!$H18</f>
        <v>1037284985.4537419</v>
      </c>
      <c r="H267" s="61">
        <f>H$252*'Economic Projections'!$H18</f>
        <v>1950373065.5002947</v>
      </c>
      <c r="I267" s="61">
        <f>I$252*'Economic Projections'!$H18</f>
        <v>213924791.56295425</v>
      </c>
      <c r="J267" s="61">
        <f>J$252*'Economic Projections'!$H18</f>
        <v>325180589.00746417</v>
      </c>
      <c r="K267" s="61">
        <f>K$252*'Economic Projections'!$H18</f>
        <v>45972740.462384604</v>
      </c>
      <c r="N267">
        <v>2080</v>
      </c>
      <c r="O267" s="61">
        <f>O$252*'Economic Projections'!$I18</f>
        <v>2073676722.9711349</v>
      </c>
      <c r="P267" s="61">
        <f>P$252*'Economic Projections'!$I18</f>
        <v>866303173.70106769</v>
      </c>
      <c r="Q267" s="61">
        <f>Q$252*'Economic Projections'!$I18</f>
        <v>1628881551.5871887</v>
      </c>
      <c r="R267" s="61">
        <f>R$252*'Economic Projections'!$I18</f>
        <v>178662304.44207197</v>
      </c>
      <c r="S267" s="61">
        <f>S$252*'Economic Projections'!$I18</f>
        <v>271579151.56741798</v>
      </c>
      <c r="T267" s="61">
        <f>T$252*'Economic Projections'!$I18</f>
        <v>38394782.075128511</v>
      </c>
      <c r="W267">
        <v>2080</v>
      </c>
      <c r="X267" s="61">
        <f>X$252*'Economic Projections'!$J18</f>
        <v>1208496656.8526695</v>
      </c>
      <c r="Y267" s="61">
        <f>Y$252*'Economic Projections'!$J18</f>
        <v>504863886.27566731</v>
      </c>
      <c r="Z267" s="61">
        <f>Z$252*'Economic Projections'!$J18</f>
        <v>949279069.24743319</v>
      </c>
      <c r="AA267" s="61">
        <f>AA$252*'Economic Projections'!$J18</f>
        <v>104120760.5949692</v>
      </c>
      <c r="AB267" s="61">
        <f>AB$252*'Economic Projections'!$J18</f>
        <v>158270811.02104723</v>
      </c>
      <c r="AC267" s="61">
        <f>AC$252*'Economic Projections'!$J18</f>
        <v>22375698.808008213</v>
      </c>
      <c r="AG267">
        <v>2080</v>
      </c>
      <c r="AH267" s="61">
        <f>AH$252*'Economic Projections'!$K18</f>
        <v>3864865703.1619234</v>
      </c>
      <c r="AI267" s="61">
        <f>AI$252*'Economic Projections'!$K18</f>
        <v>1614593724.9950931</v>
      </c>
      <c r="AJ267" s="61">
        <f>AJ$252*'Economic Projections'!$K18</f>
        <v>3035867825.2522078</v>
      </c>
      <c r="AK267" s="61">
        <f>AK$252*'Economic Projections'!$K18</f>
        <v>332986239.00098133</v>
      </c>
      <c r="AL267" s="61">
        <f>AL$252*'Economic Projections'!$K18</f>
        <v>506162285.06575072</v>
      </c>
      <c r="AM267" s="61">
        <f>AM$252*'Economic Projections'!$K18</f>
        <v>71559214.017664373</v>
      </c>
    </row>
    <row r="268" spans="5:39">
      <c r="E268">
        <v>2090</v>
      </c>
      <c r="F268" s="61">
        <f>F$252*'Economic Projections'!$H19</f>
        <v>2741270016.8980556</v>
      </c>
      <c r="G268" s="61">
        <f>G$252*'Economic Projections'!$H19</f>
        <v>1145198231.3847969</v>
      </c>
      <c r="H268" s="61">
        <f>H$252*'Economic Projections'!$H19</f>
        <v>2153278815.8255749</v>
      </c>
      <c r="I268" s="61">
        <f>I$252*'Economic Projections'!$H19</f>
        <v>236180313.39776078</v>
      </c>
      <c r="J268" s="61">
        <f>J$252*'Economic Projections'!$H19</f>
        <v>359010532.91455513</v>
      </c>
      <c r="K268" s="61">
        <f>K$252*'Economic Projections'!$H19</f>
        <v>50755483.601649977</v>
      </c>
      <c r="N268">
        <v>2090</v>
      </c>
      <c r="O268" s="61">
        <f>O$252*'Economic Projections'!$I19</f>
        <v>2417572310.1156583</v>
      </c>
      <c r="P268" s="61">
        <f>P$252*'Economic Projections'!$I19</f>
        <v>1009969655.2046263</v>
      </c>
      <c r="Q268" s="61">
        <f>Q$252*'Economic Projections'!$I19</f>
        <v>1899012942.5444839</v>
      </c>
      <c r="R268" s="61">
        <f>R$252*'Economic Projections'!$I19</f>
        <v>208291405.93416369</v>
      </c>
      <c r="S268" s="61">
        <f>S$252*'Economic Projections'!$I19</f>
        <v>316617450.32918149</v>
      </c>
      <c r="T268" s="61">
        <f>T$252*'Economic Projections'!$I19</f>
        <v>44762117.918149464</v>
      </c>
      <c r="W268">
        <v>2090</v>
      </c>
      <c r="X268" s="61">
        <f>X$252*'Economic Projections'!$J19</f>
        <v>1310810762.7908623</v>
      </c>
      <c r="Y268" s="61">
        <f>Y$252*'Economic Projections'!$J19</f>
        <v>547606823.83521557</v>
      </c>
      <c r="Z268" s="61">
        <f>Z$252*'Economic Projections'!$J19</f>
        <v>1029647218.1414784</v>
      </c>
      <c r="AA268" s="61">
        <f>AA$252*'Economic Projections'!$J19</f>
        <v>112935863.61529773</v>
      </c>
      <c r="AB268" s="61">
        <f>AB$252*'Economic Projections'!$J19</f>
        <v>171670381.82987681</v>
      </c>
      <c r="AC268" s="61">
        <f>AC$252*'Economic Projections'!$J19</f>
        <v>24270076.922587268</v>
      </c>
      <c r="AG268">
        <v>2090</v>
      </c>
      <c r="AH268" s="61">
        <f>AH$252*'Economic Projections'!$K19</f>
        <v>4604335687.1452398</v>
      </c>
      <c r="AI268" s="61">
        <f>AI$252*'Economic Projections'!$K19</f>
        <v>1923516126.8743865</v>
      </c>
      <c r="AJ268" s="61">
        <f>AJ$252*'Economic Projections'!$K19</f>
        <v>3616724523.6565256</v>
      </c>
      <c r="AK268" s="61">
        <f>AK$252*'Economic Projections'!$K19</f>
        <v>396696946.62512267</v>
      </c>
      <c r="AL268" s="61">
        <f>AL$252*'Economic Projections'!$K19</f>
        <v>603006999.88321877</v>
      </c>
      <c r="AM268" s="61">
        <f>AM$252*'Economic Projections'!$K19</f>
        <v>85250735.252208039</v>
      </c>
    </row>
    <row r="269" spans="5:39">
      <c r="E269">
        <v>2100</v>
      </c>
      <c r="F269" s="61">
        <f>F$252*'Economic Projections'!$H20</f>
        <v>2952839991.719996</v>
      </c>
      <c r="G269" s="61">
        <f>G$252*'Economic Projections'!$H20</f>
        <v>1233584110.7351208</v>
      </c>
      <c r="H269" s="61">
        <f>H$252*'Economic Projections'!$H20</f>
        <v>2319467896.8137889</v>
      </c>
      <c r="I269" s="61">
        <f>I$252*'Economic Projections'!$H20</f>
        <v>254408602.71292478</v>
      </c>
      <c r="J269" s="61">
        <f>J$252*'Economic Projections'!$H20</f>
        <v>386718802.78265566</v>
      </c>
      <c r="K269" s="61">
        <f>K$252*'Economic Projections'!$H20</f>
        <v>54672768.772932626</v>
      </c>
      <c r="N269">
        <v>2100</v>
      </c>
      <c r="O269" s="61">
        <f>O$252*'Economic Projections'!$I20</f>
        <v>2796214913.9374261</v>
      </c>
      <c r="P269" s="61">
        <f>P$252*'Economic Projections'!$I20</f>
        <v>1168152117.1841638</v>
      </c>
      <c r="Q269" s="61">
        <f>Q$252*'Economic Projections'!$I20</f>
        <v>2196438257.2900357</v>
      </c>
      <c r="R269" s="61">
        <f>R$252*'Economic Projections'!$I20</f>
        <v>240914215.17408067</v>
      </c>
      <c r="S269" s="61">
        <f>S$252*'Economic Projections'!$I20</f>
        <v>366206393.46293002</v>
      </c>
      <c r="T269" s="61">
        <f>T$252*'Economic Projections'!$I20</f>
        <v>51772805.79300119</v>
      </c>
      <c r="W269">
        <v>2100</v>
      </c>
      <c r="X269" s="61">
        <f>X$252*'Economic Projections'!$J20</f>
        <v>1427920558.5418892</v>
      </c>
      <c r="Y269" s="61">
        <f>Y$252*'Economic Projections'!$J20</f>
        <v>596530837.21047235</v>
      </c>
      <c r="Z269" s="61">
        <f>Z$252*'Economic Projections'!$J20</f>
        <v>1121637441.9289529</v>
      </c>
      <c r="AA269" s="61">
        <f>AA$252*'Economic Projections'!$J20</f>
        <v>123025722.72874744</v>
      </c>
      <c r="AB269" s="61">
        <f>AB$252*'Economic Projections'!$J20</f>
        <v>187007670.72258729</v>
      </c>
      <c r="AC269" s="61">
        <f>AC$252*'Economic Projections'!$J20</f>
        <v>26438401.925667353</v>
      </c>
      <c r="AG269">
        <v>2100</v>
      </c>
      <c r="AH269" s="61">
        <f>AH$252*'Economic Projections'!$K20</f>
        <v>5380335592.7085381</v>
      </c>
      <c r="AI269" s="61">
        <f>AI$252*'Economic Projections'!$K20</f>
        <v>2247699339.008832</v>
      </c>
      <c r="AJ269" s="61">
        <f>AJ$252*'Economic Projections'!$K20</f>
        <v>4226275624.9460254</v>
      </c>
      <c r="AK269" s="61">
        <f>AK$252*'Economic Projections'!$K20</f>
        <v>463554972.19823354</v>
      </c>
      <c r="AL269" s="61">
        <f>AL$252*'Economic Projections'!$K20</f>
        <v>704635857.28164864</v>
      </c>
      <c r="AM269" s="61">
        <f>AM$252*'Economic Projections'!$K20</f>
        <v>99618619.56820412</v>
      </c>
    </row>
  </sheetData>
  <mergeCells count="61">
    <mergeCell ref="F175:K175"/>
    <mergeCell ref="F251:K251"/>
    <mergeCell ref="F213:K213"/>
    <mergeCell ref="F232:K232"/>
    <mergeCell ref="B2:C2"/>
    <mergeCell ref="F80:K80"/>
    <mergeCell ref="F99:K99"/>
    <mergeCell ref="F23:K23"/>
    <mergeCell ref="F42:K42"/>
    <mergeCell ref="F61:K61"/>
    <mergeCell ref="F4:K4"/>
    <mergeCell ref="F2:K2"/>
    <mergeCell ref="F118:K118"/>
    <mergeCell ref="F156:K156"/>
    <mergeCell ref="F137:K137"/>
    <mergeCell ref="F194:K194"/>
    <mergeCell ref="O2:T2"/>
    <mergeCell ref="O4:T4"/>
    <mergeCell ref="O23:T23"/>
    <mergeCell ref="O42:T42"/>
    <mergeCell ref="O61:T61"/>
    <mergeCell ref="O80:T80"/>
    <mergeCell ref="O99:T99"/>
    <mergeCell ref="O118:T118"/>
    <mergeCell ref="O137:T137"/>
    <mergeCell ref="O156:T156"/>
    <mergeCell ref="O175:T175"/>
    <mergeCell ref="O194:T194"/>
    <mergeCell ref="O213:T213"/>
    <mergeCell ref="O232:T232"/>
    <mergeCell ref="O251:T251"/>
    <mergeCell ref="X2:AC2"/>
    <mergeCell ref="X4:AC4"/>
    <mergeCell ref="X23:AC23"/>
    <mergeCell ref="X42:AC42"/>
    <mergeCell ref="X61:AC61"/>
    <mergeCell ref="X80:AC80"/>
    <mergeCell ref="X99:AC99"/>
    <mergeCell ref="X118:AC118"/>
    <mergeCell ref="X137:AC137"/>
    <mergeCell ref="X156:AC156"/>
    <mergeCell ref="X175:AC175"/>
    <mergeCell ref="X194:AC194"/>
    <mergeCell ref="X213:AC213"/>
    <mergeCell ref="X232:AC232"/>
    <mergeCell ref="X251:AC251"/>
    <mergeCell ref="AH2:AM2"/>
    <mergeCell ref="AH4:AM4"/>
    <mergeCell ref="AH23:AM23"/>
    <mergeCell ref="AH42:AM42"/>
    <mergeCell ref="AH61:AM61"/>
    <mergeCell ref="AH80:AM80"/>
    <mergeCell ref="AH99:AM99"/>
    <mergeCell ref="AH118:AM118"/>
    <mergeCell ref="AH137:AM137"/>
    <mergeCell ref="AH156:AM156"/>
    <mergeCell ref="AH175:AM175"/>
    <mergeCell ref="AH194:AM194"/>
    <mergeCell ref="AH213:AM213"/>
    <mergeCell ref="AH232:AM232"/>
    <mergeCell ref="AH251:AM251"/>
  </mergeCells>
  <phoneticPr fontId="62" type="noConversion"/>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516B0C-00CB-477F-A3B9-25E0A881714B}">
  <sheetPr>
    <tabColor theme="9" tint="0.79998168889431442"/>
  </sheetPr>
  <dimension ref="A1:AH173"/>
  <sheetViews>
    <sheetView tabSelected="1" topLeftCell="A25" workbookViewId="0">
      <pane xSplit="2" topLeftCell="C1" activePane="topRight" state="frozen"/>
      <selection pane="topRight" activeCell="H156" sqref="H156"/>
    </sheetView>
  </sheetViews>
  <sheetFormatPr defaultColWidth="8.7109375" defaultRowHeight="15" outlineLevelCol="1"/>
  <cols>
    <col min="1" max="1" width="41.7109375" customWidth="1" outlineLevel="1"/>
    <col min="2" max="2" width="8.7109375" customWidth="1" outlineLevel="1"/>
    <col min="3" max="3" width="5.42578125" customWidth="1"/>
    <col min="4" max="5" width="21.42578125" bestFit="1" customWidth="1"/>
    <col min="6" max="8" width="20.42578125" bestFit="1" customWidth="1"/>
    <col min="9" max="9" width="18.7109375" bestFit="1" customWidth="1"/>
    <col min="10" max="10" width="10.140625" bestFit="1" customWidth="1"/>
    <col min="11" max="11" width="5.42578125" bestFit="1" customWidth="1"/>
    <col min="12" max="14" width="21.42578125" bestFit="1" customWidth="1"/>
    <col min="15" max="16" width="20.42578125" bestFit="1" customWidth="1"/>
    <col min="17" max="17" width="18.7109375" bestFit="1" customWidth="1"/>
    <col min="18" max="18" width="9.7109375" bestFit="1" customWidth="1"/>
    <col min="19" max="19" width="5.42578125" bestFit="1" customWidth="1"/>
    <col min="20" max="22" width="21.42578125" bestFit="1" customWidth="1"/>
    <col min="23" max="24" width="20.42578125" bestFit="1" customWidth="1"/>
    <col min="25" max="25" width="18.7109375" bestFit="1" customWidth="1"/>
    <col min="26" max="26" width="9.7109375" bestFit="1" customWidth="1"/>
    <col min="27" max="27" width="5.42578125" bestFit="1" customWidth="1"/>
    <col min="28" max="30" width="21.42578125" bestFit="1" customWidth="1"/>
    <col min="31" max="32" width="20.42578125" bestFit="1" customWidth="1"/>
    <col min="33" max="33" width="18.7109375" bestFit="1" customWidth="1"/>
    <col min="34" max="34" width="9.7109375" bestFit="1" customWidth="1"/>
  </cols>
  <sheetData>
    <row r="1" spans="1:34">
      <c r="C1" s="583" t="s">
        <v>201</v>
      </c>
      <c r="D1" s="583"/>
      <c r="E1" s="583"/>
      <c r="F1" s="583"/>
      <c r="G1" s="583"/>
      <c r="H1" s="583"/>
      <c r="I1" s="596"/>
      <c r="J1" s="321"/>
      <c r="K1" s="583" t="s">
        <v>202</v>
      </c>
      <c r="L1" s="583"/>
      <c r="M1" s="583"/>
      <c r="N1" s="583"/>
      <c r="O1" s="583"/>
      <c r="P1" s="583"/>
      <c r="Q1" s="583"/>
      <c r="R1" s="321"/>
      <c r="S1" s="583" t="s">
        <v>203</v>
      </c>
      <c r="T1" s="583"/>
      <c r="U1" s="583"/>
      <c r="V1" s="583"/>
      <c r="W1" s="583"/>
      <c r="X1" s="583"/>
      <c r="Y1" s="583"/>
      <c r="Z1" s="321"/>
      <c r="AA1" s="583" t="s">
        <v>204</v>
      </c>
      <c r="AB1" s="583"/>
      <c r="AC1" s="583"/>
      <c r="AD1" s="583"/>
      <c r="AE1" s="583"/>
      <c r="AF1" s="583"/>
      <c r="AG1" s="583"/>
      <c r="AH1" s="321"/>
    </row>
    <row r="2" spans="1:34">
      <c r="C2" s="375"/>
      <c r="D2" s="413" t="s">
        <v>230</v>
      </c>
      <c r="E2" s="376" t="s">
        <v>3</v>
      </c>
      <c r="F2" s="413" t="s">
        <v>231</v>
      </c>
      <c r="G2" s="376" t="s">
        <v>5</v>
      </c>
      <c r="H2" s="414" t="s">
        <v>232</v>
      </c>
      <c r="I2" s="376" t="s">
        <v>233</v>
      </c>
      <c r="J2" s="1"/>
      <c r="K2" s="377"/>
      <c r="L2" s="415" t="s">
        <v>230</v>
      </c>
      <c r="M2" s="378" t="s">
        <v>3</v>
      </c>
      <c r="N2" s="415" t="s">
        <v>231</v>
      </c>
      <c r="O2" s="378" t="s">
        <v>5</v>
      </c>
      <c r="P2" s="415" t="s">
        <v>232</v>
      </c>
      <c r="Q2" s="378" t="s">
        <v>233</v>
      </c>
      <c r="R2" s="1"/>
      <c r="S2" s="375"/>
      <c r="T2" s="413" t="s">
        <v>230</v>
      </c>
      <c r="U2" s="376" t="s">
        <v>3</v>
      </c>
      <c r="V2" s="413" t="s">
        <v>231</v>
      </c>
      <c r="W2" s="376" t="s">
        <v>5</v>
      </c>
      <c r="X2" s="413" t="s">
        <v>232</v>
      </c>
      <c r="Y2" s="376" t="s">
        <v>233</v>
      </c>
      <c r="Z2" s="1"/>
      <c r="AA2" s="377"/>
      <c r="AB2" s="413" t="s">
        <v>230</v>
      </c>
      <c r="AC2" s="376" t="s">
        <v>3</v>
      </c>
      <c r="AD2" s="413" t="s">
        <v>231</v>
      </c>
      <c r="AE2" s="376" t="s">
        <v>5</v>
      </c>
      <c r="AF2" s="413" t="s">
        <v>232</v>
      </c>
      <c r="AG2" s="376" t="s">
        <v>233</v>
      </c>
      <c r="AH2" s="1"/>
    </row>
    <row r="3" spans="1:34">
      <c r="A3" s="583" t="s">
        <v>228</v>
      </c>
      <c r="B3" s="584"/>
      <c r="C3" s="379" t="s">
        <v>87</v>
      </c>
      <c r="D3" s="585" t="s">
        <v>252</v>
      </c>
      <c r="E3" s="586"/>
      <c r="F3" s="586"/>
      <c r="G3" s="586"/>
      <c r="H3" s="586"/>
      <c r="I3" s="586"/>
      <c r="J3" s="1"/>
      <c r="K3" s="376" t="s">
        <v>87</v>
      </c>
      <c r="L3" s="587" t="s">
        <v>252</v>
      </c>
      <c r="M3" s="588"/>
      <c r="N3" s="588"/>
      <c r="O3" s="588"/>
      <c r="P3" s="588"/>
      <c r="Q3" s="588"/>
      <c r="R3" s="1"/>
      <c r="S3" s="376" t="s">
        <v>87</v>
      </c>
      <c r="T3" s="588" t="s">
        <v>252</v>
      </c>
      <c r="U3" s="588"/>
      <c r="V3" s="588"/>
      <c r="W3" s="588"/>
      <c r="X3" s="588"/>
      <c r="Y3" s="588"/>
      <c r="Z3" s="1"/>
      <c r="AA3" s="376" t="s">
        <v>87</v>
      </c>
      <c r="AB3" s="587" t="s">
        <v>252</v>
      </c>
      <c r="AC3" s="588"/>
      <c r="AD3" s="588"/>
      <c r="AE3" s="588"/>
      <c r="AF3" s="588"/>
      <c r="AG3" s="588"/>
      <c r="AH3" s="1"/>
    </row>
    <row r="4" spans="1:34">
      <c r="A4" s="380" t="s">
        <v>253</v>
      </c>
      <c r="B4" s="416" t="s">
        <v>254</v>
      </c>
      <c r="C4" s="38">
        <v>2020</v>
      </c>
      <c r="D4" s="63">
        <f>IF($B$4 = "lower", 'Prediction Results (Transposed)'!B3, IF($B$4 = "upper", 'Prediction Results (Transposed)'!B4, IF($B$4 = "average", 'Prediction Results (Transposed)'!B5, "Invalid")))</f>
        <v>26198434.489999998</v>
      </c>
      <c r="E4" s="63">
        <f>IF($B$4 = "lower", 'Prediction Results (Transposed)'!C3, IF($B$4 = "upper", 'Prediction Results (Transposed)'!C4, IF($B$4 = "average", 'Prediction Results (Transposed)'!C5, "Invalid")))</f>
        <v>37307317.75</v>
      </c>
      <c r="F4" s="63">
        <f>IF($B$4 = "lower", 'Prediction Results (Transposed)'!D3, IF($B$4 = "upper", 'Prediction Results (Transposed)'!D4, IF($B$4 = "average", 'Prediction Results (Transposed)'!D5, "Invalid")))</f>
        <v>2251689.0299999998</v>
      </c>
      <c r="G4" s="63">
        <f>IF($B$4 = "lower", 'Prediction Results (Transposed)'!E3, IF($B$4 = "upper", 'Prediction Results (Transposed)'!E4, IF($B$4 = "average", 'Prediction Results (Transposed)'!E5, "Invalid")))</f>
        <v>537374.42999999993</v>
      </c>
      <c r="H4" s="63">
        <f>IF($B$4 = "lower", 'Prediction Results (Transposed)'!F3, IF($B$4 = "upper", 'Prediction Results (Transposed)'!F4, IF($B$4 = "average", 'Prediction Results (Transposed)'!F5, "Invalid")))</f>
        <v>561097.07000000007</v>
      </c>
      <c r="I4" s="63">
        <f>IF($B$4 = "lower", 'Prediction Results (Transposed)'!G3, IF($B$4 = "upper", 'Prediction Results (Transposed)'!G4, IF($B$4 = "average", 'Prediction Results (Transposed)'!G5, "Invalid")))</f>
        <v>984176.33000000007</v>
      </c>
      <c r="K4" s="38">
        <v>2020</v>
      </c>
      <c r="L4" s="63">
        <f>D$4</f>
        <v>26198434.489999998</v>
      </c>
      <c r="M4" s="63">
        <f t="shared" ref="M4:Q4" si="0">E$4</f>
        <v>37307317.75</v>
      </c>
      <c r="N4" s="63">
        <f t="shared" si="0"/>
        <v>2251689.0299999998</v>
      </c>
      <c r="O4" s="63">
        <f t="shared" si="0"/>
        <v>537374.42999999993</v>
      </c>
      <c r="P4" s="63">
        <f t="shared" si="0"/>
        <v>561097.07000000007</v>
      </c>
      <c r="Q4" s="63">
        <f t="shared" si="0"/>
        <v>984176.33000000007</v>
      </c>
      <c r="S4" s="38">
        <v>2020</v>
      </c>
      <c r="T4" s="63">
        <f>D$4</f>
        <v>26198434.489999998</v>
      </c>
      <c r="U4" s="63">
        <f t="shared" ref="U4:X4" si="1">E$4</f>
        <v>37307317.75</v>
      </c>
      <c r="V4" s="63">
        <f t="shared" si="1"/>
        <v>2251689.0299999998</v>
      </c>
      <c r="W4" s="63">
        <f t="shared" si="1"/>
        <v>537374.42999999993</v>
      </c>
      <c r="X4" s="63">
        <f t="shared" si="1"/>
        <v>561097.07000000007</v>
      </c>
      <c r="Y4" s="63">
        <f>I$4</f>
        <v>984176.33000000007</v>
      </c>
      <c r="AA4" s="38">
        <v>2020</v>
      </c>
      <c r="AB4" s="63">
        <f>D$4</f>
        <v>26198434.489999998</v>
      </c>
      <c r="AC4" s="63">
        <f t="shared" ref="AC4:AG4" si="2">E$4</f>
        <v>37307317.75</v>
      </c>
      <c r="AD4" s="63">
        <f t="shared" si="2"/>
        <v>2251689.0299999998</v>
      </c>
      <c r="AE4" s="63">
        <f t="shared" si="2"/>
        <v>537374.42999999993</v>
      </c>
      <c r="AF4" s="63">
        <f t="shared" si="2"/>
        <v>561097.07000000007</v>
      </c>
      <c r="AG4" s="63">
        <f t="shared" si="2"/>
        <v>984176.33000000007</v>
      </c>
    </row>
    <row r="5" spans="1:34">
      <c r="A5" s="380" t="s">
        <v>255</v>
      </c>
      <c r="B5" s="180">
        <v>1.1000000000000001</v>
      </c>
      <c r="C5" s="38">
        <v>2021</v>
      </c>
      <c r="D5" s="63">
        <f>D$4*Model!$T22^2*(1+$B$15)^($C5-$C$4)</f>
        <v>27763410.013158005</v>
      </c>
      <c r="E5" s="63">
        <f>E$4*Model!$T22^2*(1+$B$15)^($C5-$C$4)</f>
        <v>39535887.51953008</v>
      </c>
      <c r="F5" s="63">
        <f>F$4*Model!$T22^2*(1+$B$15)^($C5-$C$4)</f>
        <v>2386194.7089198013</v>
      </c>
      <c r="G5" s="63">
        <f>G$4*Model!$T22^2*(1+$B$15)^($C5-$C$4)</f>
        <v>569474.73851431173</v>
      </c>
      <c r="H5" s="63">
        <f>H$4*Model!$T22^2*(1+$B$15)^($C5-$C$4)</f>
        <v>594614.46131591429</v>
      </c>
      <c r="I5" s="63">
        <f>I$4*Model!$T22^2*(1+$B$15)^($C5-$C$4)</f>
        <v>1042966.5553285165</v>
      </c>
      <c r="K5" s="38">
        <v>2021</v>
      </c>
      <c r="L5" s="63">
        <f>L$4*Model!$U22^2*(1+$B$15)^($K5-$K$4)</f>
        <v>27839282.062188465</v>
      </c>
      <c r="M5" s="63">
        <f>M$4*Model!$U22^2*(1+$B$15)^($K5-$K$4)</f>
        <v>39643931.480805829</v>
      </c>
      <c r="N5" s="63">
        <f>N$4*Model!$U22^2*(1+$B$15)^($K5-$K$4)</f>
        <v>2392715.7191943168</v>
      </c>
      <c r="O5" s="63">
        <f>O$4*Model!$U22^2*(1+$B$15)^($K5-$K$4)</f>
        <v>571031.00322609197</v>
      </c>
      <c r="P5" s="63">
        <f>P$4*Model!$U22^2*(1+$B$15)^($K5-$K$4)</f>
        <v>596239.42804521008</v>
      </c>
      <c r="Q5" s="63">
        <f>Q$4*Model!$U22^2*(1+$B$15)^($K5-$K$4)</f>
        <v>1045816.7819247996</v>
      </c>
      <c r="S5" s="38">
        <v>2021</v>
      </c>
      <c r="T5" s="63">
        <f>T$4*Model!$V22^2*(1+$B$15)^($S5-$S$4)</f>
        <v>28011752.374030504</v>
      </c>
      <c r="U5" s="63">
        <f>U$4*Model!$V22^2*(1+$B$15)^($S5-$S$4)</f>
        <v>39889534.122780055</v>
      </c>
      <c r="V5" s="63">
        <f>V$4*Model!$V22^2*(1+$B$15)^($S5-$S$4)</f>
        <v>2407539.1052757879</v>
      </c>
      <c r="W5" s="63">
        <f>W$4*Model!$V22^2*(1+$B$15)^($S5-$S$4)</f>
        <v>574568.66252987273</v>
      </c>
      <c r="X5" s="63">
        <f>X$4*Model!$V22^2*(1+$B$15)^($S5-$S$4)</f>
        <v>599933.25893703278</v>
      </c>
      <c r="Y5" s="63">
        <f>Y$4*Model!$V22^2*(1+$B$15)^($S5-$S$4)</f>
        <v>1052295.8407635042</v>
      </c>
      <c r="AA5" s="38">
        <v>2021</v>
      </c>
      <c r="AB5" s="63">
        <f>AB$4*Model!$W22^2*(1+$B$15)^($AA5-$AA$4)</f>
        <v>28119471.193251554</v>
      </c>
      <c r="AC5" s="63">
        <f>AC$4*Model!$W22^2*(1+$B$15)^($AA5-$AA$4)</f>
        <v>40042928.792903133</v>
      </c>
      <c r="AD5" s="63">
        <f>AD$4*Model!$W22^2*(1+$B$15)^($AA5-$AA$4)</f>
        <v>2416797.2647149395</v>
      </c>
      <c r="AE5" s="63">
        <f>AE$4*Model!$W22^2*(1+$B$15)^($AA5-$AA$4)</f>
        <v>576778.15863931703</v>
      </c>
      <c r="AF5" s="63">
        <f>AF$4*Model!$W22^2*(1+$B$15)^($AA5-$AA$4)</f>
        <v>602240.29426282155</v>
      </c>
      <c r="AG5" s="63">
        <f>AG$4*Model!$W22^2*(1+$B$15)^($AA5-$AA$4)</f>
        <v>1056342.4303493579</v>
      </c>
    </row>
    <row r="6" spans="1:34">
      <c r="A6" s="380" t="s">
        <v>256</v>
      </c>
      <c r="B6" s="180">
        <v>1.25</v>
      </c>
      <c r="C6" s="38">
        <v>2022</v>
      </c>
      <c r="D6" s="63">
        <f>D$4*Model!$T23^2*(1+$B$15)^($C6-$C$4)</f>
        <v>29418228.596917365</v>
      </c>
      <c r="E6" s="63">
        <f>E$4*Model!$T23^2*(1+$B$15)^($C6-$C$4)</f>
        <v>41892396.369189806</v>
      </c>
      <c r="F6" s="63">
        <f>F$4*Model!$T23^2*(1+$B$15)^($C6-$C$4)</f>
        <v>2528422.1711413842</v>
      </c>
      <c r="G6" s="63">
        <f>G$4*Model!$T23^2*(1+$B$15)^($C6-$C$4)</f>
        <v>603417.88093912043</v>
      </c>
      <c r="H6" s="63">
        <f>H$4*Model!$T23^2*(1+$B$15)^($C6-$C$4)</f>
        <v>630056.03928819136</v>
      </c>
      <c r="I6" s="63">
        <f>I$4*Model!$T23^2*(1+$B$15)^($C6-$C$4)</f>
        <v>1105131.8454416238</v>
      </c>
      <c r="K6" s="38">
        <v>2022</v>
      </c>
      <c r="L6" s="63">
        <f>L$4*Model!$U23^2*(1+$B$15)^($K6-$K$4)</f>
        <v>29579173.568241261</v>
      </c>
      <c r="M6" s="63">
        <f>M$4*Model!$U23^2*(1+$B$15)^($K6-$K$4)</f>
        <v>42121586.597626433</v>
      </c>
      <c r="N6" s="63">
        <f>N$4*Model!$U23^2*(1+$B$15)^($K6-$K$4)</f>
        <v>2542254.9834226682</v>
      </c>
      <c r="O6" s="63">
        <f>O$4*Model!$U23^2*(1+$B$15)^($K6-$K$4)</f>
        <v>606719.13591523585</v>
      </c>
      <c r="P6" s="63">
        <f>P$4*Model!$U23^2*(1+$B$15)^($K6-$K$4)</f>
        <v>633503.02967517579</v>
      </c>
      <c r="Q6" s="63">
        <f>Q$4*Model!$U23^2*(1+$B$15)^($K6-$K$4)</f>
        <v>1111177.940725293</v>
      </c>
      <c r="S6" s="38">
        <v>2022</v>
      </c>
      <c r="T6" s="63">
        <f>T$4*Model!$V23^2*(1+$B$15)^($S6-$S$4)</f>
        <v>29944212.757454563</v>
      </c>
      <c r="U6" s="63">
        <f>U$4*Model!$V23^2*(1+$B$15)^($S6-$S$4)</f>
        <v>42641412.811989777</v>
      </c>
      <c r="V6" s="63">
        <f>V$4*Model!$V23^2*(1+$B$15)^($S6-$S$4)</f>
        <v>2573629.1763419216</v>
      </c>
      <c r="W6" s="63">
        <f>W$4*Model!$V23^2*(1+$B$15)^($S6-$S$4)</f>
        <v>614206.71027033846</v>
      </c>
      <c r="X6" s="63">
        <f>X$4*Model!$V23^2*(1+$B$15)^($S6-$S$4)</f>
        <v>641321.1464248976</v>
      </c>
      <c r="Y6" s="63">
        <f>Y$4*Model!$V23^2*(1+$B$15)^($S6-$S$4)</f>
        <v>1124891.0856723031</v>
      </c>
      <c r="AA6" s="38">
        <v>2022</v>
      </c>
      <c r="AB6" s="63">
        <f>AB$4*Model!$W23^2*(1+$B$15)^($AA6-$AA$4)</f>
        <v>30172478.104301196</v>
      </c>
      <c r="AC6" s="63">
        <f>AC$4*Model!$W23^2*(1+$B$15)^($AA6-$AA$4)</f>
        <v>42966469.174780153</v>
      </c>
      <c r="AD6" s="63">
        <f>AD$4*Model!$W23^2*(1+$B$15)^($AA6-$AA$4)</f>
        <v>2593248.0042386763</v>
      </c>
      <c r="AE6" s="63">
        <f>AE$4*Model!$W23^2*(1+$B$15)^($AA6-$AA$4)</f>
        <v>618888.82059633068</v>
      </c>
      <c r="AF6" s="63">
        <f>AF$4*Model!$W23^2*(1+$B$15)^($AA6-$AA$4)</f>
        <v>646209.95065276348</v>
      </c>
      <c r="AG6" s="63">
        <f>AG$4*Model!$W23^2*(1+$B$15)^($AA6-$AA$4)</f>
        <v>1133466.1534463509</v>
      </c>
    </row>
    <row r="7" spans="1:34">
      <c r="A7" s="380" t="s">
        <v>257</v>
      </c>
      <c r="B7" s="180">
        <v>1.5</v>
      </c>
      <c r="C7" s="38">
        <v>2023</v>
      </c>
      <c r="D7" s="63">
        <f>D$4*Model!$T24^2*(1+$B$15)^($C7-$C$4)</f>
        <v>31168475.825030707</v>
      </c>
      <c r="E7" s="63">
        <f>E$4*Model!$T24^2*(1+$B$15)^($C7-$C$4)</f>
        <v>44384798.329513244</v>
      </c>
      <c r="F7" s="63">
        <f>F$4*Model!$T24^2*(1+$B$15)^($C7-$C$4)</f>
        <v>2678851.4834285369</v>
      </c>
      <c r="G7" s="63">
        <f>G$4*Model!$T24^2*(1+$B$15)^($C7-$C$4)</f>
        <v>639318.42709295626</v>
      </c>
      <c r="H7" s="63">
        <f>H$4*Model!$T24^2*(1+$B$15)^($C7-$C$4)</f>
        <v>667541.43147240265</v>
      </c>
      <c r="I7" s="63">
        <f>I$4*Model!$T24^2*(1+$B$15)^($C7-$C$4)</f>
        <v>1170882.0296449878</v>
      </c>
      <c r="K7" s="38">
        <v>2023</v>
      </c>
      <c r="L7" s="63">
        <f>L$4*Model!$U24^2*(1+$B$15)^($K7-$K$4)</f>
        <v>31423275.674291287</v>
      </c>
      <c r="M7" s="63">
        <f>M$4*Model!$U24^2*(1+$B$15)^($K7-$K$4)</f>
        <v>44747640.580360137</v>
      </c>
      <c r="N7" s="63">
        <f>N$4*Model!$U24^2*(1+$B$15)^($K7-$K$4)</f>
        <v>2700750.8845414044</v>
      </c>
      <c r="O7" s="63">
        <f>O$4*Model!$U24^2*(1+$B$15)^($K7-$K$4)</f>
        <v>644544.80517340044</v>
      </c>
      <c r="P7" s="63">
        <f>P$4*Model!$U24^2*(1+$B$15)^($K7-$K$4)</f>
        <v>672998.53040368133</v>
      </c>
      <c r="Q7" s="63">
        <f>Q$4*Model!$U24^2*(1+$B$15)^($K7-$K$4)</f>
        <v>1180453.8985528625</v>
      </c>
      <c r="S7" s="38">
        <v>2023</v>
      </c>
      <c r="T7" s="63">
        <f>T$4*Model!$V24^2*(1+$B$15)^($S7-$S$4)</f>
        <v>32002662.82049153</v>
      </c>
      <c r="U7" s="63">
        <f>U$4*Model!$V24^2*(1+$B$15)^($S7-$S$4)</f>
        <v>45572704.397505723</v>
      </c>
      <c r="V7" s="63">
        <f>V$4*Model!$V24^2*(1+$B$15)^($S7-$S$4)</f>
        <v>2750547.7409802908</v>
      </c>
      <c r="W7" s="63">
        <f>W$4*Model!$V24^2*(1+$B$15)^($S7-$S$4)</f>
        <v>656429.02052823489</v>
      </c>
      <c r="X7" s="63">
        <f>X$4*Model!$V24^2*(1+$B$15)^($S7-$S$4)</f>
        <v>685407.379881031</v>
      </c>
      <c r="Y7" s="63">
        <f>Y$4*Model!$V24^2*(1+$B$15)^($S7-$S$4)</f>
        <v>1202219.2874509732</v>
      </c>
      <c r="AA7" s="38">
        <v>2023</v>
      </c>
      <c r="AB7" s="63">
        <f>AB$4*Model!$W24^2*(1+$B$15)^($AA7-$AA$4)</f>
        <v>32366621.193759102</v>
      </c>
      <c r="AC7" s="63">
        <f>AC$4*Model!$W24^2*(1+$B$15)^($AA7-$AA$4)</f>
        <v>46090991.499143399</v>
      </c>
      <c r="AD7" s="63">
        <f>AD$4*Model!$W24^2*(1+$B$15)^($AA7-$AA$4)</f>
        <v>2781829.0405089343</v>
      </c>
      <c r="AE7" s="63">
        <f>AE$4*Model!$W24^2*(1+$B$15)^($AA7-$AA$4)</f>
        <v>663894.42551085108</v>
      </c>
      <c r="AF7" s="63">
        <f>AF$4*Model!$W24^2*(1+$B$15)^($AA7-$AA$4)</f>
        <v>693202.348581178</v>
      </c>
      <c r="AG7" s="63">
        <f>AG$4*Model!$W24^2*(1+$B$15)^($AA7-$AA$4)</f>
        <v>1215891.830221114</v>
      </c>
    </row>
    <row r="8" spans="1:34">
      <c r="A8" s="380" t="s">
        <v>258</v>
      </c>
      <c r="B8">
        <v>1</v>
      </c>
      <c r="C8" s="38">
        <v>2024</v>
      </c>
      <c r="D8" s="63">
        <f>D$4*Model!$T25^2*(1+$B$15)^($C8-$C$4)</f>
        <v>33019488.945506983</v>
      </c>
      <c r="E8" s="63">
        <f>E$4*Model!$T25^2*(1+$B$15)^($C8-$C$4)</f>
        <v>47020693.793854304</v>
      </c>
      <c r="F8" s="63">
        <f>F$4*Model!$T25^2*(1+$B$15)^($C8-$C$4)</f>
        <v>2837941.3687174227</v>
      </c>
      <c r="G8" s="63">
        <f>G$4*Model!$T25^2*(1+$B$15)^($C8-$C$4)</f>
        <v>677285.85300606303</v>
      </c>
      <c r="H8" s="63">
        <f>H$4*Model!$T25^2*(1+$B$15)^($C8-$C$4)</f>
        <v>707184.9467682204</v>
      </c>
      <c r="I8" s="63">
        <f>I$4*Model!$T25^2*(1+$B$15)^($C8-$C$4)</f>
        <v>1240417.6082074221</v>
      </c>
      <c r="K8" s="38">
        <v>2024</v>
      </c>
      <c r="L8" s="63">
        <f>L$4*Model!$U25^2*(1+$B$15)^($K8-$K$4)</f>
        <v>33376960.028509755</v>
      </c>
      <c r="M8" s="63">
        <f>M$4*Model!$U25^2*(1+$B$15)^($K8-$K$4)</f>
        <v>47529742.809172817</v>
      </c>
      <c r="N8" s="63">
        <f>N$4*Model!$U25^2*(1+$B$15)^($K8-$K$4)</f>
        <v>2868665.1020934302</v>
      </c>
      <c r="O8" s="63">
        <f>O$4*Model!$U25^2*(1+$B$15)^($K8-$K$4)</f>
        <v>684618.19263663993</v>
      </c>
      <c r="P8" s="63">
        <f>P$4*Model!$U25^2*(1+$B$15)^($K8-$K$4)</f>
        <v>714840.97588549997</v>
      </c>
      <c r="Q8" s="63">
        <f>Q$4*Model!$U25^2*(1+$B$15)^($K8-$K$4)</f>
        <v>1253846.4479606175</v>
      </c>
      <c r="S8" s="38">
        <v>2024</v>
      </c>
      <c r="T8" s="63">
        <f>T$4*Model!$V25^2*(1+$B$15)^($S8-$S$4)</f>
        <v>34194911.587845266</v>
      </c>
      <c r="U8" s="63">
        <f>U$4*Model!$V25^2*(1+$B$15)^($S8-$S$4)</f>
        <v>48694529.153176911</v>
      </c>
      <c r="V8" s="63">
        <f>V$4*Model!$V25^2*(1+$B$15)^($S8-$S$4)</f>
        <v>2938965.9650679026</v>
      </c>
      <c r="W8" s="63">
        <f>W$4*Model!$V25^2*(1+$B$15)^($S8-$S$4)</f>
        <v>701395.76967595913</v>
      </c>
      <c r="X8" s="63">
        <f>X$4*Model!$V25^2*(1+$B$15)^($S8-$S$4)</f>
        <v>732359.20673705218</v>
      </c>
      <c r="Y8" s="63">
        <f>Y$4*Model!$V25^2*(1+$B$15)^($S8-$S$4)</f>
        <v>1284573.8016920732</v>
      </c>
      <c r="AA8" s="38">
        <v>2024</v>
      </c>
      <c r="AB8" s="63">
        <f>AB$4*Model!$W25^2*(1+$B$15)^($AA8-$AA$4)</f>
        <v>34710429.064645894</v>
      </c>
      <c r="AC8" s="63">
        <f>AC$4*Model!$W25^2*(1+$B$15)^($AA8-$AA$4)</f>
        <v>49428640.739883371</v>
      </c>
      <c r="AD8" s="63">
        <f>AD$4*Model!$W25^2*(1+$B$15)^($AA8-$AA$4)</f>
        <v>2983273.3853348773</v>
      </c>
      <c r="AE8" s="63">
        <f>AE$4*Model!$W25^2*(1+$B$15)^($AA8-$AA$4)</f>
        <v>711969.90952986956</v>
      </c>
      <c r="AF8" s="63">
        <f>AF$4*Model!$W25^2*(1+$B$15)^($AA8-$AA$4)</f>
        <v>743400.14683127927</v>
      </c>
      <c r="AG8" s="63">
        <f>AG$4*Model!$W25^2*(1+$B$15)^($AA8-$AA$4)</f>
        <v>1303939.8481084022</v>
      </c>
    </row>
    <row r="9" spans="1:34">
      <c r="A9" s="380" t="s">
        <v>259</v>
      </c>
      <c r="B9">
        <v>3</v>
      </c>
      <c r="C9" s="38">
        <v>2025</v>
      </c>
      <c r="D9" s="63">
        <f>D$4*Model!$T26^2*(1+$B$15)^($C9-$C$4)</f>
        <v>34976231.627101429</v>
      </c>
      <c r="E9" s="63">
        <f>E$4*Model!$T26^2*(1+$B$15)^($C9-$C$4)</f>
        <v>49807151.168057166</v>
      </c>
      <c r="F9" s="63">
        <f>F$4*Model!$T26^2*(1+$B$15)^($C9-$C$4)</f>
        <v>3006118.4417543928</v>
      </c>
      <c r="G9" s="63">
        <f>G$4*Model!$T26^2*(1+$B$15)^($C9-$C$4)</f>
        <v>717421.97196308896</v>
      </c>
      <c r="H9" s="63">
        <f>H$4*Model!$T26^2*(1+$B$15)^($C9-$C$4)</f>
        <v>749092.89305431128</v>
      </c>
      <c r="I9" s="63">
        <f>I$4*Model!$T26^2*(1+$B$15)^($C9-$C$4)</f>
        <v>1313925.0474347952</v>
      </c>
      <c r="K9" s="38">
        <v>2025</v>
      </c>
      <c r="L9" s="63">
        <f>L$4*Model!$U26^2*(1+$B$15)^($K9-$K$4)</f>
        <v>35447811.454382174</v>
      </c>
      <c r="M9" s="63">
        <f>M$4*Model!$U26^2*(1+$B$15)^($K9-$K$4)</f>
        <v>50478694.288985558</v>
      </c>
      <c r="N9" s="63">
        <f>N$4*Model!$U26^2*(1+$B$15)^($K9-$K$4)</f>
        <v>3046649.5324293966</v>
      </c>
      <c r="O9" s="63">
        <f>O$4*Model!$U26^2*(1+$B$15)^($K9-$K$4)</f>
        <v>727094.8759292101</v>
      </c>
      <c r="P9" s="63">
        <f>P$4*Model!$U26^2*(1+$B$15)^($K9-$K$4)</f>
        <v>759192.81179026968</v>
      </c>
      <c r="Q9" s="63">
        <f>Q$4*Model!$U26^2*(1+$B$15)^($K9-$K$4)</f>
        <v>1331640.5221473144</v>
      </c>
      <c r="S9" s="38">
        <v>2025</v>
      </c>
      <c r="T9" s="63">
        <f>T$4*Model!$V26^2*(1+$B$15)^($S9-$S$4)</f>
        <v>36529909.393323094</v>
      </c>
      <c r="U9" s="63">
        <f>U$4*Model!$V26^2*(1+$B$15)^($S9-$S$4)</f>
        <v>52019632.609559581</v>
      </c>
      <c r="V9" s="63">
        <f>V$4*Model!$V26^2*(1+$B$15)^($S9-$S$4)</f>
        <v>3139653.1071059261</v>
      </c>
      <c r="W9" s="63">
        <f>W$4*Model!$V26^2*(1+$B$15)^($S9-$S$4)</f>
        <v>749290.54427590116</v>
      </c>
      <c r="X9" s="63">
        <f>X$4*Model!$V26^2*(1+$B$15)^($S9-$S$4)</f>
        <v>782368.31806811772</v>
      </c>
      <c r="Y9" s="63">
        <f>Y$4*Model!$V26^2*(1+$B$15)^($S9-$S$4)</f>
        <v>1372290.8586647101</v>
      </c>
      <c r="AA9" s="38">
        <v>2025</v>
      </c>
      <c r="AB9" s="63">
        <f>AB$4*Model!$W26^2*(1+$B$15)^($AA9-$AA$4)</f>
        <v>37214225.400084585</v>
      </c>
      <c r="AC9" s="63">
        <f>AC$4*Model!$W26^2*(1+$B$15)^($AA9-$AA$4)</f>
        <v>52994118.11614231</v>
      </c>
      <c r="AD9" s="63">
        <f>AD$4*Model!$W26^2*(1+$B$15)^($AA9-$AA$4)</f>
        <v>3198468.3331098463</v>
      </c>
      <c r="AE9" s="63">
        <f>AE$4*Model!$W26^2*(1+$B$15)^($AA9-$AA$4)</f>
        <v>763327.02894500224</v>
      </c>
      <c r="AF9" s="63">
        <f>AF$4*Model!$W26^2*(1+$B$15)^($AA9-$AA$4)</f>
        <v>797024.44977303082</v>
      </c>
      <c r="AG9" s="63">
        <f>AG$4*Model!$W26^2*(1+$B$15)^($AA9-$AA$4)</f>
        <v>1397998.0289290955</v>
      </c>
    </row>
    <row r="10" spans="1:34">
      <c r="A10" s="380" t="s">
        <v>260</v>
      </c>
      <c r="B10">
        <v>12</v>
      </c>
      <c r="C10" s="38">
        <v>2026</v>
      </c>
      <c r="D10" s="63">
        <f>D$4*Model!$T27^2*(1+$B$15)^($C10-$C$4)</f>
        <v>37045236.766042285</v>
      </c>
      <c r="E10" s="63">
        <f>E$4*Model!$T27^2*(1+$B$15)^($C10-$C$4)</f>
        <v>52753473.482633352</v>
      </c>
      <c r="F10" s="63">
        <f>F$4*Model!$T27^2*(1+$B$15)^($C10-$C$4)</f>
        <v>3183944.1884090262</v>
      </c>
      <c r="G10" s="63">
        <f>G$4*Model!$T27^2*(1+$B$15)^($C10-$C$4)</f>
        <v>759860.78477191541</v>
      </c>
      <c r="H10" s="63">
        <f>H$4*Model!$T27^2*(1+$B$15)^($C10-$C$4)</f>
        <v>793405.18666551088</v>
      </c>
      <c r="I10" s="63">
        <f>I$4*Model!$T27^2*(1+$B$15)^($C10-$C$4)</f>
        <v>1391649.7635880138</v>
      </c>
      <c r="K10" s="38">
        <v>2026</v>
      </c>
      <c r="L10" s="63">
        <f>L$4*Model!$U27^2*(1+$B$15)^($K10-$K$4)</f>
        <v>37642621.075937301</v>
      </c>
      <c r="M10" s="63">
        <f>M$4*Model!$U27^2*(1+$B$15)^($K10-$K$4)</f>
        <v>53604165.774061099</v>
      </c>
      <c r="N10" s="63">
        <f>N$4*Model!$U27^2*(1+$B$15)^($K10-$K$4)</f>
        <v>3235287.8554437174</v>
      </c>
      <c r="O10" s="63">
        <f>O$4*Model!$U27^2*(1+$B$15)^($K10-$K$4)</f>
        <v>772114.15255018137</v>
      </c>
      <c r="P10" s="63">
        <f>P$4*Model!$U27^2*(1+$B$15)^($K10-$K$4)</f>
        <v>806199.48496886971</v>
      </c>
      <c r="Q10" s="63">
        <f>Q$4*Model!$U27^2*(1+$B$15)^($K10-$K$4)</f>
        <v>1414091.2380179642</v>
      </c>
      <c r="S10" s="38">
        <v>2026</v>
      </c>
      <c r="T10" s="63">
        <f>T$4*Model!$V27^2*(1+$B$15)^($S10-$S$4)</f>
        <v>39016524.64606373</v>
      </c>
      <c r="U10" s="63">
        <f>U$4*Model!$V27^2*(1+$B$15)^($S10-$S$4)</f>
        <v>55560643.634145863</v>
      </c>
      <c r="V10" s="63">
        <f>V$4*Model!$V27^2*(1+$B$15)^($S10-$S$4)</f>
        <v>3353371.3843779499</v>
      </c>
      <c r="W10" s="63">
        <f>W$4*Model!$V27^2*(1+$B$15)^($S10-$S$4)</f>
        <v>800295.25047622225</v>
      </c>
      <c r="X10" s="63">
        <f>X$4*Model!$V27^2*(1+$B$15)^($S10-$S$4)</f>
        <v>835624.65035250084</v>
      </c>
      <c r="Y10" s="63">
        <f>Y$4*Model!$V27^2*(1+$B$15)^($S10-$S$4)</f>
        <v>1465703.6110373158</v>
      </c>
      <c r="AA10" s="38">
        <v>2026</v>
      </c>
      <c r="AB10" s="63">
        <f>AB$4*Model!$W27^2*(1+$B$15)^($AA10-$AA$4)</f>
        <v>39887629.203452572</v>
      </c>
      <c r="AC10" s="63">
        <f>AC$4*Model!$W27^2*(1+$B$15)^($AA10-$AA$4)</f>
        <v>56801121.363011047</v>
      </c>
      <c r="AD10" s="63">
        <f>AD$4*Model!$W27^2*(1+$B$15)^($AA10-$AA$4)</f>
        <v>3428240.6127894474</v>
      </c>
      <c r="AE10" s="63">
        <f>AE$4*Model!$W27^2*(1+$B$15)^($AA10-$AA$4)</f>
        <v>818163.08586829144</v>
      </c>
      <c r="AF10" s="63">
        <f>AF$4*Model!$W27^2*(1+$B$15)^($AA10-$AA$4)</f>
        <v>854281.26951045438</v>
      </c>
      <c r="AG10" s="63">
        <f>AG$4*Model!$W27^2*(1+$B$15)^($AA10-$AA$4)</f>
        <v>1498427.7223449768</v>
      </c>
    </row>
    <row r="11" spans="1:34">
      <c r="A11" s="380" t="s">
        <v>261</v>
      </c>
      <c r="B11" s="180">
        <f>0.4</f>
        <v>0.4</v>
      </c>
      <c r="C11" s="38">
        <v>2027</v>
      </c>
      <c r="D11" s="63">
        <f>D$4*Model!$T28^2*(1+$B$15)^($C11-$C$4)</f>
        <v>39232025.375709303</v>
      </c>
      <c r="E11" s="63">
        <f>E$4*Model!$T28^2*(1+$B$15)^($C11-$C$4)</f>
        <v>55867522.818064779</v>
      </c>
      <c r="F11" s="63">
        <f>F$4*Model!$T28^2*(1+$B$15)^($C11-$C$4)</f>
        <v>3371893.1257852525</v>
      </c>
      <c r="G11" s="63">
        <f>G$4*Model!$T28^2*(1+$B$15)^($C11-$C$4)</f>
        <v>804715.53680295194</v>
      </c>
      <c r="H11" s="63">
        <f>H$4*Model!$T28^2*(1+$B$15)^($C11-$C$4)</f>
        <v>840240.07224090223</v>
      </c>
      <c r="I11" s="63">
        <f>I$4*Model!$T28^2*(1+$B$15)^($C11-$C$4)</f>
        <v>1473799.1603074777</v>
      </c>
      <c r="K11" s="38">
        <v>2027</v>
      </c>
      <c r="L11" s="63">
        <f>L$4*Model!$U28^2*(1+$B$15)^($K11-$K$4)</f>
        <v>39967088.840329207</v>
      </c>
      <c r="M11" s="63">
        <f>M$4*Model!$U28^2*(1+$B$15)^($K11-$K$4)</f>
        <v>56914274.151678167</v>
      </c>
      <c r="N11" s="63">
        <f>N$4*Model!$U28^2*(1+$B$15)^($K11-$K$4)</f>
        <v>3435069.9671446169</v>
      </c>
      <c r="O11" s="63">
        <f>O$4*Model!$U28^2*(1+$B$15)^($K11-$K$4)</f>
        <v>819792.93810587027</v>
      </c>
      <c r="P11" s="63">
        <f>P$4*Model!$U28^2*(1+$B$15)^($K11-$K$4)</f>
        <v>855983.0723205331</v>
      </c>
      <c r="Q11" s="63">
        <f>Q$4*Model!$U28^2*(1+$B$15)^($K11-$K$4)</f>
        <v>1501412.7210796999</v>
      </c>
      <c r="S11" s="38">
        <v>2027</v>
      </c>
      <c r="T11" s="63">
        <f>T$4*Model!$V28^2*(1+$B$15)^($S11-$S$4)</f>
        <v>41662650.243782684</v>
      </c>
      <c r="U11" s="63">
        <f>U$4*Model!$V28^2*(1+$B$15)^($S11-$S$4)</f>
        <v>59328801.938344963</v>
      </c>
      <c r="V11" s="63">
        <f>V$4*Model!$V28^2*(1+$B$15)^($S11-$S$4)</f>
        <v>3580799.1714337082</v>
      </c>
      <c r="W11" s="63">
        <f>W$4*Model!$V28^2*(1+$B$15)^($S11-$S$4)</f>
        <v>854571.78502737614</v>
      </c>
      <c r="X11" s="63">
        <f>X$4*Model!$V28^2*(1+$B$15)^($S11-$S$4)</f>
        <v>892297.24734675372</v>
      </c>
      <c r="Y11" s="63">
        <f>Y$4*Model!$V28^2*(1+$B$15)^($S11-$S$4)</f>
        <v>1565108.565195021</v>
      </c>
      <c r="AA11" s="38">
        <v>2027</v>
      </c>
      <c r="AB11" s="63">
        <f>AB$4*Model!$W28^2*(1+$B$15)^($AA11-$AA$4)</f>
        <v>42742261.41377487</v>
      </c>
      <c r="AC11" s="63">
        <f>AC$4*Model!$W28^2*(1+$B$15)^($AA11-$AA$4)</f>
        <v>60866199.029026926</v>
      </c>
      <c r="AD11" s="63">
        <f>AD$4*Model!$W28^2*(1+$B$15)^($AA11-$AA$4)</f>
        <v>3673589.0146231852</v>
      </c>
      <c r="AE11" s="63">
        <f>AE$4*Model!$W28^2*(1+$B$15)^($AA11-$AA$4)</f>
        <v>876716.44551530096</v>
      </c>
      <c r="AF11" s="63">
        <f>AF$4*Model!$W28^2*(1+$B$15)^($AA11-$AA$4)</f>
        <v>915419.49400058005</v>
      </c>
      <c r="AG11" s="63">
        <f>AG$4*Model!$W28^2*(1+$B$15)^($AA11-$AA$4)</f>
        <v>1605665.4831862655</v>
      </c>
    </row>
    <row r="12" spans="1:34">
      <c r="A12" s="380" t="s">
        <v>262</v>
      </c>
      <c r="B12" s="180">
        <f>0.575</f>
        <v>0.57499999999999996</v>
      </c>
      <c r="C12" s="38">
        <v>2028</v>
      </c>
      <c r="D12" s="63">
        <f>D$4*Model!$T29^2*(1+$B$15)^($C12-$C$4)</f>
        <v>41543845.699393675</v>
      </c>
      <c r="E12" s="63">
        <f>E$4*Model!$T29^2*(1+$B$15)^($C12-$C$4)</f>
        <v>59159620.879478395</v>
      </c>
      <c r="F12" s="63">
        <f>F$4*Model!$T29^2*(1+$B$15)^($C12-$C$4)</f>
        <v>3570588.2220192696</v>
      </c>
      <c r="G12" s="63">
        <f>G$4*Model!$T29^2*(1+$B$15)^($C12-$C$4)</f>
        <v>852134.90184846637</v>
      </c>
      <c r="H12" s="63">
        <f>H$4*Model!$T29^2*(1+$B$15)^($C12-$C$4)</f>
        <v>889752.78684531397</v>
      </c>
      <c r="I12" s="63">
        <f>I$4*Model!$T29^2*(1+$B$15)^($C12-$C$4)</f>
        <v>1560645.5267440507</v>
      </c>
      <c r="K12" s="38">
        <v>2028</v>
      </c>
      <c r="L12" s="63">
        <f>L$4*Model!$U29^2*(1+$B$15)^($K12-$K$4)</f>
        <v>42430116.110542163</v>
      </c>
      <c r="M12" s="63">
        <f>M$4*Model!$U29^2*(1+$B$15)^($K12-$K$4)</f>
        <v>60421695.216544621</v>
      </c>
      <c r="N12" s="63">
        <f>N$4*Model!$U29^2*(1+$B$15)^($K12-$K$4)</f>
        <v>3646760.9171151682</v>
      </c>
      <c r="O12" s="63">
        <f>O$4*Model!$U29^2*(1+$B$15)^($K12-$K$4)</f>
        <v>870313.81468383351</v>
      </c>
      <c r="P12" s="63">
        <f>P$4*Model!$U29^2*(1+$B$15)^($K12-$K$4)</f>
        <v>908734.2161025824</v>
      </c>
      <c r="Q12" s="63">
        <f>Q$4*Model!$U29^2*(1+$B$15)^($K12-$K$4)</f>
        <v>1593939.3619525877</v>
      </c>
      <c r="S12" s="38">
        <v>2028</v>
      </c>
      <c r="T12" s="63">
        <f>T$4*Model!$V29^2*(1+$B$15)^($S12-$S$4)</f>
        <v>44479586.397906914</v>
      </c>
      <c r="U12" s="63">
        <f>U$4*Model!$V29^2*(1+$B$15)^($S12-$S$4)</f>
        <v>63340199.345449187</v>
      </c>
      <c r="V12" s="63">
        <f>V$4*Model!$V29^2*(1+$B$15)^($S12-$S$4)</f>
        <v>3822907.6927987165</v>
      </c>
      <c r="W12" s="63">
        <f>W$4*Model!$V29^2*(1+$B$15)^($S12-$S$4)</f>
        <v>912351.93447663833</v>
      </c>
      <c r="X12" s="63">
        <f>X$4*Model!$V29^2*(1+$B$15)^($S12-$S$4)</f>
        <v>952628.12792129663</v>
      </c>
      <c r="Y12" s="63">
        <f>Y$4*Model!$V29^2*(1+$B$15)^($S12-$S$4)</f>
        <v>1670930.2274423784</v>
      </c>
      <c r="AA12" s="38">
        <v>2028</v>
      </c>
      <c r="AB12" s="63">
        <f>AB$4*Model!$W29^2*(1+$B$15)^($AA12-$AA$4)</f>
        <v>45788964.410865933</v>
      </c>
      <c r="AC12" s="63">
        <f>AC$4*Model!$W29^2*(1+$B$15)^($AA12-$AA$4)</f>
        <v>65204790.972211137</v>
      </c>
      <c r="AD12" s="63">
        <f>AD$4*Model!$W29^2*(1+$B$15)^($AA12-$AA$4)</f>
        <v>3935445.4136701054</v>
      </c>
      <c r="AE12" s="63">
        <f>AE$4*Model!$W29^2*(1+$B$15)^($AA12-$AA$4)</f>
        <v>939209.5035285966</v>
      </c>
      <c r="AF12" s="63">
        <f>AF$4*Model!$W29^2*(1+$B$15)^($AA12-$AA$4)</f>
        <v>980671.33664333506</v>
      </c>
      <c r="AG12" s="63">
        <f>AG$4*Model!$W29^2*(1+$B$15)^($AA12-$AA$4)</f>
        <v>1720118.6187513545</v>
      </c>
    </row>
    <row r="13" spans="1:34">
      <c r="A13" s="380" t="s">
        <v>263</v>
      </c>
      <c r="B13" s="180">
        <f>0.75</f>
        <v>0.75</v>
      </c>
      <c r="C13" s="38">
        <v>2029</v>
      </c>
      <c r="D13" s="63">
        <f>D$4*Model!$T30^2*(1+$B$15)^($C13-$C$4)</f>
        <v>43987638.327381037</v>
      </c>
      <c r="E13" s="63">
        <f>E$4*Model!$T30^2*(1+$B$15)^($C13-$C$4)</f>
        <v>62639651.26534868</v>
      </c>
      <c r="F13" s="63">
        <f>F$4*Model!$T30^2*(1+$B$15)^($C13-$C$4)</f>
        <v>3780626.0032513659</v>
      </c>
      <c r="G13" s="63">
        <f>G$4*Model!$T30^2*(1+$B$15)^($C13-$C$4)</f>
        <v>902261.2432145573</v>
      </c>
      <c r="H13" s="63">
        <f>H$4*Model!$T30^2*(1+$B$15)^($C13-$C$4)</f>
        <v>942091.97847810807</v>
      </c>
      <c r="I13" s="63">
        <f>I$4*Model!$T30^2*(1+$B$15)^($C13-$C$4)</f>
        <v>1652449.5946860381</v>
      </c>
      <c r="K13" s="38">
        <v>2029</v>
      </c>
      <c r="L13" s="63">
        <f>L$4*Model!$U30^2*(1+$B$15)^($K13-$K$4)</f>
        <v>45038880.161383756</v>
      </c>
      <c r="M13" s="63">
        <f>M$4*Model!$U30^2*(1+$B$15)^($K13-$K$4)</f>
        <v>64136649.61264313</v>
      </c>
      <c r="N13" s="63">
        <f>N$4*Model!$U30^2*(1+$B$15)^($K13-$K$4)</f>
        <v>3870977.5739303119</v>
      </c>
      <c r="O13" s="63">
        <f>O$4*Model!$U30^2*(1+$B$15)^($K13-$K$4)</f>
        <v>923824.00039208983</v>
      </c>
      <c r="P13" s="63">
        <f>P$4*Model!$U30^2*(1+$B$15)^($K13-$K$4)</f>
        <v>964606.63343375036</v>
      </c>
      <c r="Q13" s="63">
        <f>Q$4*Model!$U30^2*(1+$B$15)^($K13-$K$4)</f>
        <v>1691940.7837693463</v>
      </c>
      <c r="S13" s="38">
        <v>2029</v>
      </c>
      <c r="T13" s="63">
        <f>T$4*Model!$V30^2*(1+$B$15)^($S13-$S$4)</f>
        <v>47477865.846573539</v>
      </c>
      <c r="U13" s="63">
        <f>U$4*Model!$V30^2*(1+$B$15)^($S13-$S$4)</f>
        <v>67609834.774901927</v>
      </c>
      <c r="V13" s="63">
        <f>V$4*Model!$V30^2*(1+$B$15)^($S13-$S$4)</f>
        <v>4080602.2106148107</v>
      </c>
      <c r="W13" s="63">
        <f>W$4*Model!$V30^2*(1+$B$15)^($S13-$S$4)</f>
        <v>973851.74318936653</v>
      </c>
      <c r="X13" s="63">
        <f>X$4*Model!$V30^2*(1+$B$15)^($S13-$S$4)</f>
        <v>1016842.8738188122</v>
      </c>
      <c r="Y13" s="63">
        <f>Y$4*Model!$V30^2*(1+$B$15)^($S13-$S$4)</f>
        <v>1783564.2730083256</v>
      </c>
      <c r="AA13" s="38">
        <v>2029</v>
      </c>
      <c r="AB13" s="63">
        <f>AB$4*Model!$W30^2*(1+$B$15)^($AA13-$AA$4)</f>
        <v>49040812.090318799</v>
      </c>
      <c r="AC13" s="63">
        <f>AC$4*Model!$W30^2*(1+$B$15)^($AA13-$AA$4)</f>
        <v>69835514.792684287</v>
      </c>
      <c r="AD13" s="63">
        <f>AD$4*Model!$W30^2*(1+$B$15)^($AA13-$AA$4)</f>
        <v>4214933.4781134166</v>
      </c>
      <c r="AE13" s="63">
        <f>AE$4*Model!$W30^2*(1+$B$15)^($AA13-$AA$4)</f>
        <v>1005910.4277330493</v>
      </c>
      <c r="AF13" s="63">
        <f>AF$4*Model!$W30^2*(1+$B$15)^($AA13-$AA$4)</f>
        <v>1050316.8036548758</v>
      </c>
      <c r="AG13" s="63">
        <f>AG$4*Model!$W30^2*(1+$B$15)^($AA13-$AA$4)</f>
        <v>1842278.2659663258</v>
      </c>
    </row>
    <row r="14" spans="1:34">
      <c r="A14" s="379" t="s">
        <v>264</v>
      </c>
      <c r="B14" s="430">
        <f>[1]Costing!$B$14</f>
        <v>0.05</v>
      </c>
      <c r="C14" s="2">
        <v>2030</v>
      </c>
      <c r="D14" s="63">
        <f>D$4*Model!$T31^2*(1+$B$15)^($C14-$C$4)</f>
        <v>46569878.908532701</v>
      </c>
      <c r="E14" s="63">
        <f>E$4*Model!$T31^2*(1+$B$15)^($C14-$C$4)</f>
        <v>66316835.484304257</v>
      </c>
      <c r="F14" s="63">
        <f>F$4*Model!$T31^2*(1+$B$15)^($C14-$C$4)</f>
        <v>4002563.0350850574</v>
      </c>
      <c r="G14" s="63">
        <f>G$4*Model!$T31^2*(1+$B$15)^($C14-$C$4)</f>
        <v>955227.3874682876</v>
      </c>
      <c r="H14" s="63">
        <f>H$4*Model!$T31^2*(1+$B$15)^($C14-$C$4)</f>
        <v>997396.33739590284</v>
      </c>
      <c r="I14" s="63">
        <f>I$4*Model!$T31^2*(1+$B$15)^($C14-$C$4)</f>
        <v>1749454.6298267809</v>
      </c>
      <c r="K14" s="38">
        <v>2030</v>
      </c>
      <c r="L14" s="63">
        <f>L$4*Model!$U31^2*(1+$B$15)^($K14-$K$4)</f>
        <v>47800844.600121729</v>
      </c>
      <c r="M14" s="63">
        <f>M$4*Model!$U31^2*(1+$B$15)^($K14-$K$4)</f>
        <v>68069765.729544282</v>
      </c>
      <c r="N14" s="63">
        <f>N$4*Model!$U31^2*(1+$B$15)^($K14-$K$4)</f>
        <v>4108361.4157140739</v>
      </c>
      <c r="O14" s="63">
        <f>O$4*Model!$U31^2*(1+$B$15)^($K14-$K$4)</f>
        <v>980476.58650419582</v>
      </c>
      <c r="P14" s="63">
        <f>P$4*Model!$U31^2*(1+$B$15)^($K14-$K$4)</f>
        <v>1023760.1738718865</v>
      </c>
      <c r="Q14" s="63">
        <f>Q$4*Model!$U31^2*(1+$B$15)^($K14-$K$4)</f>
        <v>1795697.3660928134</v>
      </c>
      <c r="S14" s="38">
        <v>2030</v>
      </c>
      <c r="T14" s="63">
        <f>T$4*Model!$V31^2*(1+$B$15)^($S14-$S$4)</f>
        <v>50666892.163488559</v>
      </c>
      <c r="U14" s="63">
        <f>U$4*Model!$V31^2*(1+$B$15)^($S14-$S$4)</f>
        <v>72151099.183799088</v>
      </c>
      <c r="V14" s="63">
        <f>V$4*Model!$V31^2*(1+$B$15)^($S14-$S$4)</f>
        <v>4354690.9382034671</v>
      </c>
      <c r="W14" s="63">
        <f>W$4*Model!$V31^2*(1+$B$15)^($S14-$S$4)</f>
        <v>1039264.0944488028</v>
      </c>
      <c r="X14" s="63">
        <f>X$4*Model!$V31^2*(1+$B$15)^($S14-$S$4)</f>
        <v>1085142.8832433033</v>
      </c>
      <c r="Y14" s="63">
        <f>Y$4*Model!$V31^2*(1+$B$15)^($S14-$S$4)</f>
        <v>1903363.9586747666</v>
      </c>
      <c r="AA14" s="38">
        <v>2030</v>
      </c>
      <c r="AB14" s="63">
        <f>AB$4*Model!$W31^2*(1+$B$15)^($AA14-$AA$4)</f>
        <v>52510018.746107519</v>
      </c>
      <c r="AC14" s="63">
        <f>AC$4*Model!$W31^2*(1+$B$15)^($AA14-$AA$4)</f>
        <v>74775763.993350357</v>
      </c>
      <c r="AD14" s="63">
        <f>AD$4*Model!$W31^2*(1+$B$15)^($AA14-$AA$4)</f>
        <v>4513102.995556307</v>
      </c>
      <c r="AE14" s="63">
        <f>AE$4*Model!$W31^2*(1+$B$15)^($AA14-$AA$4)</f>
        <v>1077069.7540629592</v>
      </c>
      <c r="AF14" s="63">
        <f>AF$4*Model!$W31^2*(1+$B$15)^($AA14-$AA$4)</f>
        <v>1124617.4909929135</v>
      </c>
      <c r="AG14" s="63">
        <f>AG$4*Model!$W31^2*(1+$B$15)^($AA14-$AA$4)</f>
        <v>1972603.2697679454</v>
      </c>
    </row>
    <row r="15" spans="1:34">
      <c r="A15" s="441" t="s">
        <v>265</v>
      </c>
      <c r="B15" s="440">
        <f>[1]Costing!$B$15</f>
        <v>3.7539166666666658E-2</v>
      </c>
      <c r="C15" s="2">
        <v>2040</v>
      </c>
      <c r="D15" s="63">
        <f>D$4*Model!$T32^2*(1+$B$15)^($C15-$C$4)</f>
        <v>77575037.189781249</v>
      </c>
      <c r="E15" s="63">
        <f>E$4*Model!$T32^2*(1+$B$15)^($C15-$C$4)</f>
        <v>110469064.97454752</v>
      </c>
      <c r="F15" s="63">
        <f>F$4*Model!$T32^2*(1+$B$15)^($C15-$C$4)</f>
        <v>6667377.7896441212</v>
      </c>
      <c r="G15" s="63">
        <f>G$4*Model!$T32^2*(1+$B$15)^($C15-$C$4)</f>
        <v>1591195.8940905216</v>
      </c>
      <c r="H15" s="63">
        <f>H$4*Model!$T32^2*(1+$B$15)^($C15-$C$4)</f>
        <v>1661439.9646261958</v>
      </c>
      <c r="I15" s="63">
        <f>I$4*Model!$T32^2*(1+$B$15)^($C15-$C$4)</f>
        <v>2914201.4355932018</v>
      </c>
      <c r="K15" s="38">
        <v>2040</v>
      </c>
      <c r="L15" s="63">
        <f>L$4*Model!$U32^2*(1+$B$15)^($K15-$K$4)</f>
        <v>85316123.902647167</v>
      </c>
      <c r="M15" s="63">
        <f>M$4*Model!$U32^2*(1+$B$15)^($K15-$K$4)</f>
        <v>121492593.18717512</v>
      </c>
      <c r="N15" s="63">
        <f>N$4*Model!$U32^2*(1+$B$15)^($K15-$K$4)</f>
        <v>7332704.5685511651</v>
      </c>
      <c r="O15" s="63">
        <f>O$4*Model!$U32^2*(1+$B$15)^($K15-$K$4)</f>
        <v>1749978.7427945049</v>
      </c>
      <c r="P15" s="63">
        <f>P$4*Model!$U32^2*(1+$B$15)^($K15-$K$4)</f>
        <v>1827232.3548113008</v>
      </c>
      <c r="Q15" s="63">
        <f>Q$4*Model!$U32^2*(1+$B$15)^($K15-$K$4)</f>
        <v>3205004.8541786964</v>
      </c>
      <c r="S15" s="38">
        <v>2040</v>
      </c>
      <c r="T15" s="63">
        <f>T$4*Model!$V32^2*(1+$B$15)^($S15-$S$4)</f>
        <v>96554956.855979159</v>
      </c>
      <c r="U15" s="63">
        <f>U$4*Model!$V32^2*(1+$B$15)^($S15-$S$4)</f>
        <v>137497011.78284246</v>
      </c>
      <c r="V15" s="63">
        <f>V$4*Model!$V32^2*(1+$B$15)^($S15-$S$4)</f>
        <v>8298653.7698547645</v>
      </c>
      <c r="W15" s="63">
        <f>W$4*Model!$V32^2*(1+$B$15)^($S15-$S$4)</f>
        <v>1980506.3132288097</v>
      </c>
      <c r="X15" s="63">
        <f>X$4*Model!$V32^2*(1+$B$15)^($S15-$S$4)</f>
        <v>2067936.6702825581</v>
      </c>
      <c r="Y15" s="63">
        <f>Y$4*Model!$V32^2*(1+$B$15)^($S15-$S$4)</f>
        <v>3627205.4010745557</v>
      </c>
      <c r="AA15" s="38">
        <v>2040</v>
      </c>
      <c r="AB15" s="63">
        <f>AB$4*Model!$W32^2*(1+$B$15)^($AA15-$AA$4)</f>
        <v>112602605.83211519</v>
      </c>
      <c r="AC15" s="63">
        <f>AC$4*Model!$W32^2*(1+$B$15)^($AA15-$AA$4)</f>
        <v>160349321.51614699</v>
      </c>
      <c r="AD15" s="63">
        <f>AD$4*Model!$W32^2*(1+$B$15)^($AA15-$AA$4)</f>
        <v>9677908.5177157</v>
      </c>
      <c r="AE15" s="63">
        <f>AE$4*Model!$W32^2*(1+$B$15)^($AA15-$AA$4)</f>
        <v>2309670.875511446</v>
      </c>
      <c r="AF15" s="63">
        <f>AF$4*Model!$W32^2*(1+$B$15)^($AA15-$AA$4)</f>
        <v>2411632.3527224911</v>
      </c>
      <c r="AG15" s="63">
        <f>AG$4*Model!$W32^2*(1+$B$15)^($AA15-$AA$4)</f>
        <v>4230055.0209818184</v>
      </c>
    </row>
    <row r="16" spans="1:34">
      <c r="A16" s="589"/>
      <c r="B16" s="590"/>
      <c r="C16" s="38">
        <v>2050</v>
      </c>
      <c r="D16" s="63">
        <f>D$4*Model!$T33^2*(1+$B$15)^($C16-$C$4)</f>
        <v>120708325.7840049</v>
      </c>
      <c r="E16" s="63">
        <f>E$4*Model!$T33^2*(1+$B$15)^($C16-$C$4)</f>
        <v>171892097.85849264</v>
      </c>
      <c r="F16" s="63">
        <f>F$4*Model!$T33^2*(1+$B$15)^($C16-$C$4)</f>
        <v>10374574.599152315</v>
      </c>
      <c r="G16" s="63">
        <f>G$4*Model!$T33^2*(1+$B$15)^($C16-$C$4)</f>
        <v>2475932.9718420105</v>
      </c>
      <c r="H16" s="63">
        <f>H$4*Model!$T33^2*(1+$B$15)^($C16-$C$4)</f>
        <v>2585234.165341557</v>
      </c>
      <c r="I16" s="63">
        <f>I$4*Model!$T33^2*(1+$B$15)^($C16-$C$4)</f>
        <v>4534556.334497463</v>
      </c>
      <c r="K16" s="38">
        <v>2050</v>
      </c>
      <c r="L16" s="63">
        <f>L$4*Model!$U33^2*(1+$B$15)^($K16-$K$4)</f>
        <v>146289612.72601303</v>
      </c>
      <c r="M16" s="63">
        <f>M$4*Model!$U33^2*(1+$B$15)^($K16-$K$4)</f>
        <v>208320579.90247539</v>
      </c>
      <c r="N16" s="63">
        <f>N$4*Model!$U33^2*(1+$B$15)^($K16-$K$4)</f>
        <v>12573221.361904055</v>
      </c>
      <c r="O16" s="63">
        <f>O$4*Model!$U33^2*(1+$B$15)^($K16-$K$4)</f>
        <v>3000648.6564519149</v>
      </c>
      <c r="P16" s="63">
        <f>P$4*Model!$U33^2*(1+$B$15)^($K16-$K$4)</f>
        <v>3133113.66384628</v>
      </c>
      <c r="Q16" s="63">
        <f>Q$4*Model!$U33^2*(1+$B$15)^($K16-$K$4)</f>
        <v>5495548.7597842654</v>
      </c>
      <c r="S16" s="38">
        <v>2050</v>
      </c>
      <c r="T16" s="63">
        <f>T$4*Model!$V33^2*(1+$B$15)^($S16-$S$4)</f>
        <v>178945668.70541716</v>
      </c>
      <c r="U16" s="63">
        <f>U$4*Model!$V33^2*(1+$B$15)^($S16-$S$4)</f>
        <v>254823734.78947636</v>
      </c>
      <c r="V16" s="63">
        <f>V$4*Model!$V33^2*(1+$B$15)^($S16-$S$4)</f>
        <v>15379926.588506708</v>
      </c>
      <c r="W16" s="63">
        <f>W$4*Model!$V33^2*(1+$B$15)^($S16-$S$4)</f>
        <v>3670479.8814695277</v>
      </c>
      <c r="X16" s="63">
        <f>X$4*Model!$V33^2*(1+$B$15)^($S16-$S$4)</f>
        <v>3832514.8946638559</v>
      </c>
      <c r="Y16" s="63">
        <f>Y$4*Model!$V33^2*(1+$B$15)^($S16-$S$4)</f>
        <v>6722313.5627862224</v>
      </c>
      <c r="AA16" s="38">
        <v>2050</v>
      </c>
      <c r="AB16" s="63">
        <f>AB$4*Model!$W33^2*(1+$B$15)^($AA16-$AA$4)</f>
        <v>256222641.49873134</v>
      </c>
      <c r="AC16" s="63">
        <f>AC$4*Model!$W33^2*(1+$B$15)^($AA16-$AA$4)</f>
        <v>364868347.56428635</v>
      </c>
      <c r="AD16" s="63">
        <f>AD$4*Model!$W33^2*(1+$B$15)^($AA16-$AA$4)</f>
        <v>22021686.498883471</v>
      </c>
      <c r="AE16" s="63">
        <f>AE$4*Model!$W33^2*(1+$B$15)^($AA16-$AA$4)</f>
        <v>5255561.9680645689</v>
      </c>
      <c r="AF16" s="63">
        <f>AF$4*Model!$W33^2*(1+$B$15)^($AA16-$AA$4)</f>
        <v>5487571.1549663125</v>
      </c>
      <c r="AG16" s="63">
        <f>AG$4*Model!$W33^2*(1+$B$15)^($AA16-$AA$4)</f>
        <v>9625317.8436818551</v>
      </c>
    </row>
    <row r="17" spans="1:33">
      <c r="A17" s="589"/>
      <c r="B17" s="590"/>
      <c r="C17" s="38">
        <v>2060</v>
      </c>
      <c r="D17" s="63">
        <f>D$4*Model!$T34^2*(1+$B$15)^($C17-$C$4)</f>
        <v>177867948.99242342</v>
      </c>
      <c r="E17" s="63">
        <f>E$4*Model!$T34^2*(1+$B$15)^($C17-$C$4)</f>
        <v>253289031.18749419</v>
      </c>
      <c r="F17" s="63">
        <f>F$4*Model!$T34^2*(1+$B$15)^($C17-$C$4)</f>
        <v>15287299.311251303</v>
      </c>
      <c r="G17" s="63">
        <f>G$4*Model!$T34^2*(1+$B$15)^($C17-$C$4)</f>
        <v>3648374.01798021</v>
      </c>
      <c r="H17" s="63">
        <f>H$4*Model!$T34^2*(1+$B$15)^($C17-$C$4)</f>
        <v>3809433.1577198855</v>
      </c>
      <c r="I17" s="63">
        <f>I$4*Model!$T34^2*(1+$B$15)^($C17-$C$4)</f>
        <v>6681827.6996974302</v>
      </c>
      <c r="K17" s="38">
        <v>2060</v>
      </c>
      <c r="L17" s="63">
        <f>L$4*Model!$U34^2*(1+$B$15)^($K17-$K$4)</f>
        <v>237545681.95605499</v>
      </c>
      <c r="M17" s="63">
        <f>M$4*Model!$U34^2*(1+$B$15)^($K17-$K$4)</f>
        <v>338271824.61065388</v>
      </c>
      <c r="N17" s="63">
        <f>N$4*Model!$U34^2*(1+$B$15)^($K17-$K$4)</f>
        <v>20416449.173269589</v>
      </c>
      <c r="O17" s="63">
        <f>O$4*Model!$U34^2*(1+$B$15)^($K17-$K$4)</f>
        <v>4872465.7761066211</v>
      </c>
      <c r="P17" s="63">
        <f>P$4*Model!$U34^2*(1+$B$15)^($K17-$K$4)</f>
        <v>5087563.0063914694</v>
      </c>
      <c r="Q17" s="63">
        <f>Q$4*Model!$U34^2*(1+$B$15)^($K17-$K$4)</f>
        <v>8923694.9468906019</v>
      </c>
      <c r="S17" s="38">
        <v>2060</v>
      </c>
      <c r="T17" s="63">
        <f>T$4*Model!$V34^2*(1+$B$15)^($S17-$S$4)</f>
        <v>328591541.90318954</v>
      </c>
      <c r="U17" s="63">
        <f>U$4*Model!$V34^2*(1+$B$15)^($S17-$S$4)</f>
        <v>467923725.30595177</v>
      </c>
      <c r="V17" s="63">
        <f>V$4*Model!$V34^2*(1+$B$15)^($S17-$S$4)</f>
        <v>28241610.029660873</v>
      </c>
      <c r="W17" s="63">
        <f>W$4*Model!$V34^2*(1+$B$15)^($S17-$S$4)</f>
        <v>6739971.1460029157</v>
      </c>
      <c r="X17" s="63">
        <f>X$4*Model!$V34^2*(1+$B$15)^($S17-$S$4)</f>
        <v>7037510.2550130254</v>
      </c>
      <c r="Y17" s="63">
        <f>Y$4*Model!$V34^2*(1+$B$15)^($S17-$S$4)</f>
        <v>12343944.364414668</v>
      </c>
      <c r="AA17" s="38">
        <v>2060</v>
      </c>
      <c r="AB17" s="63">
        <f>AB$4*Model!$W34^2*(1+$B$15)^($AA17-$AA$4)</f>
        <v>616770600.57190716</v>
      </c>
      <c r="AC17" s="63">
        <f>AC$4*Model!$W34^2*(1+$B$15)^($AA17-$AA$4)</f>
        <v>878298922.14275098</v>
      </c>
      <c r="AD17" s="63">
        <f>AD$4*Model!$W34^2*(1+$B$15)^($AA17-$AA$4)</f>
        <v>53009869.573098868</v>
      </c>
      <c r="AE17" s="63">
        <f>AE$4*Model!$W34^2*(1+$B$15)^($AA17-$AA$4)</f>
        <v>12651013.557684004</v>
      </c>
      <c r="AF17" s="63">
        <f>AF$4*Model!$W34^2*(1+$B$15)^($AA17-$AA$4)</f>
        <v>13209498.337587021</v>
      </c>
      <c r="AG17" s="63">
        <f>AG$4*Model!$W34^2*(1+$B$15)^($AA17-$AA$4)</f>
        <v>23169744.220955376</v>
      </c>
    </row>
    <row r="18" spans="1:33">
      <c r="A18" s="589"/>
      <c r="B18" s="590"/>
      <c r="C18" s="38">
        <v>2070</v>
      </c>
      <c r="D18" s="63">
        <f>D$4*Model!$T35^2*(1+$B$15)^($C18-$C$4)</f>
        <v>252137424.66829908</v>
      </c>
      <c r="E18" s="63">
        <f>E$4*Model!$T35^2*(1+$B$15)^($C18-$C$4)</f>
        <v>359050882.30968267</v>
      </c>
      <c r="F18" s="63">
        <f>F$4*Model!$T35^2*(1+$B$15)^($C18-$C$4)</f>
        <v>21670572.468548305</v>
      </c>
      <c r="G18" s="63">
        <f>G$4*Model!$T35^2*(1+$B$15)^($C18-$C$4)</f>
        <v>5171767.2258055275</v>
      </c>
      <c r="H18" s="63">
        <f>H$4*Model!$T35^2*(1+$B$15)^($C18-$C$4)</f>
        <v>5400077.255483686</v>
      </c>
      <c r="I18" s="63">
        <f>I$4*Model!$T35^2*(1+$B$15)^($C18-$C$4)</f>
        <v>9471851.6619921159</v>
      </c>
      <c r="K18" s="38">
        <v>2070</v>
      </c>
      <c r="L18" s="63">
        <f>L$4*Model!$U35^2*(1+$B$15)^($K18-$K$4)</f>
        <v>362527233.94198501</v>
      </c>
      <c r="M18" s="63">
        <f>M$4*Model!$U35^2*(1+$B$15)^($K18-$K$4)</f>
        <v>516249118.42975622</v>
      </c>
      <c r="N18" s="63">
        <f>N$4*Model!$U35^2*(1+$B$15)^($K18-$K$4)</f>
        <v>31158296.731623191</v>
      </c>
      <c r="O18" s="63">
        <f>O$4*Model!$U35^2*(1+$B$15)^($K18-$K$4)</f>
        <v>7436049.8820420485</v>
      </c>
      <c r="P18" s="63">
        <f>P$4*Model!$U35^2*(1+$B$15)^($K18-$K$4)</f>
        <v>7764317.705231416</v>
      </c>
      <c r="Q18" s="63">
        <f>Q$4*Model!$U35^2*(1+$B$15)^($K18-$K$4)</f>
        <v>13618780.265754508</v>
      </c>
      <c r="S18" s="38">
        <v>2070</v>
      </c>
      <c r="T18" s="63">
        <f>T$4*Model!$V35^2*(1+$B$15)^($S18-$S$4)</f>
        <v>591284000.79340935</v>
      </c>
      <c r="U18" s="63">
        <f>U$4*Model!$V35^2*(1+$B$15)^($S18-$S$4)</f>
        <v>842005277.31956756</v>
      </c>
      <c r="V18" s="63">
        <f>V$4*Model!$V35^2*(1+$B$15)^($S18-$S$4)</f>
        <v>50819360.932013877</v>
      </c>
      <c r="W18" s="63">
        <f>W$4*Model!$V35^2*(1+$B$15)^($S18-$S$4)</f>
        <v>12128240.067770472</v>
      </c>
      <c r="X18" s="63">
        <f>X$4*Model!$V35^2*(1+$B$15)^($S18-$S$4)</f>
        <v>12663646.772851873</v>
      </c>
      <c r="Y18" s="63">
        <f>Y$4*Model!$V35^2*(1+$B$15)^($S18-$S$4)</f>
        <v>22212308.835121345</v>
      </c>
      <c r="AA18" s="38">
        <v>2070</v>
      </c>
      <c r="AB18" s="63">
        <f>AB$4*Model!$W35^2*(1+$B$15)^($AA18-$AA$4)</f>
        <v>1549808652.8122118</v>
      </c>
      <c r="AC18" s="63">
        <f>AC$4*Model!$W35^2*(1+$B$15)^($AA18-$AA$4)</f>
        <v>2206971713.6813779</v>
      </c>
      <c r="AD18" s="63">
        <f>AD$4*Model!$W35^2*(1+$B$15)^($AA18-$AA$4)</f>
        <v>133202124.86239807</v>
      </c>
      <c r="AE18" s="63">
        <f>AE$4*Model!$W35^2*(1+$B$15)^($AA18-$AA$4)</f>
        <v>31789210.219103824</v>
      </c>
      <c r="AF18" s="63">
        <f>AF$4*Model!$W35^2*(1+$B$15)^($AA18-$AA$4)</f>
        <v>33192559.444172323</v>
      </c>
      <c r="AG18" s="63">
        <f>AG$4*Model!$W35^2*(1+$B$15)^($AA18-$AA$4)</f>
        <v>58220463.238334782</v>
      </c>
    </row>
    <row r="19" spans="1:33">
      <c r="A19" s="589"/>
      <c r="B19" s="590"/>
      <c r="C19" s="38">
        <v>2080</v>
      </c>
      <c r="D19" s="63">
        <f>D$4*Model!$T36^2*(1+$B$15)^($C19-$C$4)</f>
        <v>343496946.77455914</v>
      </c>
      <c r="E19" s="63">
        <f>E$4*Model!$T36^2*(1+$B$15)^($C19-$C$4)</f>
        <v>489149446.86350667</v>
      </c>
      <c r="F19" s="63">
        <f>F$4*Model!$T36^2*(1+$B$15)^($C19-$C$4)</f>
        <v>29522691.792366281</v>
      </c>
      <c r="G19" s="63">
        <f>G$4*Model!$T36^2*(1+$B$15)^($C19-$C$4)</f>
        <v>7045706.339826379</v>
      </c>
      <c r="H19" s="63">
        <f>H$4*Model!$T36^2*(1+$B$15)^($C19-$C$4)</f>
        <v>7356742.2688068841</v>
      </c>
      <c r="I19" s="63">
        <f>I$4*Model!$T36^2*(1+$B$15)^($C19-$C$4)</f>
        <v>12903884.183302242</v>
      </c>
      <c r="K19" s="38">
        <v>2080</v>
      </c>
      <c r="L19" s="63">
        <f>L$4*Model!$U36^2*(1+$B$15)^($K19-$K$4)</f>
        <v>526148987.90354377</v>
      </c>
      <c r="M19" s="63">
        <f>M$4*Model!$U36^2*(1+$B$15)^($K19-$K$4)</f>
        <v>749251161.66963828</v>
      </c>
      <c r="N19" s="63">
        <f>N$4*Model!$U36^2*(1+$B$15)^($K19-$K$4)</f>
        <v>45221171.694828711</v>
      </c>
      <c r="O19" s="63">
        <f>O$4*Model!$U36^2*(1+$B$15)^($K19-$K$4)</f>
        <v>10792210.220716272</v>
      </c>
      <c r="P19" s="63">
        <f>P$4*Model!$U36^2*(1+$B$15)^($K19-$K$4)</f>
        <v>11268637.277117847</v>
      </c>
      <c r="Q19" s="63">
        <f>Q$4*Model!$U36^2*(1+$B$15)^($K19-$K$4)</f>
        <v>19765432.172894854</v>
      </c>
      <c r="S19" s="38">
        <v>2080</v>
      </c>
      <c r="T19" s="63">
        <f>T$4*Model!$V36^2*(1+$B$15)^($S19-$S$4)</f>
        <v>1023627375.8474422</v>
      </c>
      <c r="U19" s="63">
        <f>U$4*Model!$V36^2*(1+$B$15)^($S19-$S$4)</f>
        <v>1457674571.4678469</v>
      </c>
      <c r="V19" s="63">
        <f>V$4*Model!$V36^2*(1+$B$15)^($S19-$S$4)</f>
        <v>87978178.004611477</v>
      </c>
      <c r="W19" s="63">
        <f>W$4*Model!$V36^2*(1+$B$15)^($S19-$S$4)</f>
        <v>20996337.694848843</v>
      </c>
      <c r="X19" s="63">
        <f>X$4*Model!$V36^2*(1+$B$15)^($S19-$S$4)</f>
        <v>21923230.625823118</v>
      </c>
      <c r="Y19" s="63">
        <f>Y$4*Model!$V36^2*(1+$B$15)^($S19-$S$4)</f>
        <v>38453818.087245047</v>
      </c>
      <c r="AA19" s="38">
        <v>2080</v>
      </c>
      <c r="AB19" s="63">
        <f>AB$4*Model!$W36^2*(1+$B$15)^($AA19-$AA$4)</f>
        <v>3955647238.7837148</v>
      </c>
      <c r="AC19" s="63">
        <f>AC$4*Model!$W36^2*(1+$B$15)^($AA19-$AA$4)</f>
        <v>5632954461.4791288</v>
      </c>
      <c r="AD19" s="63">
        <f>AD$4*Model!$W36^2*(1+$B$15)^($AA19-$AA$4)</f>
        <v>339977852.39873248</v>
      </c>
      <c r="AE19" s="63">
        <f>AE$4*Model!$W36^2*(1+$B$15)^($AA19-$AA$4)</f>
        <v>81137049.659736097</v>
      </c>
      <c r="AF19" s="63">
        <f>AF$4*Model!$W36^2*(1+$B$15)^($AA19-$AA$4)</f>
        <v>84718881.827932209</v>
      </c>
      <c r="AG19" s="63">
        <f>AG$4*Model!$W36^2*(1+$B$15)^($AA19-$AA$4)</f>
        <v>148598741.03266659</v>
      </c>
    </row>
    <row r="20" spans="1:33">
      <c r="A20" s="589"/>
      <c r="B20" s="590"/>
      <c r="C20" s="38">
        <v>2090</v>
      </c>
      <c r="D20" s="63">
        <f>D$4*Model!$T37^2*(1+$B$15)^($C20-$C$4)</f>
        <v>451075820.24239218</v>
      </c>
      <c r="E20" s="63">
        <f>E$4*Model!$T37^2*(1+$B$15)^($C20-$C$4)</f>
        <v>642344830.24351156</v>
      </c>
      <c r="F20" s="63">
        <f>F$4*Model!$T37^2*(1+$B$15)^($C20-$C$4)</f>
        <v>38768823.248798877</v>
      </c>
      <c r="G20" s="63">
        <f>G$4*Model!$T37^2*(1+$B$15)^($C20-$C$4)</f>
        <v>9252331.9239575658</v>
      </c>
      <c r="H20" s="63">
        <f>H$4*Model!$T37^2*(1+$B$15)^($C20-$C$4)</f>
        <v>9660780.3486296404</v>
      </c>
      <c r="I20" s="63">
        <f>I$4*Model!$T37^2*(1+$B$15)^($C20-$C$4)</f>
        <v>16945216.535260893</v>
      </c>
      <c r="K20" s="38">
        <v>2090</v>
      </c>
      <c r="L20" s="63">
        <f>L$4*Model!$U37^2*(1+$B$15)^($K20-$K$4)</f>
        <v>736355970.65941119</v>
      </c>
      <c r="M20" s="63">
        <f>M$4*Model!$U37^2*(1+$B$15)^($K20-$K$4)</f>
        <v>1048591899.0688643</v>
      </c>
      <c r="N20" s="63">
        <f>N$4*Model!$U37^2*(1+$B$15)^($K20-$K$4)</f>
        <v>63287928.976888955</v>
      </c>
      <c r="O20" s="63">
        <f>O$4*Model!$U37^2*(1+$B$15)^($K20-$K$4)</f>
        <v>15103912.799111601</v>
      </c>
      <c r="P20" s="63">
        <f>P$4*Model!$U37^2*(1+$B$15)^($K20-$K$4)</f>
        <v>15770681.937949706</v>
      </c>
      <c r="Q20" s="63">
        <f>Q$4*Model!$U37^2*(1+$B$15)^($K20-$K$4)</f>
        <v>27662115.347151306</v>
      </c>
      <c r="S20" s="38">
        <v>2090</v>
      </c>
      <c r="T20" s="63">
        <f>T$4*Model!$V37^2*(1+$B$15)^($S20-$S$4)</f>
        <v>1722139112.7514393</v>
      </c>
      <c r="U20" s="63">
        <f>U$4*Model!$V37^2*(1+$B$15)^($S20-$S$4)</f>
        <v>2452375202.5581827</v>
      </c>
      <c r="V20" s="63">
        <f>V$4*Model!$V37^2*(1+$B$15)^($S20-$S$4)</f>
        <v>148013491.02735445</v>
      </c>
      <c r="W20" s="63">
        <f>W$4*Model!$V37^2*(1+$B$15)^($S20-$S$4)</f>
        <v>35324000.922602847</v>
      </c>
      <c r="X20" s="63">
        <f>X$4*Model!$V37^2*(1+$B$15)^($S20-$S$4)</f>
        <v>36883395.100041807</v>
      </c>
      <c r="Y20" s="63">
        <f>Y$4*Model!$V37^2*(1+$B$15)^($S20-$S$4)</f>
        <v>64694268.368749686</v>
      </c>
      <c r="AA20" s="38">
        <v>2090</v>
      </c>
      <c r="AB20" s="63">
        <f>AB$4*Model!$W37^2*(1+$B$15)^($AA20-$AA$4)</f>
        <v>9840683107.6795635</v>
      </c>
      <c r="AC20" s="63">
        <f>AC$4*Model!$W37^2*(1+$B$15)^($AA20-$AA$4)</f>
        <v>14013413347.862185</v>
      </c>
      <c r="AD20" s="63">
        <f>AD$4*Model!$W37^2*(1+$B$15)^($AA20-$AA$4)</f>
        <v>845781766.45349562</v>
      </c>
      <c r="AE20" s="63">
        <f>AE$4*Model!$W37^2*(1+$B$15)^($AA20-$AA$4)</f>
        <v>201849140.17738068</v>
      </c>
      <c r="AF20" s="63">
        <f>AF$4*Model!$W37^2*(1+$B$15)^($AA20-$AA$4)</f>
        <v>210759862.79352295</v>
      </c>
      <c r="AG20" s="63">
        <f>AG$4*Model!$W37^2*(1+$B$15)^($AA20-$AA$4)</f>
        <v>369677332.79276073</v>
      </c>
    </row>
    <row r="21" spans="1:33">
      <c r="A21" s="589"/>
      <c r="B21" s="590"/>
      <c r="C21" s="38">
        <v>2100</v>
      </c>
      <c r="D21" s="63">
        <f>D$4*Model!$T38^2*(1+$B$15)^($C21-$C$4)</f>
        <v>590123082.48942077</v>
      </c>
      <c r="E21" s="63">
        <f>E$4*Model!$T38^2*(1+$B$15)^($C21-$C$4)</f>
        <v>840352096.55163956</v>
      </c>
      <c r="F21" s="63">
        <f>F$4*Model!$T38^2*(1+$B$15)^($C21-$C$4)</f>
        <v>50719582.946775295</v>
      </c>
      <c r="G21" s="63">
        <f>G$4*Model!$T38^2*(1+$B$15)^($C21-$C$4)</f>
        <v>12104427.659738207</v>
      </c>
      <c r="H21" s="63">
        <f>H$4*Model!$T38^2*(1+$B$15)^($C21-$C$4)</f>
        <v>12638783.155175557</v>
      </c>
      <c r="I21" s="63">
        <f>I$4*Model!$T38^2*(1+$B$15)^($C21-$C$4)</f>
        <v>22168697.514899697</v>
      </c>
      <c r="K21" s="38">
        <v>2100</v>
      </c>
      <c r="L21" s="63">
        <f>L$4*Model!$U38^2*(1+$B$15)^($K21-$K$4)</f>
        <v>1009780173.0412141</v>
      </c>
      <c r="M21" s="63">
        <f>M$4*Model!$U38^2*(1+$B$15)^($K21-$K$4)</f>
        <v>1437955759.8251956</v>
      </c>
      <c r="N21" s="63">
        <f>N$4*Model!$U38^2*(1+$B$15)^($K21-$K$4)</f>
        <v>86788046.026806816</v>
      </c>
      <c r="O21" s="63">
        <f>O$4*Model!$U38^2*(1+$B$15)^($K21-$K$4)</f>
        <v>20712308.024376296</v>
      </c>
      <c r="P21" s="63">
        <f>P$4*Model!$U38^2*(1+$B$15)^($K21-$K$4)</f>
        <v>21626662.33563631</v>
      </c>
      <c r="Q21" s="63">
        <f>Q$4*Model!$U38^2*(1+$B$15)^($K21-$K$4)</f>
        <v>37933630.927061819</v>
      </c>
      <c r="S21" s="38">
        <v>2100</v>
      </c>
      <c r="T21" s="63">
        <f>T$4*Model!$V38^2*(1+$B$15)^($S21-$S$4)</f>
        <v>2858915207.9266324</v>
      </c>
      <c r="U21" s="63">
        <f>U$4*Model!$V38^2*(1+$B$15)^($S21-$S$4)</f>
        <v>4071176776.7321358</v>
      </c>
      <c r="V21" s="63">
        <f>V$4*Model!$V38^2*(1+$B$15)^($S21-$S$4)</f>
        <v>245716514.62020496</v>
      </c>
      <c r="W21" s="63">
        <f>W$4*Model!$V38^2*(1+$B$15)^($S21-$S$4)</f>
        <v>58641211.209178075</v>
      </c>
      <c r="X21" s="63">
        <f>X$4*Model!$V38^2*(1+$B$15)^($S21-$S$4)</f>
        <v>61229954.299688175</v>
      </c>
      <c r="Y21" s="63">
        <f>Y$4*Model!$V38^2*(1+$B$15)^($S21-$S$4)</f>
        <v>107398656.90037346</v>
      </c>
      <c r="AA21" s="38">
        <v>2100</v>
      </c>
      <c r="AB21" s="63">
        <f>AB$4*Model!$W38^2*(1+$B$15)^($AA21-$AA$4)</f>
        <v>23179988781.761963</v>
      </c>
      <c r="AC21" s="63">
        <f>AC$4*Model!$W38^2*(1+$B$15)^($AA21-$AA$4)</f>
        <v>33008964991.886005</v>
      </c>
      <c r="AD21" s="63">
        <f>AD$4*Model!$W38^2*(1+$B$15)^($AA21-$AA$4)</f>
        <v>1992261273.2962759</v>
      </c>
      <c r="AE21" s="63">
        <f>AE$4*Model!$W38^2*(1+$B$15)^($AA21-$AA$4)</f>
        <v>475460977.01984203</v>
      </c>
      <c r="AF21" s="63">
        <f>AF$4*Model!$W38^2*(1+$B$15)^($AA21-$AA$4)</f>
        <v>496450419.31967396</v>
      </c>
      <c r="AG21" s="63">
        <f>AG$4*Model!$W38^2*(1+$B$15)^($AA21-$AA$4)</f>
        <v>870784714.15471435</v>
      </c>
    </row>
    <row r="22" spans="1:33">
      <c r="A22" s="591"/>
      <c r="B22" s="592"/>
      <c r="C22" s="376" t="s">
        <v>87</v>
      </c>
      <c r="D22" s="593" t="s">
        <v>235</v>
      </c>
      <c r="E22" s="594"/>
      <c r="F22" s="594"/>
      <c r="G22" s="594"/>
      <c r="H22" s="594"/>
      <c r="I22" s="594"/>
      <c r="K22" s="376" t="s">
        <v>87</v>
      </c>
      <c r="L22" s="595" t="s">
        <v>235</v>
      </c>
      <c r="M22" s="595"/>
      <c r="N22" s="595"/>
      <c r="O22" s="595"/>
      <c r="P22" s="595"/>
      <c r="Q22" s="593"/>
      <c r="S22" s="376" t="s">
        <v>87</v>
      </c>
      <c r="T22" s="595" t="s">
        <v>235</v>
      </c>
      <c r="U22" s="595"/>
      <c r="V22" s="595"/>
      <c r="W22" s="595"/>
      <c r="X22" s="595"/>
      <c r="Y22" s="593"/>
      <c r="AA22" s="376" t="s">
        <v>87</v>
      </c>
      <c r="AB22" s="594" t="s">
        <v>235</v>
      </c>
      <c r="AC22" s="594"/>
      <c r="AD22" s="594"/>
      <c r="AE22" s="594"/>
      <c r="AF22" s="594"/>
      <c r="AG22" s="594"/>
    </row>
    <row r="23" spans="1:33">
      <c r="A23" s="589"/>
      <c r="B23" s="590"/>
      <c r="C23" s="38">
        <v>2020</v>
      </c>
      <c r="D23" s="61">
        <f>'Voluntary Costs'!F5</f>
        <v>6306408</v>
      </c>
      <c r="E23" s="61">
        <f>'Voluntary Costs'!G5</f>
        <v>4212348</v>
      </c>
      <c r="F23" s="61">
        <f>'Voluntary Costs'!H5</f>
        <v>4993764</v>
      </c>
      <c r="G23" s="61">
        <f>'Voluntary Costs'!I5</f>
        <v>1010676</v>
      </c>
      <c r="H23" s="61">
        <f>'Voluntary Costs'!J5</f>
        <v>1266672</v>
      </c>
      <c r="I23" s="61">
        <f>'Voluntary Costs'!K5</f>
        <v>307884</v>
      </c>
      <c r="K23" s="38">
        <v>2020</v>
      </c>
      <c r="L23" s="61">
        <f>'Voluntary Costs'!O5</f>
        <v>6306408</v>
      </c>
      <c r="M23" s="61">
        <f>'Voluntary Costs'!P5</f>
        <v>4212348</v>
      </c>
      <c r="N23" s="61">
        <f>'Voluntary Costs'!Q5</f>
        <v>4993764</v>
      </c>
      <c r="O23" s="61">
        <f>'Voluntary Costs'!R5</f>
        <v>1010676</v>
      </c>
      <c r="P23" s="61">
        <f>'Voluntary Costs'!S5</f>
        <v>1266672</v>
      </c>
      <c r="Q23" s="61">
        <f>'Voluntary Costs'!T5</f>
        <v>307884</v>
      </c>
      <c r="S23" s="38">
        <v>2020</v>
      </c>
      <c r="T23" s="61">
        <f>'Voluntary Costs'!X5</f>
        <v>6306408</v>
      </c>
      <c r="U23" s="61">
        <f>'Voluntary Costs'!Y5</f>
        <v>4212348</v>
      </c>
      <c r="V23" s="61">
        <f>'Voluntary Costs'!Z5</f>
        <v>4993764</v>
      </c>
      <c r="W23" s="61">
        <f>'Voluntary Costs'!AA5</f>
        <v>1010676</v>
      </c>
      <c r="X23" s="61">
        <f>'Voluntary Costs'!AB5</f>
        <v>1266672</v>
      </c>
      <c r="Y23" s="61">
        <f>'Voluntary Costs'!AC5</f>
        <v>307884</v>
      </c>
      <c r="AA23" s="38">
        <v>2020</v>
      </c>
      <c r="AB23" s="61">
        <f>'Voluntary Costs'!AH5</f>
        <v>6306408</v>
      </c>
      <c r="AC23" s="61">
        <f>'Voluntary Costs'!AI5</f>
        <v>4212348</v>
      </c>
      <c r="AD23" s="61">
        <f>'Voluntary Costs'!AJ5</f>
        <v>4993764</v>
      </c>
      <c r="AE23" s="61">
        <f>'Voluntary Costs'!AK5</f>
        <v>1010676</v>
      </c>
      <c r="AF23" s="61">
        <f>'Voluntary Costs'!AL5</f>
        <v>1266672</v>
      </c>
      <c r="AG23" s="61">
        <f>'Voluntary Costs'!AM5</f>
        <v>307884</v>
      </c>
    </row>
    <row r="24" spans="1:33">
      <c r="A24" s="589"/>
      <c r="B24" s="590"/>
      <c r="C24" s="38">
        <v>2021</v>
      </c>
      <c r="D24" s="61">
        <f>'Voluntary Costs'!F6</f>
        <v>6338410.1086701853</v>
      </c>
      <c r="E24" s="61">
        <f>'Voluntary Costs'!G6</f>
        <v>4228424.9429604225</v>
      </c>
      <c r="F24" s="61">
        <f>'Voluntary Costs'!H6</f>
        <v>5035144.8928728383</v>
      </c>
      <c r="G24" s="61">
        <f>'Voluntary Costs'!I6</f>
        <v>1021796.1881853121</v>
      </c>
      <c r="H24" s="61">
        <f>'Voluntary Costs'!J6</f>
        <v>1277758.2979495313</v>
      </c>
      <c r="I24" s="61">
        <f>'Voluntary Costs'!K6</f>
        <v>310820.74825353286</v>
      </c>
      <c r="J24" s="61"/>
      <c r="K24" s="38">
        <v>2021</v>
      </c>
      <c r="L24" s="61">
        <f>'Voluntary Costs'!O6</f>
        <v>6352323.1666557165</v>
      </c>
      <c r="M24" s="61">
        <f>'Voluntary Costs'!P6</f>
        <v>4237706.5010183966</v>
      </c>
      <c r="N24" s="61">
        <f>'Voluntary Costs'!Q6</f>
        <v>5046197.232759187</v>
      </c>
      <c r="O24" s="61">
        <f>'Voluntary Costs'!R6</f>
        <v>1024039.0707649941</v>
      </c>
      <c r="P24" s="61">
        <f>'Voluntary Costs'!S6</f>
        <v>1280563.0273668575</v>
      </c>
      <c r="Q24" s="61">
        <f>'Voluntary Costs'!T6</f>
        <v>311503.01194733242</v>
      </c>
      <c r="S24" s="38">
        <v>2021</v>
      </c>
      <c r="T24" s="61">
        <f>'Voluntary Costs'!X6</f>
        <v>6364782.2009337666</v>
      </c>
      <c r="U24" s="61">
        <f>'Voluntary Costs'!Y6</f>
        <v>4246018.0634454545</v>
      </c>
      <c r="V24" s="61">
        <f>'Voluntary Costs'!Z6</f>
        <v>5056094.5164217632</v>
      </c>
      <c r="W24" s="61">
        <f>'Voluntary Costs'!AA6</f>
        <v>1026047.5545196771</v>
      </c>
      <c r="X24" s="61">
        <f>'Voluntary Costs'!AB6</f>
        <v>1283074.6405569604</v>
      </c>
      <c r="Y24" s="61">
        <f>'Voluntary Costs'!AC6</f>
        <v>312113.97373276862</v>
      </c>
      <c r="AA24" s="38">
        <v>2021</v>
      </c>
      <c r="AB24" s="61">
        <f>'Voluntary Costs'!AH6</f>
        <v>6340237.0760264909</v>
      </c>
      <c r="AC24" s="61">
        <f>'Voluntary Costs'!AI6</f>
        <v>4229643.7335099336</v>
      </c>
      <c r="AD24" s="61">
        <f>'Voluntary Costs'!AJ6</f>
        <v>5036596.2103476981</v>
      </c>
      <c r="AE24" s="61">
        <f>'Voluntary Costs'!AK6</f>
        <v>1022090.7081435675</v>
      </c>
      <c r="AF24" s="61">
        <f>'Voluntary Costs'!AL6</f>
        <v>1278126.5957812555</v>
      </c>
      <c r="AG24" s="61">
        <f>'Voluntary Costs'!AM6</f>
        <v>310910.33844271058</v>
      </c>
    </row>
    <row r="25" spans="1:33">
      <c r="A25" s="589"/>
      <c r="B25" s="590"/>
      <c r="C25" s="38">
        <v>2022</v>
      </c>
      <c r="D25" s="61">
        <f>'Voluntary Costs'!F7</f>
        <v>6370322.3583061956</v>
      </c>
      <c r="E25" s="61">
        <f>'Voluntary Costs'!G7</f>
        <v>4244395.1740310425</v>
      </c>
      <c r="F25" s="61">
        <f>'Voluntary Costs'!H7</f>
        <v>5077194.3132385723</v>
      </c>
      <c r="G25" s="61">
        <f>'Voluntary Costs'!I7</f>
        <v>1032549.0737663142</v>
      </c>
      <c r="H25" s="61">
        <f>'Voluntary Costs'!J7</f>
        <v>1288723.1944521328</v>
      </c>
      <c r="I25" s="61">
        <f>'Voluntary Costs'!K7</f>
        <v>313774.24398938793</v>
      </c>
      <c r="J25" s="61"/>
      <c r="K25" s="38">
        <v>2022</v>
      </c>
      <c r="L25" s="61">
        <f>'Voluntary Costs'!O7</f>
        <v>6398113.6916322932</v>
      </c>
      <c r="M25" s="61">
        <f>'Voluntary Costs'!P7</f>
        <v>4262911.8823567014</v>
      </c>
      <c r="N25" s="61">
        <f>'Voluntary Costs'!Q7</f>
        <v>5099308.6911082612</v>
      </c>
      <c r="O25" s="61">
        <f>'Voluntary Costs'!R7</f>
        <v>1037087.0616690813</v>
      </c>
      <c r="P25" s="61">
        <f>'Voluntary Costs'!S7</f>
        <v>1294342.3786048125</v>
      </c>
      <c r="Q25" s="61">
        <f>'Voluntary Costs'!T7</f>
        <v>315148.31565381843</v>
      </c>
      <c r="S25" s="38">
        <v>2022</v>
      </c>
      <c r="T25" s="61">
        <f>'Voluntary Costs'!X7</f>
        <v>6423000.6126026968</v>
      </c>
      <c r="U25" s="61">
        <f>'Voluntary Costs'!Y7</f>
        <v>4279493.4493986815</v>
      </c>
      <c r="V25" s="61">
        <f>'Voluntary Costs'!Z7</f>
        <v>5119110.5765183847</v>
      </c>
      <c r="W25" s="61">
        <f>'Voluntary Costs'!AA7</f>
        <v>1041152.0776659516</v>
      </c>
      <c r="X25" s="61">
        <f>'Voluntary Costs'!AB7</f>
        <v>1299374.1972526126</v>
      </c>
      <c r="Y25" s="61">
        <f>'Voluntary Costs'!AC7</f>
        <v>316378.98578244977</v>
      </c>
      <c r="AA25" s="38">
        <v>2022</v>
      </c>
      <c r="AB25" s="61">
        <f>'Voluntary Costs'!AH7</f>
        <v>6373971.725600414</v>
      </c>
      <c r="AC25" s="61">
        <f>'Voluntary Costs'!AI7</f>
        <v>4246826.6611773167</v>
      </c>
      <c r="AD25" s="61">
        <f>'Voluntary Costs'!AJ7</f>
        <v>5080098.3106432902</v>
      </c>
      <c r="AE25" s="61">
        <f>'Voluntary Costs'!AK7</f>
        <v>1033144.8876553202</v>
      </c>
      <c r="AF25" s="61">
        <f>'Voluntary Costs'!AL7</f>
        <v>1289461.0747742001</v>
      </c>
      <c r="AG25" s="61">
        <f>'Voluntary Costs'!AM7</f>
        <v>313954.66465276695</v>
      </c>
    </row>
    <row r="26" spans="1:33">
      <c r="A26" s="589"/>
      <c r="B26" s="590"/>
      <c r="C26" s="38">
        <v>2023</v>
      </c>
      <c r="D26" s="61">
        <f>'Voluntary Costs'!F8</f>
        <v>6402144.9235523185</v>
      </c>
      <c r="E26" s="61">
        <f>'Voluntary Costs'!G8</f>
        <v>4260259.1262904154</v>
      </c>
      <c r="F26" s="61">
        <f>'Voluntary Costs'!H8</f>
        <v>5119863.5089486204</v>
      </c>
      <c r="G26" s="61">
        <f>'Voluntary Costs'!I8</f>
        <v>1042971.00600192</v>
      </c>
      <c r="H26" s="61">
        <f>'Voluntary Costs'!J8</f>
        <v>1299579.2320587563</v>
      </c>
      <c r="I26" s="61">
        <f>'Voluntary Costs'!K8</f>
        <v>316743.73982343136</v>
      </c>
      <c r="J26" s="61"/>
      <c r="K26" s="38">
        <v>2023</v>
      </c>
      <c r="L26" s="61">
        <f>'Voluntary Costs'!O8</f>
        <v>6443779.8147914791</v>
      </c>
      <c r="M26" s="61">
        <f>'Voluntary Costs'!P8</f>
        <v>4287964.7511226833</v>
      </c>
      <c r="N26" s="61">
        <f>'Voluntary Costs'!Q8</f>
        <v>5153073.1877313079</v>
      </c>
      <c r="O26" s="61">
        <f>'Voluntary Costs'!R8</f>
        <v>1049838.2695428936</v>
      </c>
      <c r="P26" s="61">
        <f>'Voluntary Costs'!S8</f>
        <v>1308016.9948806257</v>
      </c>
      <c r="Q26" s="61">
        <f>'Voluntary Costs'!T8</f>
        <v>318819.01346845936</v>
      </c>
      <c r="S26" s="38">
        <v>2023</v>
      </c>
      <c r="T26" s="61">
        <f>'Voluntary Costs'!X8</f>
        <v>6481063.5332702678</v>
      </c>
      <c r="U26" s="61">
        <f>'Voluntary Costs'!Y8</f>
        <v>4312774.9208092466</v>
      </c>
      <c r="V26" s="61">
        <f>'Voluntary Costs'!Z8</f>
        <v>5182807.0838979911</v>
      </c>
      <c r="W26" s="61">
        <f>'Voluntary Costs'!AA8</f>
        <v>1055992.9087791531</v>
      </c>
      <c r="X26" s="61">
        <f>'Voluntary Costs'!AB8</f>
        <v>1315572.0480083907</v>
      </c>
      <c r="Y26" s="61">
        <f>'Voluntary Costs'!AC8</f>
        <v>320678.35406611883</v>
      </c>
      <c r="AA26" s="38">
        <v>2023</v>
      </c>
      <c r="AB26" s="61">
        <f>'Voluntary Costs'!AH8</f>
        <v>6407612.1319299722</v>
      </c>
      <c r="AC26" s="61">
        <f>'Voluntary Costs'!AI8</f>
        <v>4263897.2389330287</v>
      </c>
      <c r="AD26" s="61">
        <f>'Voluntary Costs'!AJ8</f>
        <v>5124224.7021967117</v>
      </c>
      <c r="AE26" s="61">
        <f>'Voluntary Costs'!AK8</f>
        <v>1043872.4454322809</v>
      </c>
      <c r="AF26" s="61">
        <f>'Voluntary Costs'!AL8</f>
        <v>1300687.278174514</v>
      </c>
      <c r="AG26" s="61">
        <f>'Voluntary Costs'!AM8</f>
        <v>317016.19008845597</v>
      </c>
    </row>
    <row r="27" spans="1:33">
      <c r="A27" s="589"/>
      <c r="B27" s="590"/>
      <c r="C27" s="38">
        <v>2024</v>
      </c>
      <c r="D27" s="61">
        <f>'Voluntary Costs'!F9</f>
        <v>6433877.9787566429</v>
      </c>
      <c r="E27" s="61">
        <f>'Voluntary Costs'!G9</f>
        <v>4276017.2313186545</v>
      </c>
      <c r="F27" s="61">
        <f>'Voluntary Costs'!H9</f>
        <v>5163109.6541965809</v>
      </c>
      <c r="G27" s="61">
        <f>'Voluntary Costs'!I9</f>
        <v>1053093.8703669731</v>
      </c>
      <c r="H27" s="61">
        <f>'Voluntary Costs'!J9</f>
        <v>1310337.40423835</v>
      </c>
      <c r="I27" s="61">
        <f>'Voluntary Costs'!K9</f>
        <v>319728.5766900825</v>
      </c>
      <c r="K27" s="38">
        <v>2024</v>
      </c>
      <c r="L27" s="61">
        <f>'Voluntary Costs'!O9</f>
        <v>6489321.7755901255</v>
      </c>
      <c r="M27" s="61">
        <f>'Voluntary Costs'!P9</f>
        <v>4312865.7123455713</v>
      </c>
      <c r="N27" s="61">
        <f>'Voluntary Costs'!Q9</f>
        <v>5207466.5543226153</v>
      </c>
      <c r="O27" s="61">
        <f>'Voluntary Costs'!R9</f>
        <v>1062310.21717248</v>
      </c>
      <c r="P27" s="61">
        <f>'Voluntary Costs'!S9</f>
        <v>1321593.5273818269</v>
      </c>
      <c r="Q27" s="61">
        <f>'Voluntary Costs'!T9</f>
        <v>322514.25523731502</v>
      </c>
      <c r="S27" s="38">
        <v>2024</v>
      </c>
      <c r="T27" s="61">
        <f>'Voluntary Costs'!X9</f>
        <v>6538971.2606977113</v>
      </c>
      <c r="U27" s="61">
        <f>'Voluntary Costs'!Y9</f>
        <v>4345863.2380286995</v>
      </c>
      <c r="V27" s="61">
        <f>'Voluntary Costs'!Z9</f>
        <v>5247177.3092370499</v>
      </c>
      <c r="W27" s="61">
        <f>'Voluntary Costs'!AA9</f>
        <v>1070574.5486571689</v>
      </c>
      <c r="X27" s="61">
        <f>'Voluntary Costs'!AB9</f>
        <v>1331670.0826711624</v>
      </c>
      <c r="Y27" s="61">
        <f>'Voluntary Costs'!AC9</f>
        <v>325011.35914976377</v>
      </c>
      <c r="AA27" s="38">
        <v>2024</v>
      </c>
      <c r="AB27" s="61">
        <f>'Voluntary Costs'!AH9</f>
        <v>6441158.4779128842</v>
      </c>
      <c r="AC27" s="61">
        <f>'Voluntary Costs'!AI9</f>
        <v>4280855.921133331</v>
      </c>
      <c r="AD27" s="61">
        <f>'Voluntary Costs'!AJ9</f>
        <v>5168934.9569130382</v>
      </c>
      <c r="AE27" s="61">
        <f>'Voluntary Costs'!AK9</f>
        <v>1054303.3984759464</v>
      </c>
      <c r="AF27" s="61">
        <f>'Voluntary Costs'!AL9</f>
        <v>1311815.6808210651</v>
      </c>
      <c r="AG27" s="61">
        <f>'Voluntary Costs'!AM9</f>
        <v>320094.21375035454</v>
      </c>
    </row>
    <row r="28" spans="1:33">
      <c r="A28" s="589"/>
      <c r="B28" s="590"/>
      <c r="C28" s="38">
        <v>2025</v>
      </c>
      <c r="D28" s="61">
        <f>'Voluntary Costs'!F10</f>
        <v>6465521.6979715144</v>
      </c>
      <c r="E28" s="61">
        <f>'Voluntary Costs'!G10</f>
        <v>4291669.9192022132</v>
      </c>
      <c r="F28" s="61">
        <f>'Voluntary Costs'!H10</f>
        <v>5206894.9781836271</v>
      </c>
      <c r="G28" s="61">
        <f>'Voluntary Costs'!I10</f>
        <v>1062945.7449061794</v>
      </c>
      <c r="H28" s="61">
        <f>'Voluntary Costs'!J10</f>
        <v>1321007.3831980384</v>
      </c>
      <c r="I28" s="61">
        <f>'Voluntary Costs'!K10</f>
        <v>322728.17099753488</v>
      </c>
      <c r="K28" s="38">
        <v>2025</v>
      </c>
      <c r="L28" s="61">
        <f>'Voluntary Costs'!O10</f>
        <v>6534739.8130808137</v>
      </c>
      <c r="M28" s="61">
        <f>'Voluntary Costs'!P10</f>
        <v>4337615.3689826494</v>
      </c>
      <c r="N28" s="61">
        <f>'Voluntary Costs'!Q10</f>
        <v>5262465.6790257795</v>
      </c>
      <c r="O28" s="61">
        <f>'Voluntary Costs'!R10</f>
        <v>1074519.6275496806</v>
      </c>
      <c r="P28" s="61">
        <f>'Voluntary Costs'!S10</f>
        <v>1335078.3260936127</v>
      </c>
      <c r="Q28" s="61">
        <f>'Voluntary Costs'!T10</f>
        <v>326233.23782987928</v>
      </c>
      <c r="S28" s="38">
        <v>2025</v>
      </c>
      <c r="T28" s="61">
        <f>'Voluntary Costs'!X10</f>
        <v>6596724.0921448162</v>
      </c>
      <c r="U28" s="61">
        <f>'Voluntary Costs'!Y10</f>
        <v>4378759.1588187991</v>
      </c>
      <c r="V28" s="61">
        <f>'Voluntary Costs'!Z10</f>
        <v>5312213.0937521122</v>
      </c>
      <c r="W28" s="61">
        <f>'Voluntary Costs'!AA10</f>
        <v>1084902.5122166961</v>
      </c>
      <c r="X28" s="61">
        <f>'Voluntary Costs'!AB10</f>
        <v>1347670.6376052704</v>
      </c>
      <c r="Y28" s="61">
        <f>'Voluntary Costs'!AC10</f>
        <v>329377.25351424899</v>
      </c>
      <c r="AA28" s="38">
        <v>2025</v>
      </c>
      <c r="AB28" s="61">
        <f>'Voluntary Costs'!AH10</f>
        <v>6474610.9461368835</v>
      </c>
      <c r="AC28" s="61">
        <f>'Voluntary Costs'!AI10</f>
        <v>4297703.1605648883</v>
      </c>
      <c r="AD28" s="61">
        <f>'Voluntary Costs'!AJ10</f>
        <v>5214193.1155351773</v>
      </c>
      <c r="AE28" s="61">
        <f>'Voluntary Costs'!AK10</f>
        <v>1064464.4019642235</v>
      </c>
      <c r="AF28" s="61">
        <f>'Voluntary Costs'!AL10</f>
        <v>1322855.5766585241</v>
      </c>
      <c r="AG28" s="61">
        <f>'Voluntary Costs'!AM10</f>
        <v>323188.11039857886</v>
      </c>
    </row>
    <row r="29" spans="1:33">
      <c r="A29" s="589"/>
      <c r="B29" s="590"/>
      <c r="C29" s="38">
        <v>2026</v>
      </c>
      <c r="D29" s="61">
        <f>'Voluntary Costs'!F11</f>
        <v>6497076.2549540065</v>
      </c>
      <c r="E29" s="61">
        <f>'Voluntary Costs'!G11</f>
        <v>4307217.6185386581</v>
      </c>
      <c r="F29" s="61">
        <f>'Voluntary Costs'!H11</f>
        <v>5251186.0422354201</v>
      </c>
      <c r="G29" s="61">
        <f>'Voluntary Costs'!I11</f>
        <v>1072551.444793385</v>
      </c>
      <c r="H29" s="61">
        <f>'Voluntary Costs'!J11</f>
        <v>1331597.7088879927</v>
      </c>
      <c r="I29" s="61">
        <f>'Voluntary Costs'!K11</f>
        <v>325742.00394146587</v>
      </c>
      <c r="K29" s="38">
        <v>2026</v>
      </c>
      <c r="L29" s="61">
        <f>'Voluntary Costs'!O11</f>
        <v>6580034.1659125015</v>
      </c>
      <c r="M29" s="61">
        <f>'Voluntary Costs'!P11</f>
        <v>4362214.3219258403</v>
      </c>
      <c r="N29" s="61">
        <f>'Voluntary Costs'!Q11</f>
        <v>5318048.5253749657</v>
      </c>
      <c r="O29" s="61">
        <f>'Voluntary Costs'!R11</f>
        <v>1086482.4117090444</v>
      </c>
      <c r="P29" s="61">
        <f>'Voluntary Costs'!S11</f>
        <v>1348477.4339539248</v>
      </c>
      <c r="Q29" s="61">
        <f>'Voluntary Costs'!T11</f>
        <v>329975.2041986222</v>
      </c>
      <c r="S29" s="38">
        <v>2026</v>
      </c>
      <c r="T29" s="61">
        <f>'Voluntary Costs'!X11</f>
        <v>6654322.3243707092</v>
      </c>
      <c r="U29" s="61">
        <f>'Voluntary Costs'!Y11</f>
        <v>4411463.4383597113</v>
      </c>
      <c r="V29" s="61">
        <f>'Voluntary Costs'!Z11</f>
        <v>5377905.051392585</v>
      </c>
      <c r="W29" s="61">
        <f>'Voluntary Costs'!AA11</f>
        <v>1098983.1823822032</v>
      </c>
      <c r="X29" s="61">
        <f>'Voluntary Costs'!AB11</f>
        <v>1363576.4308936642</v>
      </c>
      <c r="Y29" s="61">
        <f>'Voluntary Costs'!AC11</f>
        <v>333775.27026346058</v>
      </c>
      <c r="AA29" s="38">
        <v>2026</v>
      </c>
      <c r="AB29" s="61">
        <f>'Voluntary Costs'!AH11</f>
        <v>6507969.7188801998</v>
      </c>
      <c r="AC29" s="61">
        <f>'Voluntary Costs'!AI11</f>
        <v>4314439.4084497793</v>
      </c>
      <c r="AD29" s="61">
        <f>'Voluntary Costs'!AJ11</f>
        <v>5259967.0953283682</v>
      </c>
      <c r="AE29" s="61">
        <f>'Voluntary Costs'!AK11</f>
        <v>1074379.1949889401</v>
      </c>
      <c r="AF29" s="61">
        <f>'Voluntary Costs'!AL11</f>
        <v>1333815.2352800667</v>
      </c>
      <c r="AG29" s="61">
        <f>'Voluntary Costs'!AM11</f>
        <v>326297.320582574</v>
      </c>
    </row>
    <row r="30" spans="1:33">
      <c r="A30" s="589"/>
      <c r="B30" s="590"/>
      <c r="C30" s="38">
        <v>2027</v>
      </c>
      <c r="D30" s="61">
        <f>'Voluntary Costs'!F12</f>
        <v>6528541.823166389</v>
      </c>
      <c r="E30" s="61">
        <f>'Voluntary Costs'!G12</f>
        <v>4322660.7564414255</v>
      </c>
      <c r="F30" s="61">
        <f>'Voluntary Costs'!H12</f>
        <v>5295953.1367806215</v>
      </c>
      <c r="G30" s="61">
        <f>'Voluntary Costs'!I12</f>
        <v>1081932.97661969</v>
      </c>
      <c r="H30" s="61">
        <f>'Voluntary Costs'!J12</f>
        <v>1342115.94666727</v>
      </c>
      <c r="I30" s="61">
        <f>'Voluntary Costs'!K12</f>
        <v>328769.61256735382</v>
      </c>
      <c r="K30" s="38">
        <v>2027</v>
      </c>
      <c r="L30" s="61">
        <f>'Voluntary Costs'!O12</f>
        <v>6625205.072331151</v>
      </c>
      <c r="M30" s="61">
        <f>'Voluntary Costs'!P12</f>
        <v>4386663.170008258</v>
      </c>
      <c r="N30" s="61">
        <f>'Voluntary Costs'!Q12</f>
        <v>5374194.1359103769</v>
      </c>
      <c r="O30" s="61">
        <f>'Voluntary Costs'!R12</f>
        <v>1098213.667793398</v>
      </c>
      <c r="P30" s="61">
        <f>'Voluntary Costs'!S12</f>
        <v>1361796.5854699761</v>
      </c>
      <c r="Q30" s="61">
        <f>'Voluntary Costs'!T12</f>
        <v>333739.44207421865</v>
      </c>
      <c r="S30" s="38">
        <v>2027</v>
      </c>
      <c r="T30" s="61">
        <f>'Voluntary Costs'!X12</f>
        <v>6711766.2536346419</v>
      </c>
      <c r="U30" s="61">
        <f>'Voluntary Costs'!Y12</f>
        <v>4443976.8292581765</v>
      </c>
      <c r="V30" s="61">
        <f>'Voluntary Costs'!Z12</f>
        <v>5444242.765843221</v>
      </c>
      <c r="W30" s="61">
        <f>'Voluntary Costs'!AA12</f>
        <v>1112823.6679932282</v>
      </c>
      <c r="X30" s="61">
        <f>'Voluntary Costs'!AB12</f>
        <v>1379390.4993781284</v>
      </c>
      <c r="Y30" s="61">
        <f>'Voluntary Costs'!AC12</f>
        <v>338204.63116532419</v>
      </c>
      <c r="AA30" s="38">
        <v>2027</v>
      </c>
      <c r="AB30" s="61">
        <f>'Voluntary Costs'!AH12</f>
        <v>6541234.978112055</v>
      </c>
      <c r="AC30" s="61">
        <f>'Voluntary Costs'!AI12</f>
        <v>4331065.1144504929</v>
      </c>
      <c r="AD30" s="61">
        <f>'Voluntary Costs'!AJ12</f>
        <v>5306228.1880318942</v>
      </c>
      <c r="AE30" s="61">
        <f>'Voluntary Costs'!AK12</f>
        <v>1084068.9783789953</v>
      </c>
      <c r="AF30" s="61">
        <f>'Voluntary Costs'!AL12</f>
        <v>1344702.0346172969</v>
      </c>
      <c r="AG30" s="61">
        <f>'Voluntary Costs'!AM12</f>
        <v>329421.34217084775</v>
      </c>
    </row>
    <row r="31" spans="1:33">
      <c r="A31" s="589"/>
      <c r="B31" s="590"/>
      <c r="C31" s="38">
        <v>2028</v>
      </c>
      <c r="D31" s="61">
        <f>'Voluntary Costs'!F13</f>
        <v>6559918.5757765919</v>
      </c>
      <c r="E31" s="61">
        <f>'Voluntary Costs'!G13</f>
        <v>4337999.7585445633</v>
      </c>
      <c r="F31" s="61">
        <f>'Voluntary Costs'!H13</f>
        <v>5341169.775712138</v>
      </c>
      <c r="G31" s="61">
        <f>'Voluntary Costs'!I13</f>
        <v>1091109.9193346987</v>
      </c>
      <c r="H31" s="61">
        <f>'Voluntary Costs'!J13</f>
        <v>1352568.8195086136</v>
      </c>
      <c r="I31" s="61">
        <f>'Voluntary Costs'!K13</f>
        <v>331810.5822579657</v>
      </c>
      <c r="K31" s="38">
        <v>2028</v>
      </c>
      <c r="L31" s="61">
        <f>'Voluntary Costs'!O13</f>
        <v>6670252.7701803707</v>
      </c>
      <c r="M31" s="61">
        <f>'Voluntary Costs'!P13</f>
        <v>4410962.5100107528</v>
      </c>
      <c r="N31" s="61">
        <f>'Voluntary Costs'!Q13</f>
        <v>5430882.6233051866</v>
      </c>
      <c r="O31" s="61">
        <f>'Voluntary Costs'!R13</f>
        <v>1109727.6892425471</v>
      </c>
      <c r="P31" s="61">
        <f>'Voluntary Costs'!S13</f>
        <v>1375041.2089755733</v>
      </c>
      <c r="Q31" s="61">
        <f>'Voluntary Costs'!T13</f>
        <v>337525.28238543216</v>
      </c>
      <c r="S31" s="38">
        <v>2028</v>
      </c>
      <c r="T31" s="61">
        <f>'Voluntary Costs'!X13</f>
        <v>6769056.1756967846</v>
      </c>
      <c r="U31" s="61">
        <f>'Voluntary Costs'!Y13</f>
        <v>4476300.081555659</v>
      </c>
      <c r="V31" s="61">
        <f>'Voluntary Costs'!Z13</f>
        <v>5511214.9790920634</v>
      </c>
      <c r="W31" s="61">
        <f>'Voluntary Costs'!AA13</f>
        <v>1126431.6680362823</v>
      </c>
      <c r="X31" s="61">
        <f>'Voluntary Costs'!AB13</f>
        <v>1395116.1385532175</v>
      </c>
      <c r="Y31" s="61">
        <f>'Voluntary Costs'!AC13</f>
        <v>342664.55394910311</v>
      </c>
      <c r="AA31" s="38">
        <v>2028</v>
      </c>
      <c r="AB31" s="61">
        <f>'Voluntary Costs'!AH13</f>
        <v>6574406.9054931458</v>
      </c>
      <c r="AC31" s="61">
        <f>'Voluntary Costs'!AI13</f>
        <v>4347580.7266749013</v>
      </c>
      <c r="AD31" s="61">
        <f>'Voluntary Costs'!AJ13</f>
        <v>5352950.6326154973</v>
      </c>
      <c r="AE31" s="61">
        <f>'Voluntary Costs'!AK13</f>
        <v>1093552.7362386817</v>
      </c>
      <c r="AF31" s="61">
        <f>'Voluntary Costs'!AL13</f>
        <v>1355522.5738634195</v>
      </c>
      <c r="AG31" s="61">
        <f>'Voluntary Costs'!AM13</f>
        <v>332559.72312759428</v>
      </c>
    </row>
    <row r="32" spans="1:33">
      <c r="A32" s="589"/>
      <c r="B32" s="590"/>
      <c r="C32" s="38">
        <v>2029</v>
      </c>
      <c r="D32" s="61">
        <f>'Voluntary Costs'!F14</f>
        <v>6591206.68565867</v>
      </c>
      <c r="E32" s="61">
        <f>'Voluntary Costs'!G14</f>
        <v>4353235.0490074577</v>
      </c>
      <c r="F32" s="61">
        <f>'Voluntary Costs'!H14</f>
        <v>5386812.270333779</v>
      </c>
      <c r="G32" s="61">
        <f>'Voluntary Costs'!I14</f>
        <v>1100099.7452415819</v>
      </c>
      <c r="H32" s="61">
        <f>'Voluntary Costs'!J14</f>
        <v>1362962.3193958511</v>
      </c>
      <c r="I32" s="61">
        <f>'Voluntary Costs'!K14</f>
        <v>334864.5403890498</v>
      </c>
      <c r="K32" s="38">
        <v>2029</v>
      </c>
      <c r="L32" s="61">
        <f>'Voluntary Costs'!O14</f>
        <v>6715177.4969020411</v>
      </c>
      <c r="M32" s="61">
        <f>'Voluntary Costs'!P14</f>
        <v>4435112.9366684221</v>
      </c>
      <c r="N32" s="61">
        <f>'Voluntary Costs'!Q14</f>
        <v>5488095.1515051574</v>
      </c>
      <c r="O32" s="61">
        <f>'Voluntary Costs'!R14</f>
        <v>1121037.9802518671</v>
      </c>
      <c r="P32" s="61">
        <f>'Voluntary Costs'!S14</f>
        <v>1388216.4318051215</v>
      </c>
      <c r="Q32" s="61">
        <f>'Voluntary Costs'!T14</f>
        <v>341332.09747973375</v>
      </c>
      <c r="S32" s="38">
        <v>2029</v>
      </c>
      <c r="T32" s="61">
        <f>'Voluntary Costs'!X14</f>
        <v>6826192.3858189993</v>
      </c>
      <c r="U32" s="61">
        <f>'Voluntary Costs'!Y14</f>
        <v>4508433.942736472</v>
      </c>
      <c r="V32" s="61">
        <f>'Voluntary Costs'!Z14</f>
        <v>5578809.7690012464</v>
      </c>
      <c r="W32" s="61">
        <f>'Voluntary Costs'!AA14</f>
        <v>1139815.3440143247</v>
      </c>
      <c r="X32" s="61">
        <f>'Voluntary Costs'!AB14</f>
        <v>1410756.8461095293</v>
      </c>
      <c r="Y32" s="61">
        <f>'Voluntary Costs'!AC14</f>
        <v>347154.25881292654</v>
      </c>
      <c r="AA32" s="38">
        <v>2029</v>
      </c>
      <c r="AB32" s="61">
        <f>'Voluntary Costs'!AH14</f>
        <v>6607485.6823761305</v>
      </c>
      <c r="AC32" s="61">
        <f>'Voluntary Costs'!AI14</f>
        <v>4363986.6916812221</v>
      </c>
      <c r="AD32" s="61">
        <f>'Voluntary Costs'!AJ14</f>
        <v>5400111.2503059842</v>
      </c>
      <c r="AE32" s="61">
        <f>'Voluntary Costs'!AK14</f>
        <v>1102847.5106293752</v>
      </c>
      <c r="AF32" s="61">
        <f>'Voluntary Costs'!AL14</f>
        <v>1366282.7699418622</v>
      </c>
      <c r="AG32" s="61">
        <f>'Voluntary Costs'!AM14</f>
        <v>335712.05533032247</v>
      </c>
    </row>
    <row r="33" spans="1:33">
      <c r="A33" s="589"/>
      <c r="B33" s="590"/>
      <c r="C33" s="38">
        <v>2030</v>
      </c>
      <c r="D33" s="61">
        <f>'Voluntary Costs'!F15</f>
        <v>6622406.3253932698</v>
      </c>
      <c r="E33" s="61">
        <f>'Voluntary Costs'!G15</f>
        <v>4368367.0505195474</v>
      </c>
      <c r="F33" s="61">
        <f>'Voluntary Costs'!H15</f>
        <v>5432859.3687088974</v>
      </c>
      <c r="G33" s="61">
        <f>'Voluntary Costs'!I15</f>
        <v>1108918.0917263031</v>
      </c>
      <c r="H33" s="61">
        <f>'Voluntary Costs'!J15</f>
        <v>1373301.8016224266</v>
      </c>
      <c r="I33" s="61">
        <f>'Voluntary Costs'!K15</f>
        <v>337931.15094776958</v>
      </c>
      <c r="K33" s="38">
        <v>2030</v>
      </c>
      <c r="L33" s="61">
        <f>'Voluntary Costs'!O15</f>
        <v>6759979.4895369578</v>
      </c>
      <c r="M33" s="61">
        <f>'Voluntary Costs'!P15</f>
        <v>4459115.0426771175</v>
      </c>
      <c r="N33" s="61">
        <f>'Voluntary Costs'!Q15</f>
        <v>5545813.9090571469</v>
      </c>
      <c r="O33" s="61">
        <f>'Voluntary Costs'!R15</f>
        <v>1132157.2768910192</v>
      </c>
      <c r="P33" s="61">
        <f>'Voluntary Costs'!S15</f>
        <v>1401327.0877538021</v>
      </c>
      <c r="Q33" s="61">
        <f>'Voluntary Costs'!T15</f>
        <v>345159.29920879228</v>
      </c>
      <c r="S33" s="38">
        <v>2030</v>
      </c>
      <c r="T33" s="61">
        <f>'Voluntary Costs'!X15</f>
        <v>6883175.1787656369</v>
      </c>
      <c r="U33" s="61">
        <f>'Voluntary Costs'!Y15</f>
        <v>4540379.157735873</v>
      </c>
      <c r="V33" s="61">
        <f>'Voluntary Costs'!Z15</f>
        <v>5647014.7139816144</v>
      </c>
      <c r="W33" s="61">
        <f>'Voluntary Costs'!AA15</f>
        <v>1152983.2017881002</v>
      </c>
      <c r="X33" s="61">
        <f>'Voluntary Costs'!AB15</f>
        <v>1426316.269709795</v>
      </c>
      <c r="Y33" s="61">
        <f>'Voluntary Costs'!AC15</f>
        <v>351672.97412287461</v>
      </c>
      <c r="AA33" s="38">
        <v>2030</v>
      </c>
      <c r="AB33" s="61">
        <f>'Voluntary Costs'!AH15</f>
        <v>6640471.4898061184</v>
      </c>
      <c r="AC33" s="61">
        <f>'Voluntary Costs'!AI15</f>
        <v>4380283.4544829698</v>
      </c>
      <c r="AD33" s="61">
        <f>'Voluntary Costs'!AJ15</f>
        <v>5447689.1316723572</v>
      </c>
      <c r="AE33" s="61">
        <f>'Voluntary Costs'!AK15</f>
        <v>1111968.6370762566</v>
      </c>
      <c r="AF33" s="61">
        <f>'Voluntary Costs'!AL15</f>
        <v>1376987.9402186838</v>
      </c>
      <c r="AG33" s="61">
        <f>'Voluntary Costs'!AM15</f>
        <v>338877.9692601696</v>
      </c>
    </row>
    <row r="34" spans="1:33">
      <c r="A34" s="589"/>
      <c r="B34" s="590"/>
      <c r="C34" s="38">
        <v>2040</v>
      </c>
      <c r="D34" s="61">
        <f>'Voluntary Costs'!F16</f>
        <v>6884930.0972347362</v>
      </c>
      <c r="E34" s="61">
        <f>'Voluntary Costs'!G16</f>
        <v>4535852.7363491757</v>
      </c>
      <c r="F34" s="61">
        <f>'Voluntary Costs'!H16</f>
        <v>5669864.2639892716</v>
      </c>
      <c r="G34" s="61">
        <f>'Voluntary Costs'!I16</f>
        <v>1156448.9079032673</v>
      </c>
      <c r="H34" s="61">
        <f>'Voluntary Costs'!J16</f>
        <v>1431714.0386105592</v>
      </c>
      <c r="I34" s="61">
        <f>'Voluntary Costs'!K16</f>
        <v>352870.59971247101</v>
      </c>
      <c r="K34" s="38">
        <v>2040</v>
      </c>
      <c r="L34" s="61">
        <f>'Voluntary Costs'!O16</f>
        <v>7184739.0361245237</v>
      </c>
      <c r="M34" s="61">
        <f>'Voluntary Costs'!P16</f>
        <v>4733369.5123570245</v>
      </c>
      <c r="N34" s="61">
        <f>'Voluntary Costs'!Q16</f>
        <v>5917039.5258143069</v>
      </c>
      <c r="O34" s="61">
        <f>'Voluntary Costs'!R16</f>
        <v>1206946.2657405646</v>
      </c>
      <c r="P34" s="61">
        <f>'Voluntary Costs'!S16</f>
        <v>1493379.0046865388</v>
      </c>
      <c r="Q34" s="61">
        <f>'Voluntary Costs'!T16</f>
        <v>368500.38458058616</v>
      </c>
      <c r="S34" s="38">
        <v>2040</v>
      </c>
      <c r="T34" s="61">
        <f>'Voluntary Costs'!X16</f>
        <v>7396177.9821889158</v>
      </c>
      <c r="U34" s="61">
        <f>'Voluntary Costs'!Y16</f>
        <v>4817016.830272425</v>
      </c>
      <c r="V34" s="61">
        <f>'Voluntary Costs'!Z16</f>
        <v>6306945.5424010037</v>
      </c>
      <c r="W34" s="61">
        <f>'Voluntary Costs'!AA16</f>
        <v>1276008.7658002232</v>
      </c>
      <c r="X34" s="61">
        <f>'Voluntary Costs'!AB16</f>
        <v>1572563.05359984</v>
      </c>
      <c r="Y34" s="61">
        <f>'Voluntary Costs'!AC16</f>
        <v>395597.37378953933</v>
      </c>
      <c r="AA34" s="38">
        <v>2040</v>
      </c>
      <c r="AB34" s="61">
        <f>'Voluntary Costs'!AH16</f>
        <v>6842572.7960176086</v>
      </c>
      <c r="AC34" s="61">
        <f>'Voluntary Costs'!AI16</f>
        <v>4456462.2971696304</v>
      </c>
      <c r="AD34" s="61">
        <f>'Voluntary Costs'!AJ16</f>
        <v>5831178.6637859372</v>
      </c>
      <c r="AE34" s="61">
        <f>'Voluntary Costs'!AK16</f>
        <v>1181622.8155634506</v>
      </c>
      <c r="AF34" s="61">
        <f>'Voluntary Costs'!AL16</f>
        <v>1458657.7118567992</v>
      </c>
      <c r="AG34" s="61">
        <f>'Voluntary Costs'!AM16</f>
        <v>364752.97388471867</v>
      </c>
    </row>
    <row r="35" spans="1:33">
      <c r="A35" s="589"/>
      <c r="B35" s="590"/>
      <c r="C35" s="38">
        <v>2050</v>
      </c>
      <c r="D35" s="61">
        <f>'Voluntary Costs'!F17</f>
        <v>6999815.700764277</v>
      </c>
      <c r="E35" s="61">
        <f>'Voluntary Costs'!G17</f>
        <v>4611540.3863001736</v>
      </c>
      <c r="F35" s="61">
        <f>'Voluntary Costs'!H17</f>
        <v>5764474.6331142401</v>
      </c>
      <c r="G35" s="61">
        <f>'Voluntary Costs'!I17</f>
        <v>1175746.0291316886</v>
      </c>
      <c r="H35" s="61">
        <f>'Voluntary Costs'!J17</f>
        <v>1455604.3801368375</v>
      </c>
      <c r="I35" s="61">
        <f>'Voluntary Costs'!K17</f>
        <v>358758.78612006881</v>
      </c>
      <c r="K35" s="38">
        <v>2050</v>
      </c>
      <c r="L35" s="61">
        <f>'Voluntary Costs'!O17</f>
        <v>7495342.0888807606</v>
      </c>
      <c r="M35" s="61">
        <f>'Voluntary Costs'!P17</f>
        <v>4937997.5458832672</v>
      </c>
      <c r="N35" s="61">
        <f>'Voluntary Costs'!Q17</f>
        <v>6172838.7317084409</v>
      </c>
      <c r="O35" s="61">
        <f>'Voluntary Costs'!R17</f>
        <v>1259123.6924733764</v>
      </c>
      <c r="P35" s="61">
        <f>'Voluntary Costs'!S17</f>
        <v>1557939.1891894839</v>
      </c>
      <c r="Q35" s="61">
        <f>'Voluntary Costs'!T17</f>
        <v>384431.00416427478</v>
      </c>
      <c r="S35" s="38">
        <v>2050</v>
      </c>
      <c r="T35" s="61">
        <f>'Voluntary Costs'!X17</f>
        <v>7955284.3091362426</v>
      </c>
      <c r="U35" s="61">
        <f>'Voluntary Costs'!Y17</f>
        <v>5181154.1716537103</v>
      </c>
      <c r="V35" s="61">
        <f>'Voluntary Costs'!Z17</f>
        <v>6783712.4840511885</v>
      </c>
      <c r="W35" s="61">
        <f>'Voluntary Costs'!AA17</f>
        <v>1372467.3118110395</v>
      </c>
      <c r="X35" s="61">
        <f>'Voluntary Costs'!AB17</f>
        <v>1691439.3103514479</v>
      </c>
      <c r="Y35" s="61">
        <f>'Voluntary Costs'!AC17</f>
        <v>425502.1428665024</v>
      </c>
      <c r="AA35" s="38">
        <v>2050</v>
      </c>
      <c r="AB35" s="61">
        <f>'Voluntary Costs'!AH17</f>
        <v>6989199.3559322711</v>
      </c>
      <c r="AC35" s="61">
        <f>'Voluntary Costs'!AI17</f>
        <v>4551957.9178232653</v>
      </c>
      <c r="AD35" s="61">
        <f>'Voluntary Costs'!AJ17</f>
        <v>5956132.4922956359</v>
      </c>
      <c r="AE35" s="61">
        <f>'Voluntary Costs'!AK17</f>
        <v>1206943.3044683815</v>
      </c>
      <c r="AF35" s="61">
        <f>'Voluntary Costs'!AL17</f>
        <v>1489914.662825159</v>
      </c>
      <c r="AG35" s="61">
        <f>'Voluntary Costs'!AM17</f>
        <v>372569.10903939116</v>
      </c>
    </row>
    <row r="36" spans="1:33">
      <c r="A36" s="589"/>
      <c r="B36" s="590"/>
      <c r="C36" s="38">
        <v>2060</v>
      </c>
      <c r="D36" s="61">
        <f>'Voluntary Costs'!F18</f>
        <v>6966991.2426129803</v>
      </c>
      <c r="E36" s="61">
        <f>'Voluntary Costs'!G18</f>
        <v>4589915.343457032</v>
      </c>
      <c r="F36" s="61">
        <f>'Voluntary Costs'!H18</f>
        <v>5737443.0990785351</v>
      </c>
      <c r="G36" s="61">
        <f>'Voluntary Costs'!I18</f>
        <v>1170232.5659235683</v>
      </c>
      <c r="H36" s="61">
        <f>'Voluntary Costs'!J18</f>
        <v>1448778.5682721867</v>
      </c>
      <c r="I36" s="61">
        <f>'Voluntary Costs'!K18</f>
        <v>357076.44714646949</v>
      </c>
      <c r="K36" s="38">
        <v>2060</v>
      </c>
      <c r="L36" s="61">
        <f>'Voluntary Costs'!O18</f>
        <v>7666991.1443513129</v>
      </c>
      <c r="M36" s="61">
        <f>'Voluntary Costs'!P18</f>
        <v>5051081.45914777</v>
      </c>
      <c r="N36" s="61">
        <f>'Voluntary Costs'!Q18</f>
        <v>6314201.4507551994</v>
      </c>
      <c r="O36" s="61">
        <f>'Voluntary Costs'!R18</f>
        <v>1287958.5861941411</v>
      </c>
      <c r="P36" s="61">
        <f>'Voluntary Costs'!S18</f>
        <v>1593617.1858884799</v>
      </c>
      <c r="Q36" s="61">
        <f>'Voluntary Costs'!T18</f>
        <v>393234.76761841855</v>
      </c>
      <c r="S36" s="38">
        <v>2060</v>
      </c>
      <c r="T36" s="61">
        <f>'Voluntary Costs'!X18</f>
        <v>8442505.5369046275</v>
      </c>
      <c r="U36" s="61">
        <f>'Voluntary Costs'!Y18</f>
        <v>5498473.8548574019</v>
      </c>
      <c r="V36" s="61">
        <f>'Voluntary Costs'!Z18</f>
        <v>7199180.8189177783</v>
      </c>
      <c r="W36" s="61">
        <f>'Voluntary Costs'!AA18</f>
        <v>1456524.0447633222</v>
      </c>
      <c r="X36" s="61">
        <f>'Voluntary Costs'!AB18</f>
        <v>1795031.4769492778</v>
      </c>
      <c r="Y36" s="61">
        <f>'Voluntary Costs'!AC18</f>
        <v>451562.01306214166</v>
      </c>
      <c r="AA36" s="38">
        <v>2060</v>
      </c>
      <c r="AB36" s="61">
        <f>'Voluntary Costs'!AH18</f>
        <v>6997345.2759275306</v>
      </c>
      <c r="AC36" s="61">
        <f>'Voluntary Costs'!AI18</f>
        <v>4557263.2300818004</v>
      </c>
      <c r="AD36" s="61">
        <f>'Voluntary Costs'!AJ18</f>
        <v>5963074.3716572858</v>
      </c>
      <c r="AE36" s="61">
        <f>'Voluntary Costs'!AK18</f>
        <v>1208349.9982964331</v>
      </c>
      <c r="AF36" s="61">
        <f>'Voluntary Costs'!AL18</f>
        <v>1491651.160101179</v>
      </c>
      <c r="AG36" s="61">
        <f>'Voluntary Costs'!AM18</f>
        <v>373003.33877020632</v>
      </c>
    </row>
    <row r="37" spans="1:33">
      <c r="A37" s="589"/>
      <c r="B37" s="590"/>
      <c r="C37" s="38">
        <v>2070</v>
      </c>
      <c r="D37" s="61">
        <f>'Voluntary Costs'!F19</f>
        <v>6811075.066394316</v>
      </c>
      <c r="E37" s="61">
        <f>'Voluntary Costs'!G19</f>
        <v>4487196.3899521045</v>
      </c>
      <c r="F37" s="61">
        <f>'Voluntary Costs'!H19</f>
        <v>5609043.3124089334</v>
      </c>
      <c r="G37" s="61">
        <f>'Voluntary Costs'!I19</f>
        <v>1144043.6156849961</v>
      </c>
      <c r="H37" s="61">
        <f>'Voluntary Costs'!J19</f>
        <v>1416355.9619150942</v>
      </c>
      <c r="I37" s="61">
        <f>'Voluntary Costs'!K19</f>
        <v>349085.33702187246</v>
      </c>
      <c r="K37" s="38">
        <v>2070</v>
      </c>
      <c r="L37" s="61">
        <f>'Voluntary Costs'!O19</f>
        <v>7732381.2607210465</v>
      </c>
      <c r="M37" s="61">
        <f>'Voluntary Costs'!P19</f>
        <v>5094161.0451532938</v>
      </c>
      <c r="N37" s="61">
        <f>'Voluntary Costs'!Q19</f>
        <v>6368053.9151539644</v>
      </c>
      <c r="O37" s="61">
        <f>'Voluntary Costs'!R19</f>
        <v>1298943.3076115751</v>
      </c>
      <c r="P37" s="61">
        <f>'Voluntary Costs'!S19</f>
        <v>1607208.8036785733</v>
      </c>
      <c r="Q37" s="61">
        <f>'Voluntary Costs'!T19</f>
        <v>396588.58226761612</v>
      </c>
      <c r="S37" s="38">
        <v>2070</v>
      </c>
      <c r="T37" s="61">
        <f>'Voluntary Costs'!X19</f>
        <v>8881803.3652203828</v>
      </c>
      <c r="U37" s="61">
        <f>'Voluntary Costs'!Y19</f>
        <v>5784581.7659426965</v>
      </c>
      <c r="V37" s="61">
        <f>'Voluntary Costs'!Z19</f>
        <v>7573783.4159286357</v>
      </c>
      <c r="W37" s="61">
        <f>'Voluntary Costs'!AA19</f>
        <v>1532312.9023432489</v>
      </c>
      <c r="X37" s="61">
        <f>'Voluntary Costs'!AB19</f>
        <v>1888434.2501112551</v>
      </c>
      <c r="Y37" s="61">
        <f>'Voluntary Costs'!AC19</f>
        <v>475058.61733689829</v>
      </c>
      <c r="AA37" s="38">
        <v>2070</v>
      </c>
      <c r="AB37" s="61">
        <f>'Voluntary Costs'!AH19</f>
        <v>6891448.3159891637</v>
      </c>
      <c r="AC37" s="61">
        <f>'Voluntary Costs'!AI19</f>
        <v>4488294.1707208427</v>
      </c>
      <c r="AD37" s="61">
        <f>'Voluntary Costs'!AJ19</f>
        <v>5872829.939955838</v>
      </c>
      <c r="AE37" s="61">
        <f>'Voluntary Costs'!AK19</f>
        <v>1190062.9785317609</v>
      </c>
      <c r="AF37" s="61">
        <f>'Voluntary Costs'!AL19</f>
        <v>1469076.6955129192</v>
      </c>
      <c r="AG37" s="61">
        <f>'Voluntary Costs'!AM19</f>
        <v>367358.35226960958</v>
      </c>
    </row>
    <row r="38" spans="1:33">
      <c r="A38" s="589"/>
      <c r="B38" s="590"/>
      <c r="C38" s="38">
        <v>2080</v>
      </c>
      <c r="D38" s="61">
        <f>'Voluntary Costs'!F20</f>
        <v>6540273.2866461072</v>
      </c>
      <c r="E38" s="61">
        <f>'Voluntary Costs'!G20</f>
        <v>4308789.7864961773</v>
      </c>
      <c r="F38" s="61">
        <f>'Voluntary Costs'!H20</f>
        <v>5386033.1566143604</v>
      </c>
      <c r="G38" s="61">
        <f>'Voluntary Costs'!I20</f>
        <v>1098557.5442180021</v>
      </c>
      <c r="H38" s="61">
        <f>'Voluntary Costs'!J20</f>
        <v>1360043.0140317229</v>
      </c>
      <c r="I38" s="61">
        <f>'Voluntary Costs'!K20</f>
        <v>335206.04048967751</v>
      </c>
      <c r="K38" s="38">
        <v>2080</v>
      </c>
      <c r="L38" s="61">
        <f>'Voluntary Costs'!O20</f>
        <v>7691512.4379899632</v>
      </c>
      <c r="M38" s="61">
        <f>'Voluntary Costs'!P20</f>
        <v>5067236.3038998405</v>
      </c>
      <c r="N38" s="61">
        <f>'Voluntary Costs'!Q20</f>
        <v>6334396.1249047359</v>
      </c>
      <c r="O38" s="61">
        <f>'Voluntary Costs'!R20</f>
        <v>1292077.8567256788</v>
      </c>
      <c r="P38" s="61">
        <f>'Voluntary Costs'!S20</f>
        <v>1598714.0425597648</v>
      </c>
      <c r="Q38" s="61">
        <f>'Voluntary Costs'!T20</f>
        <v>394492.44811186759</v>
      </c>
      <c r="S38" s="38">
        <v>2080</v>
      </c>
      <c r="T38" s="61">
        <f>'Voluntary Costs'!X20</f>
        <v>9289152.260567721</v>
      </c>
      <c r="U38" s="61">
        <f>'Voluntary Costs'!Y20</f>
        <v>6049881.8289490612</v>
      </c>
      <c r="V38" s="61">
        <f>'Voluntary Costs'!Z20</f>
        <v>7921142.1877023419</v>
      </c>
      <c r="W38" s="61">
        <f>'Voluntary Costs'!AA20</f>
        <v>1602589.8430082721</v>
      </c>
      <c r="X38" s="61">
        <f>'Voluntary Costs'!AB20</f>
        <v>1975044.094315998</v>
      </c>
      <c r="Y38" s="61">
        <f>'Voluntary Costs'!AC20</f>
        <v>496846.37766439992</v>
      </c>
      <c r="AA38" s="38">
        <v>2080</v>
      </c>
      <c r="AB38" s="61">
        <f>'Voluntary Costs'!AH20</f>
        <v>6679654.3961124271</v>
      </c>
      <c r="AC38" s="61">
        <f>'Voluntary Costs'!AI20</f>
        <v>4350356.0519989245</v>
      </c>
      <c r="AD38" s="61">
        <f>'Voluntary Costs'!AJ20</f>
        <v>5692341.0765529387</v>
      </c>
      <c r="AE38" s="61">
        <f>'Voluntary Costs'!AK20</f>
        <v>1153488.9390024159</v>
      </c>
      <c r="AF38" s="61">
        <f>'Voluntary Costs'!AL20</f>
        <v>1423927.7663363991</v>
      </c>
      <c r="AG38" s="61">
        <f>'Voluntary Costs'!AM20</f>
        <v>356068.37926841585</v>
      </c>
    </row>
    <row r="39" spans="1:33">
      <c r="A39" s="589"/>
      <c r="B39" s="590"/>
      <c r="C39" s="38">
        <v>2090</v>
      </c>
      <c r="D39" s="61">
        <f>'Voluntary Costs'!F21</f>
        <v>6162792.0179061815</v>
      </c>
      <c r="E39" s="61">
        <f>'Voluntary Costs'!G21</f>
        <v>4060101.7938000364</v>
      </c>
      <c r="F39" s="61">
        <f>'Voluntary Costs'!H21</f>
        <v>5075170.5152037451</v>
      </c>
      <c r="G39" s="61">
        <f>'Voluntary Costs'!I21</f>
        <v>1035152.7173246167</v>
      </c>
      <c r="H39" s="61">
        <f>'Voluntary Costs'!J21</f>
        <v>1281546.1775882358</v>
      </c>
      <c r="I39" s="61">
        <f>'Voluntary Costs'!K21</f>
        <v>315859.14229328459</v>
      </c>
      <c r="K39" s="38">
        <v>2090</v>
      </c>
      <c r="L39" s="61">
        <f>'Voluntary Costs'!O21</f>
        <v>7560732.205250496</v>
      </c>
      <c r="M39" s="61">
        <f>'Voluntary Costs'!P21</f>
        <v>4981077.131888791</v>
      </c>
      <c r="N39" s="61">
        <f>'Voluntary Costs'!Q21</f>
        <v>6226691.1961072059</v>
      </c>
      <c r="O39" s="61">
        <f>'Voluntary Costs'!R21</f>
        <v>1270108.4138908109</v>
      </c>
      <c r="P39" s="61">
        <f>'Voluntary Costs'!S21</f>
        <v>1571530.8069795775</v>
      </c>
      <c r="Q39" s="61">
        <f>'Voluntary Costs'!T21</f>
        <v>387784.8188134724</v>
      </c>
      <c r="S39" s="38">
        <v>2090</v>
      </c>
      <c r="T39" s="61">
        <f>'Voluntary Costs'!X21</f>
        <v>9688513.9226729553</v>
      </c>
      <c r="U39" s="61">
        <f>'Voluntary Costs'!Y21</f>
        <v>6309979.9299356947</v>
      </c>
      <c r="V39" s="61">
        <f>'Voluntary Costs'!Z21</f>
        <v>8261690.0031667603</v>
      </c>
      <c r="W39" s="61">
        <f>'Voluntary Costs'!AA21</f>
        <v>1671488.8044445696</v>
      </c>
      <c r="X39" s="61">
        <f>'Voluntary Costs'!AB21</f>
        <v>2059955.7062814324</v>
      </c>
      <c r="Y39" s="61">
        <f>'Voluntary Costs'!AC21</f>
        <v>518206.92700508784</v>
      </c>
      <c r="AA39" s="38">
        <v>2090</v>
      </c>
      <c r="AB39" s="61">
        <f>'Voluntary Costs'!AH21</f>
        <v>6378255.3562878426</v>
      </c>
      <c r="AC39" s="61">
        <f>'Voluntary Costs'!AI21</f>
        <v>4154059.4984331196</v>
      </c>
      <c r="AD39" s="61">
        <f>'Voluntary Costs'!AJ21</f>
        <v>5435491.5401718915</v>
      </c>
      <c r="AE39" s="61">
        <f>'Voluntary Costs'!AK21</f>
        <v>1101441.267364502</v>
      </c>
      <c r="AF39" s="61">
        <f>'Voluntary Costs'!AL21</f>
        <v>1359677.3671236592</v>
      </c>
      <c r="AG39" s="61">
        <f>'Voluntary Costs'!AM21</f>
        <v>340001.87922825565</v>
      </c>
    </row>
    <row r="40" spans="1:33">
      <c r="A40" s="589"/>
      <c r="B40" s="590"/>
      <c r="C40" s="38">
        <v>2100</v>
      </c>
      <c r="D40" s="61">
        <f>'Voluntary Costs'!F22</f>
        <v>5711455.7183258357</v>
      </c>
      <c r="E40" s="61">
        <f>'Voluntary Costs'!G22</f>
        <v>3762757.4547068249</v>
      </c>
      <c r="F40" s="61">
        <f>'Voluntary Costs'!H22</f>
        <v>4703486.9222127916</v>
      </c>
      <c r="G40" s="61">
        <f>'Voluntary Costs'!I22</f>
        <v>959342.59821296041</v>
      </c>
      <c r="H40" s="61">
        <f>'Voluntary Costs'!J22</f>
        <v>1187691.2644492839</v>
      </c>
      <c r="I40" s="61">
        <f>'Voluntary Costs'!K22</f>
        <v>292726.98140629305</v>
      </c>
      <c r="K40" s="38">
        <v>2100</v>
      </c>
      <c r="L40" s="61">
        <f>'Voluntary Costs'!O22</f>
        <v>7380909.3852337273</v>
      </c>
      <c r="M40" s="61">
        <f>'Voluntary Costs'!P22</f>
        <v>4862608.2703735977</v>
      </c>
      <c r="N40" s="61">
        <f>'Voluntary Costs'!Q22</f>
        <v>6078596.9190106019</v>
      </c>
      <c r="O40" s="61">
        <f>'Voluntary Costs'!R22</f>
        <v>1239900.4299928672</v>
      </c>
      <c r="P40" s="61">
        <f>'Voluntary Costs'!S22</f>
        <v>1534153.8580568198</v>
      </c>
      <c r="Q40" s="61">
        <f>'Voluntary Costs'!T22</f>
        <v>378561.82852817897</v>
      </c>
      <c r="S40" s="38">
        <v>2100</v>
      </c>
      <c r="T40" s="61">
        <f>'Voluntary Costs'!X22</f>
        <v>10079888.35153608</v>
      </c>
      <c r="U40" s="61">
        <f>'Voluntary Costs'!Y22</f>
        <v>6564876.0689025922</v>
      </c>
      <c r="V40" s="61">
        <f>'Voluntary Costs'!Z22</f>
        <v>8595426.8623218872</v>
      </c>
      <c r="W40" s="61">
        <f>'Voluntary Costs'!AA22</f>
        <v>1739009.7866521403</v>
      </c>
      <c r="X40" s="61">
        <f>'Voluntary Costs'!AB22</f>
        <v>2143169.0860075573</v>
      </c>
      <c r="Y40" s="61">
        <f>'Voluntary Costs'!AC22</f>
        <v>539140.26535896177</v>
      </c>
      <c r="AA40" s="38">
        <v>2100</v>
      </c>
      <c r="AB40" s="61">
        <f>'Voluntary Costs'!AH22</f>
        <v>6011688.956501185</v>
      </c>
      <c r="AC40" s="61">
        <f>'Voluntary Costs'!AI22</f>
        <v>3915320.4467990319</v>
      </c>
      <c r="AD40" s="61">
        <f>'Voluntary Costs'!AJ22</f>
        <v>5123106.9688976444</v>
      </c>
      <c r="AE40" s="61">
        <f>'Voluntary Costs'!AK22</f>
        <v>1038140.0451021742</v>
      </c>
      <c r="AF40" s="61">
        <f>'Voluntary Costs'!AL22</f>
        <v>1281534.9897027593</v>
      </c>
      <c r="AG40" s="61">
        <f>'Voluntary Costs'!AM22</f>
        <v>320461.54134157428</v>
      </c>
    </row>
    <row r="41" spans="1:33">
      <c r="A41" s="383"/>
      <c r="B41" s="383"/>
      <c r="C41" s="376" t="s">
        <v>87</v>
      </c>
      <c r="D41" s="597" t="s">
        <v>266</v>
      </c>
      <c r="E41" s="597"/>
      <c r="F41" s="597"/>
      <c r="G41" s="597"/>
      <c r="H41" s="597"/>
      <c r="I41" s="598"/>
      <c r="K41" s="376" t="s">
        <v>87</v>
      </c>
      <c r="L41" s="597" t="s">
        <v>266</v>
      </c>
      <c r="M41" s="597"/>
      <c r="N41" s="597"/>
      <c r="O41" s="597"/>
      <c r="P41" s="597"/>
      <c r="Q41" s="598"/>
      <c r="S41" s="376" t="s">
        <v>87</v>
      </c>
      <c r="T41" s="597" t="s">
        <v>266</v>
      </c>
      <c r="U41" s="597"/>
      <c r="V41" s="597"/>
      <c r="W41" s="597"/>
      <c r="X41" s="597"/>
      <c r="Y41" s="598"/>
      <c r="AA41" s="376" t="s">
        <v>87</v>
      </c>
      <c r="AB41" s="597" t="s">
        <v>266</v>
      </c>
      <c r="AC41" s="597"/>
      <c r="AD41" s="597"/>
      <c r="AE41" s="597"/>
      <c r="AF41" s="597"/>
      <c r="AG41" s="598"/>
    </row>
    <row r="42" spans="1:33">
      <c r="A42" s="589"/>
      <c r="B42" s="590"/>
      <c r="C42" s="38">
        <v>2020</v>
      </c>
      <c r="D42" s="63">
        <f>'Demographic-Economic'!C$15*'Demographic-Economic'!C$56</f>
        <v>686182497058.94995</v>
      </c>
      <c r="E42" s="63">
        <f>'Demographic-Economic'!D$15*'Demographic-Economic'!D$56</f>
        <v>585403609066.20007</v>
      </c>
      <c r="F42" s="63">
        <f>'Demographic-Economic'!E$15*'Demographic-Economic'!E$56</f>
        <v>401236800576</v>
      </c>
      <c r="G42" s="63">
        <f>'Demographic-Economic'!F$15*'Demographic-Economic'!F$56</f>
        <v>63944333016.000008</v>
      </c>
      <c r="H42" s="63">
        <f>'Demographic-Economic'!G$15*'Demographic-Economic'!G$56</f>
        <v>76343956433.399994</v>
      </c>
      <c r="I42" s="63">
        <f>'Demographic-Economic'!H$15*'Demographic-Economic'!H$56</f>
        <v>25574146120.350002</v>
      </c>
      <c r="K42" s="38">
        <v>2020</v>
      </c>
      <c r="L42" s="63">
        <f>'Demographic-Economic'!C$15*'Demographic-Economic'!C$56</f>
        <v>686182497058.94995</v>
      </c>
      <c r="M42" s="63">
        <f>'Demographic-Economic'!D$15*'Demographic-Economic'!D$56</f>
        <v>585403609066.20007</v>
      </c>
      <c r="N42" s="63">
        <f>'Demographic-Economic'!E$15*'Demographic-Economic'!E$56</f>
        <v>401236800576</v>
      </c>
      <c r="O42" s="63">
        <f>'Demographic-Economic'!F$15*'Demographic-Economic'!F$56</f>
        <v>63944333016.000008</v>
      </c>
      <c r="P42" s="63">
        <f>'Demographic-Economic'!G$15*'Demographic-Economic'!G$56</f>
        <v>76343956433.399994</v>
      </c>
      <c r="Q42" s="63">
        <f>'Demographic-Economic'!H$15*'Demographic-Economic'!H$56</f>
        <v>25574146120.350002</v>
      </c>
      <c r="R42" s="63"/>
      <c r="S42" s="38">
        <v>2020</v>
      </c>
      <c r="T42" s="63">
        <f>'Demographic-Economic'!C$15*'Demographic-Economic'!C$56</f>
        <v>686182497058.94995</v>
      </c>
      <c r="U42" s="63">
        <f>'Demographic-Economic'!D$15*'Demographic-Economic'!D$56</f>
        <v>585403609066.20007</v>
      </c>
      <c r="V42" s="63">
        <f>'Demographic-Economic'!E$15*'Demographic-Economic'!E$56</f>
        <v>401236800576</v>
      </c>
      <c r="W42" s="63">
        <f>'Demographic-Economic'!F$15*'Demographic-Economic'!F$56</f>
        <v>63944333016.000008</v>
      </c>
      <c r="X42" s="63">
        <f>'Demographic-Economic'!G$15*'Demographic-Economic'!G$56</f>
        <v>76343956433.399994</v>
      </c>
      <c r="Y42" s="63">
        <f>'Demographic-Economic'!H$15*'Demographic-Economic'!H$56</f>
        <v>25574146120.350002</v>
      </c>
      <c r="AA42" s="38">
        <v>2020</v>
      </c>
      <c r="AB42" s="63">
        <f>'Demographic-Economic'!C$15*'Demographic-Economic'!C$56</f>
        <v>686182497058.94995</v>
      </c>
      <c r="AC42" s="63">
        <f>'Demographic-Economic'!D$15*'Demographic-Economic'!D$56</f>
        <v>585403609066.20007</v>
      </c>
      <c r="AD42" s="63">
        <f>'Demographic-Economic'!E$15*'Demographic-Economic'!E$56</f>
        <v>401236800576</v>
      </c>
      <c r="AE42" s="63">
        <f>'Demographic-Economic'!F$15*'Demographic-Economic'!F$56</f>
        <v>63944333016.000008</v>
      </c>
      <c r="AF42" s="63">
        <f>'Demographic-Economic'!G$15*'Demographic-Economic'!G$56</f>
        <v>76343956433.399994</v>
      </c>
      <c r="AG42" s="63">
        <f>'Demographic-Economic'!H$15*'Demographic-Economic'!H$56</f>
        <v>25574146120.350002</v>
      </c>
    </row>
    <row r="43" spans="1:33">
      <c r="A43" s="589"/>
      <c r="B43" s="590"/>
      <c r="C43" s="38">
        <v>2021</v>
      </c>
      <c r="D43" s="63">
        <f t="shared" ref="D43:D59" si="3">D42*(1+$B$15)^($C43-$C42)</f>
        <v>711941216179.79541</v>
      </c>
      <c r="E43" s="63">
        <f t="shared" ref="E43:E59" si="4">E42*(1+$B$15)^($C43-$C42)</f>
        <v>607379172714.20435</v>
      </c>
      <c r="F43" s="63">
        <f t="shared" ref="F43:F59" si="5">F42*(1+$B$15)^($C43-$C42)</f>
        <v>416298895705.62256</v>
      </c>
      <c r="G43" s="63">
        <f t="shared" ref="G43:G59" si="6">G42*(1+$B$15)^($C43-$C42)</f>
        <v>66344749990.476471</v>
      </c>
      <c r="H43" s="63">
        <f t="shared" ref="H43:H59" si="7">H42*(1+$B$15)^($C43-$C42)</f>
        <v>79209844937.946136</v>
      </c>
      <c r="I43" s="63">
        <f t="shared" ref="I43:I59" si="8">I42*(1+$B$15)^($C43-$C42)</f>
        <v>26534178253.91951</v>
      </c>
      <c r="K43" s="38">
        <v>2021</v>
      </c>
      <c r="L43" s="63">
        <f t="shared" ref="L43:L59" si="9">L42*(1+$B$15)^($C43-$C42)</f>
        <v>711941216179.79541</v>
      </c>
      <c r="M43" s="63">
        <f t="shared" ref="M43:M59" si="10">M42*(1+$B$15)^($C43-$C42)</f>
        <v>607379172714.20435</v>
      </c>
      <c r="N43" s="63">
        <f t="shared" ref="N43:N59" si="11">N42*(1+$B$15)^($C43-$C42)</f>
        <v>416298895705.62256</v>
      </c>
      <c r="O43" s="63">
        <f t="shared" ref="O43:O59" si="12">O42*(1+$B$15)^($C43-$C42)</f>
        <v>66344749990.476471</v>
      </c>
      <c r="P43" s="63">
        <f t="shared" ref="P43:P59" si="13">P42*(1+$B$15)^($C43-$C42)</f>
        <v>79209844937.946136</v>
      </c>
      <c r="Q43" s="63">
        <f t="shared" ref="Q43:Q59" si="14">Q42*(1+$B$15)^($C43-$C42)</f>
        <v>26534178253.91951</v>
      </c>
      <c r="S43" s="38">
        <v>2021</v>
      </c>
      <c r="T43" s="63">
        <f t="shared" ref="T43:T59" si="15">T42*(1+$B$15)^($C43-$C42)</f>
        <v>711941216179.79541</v>
      </c>
      <c r="U43" s="63">
        <f t="shared" ref="U43:U59" si="16">U42*(1+$B$15)^($C43-$C42)</f>
        <v>607379172714.20435</v>
      </c>
      <c r="V43" s="63">
        <f t="shared" ref="V43:V59" si="17">V42*(1+$B$15)^($C43-$C42)</f>
        <v>416298895705.62256</v>
      </c>
      <c r="W43" s="63">
        <f t="shared" ref="W43:W59" si="18">W42*(1+$B$15)^($C43-$C42)</f>
        <v>66344749990.476471</v>
      </c>
      <c r="X43" s="63">
        <f t="shared" ref="X43:X59" si="19">X42*(1+$B$15)^($C43-$C42)</f>
        <v>79209844937.946136</v>
      </c>
      <c r="Y43" s="63">
        <f t="shared" ref="Y43:Y59" si="20">Y42*(1+$B$15)^($C43-$C42)</f>
        <v>26534178253.91951</v>
      </c>
      <c r="AA43" s="38">
        <v>2021</v>
      </c>
      <c r="AB43" s="63">
        <f t="shared" ref="AB43:AB59" si="21">AB42*(1+$B$15)^($C43-$C42)</f>
        <v>711941216179.79541</v>
      </c>
      <c r="AC43" s="63">
        <f t="shared" ref="AC43:AC59" si="22">AC42*(1+$B$15)^($C43-$C42)</f>
        <v>607379172714.20435</v>
      </c>
      <c r="AD43" s="63">
        <f t="shared" ref="AD43:AD59" si="23">AD42*(1+$B$15)^($C43-$C42)</f>
        <v>416298895705.62256</v>
      </c>
      <c r="AE43" s="63">
        <f t="shared" ref="AE43:AE59" si="24">AE42*(1+$B$15)^($C43-$C42)</f>
        <v>66344749990.476471</v>
      </c>
      <c r="AF43" s="63">
        <f t="shared" ref="AF43:AF59" si="25">AF42*(1+$B$15)^($C43-$C42)</f>
        <v>79209844937.946136</v>
      </c>
      <c r="AG43" s="63">
        <f t="shared" ref="AG43:AG59" si="26">AG42*(1+$B$15)^($C43-$C42)</f>
        <v>26534178253.91951</v>
      </c>
    </row>
    <row r="44" spans="1:33">
      <c r="A44" s="589"/>
      <c r="B44" s="590"/>
      <c r="C44" s="38">
        <v>2022</v>
      </c>
      <c r="D44" s="63">
        <f t="shared" si="3"/>
        <v>738666896150.83813</v>
      </c>
      <c r="E44" s="63">
        <f t="shared" si="4"/>
        <v>630179680708.58496</v>
      </c>
      <c r="F44" s="63">
        <f t="shared" si="5"/>
        <v>431926409334.66522</v>
      </c>
      <c r="G44" s="63">
        <f t="shared" si="6"/>
        <v>68835276617.827301</v>
      </c>
      <c r="H44" s="63">
        <f t="shared" si="7"/>
        <v>82183316508.712524</v>
      </c>
      <c r="I44" s="63">
        <f t="shared" si="8"/>
        <v>27530249193.756435</v>
      </c>
      <c r="K44" s="38">
        <v>2022</v>
      </c>
      <c r="L44" s="63">
        <f t="shared" si="9"/>
        <v>738666896150.83813</v>
      </c>
      <c r="M44" s="63">
        <f t="shared" si="10"/>
        <v>630179680708.58496</v>
      </c>
      <c r="N44" s="63">
        <f t="shared" si="11"/>
        <v>431926409334.66522</v>
      </c>
      <c r="O44" s="63">
        <f t="shared" si="12"/>
        <v>68835276617.827301</v>
      </c>
      <c r="P44" s="63">
        <f t="shared" si="13"/>
        <v>82183316508.712524</v>
      </c>
      <c r="Q44" s="63">
        <f t="shared" si="14"/>
        <v>27530249193.756435</v>
      </c>
      <c r="S44" s="38">
        <v>2022</v>
      </c>
      <c r="T44" s="63">
        <f t="shared" si="15"/>
        <v>738666896150.83813</v>
      </c>
      <c r="U44" s="63">
        <f t="shared" si="16"/>
        <v>630179680708.58496</v>
      </c>
      <c r="V44" s="63">
        <f t="shared" si="17"/>
        <v>431926409334.66522</v>
      </c>
      <c r="W44" s="63">
        <f t="shared" si="18"/>
        <v>68835276617.827301</v>
      </c>
      <c r="X44" s="63">
        <f t="shared" si="19"/>
        <v>82183316508.712524</v>
      </c>
      <c r="Y44" s="63">
        <f t="shared" si="20"/>
        <v>27530249193.756435</v>
      </c>
      <c r="AA44" s="38">
        <v>2022</v>
      </c>
      <c r="AB44" s="63">
        <f t="shared" si="21"/>
        <v>738666896150.83813</v>
      </c>
      <c r="AC44" s="63">
        <f t="shared" si="22"/>
        <v>630179680708.58496</v>
      </c>
      <c r="AD44" s="63">
        <f t="shared" si="23"/>
        <v>431926409334.66522</v>
      </c>
      <c r="AE44" s="63">
        <f t="shared" si="24"/>
        <v>68835276617.827301</v>
      </c>
      <c r="AF44" s="63">
        <f t="shared" si="25"/>
        <v>82183316508.712524</v>
      </c>
      <c r="AG44" s="63">
        <f t="shared" si="26"/>
        <v>27530249193.756435</v>
      </c>
    </row>
    <row r="45" spans="1:33">
      <c r="A45" s="589"/>
      <c r="B45" s="590"/>
      <c r="C45" s="38">
        <v>2023</v>
      </c>
      <c r="D45" s="63">
        <f t="shared" si="3"/>
        <v>766395835876.59387</v>
      </c>
      <c r="E45" s="63">
        <f t="shared" si="4"/>
        <v>653836100772.65137</v>
      </c>
      <c r="F45" s="63">
        <f t="shared" si="5"/>
        <v>448140566802.41412</v>
      </c>
      <c r="G45" s="63">
        <f t="shared" si="6"/>
        <v>71419295539.330017</v>
      </c>
      <c r="H45" s="63">
        <f t="shared" si="7"/>
        <v>85268409724.352509</v>
      </c>
      <c r="I45" s="63">
        <f t="shared" si="8"/>
        <v>28563711806.615723</v>
      </c>
      <c r="K45" s="38">
        <v>2023</v>
      </c>
      <c r="L45" s="63">
        <f t="shared" si="9"/>
        <v>766395835876.59387</v>
      </c>
      <c r="M45" s="63">
        <f t="shared" si="10"/>
        <v>653836100772.65137</v>
      </c>
      <c r="N45" s="63">
        <f t="shared" si="11"/>
        <v>448140566802.41412</v>
      </c>
      <c r="O45" s="63">
        <f t="shared" si="12"/>
        <v>71419295539.330017</v>
      </c>
      <c r="P45" s="63">
        <f t="shared" si="13"/>
        <v>85268409724.352509</v>
      </c>
      <c r="Q45" s="63">
        <f t="shared" si="14"/>
        <v>28563711806.615723</v>
      </c>
      <c r="S45" s="38">
        <v>2023</v>
      </c>
      <c r="T45" s="63">
        <f t="shared" si="15"/>
        <v>766395835876.59387</v>
      </c>
      <c r="U45" s="63">
        <f t="shared" si="16"/>
        <v>653836100772.65137</v>
      </c>
      <c r="V45" s="63">
        <f t="shared" si="17"/>
        <v>448140566802.41412</v>
      </c>
      <c r="W45" s="63">
        <f t="shared" si="18"/>
        <v>71419295539.330017</v>
      </c>
      <c r="X45" s="63">
        <f t="shared" si="19"/>
        <v>85268409724.352509</v>
      </c>
      <c r="Y45" s="63">
        <f t="shared" si="20"/>
        <v>28563711806.615723</v>
      </c>
      <c r="AA45" s="38">
        <v>2023</v>
      </c>
      <c r="AB45" s="63">
        <f t="shared" si="21"/>
        <v>766395835876.59387</v>
      </c>
      <c r="AC45" s="63">
        <f t="shared" si="22"/>
        <v>653836100772.65137</v>
      </c>
      <c r="AD45" s="63">
        <f t="shared" si="23"/>
        <v>448140566802.41412</v>
      </c>
      <c r="AE45" s="63">
        <f t="shared" si="24"/>
        <v>71419295539.330017</v>
      </c>
      <c r="AF45" s="63">
        <f t="shared" si="25"/>
        <v>85268409724.352509</v>
      </c>
      <c r="AG45" s="63">
        <f t="shared" si="26"/>
        <v>28563711806.615723</v>
      </c>
    </row>
    <row r="46" spans="1:33">
      <c r="A46" s="589"/>
      <c r="B46" s="590"/>
      <c r="C46" s="38">
        <v>2024</v>
      </c>
      <c r="D46" s="63">
        <f t="shared" si="3"/>
        <v>795165696892.20471</v>
      </c>
      <c r="E46" s="63">
        <f t="shared" si="4"/>
        <v>678380563132.23938</v>
      </c>
      <c r="F46" s="63">
        <f t="shared" si="5"/>
        <v>464963390229.70441</v>
      </c>
      <c r="G46" s="63">
        <f t="shared" si="6"/>
        <v>74100316377.796844</v>
      </c>
      <c r="H46" s="63">
        <f t="shared" si="7"/>
        <v>88469314768.396606</v>
      </c>
      <c r="I46" s="63">
        <f t="shared" si="8"/>
        <v>29635969744.742905</v>
      </c>
      <c r="K46" s="38">
        <v>2024</v>
      </c>
      <c r="L46" s="63">
        <f t="shared" si="9"/>
        <v>795165696892.20471</v>
      </c>
      <c r="M46" s="63">
        <f t="shared" si="10"/>
        <v>678380563132.23938</v>
      </c>
      <c r="N46" s="63">
        <f t="shared" si="11"/>
        <v>464963390229.70441</v>
      </c>
      <c r="O46" s="63">
        <f t="shared" si="12"/>
        <v>74100316377.796844</v>
      </c>
      <c r="P46" s="63">
        <f t="shared" si="13"/>
        <v>88469314768.396606</v>
      </c>
      <c r="Q46" s="63">
        <f t="shared" si="14"/>
        <v>29635969744.742905</v>
      </c>
      <c r="S46" s="38">
        <v>2024</v>
      </c>
      <c r="T46" s="63">
        <f t="shared" si="15"/>
        <v>795165696892.20471</v>
      </c>
      <c r="U46" s="63">
        <f t="shared" si="16"/>
        <v>678380563132.23938</v>
      </c>
      <c r="V46" s="63">
        <f t="shared" si="17"/>
        <v>464963390229.70441</v>
      </c>
      <c r="W46" s="63">
        <f t="shared" si="18"/>
        <v>74100316377.796844</v>
      </c>
      <c r="X46" s="63">
        <f t="shared" si="19"/>
        <v>88469314768.396606</v>
      </c>
      <c r="Y46" s="63">
        <f t="shared" si="20"/>
        <v>29635969744.742905</v>
      </c>
      <c r="AA46" s="38">
        <v>2024</v>
      </c>
      <c r="AB46" s="63">
        <f t="shared" si="21"/>
        <v>795165696892.20471</v>
      </c>
      <c r="AC46" s="63">
        <f t="shared" si="22"/>
        <v>678380563132.23938</v>
      </c>
      <c r="AD46" s="63">
        <f t="shared" si="23"/>
        <v>464963390229.70441</v>
      </c>
      <c r="AE46" s="63">
        <f t="shared" si="24"/>
        <v>74100316377.796844</v>
      </c>
      <c r="AF46" s="63">
        <f t="shared" si="25"/>
        <v>88469314768.396606</v>
      </c>
      <c r="AG46" s="63">
        <f t="shared" si="26"/>
        <v>29635969744.742905</v>
      </c>
    </row>
    <row r="47" spans="1:33">
      <c r="A47" s="589"/>
      <c r="B47" s="590"/>
      <c r="C47" s="38">
        <v>2025</v>
      </c>
      <c r="D47" s="63">
        <f t="shared" si="3"/>
        <v>825015554515.4574</v>
      </c>
      <c r="E47" s="63">
        <f t="shared" si="4"/>
        <v>703846404155.08777</v>
      </c>
      <c r="F47" s="63">
        <f t="shared" si="5"/>
        <v>482417728429.43567</v>
      </c>
      <c r="G47" s="63">
        <f t="shared" si="6"/>
        <v>76881980504.355698</v>
      </c>
      <c r="H47" s="63">
        <f t="shared" si="7"/>
        <v>91790379120.373245</v>
      </c>
      <c r="I47" s="63">
        <f t="shared" si="8"/>
        <v>30748479352.319099</v>
      </c>
      <c r="K47" s="38">
        <v>2025</v>
      </c>
      <c r="L47" s="63">
        <f t="shared" si="9"/>
        <v>825015554515.4574</v>
      </c>
      <c r="M47" s="63">
        <f t="shared" si="10"/>
        <v>703846404155.08777</v>
      </c>
      <c r="N47" s="63">
        <f t="shared" si="11"/>
        <v>482417728429.43567</v>
      </c>
      <c r="O47" s="63">
        <f t="shared" si="12"/>
        <v>76881980504.355698</v>
      </c>
      <c r="P47" s="63">
        <f t="shared" si="13"/>
        <v>91790379120.373245</v>
      </c>
      <c r="Q47" s="63">
        <f t="shared" si="14"/>
        <v>30748479352.319099</v>
      </c>
      <c r="S47" s="38">
        <v>2025</v>
      </c>
      <c r="T47" s="63">
        <f t="shared" si="15"/>
        <v>825015554515.4574</v>
      </c>
      <c r="U47" s="63">
        <f t="shared" si="16"/>
        <v>703846404155.08777</v>
      </c>
      <c r="V47" s="63">
        <f t="shared" si="17"/>
        <v>482417728429.43567</v>
      </c>
      <c r="W47" s="63">
        <f t="shared" si="18"/>
        <v>76881980504.355698</v>
      </c>
      <c r="X47" s="63">
        <f t="shared" si="19"/>
        <v>91790379120.373245</v>
      </c>
      <c r="Y47" s="63">
        <f t="shared" si="20"/>
        <v>30748479352.319099</v>
      </c>
      <c r="AA47" s="38">
        <v>2025</v>
      </c>
      <c r="AB47" s="63">
        <f t="shared" si="21"/>
        <v>825015554515.4574</v>
      </c>
      <c r="AC47" s="63">
        <f t="shared" si="22"/>
        <v>703846404155.08777</v>
      </c>
      <c r="AD47" s="63">
        <f t="shared" si="23"/>
        <v>482417728429.43567</v>
      </c>
      <c r="AE47" s="63">
        <f t="shared" si="24"/>
        <v>76881980504.355698</v>
      </c>
      <c r="AF47" s="63">
        <f t="shared" si="25"/>
        <v>91790379120.373245</v>
      </c>
      <c r="AG47" s="63">
        <f t="shared" si="26"/>
        <v>30748479352.319099</v>
      </c>
    </row>
    <row r="48" spans="1:33">
      <c r="A48" s="589"/>
      <c r="B48" s="590"/>
      <c r="C48" s="38">
        <v>2026</v>
      </c>
      <c r="D48" s="63">
        <f t="shared" si="3"/>
        <v>855985950919.00562</v>
      </c>
      <c r="E48" s="63">
        <f t="shared" si="4"/>
        <v>730268211628.39966</v>
      </c>
      <c r="F48" s="63">
        <f t="shared" si="5"/>
        <v>500527287939.90302</v>
      </c>
      <c r="G48" s="63">
        <f t="shared" si="6"/>
        <v>79768065984.172119</v>
      </c>
      <c r="H48" s="63">
        <f t="shared" si="7"/>
        <v>95236113460.569458</v>
      </c>
      <c r="I48" s="63">
        <f t="shared" si="8"/>
        <v>31902751643.472366</v>
      </c>
      <c r="K48" s="38">
        <v>2026</v>
      </c>
      <c r="L48" s="63">
        <f t="shared" si="9"/>
        <v>855985950919.00562</v>
      </c>
      <c r="M48" s="63">
        <f t="shared" si="10"/>
        <v>730268211628.39966</v>
      </c>
      <c r="N48" s="63">
        <f t="shared" si="11"/>
        <v>500527287939.90302</v>
      </c>
      <c r="O48" s="63">
        <f t="shared" si="12"/>
        <v>79768065984.172119</v>
      </c>
      <c r="P48" s="63">
        <f t="shared" si="13"/>
        <v>95236113460.569458</v>
      </c>
      <c r="Q48" s="63">
        <f t="shared" si="14"/>
        <v>31902751643.472366</v>
      </c>
      <c r="S48" s="38">
        <v>2026</v>
      </c>
      <c r="T48" s="63">
        <f t="shared" si="15"/>
        <v>855985950919.00562</v>
      </c>
      <c r="U48" s="63">
        <f t="shared" si="16"/>
        <v>730268211628.39966</v>
      </c>
      <c r="V48" s="63">
        <f t="shared" si="17"/>
        <v>500527287939.90302</v>
      </c>
      <c r="W48" s="63">
        <f t="shared" si="18"/>
        <v>79768065984.172119</v>
      </c>
      <c r="X48" s="63">
        <f t="shared" si="19"/>
        <v>95236113460.569458</v>
      </c>
      <c r="Y48" s="63">
        <f t="shared" si="20"/>
        <v>31902751643.472366</v>
      </c>
      <c r="AA48" s="38">
        <v>2026</v>
      </c>
      <c r="AB48" s="63">
        <f t="shared" si="21"/>
        <v>855985950919.00562</v>
      </c>
      <c r="AC48" s="63">
        <f t="shared" si="22"/>
        <v>730268211628.39966</v>
      </c>
      <c r="AD48" s="63">
        <f t="shared" si="23"/>
        <v>500527287939.90302</v>
      </c>
      <c r="AE48" s="63">
        <f t="shared" si="24"/>
        <v>79768065984.172119</v>
      </c>
      <c r="AF48" s="63">
        <f t="shared" si="25"/>
        <v>95236113460.569458</v>
      </c>
      <c r="AG48" s="63">
        <f t="shared" si="26"/>
        <v>31902751643.472366</v>
      </c>
    </row>
    <row r="49" spans="1:33">
      <c r="A49" s="589"/>
      <c r="B49" s="590"/>
      <c r="C49" s="38">
        <v>2027</v>
      </c>
      <c r="D49" s="63">
        <f t="shared" si="3"/>
        <v>888118950194.87927</v>
      </c>
      <c r="E49" s="63">
        <f t="shared" si="4"/>
        <v>757681871736.08679</v>
      </c>
      <c r="F49" s="63">
        <f t="shared" si="5"/>
        <v>519316665223.09369</v>
      </c>
      <c r="G49" s="63">
        <f t="shared" si="6"/>
        <v>82762492707.82962</v>
      </c>
      <c r="H49" s="63">
        <f t="shared" si="7"/>
        <v>98811197796.451355</v>
      </c>
      <c r="I49" s="63">
        <f t="shared" si="8"/>
        <v>33100354354.54195</v>
      </c>
      <c r="K49" s="38">
        <v>2027</v>
      </c>
      <c r="L49" s="63">
        <f t="shared" si="9"/>
        <v>888118950194.87927</v>
      </c>
      <c r="M49" s="63">
        <f t="shared" si="10"/>
        <v>757681871736.08679</v>
      </c>
      <c r="N49" s="63">
        <f t="shared" si="11"/>
        <v>519316665223.09369</v>
      </c>
      <c r="O49" s="63">
        <f t="shared" si="12"/>
        <v>82762492707.82962</v>
      </c>
      <c r="P49" s="63">
        <f t="shared" si="13"/>
        <v>98811197796.451355</v>
      </c>
      <c r="Q49" s="63">
        <f t="shared" si="14"/>
        <v>33100354354.54195</v>
      </c>
      <c r="S49" s="38">
        <v>2027</v>
      </c>
      <c r="T49" s="63">
        <f t="shared" si="15"/>
        <v>888118950194.87927</v>
      </c>
      <c r="U49" s="63">
        <f t="shared" si="16"/>
        <v>757681871736.08679</v>
      </c>
      <c r="V49" s="63">
        <f t="shared" si="17"/>
        <v>519316665223.09369</v>
      </c>
      <c r="W49" s="63">
        <f t="shared" si="18"/>
        <v>82762492707.82962</v>
      </c>
      <c r="X49" s="63">
        <f t="shared" si="19"/>
        <v>98811197796.451355</v>
      </c>
      <c r="Y49" s="63">
        <f t="shared" si="20"/>
        <v>33100354354.54195</v>
      </c>
      <c r="AA49" s="38">
        <v>2027</v>
      </c>
      <c r="AB49" s="63">
        <f t="shared" si="21"/>
        <v>888118950194.87927</v>
      </c>
      <c r="AC49" s="63">
        <f t="shared" si="22"/>
        <v>757681871736.08679</v>
      </c>
      <c r="AD49" s="63">
        <f t="shared" si="23"/>
        <v>519316665223.09369</v>
      </c>
      <c r="AE49" s="63">
        <f t="shared" si="24"/>
        <v>82762492707.82962</v>
      </c>
      <c r="AF49" s="63">
        <f t="shared" si="25"/>
        <v>98811197796.451355</v>
      </c>
      <c r="AG49" s="63">
        <f t="shared" si="26"/>
        <v>33100354354.54195</v>
      </c>
    </row>
    <row r="50" spans="1:33">
      <c r="A50" s="589"/>
      <c r="B50" s="590"/>
      <c r="C50" s="38">
        <v>2028</v>
      </c>
      <c r="D50" s="63">
        <f t="shared" si="3"/>
        <v>921458195486.06995</v>
      </c>
      <c r="E50" s="63">
        <f t="shared" si="4"/>
        <v>786124617799.49976</v>
      </c>
      <c r="F50" s="63">
        <f t="shared" si="5"/>
        <v>538811380071.68097</v>
      </c>
      <c r="G50" s="63">
        <f t="shared" si="6"/>
        <v>85869327715.337616</v>
      </c>
      <c r="H50" s="63">
        <f t="shared" si="7"/>
        <v>102520487819.06531</v>
      </c>
      <c r="I50" s="63">
        <f t="shared" si="8"/>
        <v>34342914073.382828</v>
      </c>
      <c r="K50" s="38">
        <v>2028</v>
      </c>
      <c r="L50" s="63">
        <f t="shared" si="9"/>
        <v>921458195486.06995</v>
      </c>
      <c r="M50" s="63">
        <f t="shared" si="10"/>
        <v>786124617799.49976</v>
      </c>
      <c r="N50" s="63">
        <f t="shared" si="11"/>
        <v>538811380071.68097</v>
      </c>
      <c r="O50" s="63">
        <f t="shared" si="12"/>
        <v>85869327715.337616</v>
      </c>
      <c r="P50" s="63">
        <f t="shared" si="13"/>
        <v>102520487819.06531</v>
      </c>
      <c r="Q50" s="63">
        <f t="shared" si="14"/>
        <v>34342914073.382828</v>
      </c>
      <c r="S50" s="38">
        <v>2028</v>
      </c>
      <c r="T50" s="63">
        <f t="shared" si="15"/>
        <v>921458195486.06995</v>
      </c>
      <c r="U50" s="63">
        <f t="shared" si="16"/>
        <v>786124617799.49976</v>
      </c>
      <c r="V50" s="63">
        <f t="shared" si="17"/>
        <v>538811380071.68097</v>
      </c>
      <c r="W50" s="63">
        <f t="shared" si="18"/>
        <v>85869327715.337616</v>
      </c>
      <c r="X50" s="63">
        <f t="shared" si="19"/>
        <v>102520487819.06531</v>
      </c>
      <c r="Y50" s="63">
        <f t="shared" si="20"/>
        <v>34342914073.382828</v>
      </c>
      <c r="AA50" s="38">
        <v>2028</v>
      </c>
      <c r="AB50" s="63">
        <f t="shared" si="21"/>
        <v>921458195486.06995</v>
      </c>
      <c r="AC50" s="63">
        <f t="shared" si="22"/>
        <v>786124617799.49976</v>
      </c>
      <c r="AD50" s="63">
        <f t="shared" si="23"/>
        <v>538811380071.68097</v>
      </c>
      <c r="AE50" s="63">
        <f t="shared" si="24"/>
        <v>85869327715.337616</v>
      </c>
      <c r="AF50" s="63">
        <f t="shared" si="25"/>
        <v>102520487819.06531</v>
      </c>
      <c r="AG50" s="63">
        <f t="shared" si="26"/>
        <v>34342914073.382828</v>
      </c>
    </row>
    <row r="51" spans="1:33">
      <c r="A51" s="589"/>
      <c r="B51" s="590"/>
      <c r="C51" s="38">
        <v>2029</v>
      </c>
      <c r="D51" s="63">
        <f t="shared" si="3"/>
        <v>956048968262.78748</v>
      </c>
      <c r="E51" s="63">
        <f t="shared" si="4"/>
        <v>815635080847.84485</v>
      </c>
      <c r="F51" s="63">
        <f t="shared" si="5"/>
        <v>559037910270.0885</v>
      </c>
      <c r="G51" s="63">
        <f t="shared" si="6"/>
        <v>89092790719.998291</v>
      </c>
      <c r="H51" s="63">
        <f t="shared" si="7"/>
        <v>106369021498.05318</v>
      </c>
      <c r="I51" s="63">
        <f t="shared" si="8"/>
        <v>35632118448.602562</v>
      </c>
      <c r="K51" s="38">
        <v>2029</v>
      </c>
      <c r="L51" s="63">
        <f t="shared" si="9"/>
        <v>956048968262.78748</v>
      </c>
      <c r="M51" s="63">
        <f t="shared" si="10"/>
        <v>815635080847.84485</v>
      </c>
      <c r="N51" s="63">
        <f t="shared" si="11"/>
        <v>559037910270.0885</v>
      </c>
      <c r="O51" s="63">
        <f t="shared" si="12"/>
        <v>89092790719.998291</v>
      </c>
      <c r="P51" s="63">
        <f t="shared" si="13"/>
        <v>106369021498.05318</v>
      </c>
      <c r="Q51" s="63">
        <f t="shared" si="14"/>
        <v>35632118448.602562</v>
      </c>
      <c r="S51" s="38">
        <v>2029</v>
      </c>
      <c r="T51" s="63">
        <f t="shared" si="15"/>
        <v>956048968262.78748</v>
      </c>
      <c r="U51" s="63">
        <f t="shared" si="16"/>
        <v>815635080847.84485</v>
      </c>
      <c r="V51" s="63">
        <f t="shared" si="17"/>
        <v>559037910270.0885</v>
      </c>
      <c r="W51" s="63">
        <f t="shared" si="18"/>
        <v>89092790719.998291</v>
      </c>
      <c r="X51" s="63">
        <f t="shared" si="19"/>
        <v>106369021498.05318</v>
      </c>
      <c r="Y51" s="63">
        <f t="shared" si="20"/>
        <v>35632118448.602562</v>
      </c>
      <c r="AA51" s="38">
        <v>2029</v>
      </c>
      <c r="AB51" s="63">
        <f t="shared" si="21"/>
        <v>956048968262.78748</v>
      </c>
      <c r="AC51" s="63">
        <f t="shared" si="22"/>
        <v>815635080847.84485</v>
      </c>
      <c r="AD51" s="63">
        <f t="shared" si="23"/>
        <v>559037910270.0885</v>
      </c>
      <c r="AE51" s="63">
        <f t="shared" si="24"/>
        <v>89092790719.998291</v>
      </c>
      <c r="AF51" s="63">
        <f t="shared" si="25"/>
        <v>106369021498.05318</v>
      </c>
      <c r="AG51" s="63">
        <f t="shared" si="26"/>
        <v>35632118448.602562</v>
      </c>
    </row>
    <row r="52" spans="1:33">
      <c r="A52" s="589"/>
      <c r="B52" s="590"/>
      <c r="C52" s="38">
        <v>2030</v>
      </c>
      <c r="D52" s="63">
        <f t="shared" si="3"/>
        <v>991938249823.89893</v>
      </c>
      <c r="E52" s="63">
        <f t="shared" si="4"/>
        <v>846253342086.97229</v>
      </c>
      <c r="F52" s="63">
        <f t="shared" si="5"/>
        <v>580023727556.70239</v>
      </c>
      <c r="G52" s="63">
        <f t="shared" si="6"/>
        <v>92437259839.634766</v>
      </c>
      <c r="H52" s="63">
        <f t="shared" si="7"/>
        <v>110362025924.23885</v>
      </c>
      <c r="I52" s="63">
        <f t="shared" si="8"/>
        <v>36969718481.731064</v>
      </c>
      <c r="K52" s="38">
        <v>2030</v>
      </c>
      <c r="L52" s="63">
        <f t="shared" si="9"/>
        <v>991938249823.89893</v>
      </c>
      <c r="M52" s="63">
        <f t="shared" si="10"/>
        <v>846253342086.97229</v>
      </c>
      <c r="N52" s="63">
        <f t="shared" si="11"/>
        <v>580023727556.70239</v>
      </c>
      <c r="O52" s="63">
        <f t="shared" si="12"/>
        <v>92437259839.634766</v>
      </c>
      <c r="P52" s="63">
        <f t="shared" si="13"/>
        <v>110362025924.23885</v>
      </c>
      <c r="Q52" s="63">
        <f t="shared" si="14"/>
        <v>36969718481.731064</v>
      </c>
      <c r="S52" s="38">
        <v>2030</v>
      </c>
      <c r="T52" s="63">
        <f t="shared" si="15"/>
        <v>991938249823.89893</v>
      </c>
      <c r="U52" s="63">
        <f t="shared" si="16"/>
        <v>846253342086.97229</v>
      </c>
      <c r="V52" s="63">
        <f t="shared" si="17"/>
        <v>580023727556.70239</v>
      </c>
      <c r="W52" s="63">
        <f t="shared" si="18"/>
        <v>92437259839.634766</v>
      </c>
      <c r="X52" s="63">
        <f t="shared" si="19"/>
        <v>110362025924.23885</v>
      </c>
      <c r="Y52" s="63">
        <f t="shared" si="20"/>
        <v>36969718481.731064</v>
      </c>
      <c r="AA52" s="38">
        <v>2030</v>
      </c>
      <c r="AB52" s="63">
        <f t="shared" si="21"/>
        <v>991938249823.89893</v>
      </c>
      <c r="AC52" s="63">
        <f t="shared" si="22"/>
        <v>846253342086.97229</v>
      </c>
      <c r="AD52" s="63">
        <f t="shared" si="23"/>
        <v>580023727556.70239</v>
      </c>
      <c r="AE52" s="63">
        <f t="shared" si="24"/>
        <v>92437259839.634766</v>
      </c>
      <c r="AF52" s="63">
        <f t="shared" si="25"/>
        <v>110362025924.23885</v>
      </c>
      <c r="AG52" s="63">
        <f t="shared" si="26"/>
        <v>36969718481.731064</v>
      </c>
    </row>
    <row r="53" spans="1:33">
      <c r="A53" s="589"/>
      <c r="B53" s="590"/>
      <c r="C53" s="38">
        <v>2040</v>
      </c>
      <c r="D53" s="63">
        <f t="shared" si="3"/>
        <v>1433935572068.6199</v>
      </c>
      <c r="E53" s="63">
        <f t="shared" si="4"/>
        <v>1223334991281.8613</v>
      </c>
      <c r="F53" s="63">
        <f t="shared" si="5"/>
        <v>838476241575.57178</v>
      </c>
      <c r="G53" s="63">
        <f t="shared" si="6"/>
        <v>133626337216.18668</v>
      </c>
      <c r="H53" s="63">
        <f t="shared" si="7"/>
        <v>159538191824.36017</v>
      </c>
      <c r="I53" s="63">
        <f t="shared" si="8"/>
        <v>53443038848.162415</v>
      </c>
      <c r="K53" s="38">
        <v>2040</v>
      </c>
      <c r="L53" s="63">
        <f t="shared" si="9"/>
        <v>1433935572068.6199</v>
      </c>
      <c r="M53" s="63">
        <f t="shared" si="10"/>
        <v>1223334991281.8613</v>
      </c>
      <c r="N53" s="63">
        <f t="shared" si="11"/>
        <v>838476241575.57178</v>
      </c>
      <c r="O53" s="63">
        <f t="shared" si="12"/>
        <v>133626337216.18668</v>
      </c>
      <c r="P53" s="63">
        <f t="shared" si="13"/>
        <v>159538191824.36017</v>
      </c>
      <c r="Q53" s="63">
        <f t="shared" si="14"/>
        <v>53443038848.162415</v>
      </c>
      <c r="S53" s="38">
        <v>2040</v>
      </c>
      <c r="T53" s="63">
        <f t="shared" si="15"/>
        <v>1433935572068.6199</v>
      </c>
      <c r="U53" s="63">
        <f t="shared" si="16"/>
        <v>1223334991281.8613</v>
      </c>
      <c r="V53" s="63">
        <f t="shared" si="17"/>
        <v>838476241575.57178</v>
      </c>
      <c r="W53" s="63">
        <f t="shared" si="18"/>
        <v>133626337216.18668</v>
      </c>
      <c r="X53" s="63">
        <f t="shared" si="19"/>
        <v>159538191824.36017</v>
      </c>
      <c r="Y53" s="63">
        <f t="shared" si="20"/>
        <v>53443038848.162415</v>
      </c>
      <c r="AA53" s="38">
        <v>2040</v>
      </c>
      <c r="AB53" s="63">
        <f t="shared" si="21"/>
        <v>1433935572068.6199</v>
      </c>
      <c r="AC53" s="63">
        <f t="shared" si="22"/>
        <v>1223334991281.8613</v>
      </c>
      <c r="AD53" s="63">
        <f t="shared" si="23"/>
        <v>838476241575.57178</v>
      </c>
      <c r="AE53" s="63">
        <f t="shared" si="24"/>
        <v>133626337216.18668</v>
      </c>
      <c r="AF53" s="63">
        <f t="shared" si="25"/>
        <v>159538191824.36017</v>
      </c>
      <c r="AG53" s="63">
        <f t="shared" si="26"/>
        <v>53443038848.162415</v>
      </c>
    </row>
    <row r="54" spans="1:33">
      <c r="A54" s="589"/>
      <c r="B54" s="590"/>
      <c r="C54" s="38">
        <v>2050</v>
      </c>
      <c r="D54" s="63">
        <f t="shared" si="3"/>
        <v>2072882283961.5237</v>
      </c>
      <c r="E54" s="63">
        <f t="shared" si="4"/>
        <v>1768440284328.929</v>
      </c>
      <c r="F54" s="63">
        <f t="shared" si="5"/>
        <v>1212092496022.877</v>
      </c>
      <c r="G54" s="63">
        <f t="shared" si="6"/>
        <v>193168837206.89688</v>
      </c>
      <c r="H54" s="63">
        <f t="shared" si="7"/>
        <v>230626743550.89212</v>
      </c>
      <c r="I54" s="63">
        <f t="shared" si="8"/>
        <v>77256698688.078857</v>
      </c>
      <c r="K54" s="38">
        <v>2050</v>
      </c>
      <c r="L54" s="63">
        <f t="shared" si="9"/>
        <v>2072882283961.5237</v>
      </c>
      <c r="M54" s="63">
        <f t="shared" si="10"/>
        <v>1768440284328.929</v>
      </c>
      <c r="N54" s="63">
        <f t="shared" si="11"/>
        <v>1212092496022.877</v>
      </c>
      <c r="O54" s="63">
        <f t="shared" si="12"/>
        <v>193168837206.89688</v>
      </c>
      <c r="P54" s="63">
        <f t="shared" si="13"/>
        <v>230626743550.89212</v>
      </c>
      <c r="Q54" s="63">
        <f t="shared" si="14"/>
        <v>77256698688.078857</v>
      </c>
      <c r="S54" s="38">
        <v>2050</v>
      </c>
      <c r="T54" s="63">
        <f t="shared" si="15"/>
        <v>2072882283961.5237</v>
      </c>
      <c r="U54" s="63">
        <f t="shared" si="16"/>
        <v>1768440284328.929</v>
      </c>
      <c r="V54" s="63">
        <f t="shared" si="17"/>
        <v>1212092496022.877</v>
      </c>
      <c r="W54" s="63">
        <f t="shared" si="18"/>
        <v>193168837206.89688</v>
      </c>
      <c r="X54" s="63">
        <f t="shared" si="19"/>
        <v>230626743550.89212</v>
      </c>
      <c r="Y54" s="63">
        <f t="shared" si="20"/>
        <v>77256698688.078857</v>
      </c>
      <c r="AA54" s="38">
        <v>2050</v>
      </c>
      <c r="AB54" s="63">
        <f t="shared" si="21"/>
        <v>2072882283961.5237</v>
      </c>
      <c r="AC54" s="63">
        <f t="shared" si="22"/>
        <v>1768440284328.929</v>
      </c>
      <c r="AD54" s="63">
        <f t="shared" si="23"/>
        <v>1212092496022.877</v>
      </c>
      <c r="AE54" s="63">
        <f t="shared" si="24"/>
        <v>193168837206.89688</v>
      </c>
      <c r="AF54" s="63">
        <f t="shared" si="25"/>
        <v>230626743550.89212</v>
      </c>
      <c r="AG54" s="63">
        <f t="shared" si="26"/>
        <v>77256698688.078857</v>
      </c>
    </row>
    <row r="55" spans="1:33">
      <c r="A55" s="589"/>
      <c r="B55" s="590"/>
      <c r="C55" s="38">
        <v>2060</v>
      </c>
      <c r="D55" s="63">
        <f t="shared" si="3"/>
        <v>2996536976178.6768</v>
      </c>
      <c r="E55" s="63">
        <f t="shared" si="4"/>
        <v>2556438801738.5024</v>
      </c>
      <c r="F55" s="63">
        <f t="shared" si="5"/>
        <v>1752188250622.665</v>
      </c>
      <c r="G55" s="63">
        <f t="shared" si="6"/>
        <v>279242853207.11926</v>
      </c>
      <c r="H55" s="63">
        <f t="shared" si="7"/>
        <v>333391611329.3161</v>
      </c>
      <c r="I55" s="63">
        <f t="shared" si="8"/>
        <v>111681476593.01431</v>
      </c>
      <c r="K55" s="38">
        <v>2060</v>
      </c>
      <c r="L55" s="63">
        <f t="shared" si="9"/>
        <v>2996536976178.6768</v>
      </c>
      <c r="M55" s="63">
        <f t="shared" si="10"/>
        <v>2556438801738.5024</v>
      </c>
      <c r="N55" s="63">
        <f t="shared" si="11"/>
        <v>1752188250622.665</v>
      </c>
      <c r="O55" s="63">
        <f t="shared" si="12"/>
        <v>279242853207.11926</v>
      </c>
      <c r="P55" s="63">
        <f t="shared" si="13"/>
        <v>333391611329.3161</v>
      </c>
      <c r="Q55" s="63">
        <f t="shared" si="14"/>
        <v>111681476593.01431</v>
      </c>
      <c r="S55" s="38">
        <v>2060</v>
      </c>
      <c r="T55" s="63">
        <f t="shared" si="15"/>
        <v>2996536976178.6768</v>
      </c>
      <c r="U55" s="63">
        <f t="shared" si="16"/>
        <v>2556438801738.5024</v>
      </c>
      <c r="V55" s="63">
        <f t="shared" si="17"/>
        <v>1752188250622.665</v>
      </c>
      <c r="W55" s="63">
        <f t="shared" si="18"/>
        <v>279242853207.11926</v>
      </c>
      <c r="X55" s="63">
        <f t="shared" si="19"/>
        <v>333391611329.3161</v>
      </c>
      <c r="Y55" s="63">
        <f t="shared" si="20"/>
        <v>111681476593.01431</v>
      </c>
      <c r="AA55" s="38">
        <v>2060</v>
      </c>
      <c r="AB55" s="63">
        <f t="shared" si="21"/>
        <v>2996536976178.6768</v>
      </c>
      <c r="AC55" s="63">
        <f t="shared" si="22"/>
        <v>2556438801738.5024</v>
      </c>
      <c r="AD55" s="63">
        <f t="shared" si="23"/>
        <v>1752188250622.665</v>
      </c>
      <c r="AE55" s="63">
        <f t="shared" si="24"/>
        <v>279242853207.11926</v>
      </c>
      <c r="AF55" s="63">
        <f t="shared" si="25"/>
        <v>333391611329.3161</v>
      </c>
      <c r="AG55" s="63">
        <f t="shared" si="26"/>
        <v>111681476593.01431</v>
      </c>
    </row>
    <row r="56" spans="1:33">
      <c r="A56" s="589"/>
      <c r="B56" s="590"/>
      <c r="C56" s="38">
        <v>2070</v>
      </c>
      <c r="D56" s="63">
        <f t="shared" si="3"/>
        <v>4331762550667.2129</v>
      </c>
      <c r="E56" s="63">
        <f t="shared" si="4"/>
        <v>3695561227001.8916</v>
      </c>
      <c r="F56" s="63">
        <f t="shared" si="5"/>
        <v>2532945031582.9438</v>
      </c>
      <c r="G56" s="63">
        <f t="shared" si="6"/>
        <v>403670551600.07294</v>
      </c>
      <c r="H56" s="63">
        <f t="shared" si="7"/>
        <v>481947430698.68848</v>
      </c>
      <c r="I56" s="63">
        <f t="shared" si="8"/>
        <v>161445575928.04077</v>
      </c>
      <c r="K56" s="38">
        <v>2070</v>
      </c>
      <c r="L56" s="63">
        <f t="shared" si="9"/>
        <v>4331762550667.2129</v>
      </c>
      <c r="M56" s="63">
        <f t="shared" si="10"/>
        <v>3695561227001.8916</v>
      </c>
      <c r="N56" s="63">
        <f t="shared" si="11"/>
        <v>2532945031582.9438</v>
      </c>
      <c r="O56" s="63">
        <f t="shared" si="12"/>
        <v>403670551600.07294</v>
      </c>
      <c r="P56" s="63">
        <f t="shared" si="13"/>
        <v>481947430698.68848</v>
      </c>
      <c r="Q56" s="63">
        <f t="shared" si="14"/>
        <v>161445575928.04077</v>
      </c>
      <c r="S56" s="38">
        <v>2070</v>
      </c>
      <c r="T56" s="63">
        <f t="shared" si="15"/>
        <v>4331762550667.2129</v>
      </c>
      <c r="U56" s="63">
        <f t="shared" si="16"/>
        <v>3695561227001.8916</v>
      </c>
      <c r="V56" s="63">
        <f t="shared" si="17"/>
        <v>2532945031582.9438</v>
      </c>
      <c r="W56" s="63">
        <f t="shared" si="18"/>
        <v>403670551600.07294</v>
      </c>
      <c r="X56" s="63">
        <f t="shared" si="19"/>
        <v>481947430698.68848</v>
      </c>
      <c r="Y56" s="63">
        <f t="shared" si="20"/>
        <v>161445575928.04077</v>
      </c>
      <c r="AA56" s="38">
        <v>2070</v>
      </c>
      <c r="AB56" s="63">
        <f t="shared" si="21"/>
        <v>4331762550667.2129</v>
      </c>
      <c r="AC56" s="63">
        <f t="shared" si="22"/>
        <v>3695561227001.8916</v>
      </c>
      <c r="AD56" s="63">
        <f t="shared" si="23"/>
        <v>2532945031582.9438</v>
      </c>
      <c r="AE56" s="63">
        <f t="shared" si="24"/>
        <v>403670551600.07294</v>
      </c>
      <c r="AF56" s="63">
        <f t="shared" si="25"/>
        <v>481947430698.68848</v>
      </c>
      <c r="AG56" s="63">
        <f t="shared" si="26"/>
        <v>161445575928.04077</v>
      </c>
    </row>
    <row r="57" spans="1:33">
      <c r="A57" s="589"/>
      <c r="B57" s="590"/>
      <c r="C57" s="38">
        <v>2080</v>
      </c>
      <c r="D57" s="63">
        <f t="shared" si="3"/>
        <v>6261950693260.543</v>
      </c>
      <c r="E57" s="63">
        <f t="shared" si="4"/>
        <v>5342264705586.6094</v>
      </c>
      <c r="F57" s="63">
        <f t="shared" si="5"/>
        <v>3661598878283.0669</v>
      </c>
      <c r="G57" s="63">
        <f t="shared" si="6"/>
        <v>583541932613.91858</v>
      </c>
      <c r="H57" s="63">
        <f t="shared" si="7"/>
        <v>696698171351.50769</v>
      </c>
      <c r="I57" s="63">
        <f t="shared" si="8"/>
        <v>233384038086.4657</v>
      </c>
      <c r="K57" s="38">
        <v>2080</v>
      </c>
      <c r="L57" s="63">
        <f t="shared" si="9"/>
        <v>6261950693260.543</v>
      </c>
      <c r="M57" s="63">
        <f t="shared" si="10"/>
        <v>5342264705586.6094</v>
      </c>
      <c r="N57" s="63">
        <f t="shared" si="11"/>
        <v>3661598878283.0669</v>
      </c>
      <c r="O57" s="63">
        <f t="shared" si="12"/>
        <v>583541932613.91858</v>
      </c>
      <c r="P57" s="63">
        <f t="shared" si="13"/>
        <v>696698171351.50769</v>
      </c>
      <c r="Q57" s="63">
        <f t="shared" si="14"/>
        <v>233384038086.4657</v>
      </c>
      <c r="S57" s="38">
        <v>2080</v>
      </c>
      <c r="T57" s="63">
        <f t="shared" si="15"/>
        <v>6261950693260.543</v>
      </c>
      <c r="U57" s="63">
        <f t="shared" si="16"/>
        <v>5342264705586.6094</v>
      </c>
      <c r="V57" s="63">
        <f t="shared" si="17"/>
        <v>3661598878283.0669</v>
      </c>
      <c r="W57" s="63">
        <f t="shared" si="18"/>
        <v>583541932613.91858</v>
      </c>
      <c r="X57" s="63">
        <f t="shared" si="19"/>
        <v>696698171351.50769</v>
      </c>
      <c r="Y57" s="63">
        <f t="shared" si="20"/>
        <v>233384038086.4657</v>
      </c>
      <c r="AA57" s="38">
        <v>2080</v>
      </c>
      <c r="AB57" s="63">
        <f t="shared" si="21"/>
        <v>6261950693260.543</v>
      </c>
      <c r="AC57" s="63">
        <f t="shared" si="22"/>
        <v>5342264705586.6094</v>
      </c>
      <c r="AD57" s="63">
        <f t="shared" si="23"/>
        <v>3661598878283.0669</v>
      </c>
      <c r="AE57" s="63">
        <f t="shared" si="24"/>
        <v>583541932613.91858</v>
      </c>
      <c r="AF57" s="63">
        <f t="shared" si="25"/>
        <v>696698171351.50769</v>
      </c>
      <c r="AG57" s="63">
        <f t="shared" si="26"/>
        <v>233384038086.4657</v>
      </c>
    </row>
    <row r="58" spans="1:33">
      <c r="A58" s="589"/>
      <c r="B58" s="590"/>
      <c r="C58" s="38">
        <v>2090</v>
      </c>
      <c r="D58" s="63">
        <f t="shared" si="3"/>
        <v>9052210509273.2852</v>
      </c>
      <c r="E58" s="63">
        <f t="shared" si="4"/>
        <v>7722722052614.9805</v>
      </c>
      <c r="F58" s="63">
        <f t="shared" si="5"/>
        <v>5293169089052.4473</v>
      </c>
      <c r="G58" s="63">
        <f t="shared" si="6"/>
        <v>843562122054.7948</v>
      </c>
      <c r="H58" s="63">
        <f t="shared" si="7"/>
        <v>1007139598733.5339</v>
      </c>
      <c r="I58" s="63">
        <f t="shared" si="8"/>
        <v>337377527506.9928</v>
      </c>
      <c r="K58" s="38">
        <v>2090</v>
      </c>
      <c r="L58" s="63">
        <f t="shared" si="9"/>
        <v>9052210509273.2852</v>
      </c>
      <c r="M58" s="63">
        <f t="shared" si="10"/>
        <v>7722722052614.9805</v>
      </c>
      <c r="N58" s="63">
        <f t="shared" si="11"/>
        <v>5293169089052.4473</v>
      </c>
      <c r="O58" s="63">
        <f t="shared" si="12"/>
        <v>843562122054.7948</v>
      </c>
      <c r="P58" s="63">
        <f t="shared" si="13"/>
        <v>1007139598733.5339</v>
      </c>
      <c r="Q58" s="63">
        <f t="shared" si="14"/>
        <v>337377527506.9928</v>
      </c>
      <c r="S58" s="38">
        <v>2090</v>
      </c>
      <c r="T58" s="63">
        <f t="shared" si="15"/>
        <v>9052210509273.2852</v>
      </c>
      <c r="U58" s="63">
        <f t="shared" si="16"/>
        <v>7722722052614.9805</v>
      </c>
      <c r="V58" s="63">
        <f t="shared" si="17"/>
        <v>5293169089052.4473</v>
      </c>
      <c r="W58" s="63">
        <f t="shared" si="18"/>
        <v>843562122054.7948</v>
      </c>
      <c r="X58" s="63">
        <f t="shared" si="19"/>
        <v>1007139598733.5339</v>
      </c>
      <c r="Y58" s="63">
        <f t="shared" si="20"/>
        <v>337377527506.9928</v>
      </c>
      <c r="AA58" s="38">
        <v>2090</v>
      </c>
      <c r="AB58" s="63">
        <f t="shared" si="21"/>
        <v>9052210509273.2852</v>
      </c>
      <c r="AC58" s="63">
        <f t="shared" si="22"/>
        <v>7722722052614.9805</v>
      </c>
      <c r="AD58" s="63">
        <f t="shared" si="23"/>
        <v>5293169089052.4473</v>
      </c>
      <c r="AE58" s="63">
        <f t="shared" si="24"/>
        <v>843562122054.7948</v>
      </c>
      <c r="AF58" s="63">
        <f t="shared" si="25"/>
        <v>1007139598733.5339</v>
      </c>
      <c r="AG58" s="63">
        <f t="shared" si="26"/>
        <v>337377527506.9928</v>
      </c>
    </row>
    <row r="59" spans="1:33">
      <c r="A59" s="589"/>
      <c r="B59" s="590"/>
      <c r="C59" s="38">
        <v>2100</v>
      </c>
      <c r="D59" s="63">
        <f t="shared" si="3"/>
        <v>13085780951994.523</v>
      </c>
      <c r="E59" s="63">
        <f t="shared" si="4"/>
        <v>11163886327006.123</v>
      </c>
      <c r="F59" s="63">
        <f t="shared" si="5"/>
        <v>7651749942210.4531</v>
      </c>
      <c r="G59" s="63">
        <f t="shared" si="6"/>
        <v>1219444591716.0737</v>
      </c>
      <c r="H59" s="63">
        <f t="shared" si="7"/>
        <v>1455910483257.7207</v>
      </c>
      <c r="I59" s="63">
        <f t="shared" si="8"/>
        <v>487709429487.89648</v>
      </c>
      <c r="K59" s="38">
        <v>2100</v>
      </c>
      <c r="L59" s="63">
        <f t="shared" si="9"/>
        <v>13085780951994.523</v>
      </c>
      <c r="M59" s="63">
        <f t="shared" si="10"/>
        <v>11163886327006.123</v>
      </c>
      <c r="N59" s="63">
        <f t="shared" si="11"/>
        <v>7651749942210.4531</v>
      </c>
      <c r="O59" s="63">
        <f t="shared" si="12"/>
        <v>1219444591716.0737</v>
      </c>
      <c r="P59" s="63">
        <f t="shared" si="13"/>
        <v>1455910483257.7207</v>
      </c>
      <c r="Q59" s="63">
        <f t="shared" si="14"/>
        <v>487709429487.89648</v>
      </c>
      <c r="S59" s="38">
        <v>2100</v>
      </c>
      <c r="T59" s="63">
        <f t="shared" si="15"/>
        <v>13085780951994.523</v>
      </c>
      <c r="U59" s="63">
        <f t="shared" si="16"/>
        <v>11163886327006.123</v>
      </c>
      <c r="V59" s="63">
        <f t="shared" si="17"/>
        <v>7651749942210.4531</v>
      </c>
      <c r="W59" s="63">
        <f t="shared" si="18"/>
        <v>1219444591716.0737</v>
      </c>
      <c r="X59" s="63">
        <f t="shared" si="19"/>
        <v>1455910483257.7207</v>
      </c>
      <c r="Y59" s="63">
        <f t="shared" si="20"/>
        <v>487709429487.89648</v>
      </c>
      <c r="AA59" s="38">
        <v>2100</v>
      </c>
      <c r="AB59" s="63">
        <f t="shared" si="21"/>
        <v>13085780951994.523</v>
      </c>
      <c r="AC59" s="63">
        <f t="shared" si="22"/>
        <v>11163886327006.123</v>
      </c>
      <c r="AD59" s="63">
        <f t="shared" si="23"/>
        <v>7651749942210.4531</v>
      </c>
      <c r="AE59" s="63">
        <f t="shared" si="24"/>
        <v>1219444591716.0737</v>
      </c>
      <c r="AF59" s="63">
        <f t="shared" si="25"/>
        <v>1455910483257.7207</v>
      </c>
      <c r="AG59" s="63">
        <f t="shared" si="26"/>
        <v>487709429487.89648</v>
      </c>
    </row>
    <row r="60" spans="1:33">
      <c r="A60" s="383"/>
      <c r="B60" s="383"/>
      <c r="C60" s="376" t="s">
        <v>87</v>
      </c>
      <c r="D60" s="597" t="s">
        <v>267</v>
      </c>
      <c r="E60" s="597"/>
      <c r="F60" s="597"/>
      <c r="G60" s="597"/>
      <c r="H60" s="597"/>
      <c r="I60" s="598"/>
      <c r="K60" s="376" t="s">
        <v>87</v>
      </c>
      <c r="L60" s="597" t="s">
        <v>267</v>
      </c>
      <c r="M60" s="597"/>
      <c r="N60" s="597"/>
      <c r="O60" s="597"/>
      <c r="P60" s="597"/>
      <c r="Q60" s="598"/>
      <c r="S60" s="376" t="s">
        <v>87</v>
      </c>
      <c r="T60" s="597" t="s">
        <v>267</v>
      </c>
      <c r="U60" s="597"/>
      <c r="V60" s="597"/>
      <c r="W60" s="597"/>
      <c r="X60" s="597"/>
      <c r="Y60" s="598"/>
      <c r="AA60" s="376" t="s">
        <v>87</v>
      </c>
      <c r="AB60" s="597" t="s">
        <v>267</v>
      </c>
      <c r="AC60" s="597"/>
      <c r="AD60" s="597"/>
      <c r="AE60" s="597"/>
      <c r="AF60" s="597"/>
      <c r="AG60" s="598"/>
    </row>
    <row r="61" spans="1:33">
      <c r="A61" s="589"/>
      <c r="B61" s="590"/>
      <c r="C61" s="38">
        <v>2020</v>
      </c>
      <c r="D61" s="61">
        <f>'Demographic-Economic'!C42</f>
        <v>1920</v>
      </c>
      <c r="E61" s="61">
        <f>'Demographic-Economic'!D42</f>
        <v>1829</v>
      </c>
      <c r="F61" s="61">
        <f>'Demographic-Economic'!E42</f>
        <v>1925</v>
      </c>
      <c r="G61" s="61">
        <f>'Demographic-Economic'!F42</f>
        <v>1639</v>
      </c>
      <c r="H61" s="61">
        <f>'Demographic-Economic'!G42</f>
        <v>1599</v>
      </c>
      <c r="I61" s="61">
        <f>'Demographic-Economic'!H42</f>
        <v>1653</v>
      </c>
      <c r="K61" s="38">
        <v>2020</v>
      </c>
      <c r="L61" s="61">
        <f>'Demographic-Economic'!C42</f>
        <v>1920</v>
      </c>
      <c r="M61" s="61">
        <f>'Demographic-Economic'!D42</f>
        <v>1829</v>
      </c>
      <c r="N61" s="61">
        <f>'Demographic-Economic'!E42</f>
        <v>1925</v>
      </c>
      <c r="O61" s="61">
        <f>'Demographic-Economic'!F42</f>
        <v>1639</v>
      </c>
      <c r="P61" s="61">
        <f>'Demographic-Economic'!G42</f>
        <v>1599</v>
      </c>
      <c r="Q61" s="61">
        <f>'Demographic-Economic'!H42</f>
        <v>1653</v>
      </c>
      <c r="S61" s="38">
        <v>2020</v>
      </c>
      <c r="T61" s="61">
        <f>'Demographic-Economic'!C42</f>
        <v>1920</v>
      </c>
      <c r="U61" s="61">
        <f>'Demographic-Economic'!D42</f>
        <v>1829</v>
      </c>
      <c r="V61" s="61">
        <f>'Demographic-Economic'!E42</f>
        <v>1925</v>
      </c>
      <c r="W61" s="61">
        <f>'Demographic-Economic'!F42</f>
        <v>1639</v>
      </c>
      <c r="X61" s="61">
        <f>'Demographic-Economic'!G42</f>
        <v>1599</v>
      </c>
      <c r="Y61" s="61">
        <f>'Demographic-Economic'!H42</f>
        <v>1653</v>
      </c>
      <c r="AA61" s="38">
        <v>2020</v>
      </c>
      <c r="AB61" s="61">
        <f>'Demographic-Economic'!C42</f>
        <v>1920</v>
      </c>
      <c r="AC61" s="61">
        <f>'Demographic-Economic'!D42</f>
        <v>1829</v>
      </c>
      <c r="AD61" s="61">
        <f>'Demographic-Economic'!E42</f>
        <v>1925</v>
      </c>
      <c r="AE61" s="61">
        <f>'Demographic-Economic'!F42</f>
        <v>1639</v>
      </c>
      <c r="AF61" s="61">
        <f>'Demographic-Economic'!G42</f>
        <v>1599</v>
      </c>
      <c r="AG61" s="61">
        <f>'Demographic-Economic'!H42</f>
        <v>1653</v>
      </c>
    </row>
    <row r="62" spans="1:33">
      <c r="A62" s="589"/>
      <c r="B62" s="590"/>
      <c r="C62" s="38">
        <v>2021</v>
      </c>
      <c r="D62" s="63">
        <f t="shared" ref="D62:D78" si="27">D61*(1+$B$15)^($C62-$C61)</f>
        <v>1992.0752</v>
      </c>
      <c r="E62" s="63">
        <f t="shared" ref="E62:E78" si="28">E61*(1+$B$15)^($C62-$C61)</f>
        <v>1897.6591358333333</v>
      </c>
      <c r="F62" s="63">
        <f t="shared" ref="F62:F78" si="29">F61*(1+$B$15)^($C62-$C61)</f>
        <v>1997.2628958333335</v>
      </c>
      <c r="G62" s="63">
        <f t="shared" ref="G62:G78" si="30">G61*(1+$B$15)^($C62-$C61)</f>
        <v>1700.5266941666666</v>
      </c>
      <c r="H62" s="63">
        <f t="shared" ref="H62:H78" si="31">H61*(1+$B$15)^($C62-$C61)</f>
        <v>1659.0251275000001</v>
      </c>
      <c r="I62" s="63">
        <f t="shared" ref="I62:I78" si="32">I61*(1+$B$15)^($C62-$C61)</f>
        <v>1715.0522424999999</v>
      </c>
      <c r="K62" s="38">
        <v>2021</v>
      </c>
      <c r="L62" s="63">
        <f t="shared" ref="L62:L78" si="33">L61*(1+$B$15)^($C62-$C61)</f>
        <v>1992.0752</v>
      </c>
      <c r="M62" s="63">
        <f t="shared" ref="M62:M78" si="34">M61*(1+$B$15)^($C62-$C61)</f>
        <v>1897.6591358333333</v>
      </c>
      <c r="N62" s="63">
        <f t="shared" ref="N62:N78" si="35">N61*(1+$B$15)^($C62-$C61)</f>
        <v>1997.2628958333335</v>
      </c>
      <c r="O62" s="63">
        <f t="shared" ref="O62:O78" si="36">O61*(1+$B$15)^($C62-$C61)</f>
        <v>1700.5266941666666</v>
      </c>
      <c r="P62" s="63">
        <f t="shared" ref="P62:P78" si="37">P61*(1+$B$15)^($C62-$C61)</f>
        <v>1659.0251275000001</v>
      </c>
      <c r="Q62" s="63">
        <f t="shared" ref="Q62:Q78" si="38">Q61*(1+$B$15)^($C62-$C61)</f>
        <v>1715.0522424999999</v>
      </c>
      <c r="S62" s="38">
        <v>2021</v>
      </c>
      <c r="T62" s="63">
        <f t="shared" ref="T62:T78" si="39">T61*(1+$B$15)^($C62-$C61)</f>
        <v>1992.0752</v>
      </c>
      <c r="U62" s="63">
        <f t="shared" ref="U62:U78" si="40">U61*(1+$B$15)^($C62-$C61)</f>
        <v>1897.6591358333333</v>
      </c>
      <c r="V62" s="63">
        <f t="shared" ref="V62:V78" si="41">V61*(1+$B$15)^($C62-$C61)</f>
        <v>1997.2628958333335</v>
      </c>
      <c r="W62" s="63">
        <f t="shared" ref="W62:W78" si="42">W61*(1+$B$15)^($C62-$C61)</f>
        <v>1700.5266941666666</v>
      </c>
      <c r="X62" s="63">
        <f t="shared" ref="X62:X78" si="43">X61*(1+$B$15)^($C62-$C61)</f>
        <v>1659.0251275000001</v>
      </c>
      <c r="Y62" s="63">
        <f t="shared" ref="Y62:Y78" si="44">Y61*(1+$B$15)^($C62-$C61)</f>
        <v>1715.0522424999999</v>
      </c>
      <c r="AA62" s="38">
        <v>2021</v>
      </c>
      <c r="AB62" s="63">
        <f t="shared" ref="AB62:AB78" si="45">AB61*(1+$B$15)^($C62-$C61)</f>
        <v>1992.0752</v>
      </c>
      <c r="AC62" s="63">
        <f t="shared" ref="AC62:AC78" si="46">AC61*(1+$B$15)^($C62-$C61)</f>
        <v>1897.6591358333333</v>
      </c>
      <c r="AD62" s="63">
        <f t="shared" ref="AD62:AD78" si="47">AD61*(1+$B$15)^($C62-$C61)</f>
        <v>1997.2628958333335</v>
      </c>
      <c r="AE62" s="63">
        <f t="shared" ref="AE62:AE78" si="48">AE61*(1+$B$15)^($C62-$C61)</f>
        <v>1700.5266941666666</v>
      </c>
      <c r="AF62" s="63">
        <f t="shared" ref="AF62:AF78" si="49">AF61*(1+$B$15)^($C62-$C61)</f>
        <v>1659.0251275000001</v>
      </c>
      <c r="AG62" s="63">
        <f t="shared" ref="AG62:AG78" si="50">AG61*(1+$B$15)^($C62-$C61)</f>
        <v>1715.0522424999999</v>
      </c>
    </row>
    <row r="63" spans="1:33">
      <c r="A63" s="589"/>
      <c r="B63" s="590"/>
      <c r="C63" s="38">
        <v>2022</v>
      </c>
      <c r="D63" s="63">
        <f t="shared" si="27"/>
        <v>2066.8560429453332</v>
      </c>
      <c r="E63" s="63">
        <f t="shared" si="28"/>
        <v>1968.8956784099034</v>
      </c>
      <c r="F63" s="63">
        <f t="shared" si="29"/>
        <v>2072.2384805571701</v>
      </c>
      <c r="G63" s="63">
        <f t="shared" si="30"/>
        <v>1764.3630491601048</v>
      </c>
      <c r="H63" s="63">
        <f t="shared" si="31"/>
        <v>1721.3035482654104</v>
      </c>
      <c r="I63" s="63">
        <f t="shared" si="32"/>
        <v>1779.4338744732479</v>
      </c>
      <c r="K63" s="38">
        <v>2022</v>
      </c>
      <c r="L63" s="63">
        <f t="shared" si="33"/>
        <v>2066.8560429453332</v>
      </c>
      <c r="M63" s="63">
        <f t="shared" si="34"/>
        <v>1968.8956784099034</v>
      </c>
      <c r="N63" s="63">
        <f t="shared" si="35"/>
        <v>2072.2384805571701</v>
      </c>
      <c r="O63" s="63">
        <f t="shared" si="36"/>
        <v>1764.3630491601048</v>
      </c>
      <c r="P63" s="63">
        <f t="shared" si="37"/>
        <v>1721.3035482654104</v>
      </c>
      <c r="Q63" s="63">
        <f t="shared" si="38"/>
        <v>1779.4338744732479</v>
      </c>
      <c r="S63" s="38">
        <v>2022</v>
      </c>
      <c r="T63" s="63">
        <f t="shared" si="39"/>
        <v>2066.8560429453332</v>
      </c>
      <c r="U63" s="63">
        <f t="shared" si="40"/>
        <v>1968.8956784099034</v>
      </c>
      <c r="V63" s="63">
        <f t="shared" si="41"/>
        <v>2072.2384805571701</v>
      </c>
      <c r="W63" s="63">
        <f t="shared" si="42"/>
        <v>1764.3630491601048</v>
      </c>
      <c r="X63" s="63">
        <f t="shared" si="43"/>
        <v>1721.3035482654104</v>
      </c>
      <c r="Y63" s="63">
        <f t="shared" si="44"/>
        <v>1779.4338744732479</v>
      </c>
      <c r="AA63" s="38">
        <v>2022</v>
      </c>
      <c r="AB63" s="63">
        <f t="shared" si="45"/>
        <v>2066.8560429453332</v>
      </c>
      <c r="AC63" s="63">
        <f t="shared" si="46"/>
        <v>1968.8956784099034</v>
      </c>
      <c r="AD63" s="63">
        <f t="shared" si="47"/>
        <v>2072.2384805571701</v>
      </c>
      <c r="AE63" s="63">
        <f t="shared" si="48"/>
        <v>1764.3630491601048</v>
      </c>
      <c r="AF63" s="63">
        <f t="shared" si="49"/>
        <v>1721.3035482654104</v>
      </c>
      <c r="AG63" s="63">
        <f t="shared" si="50"/>
        <v>1779.4338744732479</v>
      </c>
    </row>
    <row r="64" spans="1:33">
      <c r="A64" s="589"/>
      <c r="B64" s="590"/>
      <c r="C64" s="38">
        <v>2023</v>
      </c>
      <c r="D64" s="63">
        <f t="shared" si="27"/>
        <v>2144.4440964174651</v>
      </c>
      <c r="E64" s="63">
        <f t="shared" si="28"/>
        <v>2042.8063814310126</v>
      </c>
      <c r="F64" s="63">
        <f t="shared" si="29"/>
        <v>2150.0285862518858</v>
      </c>
      <c r="G64" s="63">
        <f t="shared" si="30"/>
        <v>1830.5957677230342</v>
      </c>
      <c r="H64" s="63">
        <f t="shared" si="31"/>
        <v>1785.9198490476704</v>
      </c>
      <c r="I64" s="63">
        <f t="shared" si="32"/>
        <v>1846.2323392594117</v>
      </c>
      <c r="K64" s="38">
        <v>2023</v>
      </c>
      <c r="L64" s="63">
        <f t="shared" si="33"/>
        <v>2144.4440964174651</v>
      </c>
      <c r="M64" s="63">
        <f t="shared" si="34"/>
        <v>2042.8063814310126</v>
      </c>
      <c r="N64" s="63">
        <f t="shared" si="35"/>
        <v>2150.0285862518858</v>
      </c>
      <c r="O64" s="63">
        <f t="shared" si="36"/>
        <v>1830.5957677230342</v>
      </c>
      <c r="P64" s="63">
        <f t="shared" si="37"/>
        <v>1785.9198490476704</v>
      </c>
      <c r="Q64" s="63">
        <f t="shared" si="38"/>
        <v>1846.2323392594117</v>
      </c>
      <c r="S64" s="38">
        <v>2023</v>
      </c>
      <c r="T64" s="63">
        <f t="shared" si="39"/>
        <v>2144.4440964174651</v>
      </c>
      <c r="U64" s="63">
        <f t="shared" si="40"/>
        <v>2042.8063814310126</v>
      </c>
      <c r="V64" s="63">
        <f t="shared" si="41"/>
        <v>2150.0285862518858</v>
      </c>
      <c r="W64" s="63">
        <f t="shared" si="42"/>
        <v>1830.5957677230342</v>
      </c>
      <c r="X64" s="63">
        <f t="shared" si="43"/>
        <v>1785.9198490476704</v>
      </c>
      <c r="Y64" s="63">
        <f t="shared" si="44"/>
        <v>1846.2323392594117</v>
      </c>
      <c r="AA64" s="38">
        <v>2023</v>
      </c>
      <c r="AB64" s="63">
        <f t="shared" si="45"/>
        <v>2144.4440964174651</v>
      </c>
      <c r="AC64" s="63">
        <f t="shared" si="46"/>
        <v>2042.8063814310126</v>
      </c>
      <c r="AD64" s="63">
        <f t="shared" si="47"/>
        <v>2150.0285862518858</v>
      </c>
      <c r="AE64" s="63">
        <f t="shared" si="48"/>
        <v>1830.5957677230342</v>
      </c>
      <c r="AF64" s="63">
        <f t="shared" si="49"/>
        <v>1785.9198490476704</v>
      </c>
      <c r="AG64" s="63">
        <f t="shared" si="50"/>
        <v>1846.2323392594117</v>
      </c>
    </row>
    <row r="65" spans="1:33">
      <c r="A65" s="589"/>
      <c r="B65" s="590"/>
      <c r="C65" s="38">
        <v>2024</v>
      </c>
      <c r="D65" s="63">
        <f t="shared" si="27"/>
        <v>2224.9447407602297</v>
      </c>
      <c r="E65" s="63">
        <f t="shared" si="28"/>
        <v>2119.4916306512819</v>
      </c>
      <c r="F65" s="63">
        <f t="shared" si="29"/>
        <v>2230.7388676892933</v>
      </c>
      <c r="G65" s="63">
        <f t="shared" si="30"/>
        <v>1899.3148073468838</v>
      </c>
      <c r="H65" s="63">
        <f t="shared" si="31"/>
        <v>1852.9617919143791</v>
      </c>
      <c r="I65" s="63">
        <f t="shared" si="32"/>
        <v>1915.5383627482606</v>
      </c>
      <c r="K65" s="38">
        <v>2024</v>
      </c>
      <c r="L65" s="63">
        <f t="shared" si="33"/>
        <v>2224.9447407602297</v>
      </c>
      <c r="M65" s="63">
        <f t="shared" si="34"/>
        <v>2119.4916306512819</v>
      </c>
      <c r="N65" s="63">
        <f t="shared" si="35"/>
        <v>2230.7388676892933</v>
      </c>
      <c r="O65" s="63">
        <f t="shared" si="36"/>
        <v>1899.3148073468838</v>
      </c>
      <c r="P65" s="63">
        <f t="shared" si="37"/>
        <v>1852.9617919143791</v>
      </c>
      <c r="Q65" s="63">
        <f t="shared" si="38"/>
        <v>1915.5383627482606</v>
      </c>
      <c r="S65" s="38">
        <v>2024</v>
      </c>
      <c r="T65" s="63">
        <f t="shared" si="39"/>
        <v>2224.9447407602297</v>
      </c>
      <c r="U65" s="63">
        <f t="shared" si="40"/>
        <v>2119.4916306512819</v>
      </c>
      <c r="V65" s="63">
        <f t="shared" si="41"/>
        <v>2230.7388676892933</v>
      </c>
      <c r="W65" s="63">
        <f t="shared" si="42"/>
        <v>1899.3148073468838</v>
      </c>
      <c r="X65" s="63">
        <f t="shared" si="43"/>
        <v>1852.9617919143791</v>
      </c>
      <c r="Y65" s="63">
        <f t="shared" si="44"/>
        <v>1915.5383627482606</v>
      </c>
      <c r="AA65" s="38">
        <v>2024</v>
      </c>
      <c r="AB65" s="63">
        <f t="shared" si="45"/>
        <v>2224.9447407602297</v>
      </c>
      <c r="AC65" s="63">
        <f t="shared" si="46"/>
        <v>2119.4916306512819</v>
      </c>
      <c r="AD65" s="63">
        <f t="shared" si="47"/>
        <v>2230.7388676892933</v>
      </c>
      <c r="AE65" s="63">
        <f t="shared" si="48"/>
        <v>1899.3148073468838</v>
      </c>
      <c r="AF65" s="63">
        <f t="shared" si="49"/>
        <v>1852.9617919143791</v>
      </c>
      <c r="AG65" s="63">
        <f t="shared" si="50"/>
        <v>1915.5383627482606</v>
      </c>
    </row>
    <row r="66" spans="1:33">
      <c r="A66" s="589"/>
      <c r="B66" s="590"/>
      <c r="C66" s="38">
        <v>2025</v>
      </c>
      <c r="D66" s="63">
        <f t="shared" si="27"/>
        <v>2308.4673122077515</v>
      </c>
      <c r="E66" s="63">
        <f t="shared" si="28"/>
        <v>2199.0555802229055</v>
      </c>
      <c r="F66" s="63">
        <f t="shared" si="29"/>
        <v>2314.478945833293</v>
      </c>
      <c r="G66" s="63">
        <f t="shared" si="30"/>
        <v>1970.6135024523464</v>
      </c>
      <c r="H66" s="63">
        <f t="shared" si="31"/>
        <v>1922.5204334480184</v>
      </c>
      <c r="I66" s="63">
        <f t="shared" si="32"/>
        <v>1987.4460766038615</v>
      </c>
      <c r="K66" s="38">
        <v>2025</v>
      </c>
      <c r="L66" s="63">
        <f t="shared" si="33"/>
        <v>2308.4673122077515</v>
      </c>
      <c r="M66" s="63">
        <f t="shared" si="34"/>
        <v>2199.0555802229055</v>
      </c>
      <c r="N66" s="63">
        <f t="shared" si="35"/>
        <v>2314.478945833293</v>
      </c>
      <c r="O66" s="63">
        <f t="shared" si="36"/>
        <v>1970.6135024523464</v>
      </c>
      <c r="P66" s="63">
        <f t="shared" si="37"/>
        <v>1922.5204334480184</v>
      </c>
      <c r="Q66" s="63">
        <f t="shared" si="38"/>
        <v>1987.4460766038615</v>
      </c>
      <c r="S66" s="38">
        <v>2025</v>
      </c>
      <c r="T66" s="63">
        <f t="shared" si="39"/>
        <v>2308.4673122077515</v>
      </c>
      <c r="U66" s="63">
        <f t="shared" si="40"/>
        <v>2199.0555802229055</v>
      </c>
      <c r="V66" s="63">
        <f t="shared" si="41"/>
        <v>2314.478945833293</v>
      </c>
      <c r="W66" s="63">
        <f t="shared" si="42"/>
        <v>1970.6135024523464</v>
      </c>
      <c r="X66" s="63">
        <f t="shared" si="43"/>
        <v>1922.5204334480184</v>
      </c>
      <c r="Y66" s="63">
        <f t="shared" si="44"/>
        <v>1987.4460766038615</v>
      </c>
      <c r="AA66" s="38">
        <v>2025</v>
      </c>
      <c r="AB66" s="63">
        <f t="shared" si="45"/>
        <v>2308.4673122077515</v>
      </c>
      <c r="AC66" s="63">
        <f t="shared" si="46"/>
        <v>2199.0555802229055</v>
      </c>
      <c r="AD66" s="63">
        <f t="shared" si="47"/>
        <v>2314.478945833293</v>
      </c>
      <c r="AE66" s="63">
        <f t="shared" si="48"/>
        <v>1970.6135024523464</v>
      </c>
      <c r="AF66" s="63">
        <f t="shared" si="49"/>
        <v>1922.5204334480184</v>
      </c>
      <c r="AG66" s="63">
        <f t="shared" si="50"/>
        <v>1987.4460766038615</v>
      </c>
    </row>
    <row r="67" spans="1:33">
      <c r="A67" s="589"/>
      <c r="B67" s="590"/>
      <c r="C67" s="38">
        <v>2026</v>
      </c>
      <c r="D67" s="63">
        <f t="shared" si="27"/>
        <v>2395.1252513852705</v>
      </c>
      <c r="E67" s="63">
        <f t="shared" si="28"/>
        <v>2281.6062941581567</v>
      </c>
      <c r="F67" s="63">
        <f t="shared" si="29"/>
        <v>2401.3625567274198</v>
      </c>
      <c r="G67" s="63">
        <f t="shared" si="30"/>
        <v>2044.5886911564889</v>
      </c>
      <c r="H67" s="63">
        <f t="shared" si="31"/>
        <v>1994.6902484192958</v>
      </c>
      <c r="I67" s="63">
        <f t="shared" si="32"/>
        <v>2062.0531461145065</v>
      </c>
      <c r="K67" s="38">
        <v>2026</v>
      </c>
      <c r="L67" s="63">
        <f t="shared" si="33"/>
        <v>2395.1252513852705</v>
      </c>
      <c r="M67" s="63">
        <f t="shared" si="34"/>
        <v>2281.6062941581567</v>
      </c>
      <c r="N67" s="63">
        <f t="shared" si="35"/>
        <v>2401.3625567274198</v>
      </c>
      <c r="O67" s="63">
        <f t="shared" si="36"/>
        <v>2044.5886911564889</v>
      </c>
      <c r="P67" s="63">
        <f t="shared" si="37"/>
        <v>1994.6902484192958</v>
      </c>
      <c r="Q67" s="63">
        <f t="shared" si="38"/>
        <v>2062.0531461145065</v>
      </c>
      <c r="S67" s="38">
        <v>2026</v>
      </c>
      <c r="T67" s="63">
        <f t="shared" si="39"/>
        <v>2395.1252513852705</v>
      </c>
      <c r="U67" s="63">
        <f t="shared" si="40"/>
        <v>2281.6062941581567</v>
      </c>
      <c r="V67" s="63">
        <f t="shared" si="41"/>
        <v>2401.3625567274198</v>
      </c>
      <c r="W67" s="63">
        <f t="shared" si="42"/>
        <v>2044.5886911564889</v>
      </c>
      <c r="X67" s="63">
        <f t="shared" si="43"/>
        <v>1994.6902484192958</v>
      </c>
      <c r="Y67" s="63">
        <f t="shared" si="44"/>
        <v>2062.0531461145065</v>
      </c>
      <c r="AA67" s="38">
        <v>2026</v>
      </c>
      <c r="AB67" s="63">
        <f t="shared" si="45"/>
        <v>2395.1252513852705</v>
      </c>
      <c r="AC67" s="63">
        <f t="shared" si="46"/>
        <v>2281.6062941581567</v>
      </c>
      <c r="AD67" s="63">
        <f t="shared" si="47"/>
        <v>2401.3625567274198</v>
      </c>
      <c r="AE67" s="63">
        <f t="shared" si="48"/>
        <v>2044.5886911564889</v>
      </c>
      <c r="AF67" s="63">
        <f t="shared" si="49"/>
        <v>1994.6902484192958</v>
      </c>
      <c r="AG67" s="63">
        <f t="shared" si="50"/>
        <v>2062.0531461145065</v>
      </c>
    </row>
    <row r="68" spans="1:33">
      <c r="A68" s="589"/>
      <c r="B68" s="590"/>
      <c r="C68" s="38">
        <v>2027</v>
      </c>
      <c r="D68" s="63">
        <f t="shared" si="27"/>
        <v>2485.0362573845641</v>
      </c>
      <c r="E68" s="63">
        <f t="shared" si="28"/>
        <v>2367.2558931022754</v>
      </c>
      <c r="F68" s="63">
        <f t="shared" si="29"/>
        <v>2491.5077059715031</v>
      </c>
      <c r="G68" s="63">
        <f t="shared" si="30"/>
        <v>2121.3408467985942</v>
      </c>
      <c r="H68" s="63">
        <f t="shared" si="31"/>
        <v>2069.5692581030826</v>
      </c>
      <c r="I68" s="63">
        <f t="shared" si="32"/>
        <v>2139.4609028420232</v>
      </c>
      <c r="K68" s="38">
        <v>2027</v>
      </c>
      <c r="L68" s="63">
        <f t="shared" si="33"/>
        <v>2485.0362573845641</v>
      </c>
      <c r="M68" s="63">
        <f t="shared" si="34"/>
        <v>2367.2558931022754</v>
      </c>
      <c r="N68" s="63">
        <f t="shared" si="35"/>
        <v>2491.5077059715031</v>
      </c>
      <c r="O68" s="63">
        <f t="shared" si="36"/>
        <v>2121.3408467985942</v>
      </c>
      <c r="P68" s="63">
        <f t="shared" si="37"/>
        <v>2069.5692581030826</v>
      </c>
      <c r="Q68" s="63">
        <f t="shared" si="38"/>
        <v>2139.4609028420232</v>
      </c>
      <c r="S68" s="38">
        <v>2027</v>
      </c>
      <c r="T68" s="63">
        <f t="shared" si="39"/>
        <v>2485.0362573845641</v>
      </c>
      <c r="U68" s="63">
        <f t="shared" si="40"/>
        <v>2367.2558931022754</v>
      </c>
      <c r="V68" s="63">
        <f t="shared" si="41"/>
        <v>2491.5077059715031</v>
      </c>
      <c r="W68" s="63">
        <f t="shared" si="42"/>
        <v>2121.3408467985942</v>
      </c>
      <c r="X68" s="63">
        <f t="shared" si="43"/>
        <v>2069.5692581030826</v>
      </c>
      <c r="Y68" s="63">
        <f t="shared" si="44"/>
        <v>2139.4609028420232</v>
      </c>
      <c r="AA68" s="38">
        <v>2027</v>
      </c>
      <c r="AB68" s="63">
        <f t="shared" si="45"/>
        <v>2485.0362573845641</v>
      </c>
      <c r="AC68" s="63">
        <f t="shared" si="46"/>
        <v>2367.2558931022754</v>
      </c>
      <c r="AD68" s="63">
        <f t="shared" si="47"/>
        <v>2491.5077059715031</v>
      </c>
      <c r="AE68" s="63">
        <f t="shared" si="48"/>
        <v>2121.3408467985942</v>
      </c>
      <c r="AF68" s="63">
        <f t="shared" si="49"/>
        <v>2069.5692581030826</v>
      </c>
      <c r="AG68" s="63">
        <f t="shared" si="50"/>
        <v>2139.4609028420232</v>
      </c>
    </row>
    <row r="69" spans="1:33">
      <c r="A69" s="589"/>
      <c r="B69" s="590"/>
      <c r="C69" s="38">
        <v>2028</v>
      </c>
      <c r="D69" s="63">
        <f t="shared" si="27"/>
        <v>2578.3224476232331</v>
      </c>
      <c r="E69" s="63">
        <f t="shared" si="28"/>
        <v>2456.1207066160905</v>
      </c>
      <c r="F69" s="63">
        <f t="shared" si="29"/>
        <v>2585.0368289972516</v>
      </c>
      <c r="G69" s="63">
        <f t="shared" si="30"/>
        <v>2200.9742144033744</v>
      </c>
      <c r="H69" s="63">
        <f t="shared" si="31"/>
        <v>2147.2591634112241</v>
      </c>
      <c r="I69" s="63">
        <f t="shared" si="32"/>
        <v>2219.774482250627</v>
      </c>
      <c r="K69" s="38">
        <v>2028</v>
      </c>
      <c r="L69" s="63">
        <f t="shared" si="33"/>
        <v>2578.3224476232331</v>
      </c>
      <c r="M69" s="63">
        <f t="shared" si="34"/>
        <v>2456.1207066160905</v>
      </c>
      <c r="N69" s="63">
        <f t="shared" si="35"/>
        <v>2585.0368289972516</v>
      </c>
      <c r="O69" s="63">
        <f t="shared" si="36"/>
        <v>2200.9742144033744</v>
      </c>
      <c r="P69" s="63">
        <f t="shared" si="37"/>
        <v>2147.2591634112241</v>
      </c>
      <c r="Q69" s="63">
        <f t="shared" si="38"/>
        <v>2219.774482250627</v>
      </c>
      <c r="S69" s="38">
        <v>2028</v>
      </c>
      <c r="T69" s="63">
        <f t="shared" si="39"/>
        <v>2578.3224476232331</v>
      </c>
      <c r="U69" s="63">
        <f t="shared" si="40"/>
        <v>2456.1207066160905</v>
      </c>
      <c r="V69" s="63">
        <f t="shared" si="41"/>
        <v>2585.0368289972516</v>
      </c>
      <c r="W69" s="63">
        <f t="shared" si="42"/>
        <v>2200.9742144033744</v>
      </c>
      <c r="X69" s="63">
        <f t="shared" si="43"/>
        <v>2147.2591634112241</v>
      </c>
      <c r="Y69" s="63">
        <f t="shared" si="44"/>
        <v>2219.774482250627</v>
      </c>
      <c r="AA69" s="38">
        <v>2028</v>
      </c>
      <c r="AB69" s="63">
        <f t="shared" si="45"/>
        <v>2578.3224476232331</v>
      </c>
      <c r="AC69" s="63">
        <f t="shared" si="46"/>
        <v>2456.1207066160905</v>
      </c>
      <c r="AD69" s="63">
        <f t="shared" si="47"/>
        <v>2585.0368289972516</v>
      </c>
      <c r="AE69" s="63">
        <f t="shared" si="48"/>
        <v>2200.9742144033744</v>
      </c>
      <c r="AF69" s="63">
        <f t="shared" si="49"/>
        <v>2147.2591634112241</v>
      </c>
      <c r="AG69" s="63">
        <f t="shared" si="50"/>
        <v>2219.774482250627</v>
      </c>
    </row>
    <row r="70" spans="1:33">
      <c r="A70" s="589"/>
      <c r="B70" s="590"/>
      <c r="C70" s="38">
        <v>2029</v>
      </c>
      <c r="D70" s="63">
        <f t="shared" si="27"/>
        <v>2675.1105237049696</v>
      </c>
      <c r="E70" s="63">
        <f t="shared" si="28"/>
        <v>2548.3214311752031</v>
      </c>
      <c r="F70" s="63">
        <f t="shared" si="29"/>
        <v>2682.0769573604512</v>
      </c>
      <c r="G70" s="63">
        <f t="shared" si="30"/>
        <v>2283.5969522668984</v>
      </c>
      <c r="H70" s="63">
        <f t="shared" si="31"/>
        <v>2227.8654830230453</v>
      </c>
      <c r="I70" s="63">
        <f t="shared" si="32"/>
        <v>2303.102966502247</v>
      </c>
      <c r="K70" s="38">
        <v>2029</v>
      </c>
      <c r="L70" s="63">
        <f t="shared" si="33"/>
        <v>2675.1105237049696</v>
      </c>
      <c r="M70" s="63">
        <f t="shared" si="34"/>
        <v>2548.3214311752031</v>
      </c>
      <c r="N70" s="63">
        <f t="shared" si="35"/>
        <v>2682.0769573604512</v>
      </c>
      <c r="O70" s="63">
        <f t="shared" si="36"/>
        <v>2283.5969522668984</v>
      </c>
      <c r="P70" s="63">
        <f t="shared" si="37"/>
        <v>2227.8654830230453</v>
      </c>
      <c r="Q70" s="63">
        <f t="shared" si="38"/>
        <v>2303.102966502247</v>
      </c>
      <c r="S70" s="38">
        <v>2029</v>
      </c>
      <c r="T70" s="63">
        <f t="shared" si="39"/>
        <v>2675.1105237049696</v>
      </c>
      <c r="U70" s="63">
        <f t="shared" si="40"/>
        <v>2548.3214311752031</v>
      </c>
      <c r="V70" s="63">
        <f t="shared" si="41"/>
        <v>2682.0769573604512</v>
      </c>
      <c r="W70" s="63">
        <f t="shared" si="42"/>
        <v>2283.5969522668984</v>
      </c>
      <c r="X70" s="63">
        <f t="shared" si="43"/>
        <v>2227.8654830230453</v>
      </c>
      <c r="Y70" s="63">
        <f t="shared" si="44"/>
        <v>2303.102966502247</v>
      </c>
      <c r="AA70" s="38">
        <v>2029</v>
      </c>
      <c r="AB70" s="63">
        <f t="shared" si="45"/>
        <v>2675.1105237049696</v>
      </c>
      <c r="AC70" s="63">
        <f t="shared" si="46"/>
        <v>2548.3214311752031</v>
      </c>
      <c r="AD70" s="63">
        <f t="shared" si="47"/>
        <v>2682.0769573604512</v>
      </c>
      <c r="AE70" s="63">
        <f t="shared" si="48"/>
        <v>2283.5969522668984</v>
      </c>
      <c r="AF70" s="63">
        <f t="shared" si="49"/>
        <v>2227.8654830230453</v>
      </c>
      <c r="AG70" s="63">
        <f t="shared" si="50"/>
        <v>2303.102966502247</v>
      </c>
    </row>
    <row r="71" spans="1:33">
      <c r="A71" s="589"/>
      <c r="B71" s="590"/>
      <c r="C71" s="38">
        <v>2030</v>
      </c>
      <c r="D71" s="63">
        <f t="shared" si="27"/>
        <v>2775.5319435060846</v>
      </c>
      <c r="E71" s="63">
        <f t="shared" si="28"/>
        <v>2643.9832941003274</v>
      </c>
      <c r="F71" s="63">
        <f t="shared" si="29"/>
        <v>2782.7598912756316</v>
      </c>
      <c r="G71" s="63">
        <f t="shared" si="30"/>
        <v>2369.3212788575374</v>
      </c>
      <c r="H71" s="63">
        <f t="shared" si="31"/>
        <v>2311.4976967011612</v>
      </c>
      <c r="I71" s="63">
        <f t="shared" si="32"/>
        <v>2389.5595326122693</v>
      </c>
      <c r="K71" s="38">
        <v>2030</v>
      </c>
      <c r="L71" s="63">
        <f t="shared" si="33"/>
        <v>2775.5319435060846</v>
      </c>
      <c r="M71" s="63">
        <f t="shared" si="34"/>
        <v>2643.9832941003274</v>
      </c>
      <c r="N71" s="63">
        <f t="shared" si="35"/>
        <v>2782.7598912756316</v>
      </c>
      <c r="O71" s="63">
        <f t="shared" si="36"/>
        <v>2369.3212788575374</v>
      </c>
      <c r="P71" s="63">
        <f t="shared" si="37"/>
        <v>2311.4976967011612</v>
      </c>
      <c r="Q71" s="63">
        <f t="shared" si="38"/>
        <v>2389.5595326122693</v>
      </c>
      <c r="S71" s="38">
        <v>2030</v>
      </c>
      <c r="T71" s="63">
        <f t="shared" si="39"/>
        <v>2775.5319435060846</v>
      </c>
      <c r="U71" s="63">
        <f t="shared" si="40"/>
        <v>2643.9832941003274</v>
      </c>
      <c r="V71" s="63">
        <f t="shared" si="41"/>
        <v>2782.7598912756316</v>
      </c>
      <c r="W71" s="63">
        <f t="shared" si="42"/>
        <v>2369.3212788575374</v>
      </c>
      <c r="X71" s="63">
        <f t="shared" si="43"/>
        <v>2311.4976967011612</v>
      </c>
      <c r="Y71" s="63">
        <f t="shared" si="44"/>
        <v>2389.5595326122693</v>
      </c>
      <c r="AA71" s="38">
        <v>2030</v>
      </c>
      <c r="AB71" s="63">
        <f t="shared" si="45"/>
        <v>2775.5319435060846</v>
      </c>
      <c r="AC71" s="63">
        <f t="shared" si="46"/>
        <v>2643.9832941003274</v>
      </c>
      <c r="AD71" s="63">
        <f t="shared" si="47"/>
        <v>2782.7598912756316</v>
      </c>
      <c r="AE71" s="63">
        <f t="shared" si="48"/>
        <v>2369.3212788575374</v>
      </c>
      <c r="AF71" s="63">
        <f t="shared" si="49"/>
        <v>2311.4976967011612</v>
      </c>
      <c r="AG71" s="63">
        <f t="shared" si="50"/>
        <v>2389.5595326122693</v>
      </c>
    </row>
    <row r="72" spans="1:33">
      <c r="A72" s="589"/>
      <c r="B72" s="590"/>
      <c r="C72" s="38">
        <v>2040</v>
      </c>
      <c r="D72" s="63">
        <f t="shared" si="27"/>
        <v>4012.2799840743037</v>
      </c>
      <c r="E72" s="63">
        <f t="shared" si="28"/>
        <v>3822.1146306624487</v>
      </c>
      <c r="F72" s="63">
        <f t="shared" si="29"/>
        <v>4022.7286298661638</v>
      </c>
      <c r="G72" s="63">
        <f t="shared" si="30"/>
        <v>3425.0660905717618</v>
      </c>
      <c r="H72" s="63">
        <f t="shared" si="31"/>
        <v>3341.4769242368811</v>
      </c>
      <c r="I72" s="63">
        <f t="shared" si="32"/>
        <v>3454.3222987889703</v>
      </c>
      <c r="K72" s="38">
        <v>2040</v>
      </c>
      <c r="L72" s="63">
        <f t="shared" si="33"/>
        <v>4012.2799840743037</v>
      </c>
      <c r="M72" s="63">
        <f t="shared" si="34"/>
        <v>3822.1146306624487</v>
      </c>
      <c r="N72" s="63">
        <f t="shared" si="35"/>
        <v>4022.7286298661638</v>
      </c>
      <c r="O72" s="63">
        <f t="shared" si="36"/>
        <v>3425.0660905717618</v>
      </c>
      <c r="P72" s="63">
        <f t="shared" si="37"/>
        <v>3341.4769242368811</v>
      </c>
      <c r="Q72" s="63">
        <f t="shared" si="38"/>
        <v>3454.3222987889703</v>
      </c>
      <c r="S72" s="38">
        <v>2040</v>
      </c>
      <c r="T72" s="63">
        <f t="shared" si="39"/>
        <v>4012.2799840743037</v>
      </c>
      <c r="U72" s="63">
        <f t="shared" si="40"/>
        <v>3822.1146306624487</v>
      </c>
      <c r="V72" s="63">
        <f t="shared" si="41"/>
        <v>4022.7286298661638</v>
      </c>
      <c r="W72" s="63">
        <f t="shared" si="42"/>
        <v>3425.0660905717618</v>
      </c>
      <c r="X72" s="63">
        <f t="shared" si="43"/>
        <v>3341.4769242368811</v>
      </c>
      <c r="Y72" s="63">
        <f t="shared" si="44"/>
        <v>3454.3222987889703</v>
      </c>
      <c r="AA72" s="38">
        <v>2040</v>
      </c>
      <c r="AB72" s="63">
        <f t="shared" si="45"/>
        <v>4012.2799840743037</v>
      </c>
      <c r="AC72" s="63">
        <f t="shared" si="46"/>
        <v>3822.1146306624487</v>
      </c>
      <c r="AD72" s="63">
        <f t="shared" si="47"/>
        <v>4022.7286298661638</v>
      </c>
      <c r="AE72" s="63">
        <f t="shared" si="48"/>
        <v>3425.0660905717618</v>
      </c>
      <c r="AF72" s="63">
        <f t="shared" si="49"/>
        <v>3341.4769242368811</v>
      </c>
      <c r="AG72" s="63">
        <f t="shared" si="50"/>
        <v>3454.3222987889703</v>
      </c>
    </row>
    <row r="73" spans="1:33">
      <c r="A73" s="589"/>
      <c r="B73" s="590"/>
      <c r="C73" s="38">
        <v>2050</v>
      </c>
      <c r="D73" s="63">
        <f t="shared" si="27"/>
        <v>5800.1100323376631</v>
      </c>
      <c r="E73" s="63">
        <f t="shared" si="28"/>
        <v>5525.2089839299933</v>
      </c>
      <c r="F73" s="63">
        <f t="shared" si="29"/>
        <v>5815.2144855468759</v>
      </c>
      <c r="G73" s="63">
        <f t="shared" si="30"/>
        <v>4951.2397619799112</v>
      </c>
      <c r="H73" s="63">
        <f t="shared" si="31"/>
        <v>4830.4041363062106</v>
      </c>
      <c r="I73" s="63">
        <f t="shared" si="32"/>
        <v>4993.5322309657067</v>
      </c>
      <c r="K73" s="38">
        <v>2050</v>
      </c>
      <c r="L73" s="63">
        <f t="shared" si="33"/>
        <v>5800.1100323376631</v>
      </c>
      <c r="M73" s="63">
        <f t="shared" si="34"/>
        <v>5525.2089839299933</v>
      </c>
      <c r="N73" s="63">
        <f t="shared" si="35"/>
        <v>5815.2144855468759</v>
      </c>
      <c r="O73" s="63">
        <f t="shared" si="36"/>
        <v>4951.2397619799112</v>
      </c>
      <c r="P73" s="63">
        <f t="shared" si="37"/>
        <v>4830.4041363062106</v>
      </c>
      <c r="Q73" s="63">
        <f t="shared" si="38"/>
        <v>4993.5322309657067</v>
      </c>
      <c r="S73" s="38">
        <v>2050</v>
      </c>
      <c r="T73" s="63">
        <f t="shared" si="39"/>
        <v>5800.1100323376631</v>
      </c>
      <c r="U73" s="63">
        <f t="shared" si="40"/>
        <v>5525.2089839299933</v>
      </c>
      <c r="V73" s="63">
        <f t="shared" si="41"/>
        <v>5815.2144855468759</v>
      </c>
      <c r="W73" s="63">
        <f t="shared" si="42"/>
        <v>4951.2397619799112</v>
      </c>
      <c r="X73" s="63">
        <f t="shared" si="43"/>
        <v>4830.4041363062106</v>
      </c>
      <c r="Y73" s="63">
        <f t="shared" si="44"/>
        <v>4993.5322309657067</v>
      </c>
      <c r="AA73" s="38">
        <v>2050</v>
      </c>
      <c r="AB73" s="63">
        <f t="shared" si="45"/>
        <v>5800.1100323376631</v>
      </c>
      <c r="AC73" s="63">
        <f t="shared" si="46"/>
        <v>5525.2089839299933</v>
      </c>
      <c r="AD73" s="63">
        <f t="shared" si="47"/>
        <v>5815.2144855468759</v>
      </c>
      <c r="AE73" s="63">
        <f t="shared" si="48"/>
        <v>4951.2397619799112</v>
      </c>
      <c r="AF73" s="63">
        <f t="shared" si="49"/>
        <v>4830.4041363062106</v>
      </c>
      <c r="AG73" s="63">
        <f t="shared" si="50"/>
        <v>4993.5322309657067</v>
      </c>
    </row>
    <row r="74" spans="1:33">
      <c r="A74" s="589"/>
      <c r="B74" s="590"/>
      <c r="C74" s="38">
        <v>2060</v>
      </c>
      <c r="D74" s="63">
        <f t="shared" si="27"/>
        <v>8384.5784742725482</v>
      </c>
      <c r="E74" s="63">
        <f t="shared" si="28"/>
        <v>7987.184390335673</v>
      </c>
      <c r="F74" s="63">
        <f t="shared" si="29"/>
        <v>8406.4133140492995</v>
      </c>
      <c r="G74" s="63">
        <f t="shared" si="30"/>
        <v>7157.4604788191182</v>
      </c>
      <c r="H74" s="63">
        <f t="shared" si="31"/>
        <v>6982.7817606051076</v>
      </c>
      <c r="I74" s="63">
        <f t="shared" si="32"/>
        <v>7218.5980301940217</v>
      </c>
      <c r="K74" s="38">
        <v>2060</v>
      </c>
      <c r="L74" s="63">
        <f t="shared" si="33"/>
        <v>8384.5784742725482</v>
      </c>
      <c r="M74" s="63">
        <f t="shared" si="34"/>
        <v>7987.184390335673</v>
      </c>
      <c r="N74" s="63">
        <f t="shared" si="35"/>
        <v>8406.4133140492995</v>
      </c>
      <c r="O74" s="63">
        <f t="shared" si="36"/>
        <v>7157.4604788191182</v>
      </c>
      <c r="P74" s="63">
        <f t="shared" si="37"/>
        <v>6982.7817606051076</v>
      </c>
      <c r="Q74" s="63">
        <f t="shared" si="38"/>
        <v>7218.5980301940217</v>
      </c>
      <c r="S74" s="38">
        <v>2060</v>
      </c>
      <c r="T74" s="63">
        <f t="shared" si="39"/>
        <v>8384.5784742725482</v>
      </c>
      <c r="U74" s="63">
        <f t="shared" si="40"/>
        <v>7987.184390335673</v>
      </c>
      <c r="V74" s="63">
        <f t="shared" si="41"/>
        <v>8406.4133140492995</v>
      </c>
      <c r="W74" s="63">
        <f t="shared" si="42"/>
        <v>7157.4604788191182</v>
      </c>
      <c r="X74" s="63">
        <f t="shared" si="43"/>
        <v>6982.7817606051076</v>
      </c>
      <c r="Y74" s="63">
        <f t="shared" si="44"/>
        <v>7218.5980301940217</v>
      </c>
      <c r="AA74" s="38">
        <v>2060</v>
      </c>
      <c r="AB74" s="63">
        <f t="shared" si="45"/>
        <v>8384.5784742725482</v>
      </c>
      <c r="AC74" s="63">
        <f t="shared" si="46"/>
        <v>7987.184390335673</v>
      </c>
      <c r="AD74" s="63">
        <f t="shared" si="47"/>
        <v>8406.4133140492995</v>
      </c>
      <c r="AE74" s="63">
        <f t="shared" si="48"/>
        <v>7157.4604788191182</v>
      </c>
      <c r="AF74" s="63">
        <f t="shared" si="49"/>
        <v>6982.7817606051076</v>
      </c>
      <c r="AG74" s="63">
        <f t="shared" si="50"/>
        <v>7218.5980301940217</v>
      </c>
    </row>
    <row r="75" spans="1:33">
      <c r="A75" s="589"/>
      <c r="B75" s="590"/>
      <c r="C75" s="38">
        <v>2070</v>
      </c>
      <c r="D75" s="63">
        <f t="shared" si="27"/>
        <v>12120.659056342171</v>
      </c>
      <c r="E75" s="63">
        <f t="shared" si="28"/>
        <v>11546.190319817621</v>
      </c>
      <c r="F75" s="63">
        <f t="shared" si="29"/>
        <v>12152.223272634728</v>
      </c>
      <c r="G75" s="63">
        <f t="shared" si="30"/>
        <v>10346.750100700425</v>
      </c>
      <c r="H75" s="63">
        <f t="shared" si="31"/>
        <v>10094.236370359966</v>
      </c>
      <c r="I75" s="63">
        <f t="shared" si="32"/>
        <v>10435.129906319587</v>
      </c>
      <c r="K75" s="38">
        <v>2070</v>
      </c>
      <c r="L75" s="63">
        <f t="shared" si="33"/>
        <v>12120.659056342171</v>
      </c>
      <c r="M75" s="63">
        <f t="shared" si="34"/>
        <v>11546.190319817621</v>
      </c>
      <c r="N75" s="63">
        <f t="shared" si="35"/>
        <v>12152.223272634728</v>
      </c>
      <c r="O75" s="63">
        <f t="shared" si="36"/>
        <v>10346.750100700425</v>
      </c>
      <c r="P75" s="63">
        <f t="shared" si="37"/>
        <v>10094.236370359966</v>
      </c>
      <c r="Q75" s="63">
        <f t="shared" si="38"/>
        <v>10435.129906319587</v>
      </c>
      <c r="S75" s="38">
        <v>2070</v>
      </c>
      <c r="T75" s="63">
        <f t="shared" si="39"/>
        <v>12120.659056342171</v>
      </c>
      <c r="U75" s="63">
        <f t="shared" si="40"/>
        <v>11546.190319817621</v>
      </c>
      <c r="V75" s="63">
        <f t="shared" si="41"/>
        <v>12152.223272634728</v>
      </c>
      <c r="W75" s="63">
        <f t="shared" si="42"/>
        <v>10346.750100700425</v>
      </c>
      <c r="X75" s="63">
        <f t="shared" si="43"/>
        <v>10094.236370359966</v>
      </c>
      <c r="Y75" s="63">
        <f t="shared" si="44"/>
        <v>10435.129906319587</v>
      </c>
      <c r="AA75" s="38">
        <v>2070</v>
      </c>
      <c r="AB75" s="63">
        <f t="shared" si="45"/>
        <v>12120.659056342171</v>
      </c>
      <c r="AC75" s="63">
        <f t="shared" si="46"/>
        <v>11546.190319817621</v>
      </c>
      <c r="AD75" s="63">
        <f t="shared" si="47"/>
        <v>12152.223272634728</v>
      </c>
      <c r="AE75" s="63">
        <f t="shared" si="48"/>
        <v>10346.750100700425</v>
      </c>
      <c r="AF75" s="63">
        <f t="shared" si="49"/>
        <v>10094.236370359966</v>
      </c>
      <c r="AG75" s="63">
        <f t="shared" si="50"/>
        <v>10435.129906319587</v>
      </c>
    </row>
    <row r="76" spans="1:33">
      <c r="A76" s="589"/>
      <c r="B76" s="590"/>
      <c r="C76" s="38">
        <v>2080</v>
      </c>
      <c r="D76" s="63">
        <f t="shared" si="27"/>
        <v>17521.498118345837</v>
      </c>
      <c r="E76" s="63">
        <f t="shared" si="28"/>
        <v>16691.052113778405</v>
      </c>
      <c r="F76" s="63">
        <f t="shared" si="29"/>
        <v>17567.127019695698</v>
      </c>
      <c r="G76" s="63">
        <f t="shared" si="30"/>
        <v>14957.153862483763</v>
      </c>
      <c r="H76" s="63">
        <f t="shared" si="31"/>
        <v>14592.122651684896</v>
      </c>
      <c r="I76" s="63">
        <f t="shared" si="32"/>
        <v>15084.914786263369</v>
      </c>
      <c r="K76" s="38">
        <v>2080</v>
      </c>
      <c r="L76" s="63">
        <f t="shared" si="33"/>
        <v>17521.498118345837</v>
      </c>
      <c r="M76" s="63">
        <f t="shared" si="34"/>
        <v>16691.052113778405</v>
      </c>
      <c r="N76" s="63">
        <f t="shared" si="35"/>
        <v>17567.127019695698</v>
      </c>
      <c r="O76" s="63">
        <f t="shared" si="36"/>
        <v>14957.153862483763</v>
      </c>
      <c r="P76" s="63">
        <f t="shared" si="37"/>
        <v>14592.122651684896</v>
      </c>
      <c r="Q76" s="63">
        <f t="shared" si="38"/>
        <v>15084.914786263369</v>
      </c>
      <c r="S76" s="38">
        <v>2080</v>
      </c>
      <c r="T76" s="63">
        <f t="shared" si="39"/>
        <v>17521.498118345837</v>
      </c>
      <c r="U76" s="63">
        <f t="shared" si="40"/>
        <v>16691.052113778405</v>
      </c>
      <c r="V76" s="63">
        <f t="shared" si="41"/>
        <v>17567.127019695698</v>
      </c>
      <c r="W76" s="63">
        <f t="shared" si="42"/>
        <v>14957.153862483763</v>
      </c>
      <c r="X76" s="63">
        <f t="shared" si="43"/>
        <v>14592.122651684896</v>
      </c>
      <c r="Y76" s="63">
        <f t="shared" si="44"/>
        <v>15084.914786263369</v>
      </c>
      <c r="AA76" s="38">
        <v>2080</v>
      </c>
      <c r="AB76" s="63">
        <f t="shared" si="45"/>
        <v>17521.498118345837</v>
      </c>
      <c r="AC76" s="63">
        <f t="shared" si="46"/>
        <v>16691.052113778405</v>
      </c>
      <c r="AD76" s="63">
        <f t="shared" si="47"/>
        <v>17567.127019695698</v>
      </c>
      <c r="AE76" s="63">
        <f t="shared" si="48"/>
        <v>14957.153862483763</v>
      </c>
      <c r="AF76" s="63">
        <f t="shared" si="49"/>
        <v>14592.122651684896</v>
      </c>
      <c r="AG76" s="63">
        <f t="shared" si="50"/>
        <v>15084.914786263369</v>
      </c>
    </row>
    <row r="77" spans="1:33">
      <c r="A77" s="589"/>
      <c r="B77" s="590"/>
      <c r="C77" s="38">
        <v>2090</v>
      </c>
      <c r="D77" s="63">
        <f t="shared" si="27"/>
        <v>25328.894648724283</v>
      </c>
      <c r="E77" s="63">
        <f t="shared" si="28"/>
        <v>24128.410579435789</v>
      </c>
      <c r="F77" s="63">
        <f t="shared" si="29"/>
        <v>25394.855311872005</v>
      </c>
      <c r="G77" s="63">
        <f t="shared" si="30"/>
        <v>21621.905379822445</v>
      </c>
      <c r="H77" s="63">
        <f t="shared" si="31"/>
        <v>21094.2200746407</v>
      </c>
      <c r="I77" s="63">
        <f t="shared" si="32"/>
        <v>21806.595236636062</v>
      </c>
      <c r="K77" s="38">
        <v>2090</v>
      </c>
      <c r="L77" s="63">
        <f t="shared" si="33"/>
        <v>25328.894648724283</v>
      </c>
      <c r="M77" s="63">
        <f t="shared" si="34"/>
        <v>24128.410579435789</v>
      </c>
      <c r="N77" s="63">
        <f t="shared" si="35"/>
        <v>25394.855311872005</v>
      </c>
      <c r="O77" s="63">
        <f t="shared" si="36"/>
        <v>21621.905379822445</v>
      </c>
      <c r="P77" s="63">
        <f t="shared" si="37"/>
        <v>21094.2200746407</v>
      </c>
      <c r="Q77" s="63">
        <f t="shared" si="38"/>
        <v>21806.595236636062</v>
      </c>
      <c r="S77" s="38">
        <v>2090</v>
      </c>
      <c r="T77" s="63">
        <f t="shared" si="39"/>
        <v>25328.894648724283</v>
      </c>
      <c r="U77" s="63">
        <f t="shared" si="40"/>
        <v>24128.410579435789</v>
      </c>
      <c r="V77" s="63">
        <f t="shared" si="41"/>
        <v>25394.855311872005</v>
      </c>
      <c r="W77" s="63">
        <f t="shared" si="42"/>
        <v>21621.905379822445</v>
      </c>
      <c r="X77" s="63">
        <f t="shared" si="43"/>
        <v>21094.2200746407</v>
      </c>
      <c r="Y77" s="63">
        <f t="shared" si="44"/>
        <v>21806.595236636062</v>
      </c>
      <c r="AA77" s="38">
        <v>2090</v>
      </c>
      <c r="AB77" s="63">
        <f t="shared" si="45"/>
        <v>25328.894648724283</v>
      </c>
      <c r="AC77" s="63">
        <f t="shared" si="46"/>
        <v>24128.410579435789</v>
      </c>
      <c r="AD77" s="63">
        <f t="shared" si="47"/>
        <v>25394.855311872005</v>
      </c>
      <c r="AE77" s="63">
        <f t="shared" si="48"/>
        <v>21621.905379822445</v>
      </c>
      <c r="AF77" s="63">
        <f t="shared" si="49"/>
        <v>21094.2200746407</v>
      </c>
      <c r="AG77" s="63">
        <f t="shared" si="50"/>
        <v>21806.595236636062</v>
      </c>
    </row>
    <row r="78" spans="1:33">
      <c r="A78" s="589"/>
      <c r="B78" s="590"/>
      <c r="C78" s="38">
        <v>2100</v>
      </c>
      <c r="D78" s="63">
        <f t="shared" si="27"/>
        <v>36615.185516268008</v>
      </c>
      <c r="E78" s="63">
        <f t="shared" si="28"/>
        <v>34879.778286069886</v>
      </c>
      <c r="F78" s="63">
        <f t="shared" si="29"/>
        <v>36710.537561883291</v>
      </c>
      <c r="G78" s="63">
        <f t="shared" si="30"/>
        <v>31256.400552689196</v>
      </c>
      <c r="H78" s="63">
        <f t="shared" si="31"/>
        <v>30493.584187766959</v>
      </c>
      <c r="I78" s="63">
        <f t="shared" si="32"/>
        <v>31523.386280411985</v>
      </c>
      <c r="K78" s="38">
        <v>2100</v>
      </c>
      <c r="L78" s="63">
        <f t="shared" si="33"/>
        <v>36615.185516268008</v>
      </c>
      <c r="M78" s="63">
        <f t="shared" si="34"/>
        <v>34879.778286069886</v>
      </c>
      <c r="N78" s="63">
        <f t="shared" si="35"/>
        <v>36710.537561883291</v>
      </c>
      <c r="O78" s="63">
        <f t="shared" si="36"/>
        <v>31256.400552689196</v>
      </c>
      <c r="P78" s="63">
        <f t="shared" si="37"/>
        <v>30493.584187766959</v>
      </c>
      <c r="Q78" s="63">
        <f t="shared" si="38"/>
        <v>31523.386280411985</v>
      </c>
      <c r="S78" s="38">
        <v>2100</v>
      </c>
      <c r="T78" s="63">
        <f t="shared" si="39"/>
        <v>36615.185516268008</v>
      </c>
      <c r="U78" s="63">
        <f t="shared" si="40"/>
        <v>34879.778286069886</v>
      </c>
      <c r="V78" s="63">
        <f t="shared" si="41"/>
        <v>36710.537561883291</v>
      </c>
      <c r="W78" s="63">
        <f t="shared" si="42"/>
        <v>31256.400552689196</v>
      </c>
      <c r="X78" s="63">
        <f t="shared" si="43"/>
        <v>30493.584187766959</v>
      </c>
      <c r="Y78" s="63">
        <f t="shared" si="44"/>
        <v>31523.386280411985</v>
      </c>
      <c r="AA78" s="38">
        <v>2100</v>
      </c>
      <c r="AB78" s="63">
        <f t="shared" si="45"/>
        <v>36615.185516268008</v>
      </c>
      <c r="AC78" s="63">
        <f t="shared" si="46"/>
        <v>34879.778286069886</v>
      </c>
      <c r="AD78" s="63">
        <f t="shared" si="47"/>
        <v>36710.537561883291</v>
      </c>
      <c r="AE78" s="63">
        <f t="shared" si="48"/>
        <v>31256.400552689196</v>
      </c>
      <c r="AF78" s="63">
        <f t="shared" si="49"/>
        <v>30493.584187766959</v>
      </c>
      <c r="AG78" s="63">
        <f t="shared" si="50"/>
        <v>31523.386280411985</v>
      </c>
    </row>
    <row r="79" spans="1:33">
      <c r="A79" s="383"/>
      <c r="B79" s="383"/>
      <c r="C79" s="376" t="s">
        <v>87</v>
      </c>
      <c r="D79" s="597" t="s">
        <v>268</v>
      </c>
      <c r="E79" s="597"/>
      <c r="F79" s="597"/>
      <c r="G79" s="597"/>
      <c r="H79" s="597"/>
      <c r="I79" s="598"/>
      <c r="K79" s="376" t="s">
        <v>87</v>
      </c>
      <c r="L79" s="597" t="s">
        <v>268</v>
      </c>
      <c r="M79" s="597"/>
      <c r="N79" s="597"/>
      <c r="O79" s="597"/>
      <c r="P79" s="597"/>
      <c r="Q79" s="598"/>
      <c r="S79" s="376" t="s">
        <v>87</v>
      </c>
      <c r="T79" s="597" t="s">
        <v>268</v>
      </c>
      <c r="U79" s="597"/>
      <c r="V79" s="597"/>
      <c r="W79" s="597"/>
      <c r="X79" s="597"/>
      <c r="Y79" s="598"/>
      <c r="AA79" s="376" t="s">
        <v>87</v>
      </c>
      <c r="AB79" s="597" t="s">
        <v>268</v>
      </c>
      <c r="AC79" s="597"/>
      <c r="AD79" s="597"/>
      <c r="AE79" s="597"/>
      <c r="AF79" s="597"/>
      <c r="AG79" s="598"/>
    </row>
    <row r="80" spans="1:33">
      <c r="A80" s="599"/>
      <c r="B80" s="600"/>
      <c r="C80" s="38">
        <v>2020</v>
      </c>
      <c r="D80" s="63">
        <f>('Prediction Results (Transposed)'!J$3*$B$5*$B$8 + 'Prediction Results (Transposed)'!J$4*$B$6*$B$9+ 'Prediction Results (Transposed)'!J$5*$B$7*$B$10) *(D23*D61) *D4/(D42 *$B$14)</f>
        <v>128313473.20350681</v>
      </c>
      <c r="E80" s="63">
        <f>('Prediction Results (Transposed)'!K$3*$B$5*$B$8 + 'Prediction Results (Transposed)'!K$4*$B$6*$B$9+ 'Prediction Results (Transposed)'!K$5*$B$7*$B$10) *(E23*E61) *E4/(E42 *$B$14)</f>
        <v>138611253.11943674</v>
      </c>
      <c r="F80" s="63">
        <f>('Prediction Results (Transposed)'!L$3*$B$5*$B$8 + 'Prediction Results (Transposed)'!L$4*$B$6*$B$9+ 'Prediction Results (Transposed)'!L$5*$B$7*$B$10) *(F23*F61) *F4/(F42 *$B$14)</f>
        <v>6202373.4777053883</v>
      </c>
      <c r="G80" s="63">
        <f>('Prediction Results (Transposed)'!M$3*$B$5*$B$8 + 'Prediction Results (Transposed)'!M$4*$B$6*$B$9+ 'Prediction Results (Transposed)'!M$5*$B$7*$B$10) *(G23*G61) *G4/(G42 *$B$14)</f>
        <v>994365.72400941059</v>
      </c>
      <c r="H80" s="63">
        <f>('Prediction Results (Transposed)'!N$3*$B$5*$B$8 + 'Prediction Results (Transposed)'!N$4*$B$6*$B$9+ 'Prediction Results (Transposed)'!N$5*$B$7*$B$10) *(H23*H61) *H4/(H42 *$B$14)</f>
        <v>3006224.1260667825</v>
      </c>
      <c r="I80" s="63">
        <f>('Prediction Results (Transposed)'!O$3*$B$5*$B$8 + 'Prediction Results (Transposed)'!O$4*$B$6*$B$9+ 'Prediction Results (Transposed)'!O$5*$B$7*$B$10) *(I23*I61) *I4/(I42 *$B$14)</f>
        <v>2597683.0788231096</v>
      </c>
      <c r="K80" s="38">
        <v>2020</v>
      </c>
      <c r="L80" s="63">
        <f>('Prediction Results (Transposed)'!J$3*$B$5*$B$8 + 'Prediction Results (Transposed)'!J$4*$B$6*$B$9+ 'Prediction Results (Transposed)'!J$5*$B$7*$B$10) *(L23*L61) *L4/(L42 *$B$14)</f>
        <v>128313473.20350681</v>
      </c>
      <c r="M80" s="63">
        <f>('Prediction Results (Transposed)'!K$3*$B$5*$B$8 + 'Prediction Results (Transposed)'!K$4*$B$6*$B$9+ 'Prediction Results (Transposed)'!K$5*$B$7*$B$10) *(M23*M61) *M4/(M42 *$B$14)</f>
        <v>138611253.11943674</v>
      </c>
      <c r="N80" s="63">
        <f>('Prediction Results (Transposed)'!L$3*$B$5*$B$8 + 'Prediction Results (Transposed)'!L$4*$B$6*$B$9+ 'Prediction Results (Transposed)'!L$5*$B$7*$B$10) *(N23*N61) *N4/(N42 *$B$14)</f>
        <v>6202373.4777053883</v>
      </c>
      <c r="O80" s="63">
        <f>('Prediction Results (Transposed)'!M$3*$B$5*$B$8 + 'Prediction Results (Transposed)'!M$4*$B$6*$B$9+ 'Prediction Results (Transposed)'!M$5*$B$7*$B$10) *(O23*O61) *O4/(O42 *$B$14)</f>
        <v>994365.72400941059</v>
      </c>
      <c r="P80" s="63">
        <f>('Prediction Results (Transposed)'!N$3*$B$5*$B$8 + 'Prediction Results (Transposed)'!N$4*$B$6*$B$9+ 'Prediction Results (Transposed)'!N$5*$B$7*$B$10) *(P23*P61) *P4/(P42 *$B$14)</f>
        <v>3006224.1260667825</v>
      </c>
      <c r="Q80" s="63">
        <f>('Prediction Results (Transposed)'!O$3*$B$5*$B$8 + 'Prediction Results (Transposed)'!O$4*$B$6*$B$9+ 'Prediction Results (Transposed)'!O$5*$B$7*$B$10) *(Q23*Q61) *Q4/(Q42 *$B$14)</f>
        <v>2597683.0788231096</v>
      </c>
      <c r="S80" s="38">
        <v>2020</v>
      </c>
      <c r="T80" s="63">
        <f>('Prediction Results (Transposed)'!J$3*$B$5*$B$8 + 'Prediction Results (Transposed)'!J$4*$B$6*$B$9+ 'Prediction Results (Transposed)'!J$5*$B$7*$B$10) *(T23*T61) *T4/(T42 *$B$14)</f>
        <v>128313473.20350681</v>
      </c>
      <c r="U80" s="63">
        <f>('Prediction Results (Transposed)'!K$3*$B$5*$B$8 + 'Prediction Results (Transposed)'!K$4*$B$6*$B$9+ 'Prediction Results (Transposed)'!K$5*$B$7*$B$10) *(U23*U61) *U4/(U42 *$B$14)</f>
        <v>138611253.11943674</v>
      </c>
      <c r="V80" s="63">
        <f>('Prediction Results (Transposed)'!L$3*$B$5*$B$8 + 'Prediction Results (Transposed)'!L$4*$B$6*$B$9+ 'Prediction Results (Transposed)'!L$5*$B$7*$B$10) *(V23*V61) *V4/(V42 *$B$14)</f>
        <v>6202373.4777053883</v>
      </c>
      <c r="W80" s="63">
        <f>('Prediction Results (Transposed)'!M$3*$B$5*$B$8 + 'Prediction Results (Transposed)'!M$4*$B$6*$B$9+ 'Prediction Results (Transposed)'!M$5*$B$7*$B$10) *(W23*W61) *W4/(W42 *$B$14)</f>
        <v>994365.72400941059</v>
      </c>
      <c r="X80" s="63">
        <f>('Prediction Results (Transposed)'!N$3*$B$5*$B$8 + 'Prediction Results (Transposed)'!N$4*$B$6*$B$9+ 'Prediction Results (Transposed)'!N$5*$B$7*$B$10) *(X23*X61) *X4/(X42 *$B$14)</f>
        <v>3006224.1260667825</v>
      </c>
      <c r="Y80" s="63">
        <f>('Prediction Results (Transposed)'!O$3*$B$5*$B$8 + 'Prediction Results (Transposed)'!O$4*$B$6*$B$9+ 'Prediction Results (Transposed)'!O$5*$B$7*$B$10) *(Y23*Y61) *Y4/(Y42 *$B$14)</f>
        <v>2597683.0788231096</v>
      </c>
      <c r="AA80" s="38">
        <v>2020</v>
      </c>
      <c r="AB80" s="63">
        <f>('Prediction Results (Transposed)'!J$3*$B$5*$B$8 + 'Prediction Results (Transposed)'!J$4*$B$6*$B$9+ 'Prediction Results (Transposed)'!J$5*$B$7*$B$10) *(AB23*AB61) *AB4/(AB42 *$B$14)</f>
        <v>128313473.20350681</v>
      </c>
      <c r="AC80" s="63">
        <f>('Prediction Results (Transposed)'!K$3*$B$5*$B$8 + 'Prediction Results (Transposed)'!K$4*$B$6*$B$9+ 'Prediction Results (Transposed)'!K$5*$B$7*$B$10) *(AC23*AC61) *AC4/(AC42 *$B$14)</f>
        <v>138611253.11943674</v>
      </c>
      <c r="AD80" s="63">
        <f>('Prediction Results (Transposed)'!L$3*$B$5*$B$8 + 'Prediction Results (Transposed)'!L$4*$B$6*$B$9+ 'Prediction Results (Transposed)'!L$5*$B$7*$B$10) *(AD23*AD61) *AD4/(AD42 *$B$14)</f>
        <v>6202373.4777053883</v>
      </c>
      <c r="AE80" s="63">
        <f>('Prediction Results (Transposed)'!M$3*$B$5*$B$8 + 'Prediction Results (Transposed)'!M$4*$B$6*$B$9+ 'Prediction Results (Transposed)'!M$5*$B$7*$B$10) *(AE23*AE61) *AE4/(AE42 *$B$14)</f>
        <v>994365.72400941059</v>
      </c>
      <c r="AF80" s="63">
        <f>('Prediction Results (Transposed)'!N$3*$B$5*$B$8 + 'Prediction Results (Transposed)'!N$4*$B$6*$B$9+ 'Prediction Results (Transposed)'!N$5*$B$7*$B$10) *(AF23*AF61) *AF4/(AF42 *$B$14)</f>
        <v>3006224.1260667825</v>
      </c>
      <c r="AG80" s="63">
        <f>('Prediction Results (Transposed)'!O$3*$B$5*$B$8 + 'Prediction Results (Transposed)'!O$4*$B$6*$B$9+ 'Prediction Results (Transposed)'!O$5*$B$7*$B$10) *(AG23*AG61) *AG4/(AG42 *$B$14)</f>
        <v>2597683.0788231096</v>
      </c>
    </row>
    <row r="81" spans="1:33">
      <c r="A81" s="599"/>
      <c r="B81" s="600"/>
      <c r="C81" s="38">
        <v>2021</v>
      </c>
      <c r="D81" s="63">
        <f>('Prediction Results (Transposed)'!J$3*$B$5*$B$8 + 'Prediction Results (Transposed)'!J$4*$B$6*$B$9+ 'Prediction Results (Transposed)'!J$5*$B$7*$B$10) *(D24*D62) *D5/(D43 *$B$14)</f>
        <v>136668364.76479667</v>
      </c>
      <c r="E81" s="63">
        <f>('Prediction Results (Transposed)'!K$3*$B$5*$B$8 + 'Prediction Results (Transposed)'!K$4*$B$6*$B$9+ 'Prediction Results (Transposed)'!K$5*$B$7*$B$10) *(E24*E62) *E5/(E43 *$B$14)</f>
        <v>147451888.53633741</v>
      </c>
      <c r="F81" s="63">
        <f>('Prediction Results (Transposed)'!L$3*$B$5*$B$8 + 'Prediction Results (Transposed)'!L$4*$B$6*$B$9+ 'Prediction Results (Transposed)'!L$5*$B$7*$B$10) *(F24*F62) *F5/(F43 *$B$14)</f>
        <v>6627341.3259625938</v>
      </c>
      <c r="G81" s="63">
        <f>('Prediction Results (Transposed)'!M$3*$B$5*$B$8 + 'Prediction Results (Transposed)'!M$4*$B$6*$B$9+ 'Prediction Results (Transposed)'!M$5*$B$7*$B$10) *(G24*G62) *G5/(G43 *$B$14)</f>
        <v>1065358.8977840717</v>
      </c>
      <c r="H81" s="63">
        <f>('Prediction Results (Transposed)'!N$3*$B$5*$B$8 + 'Prediction Results (Transposed)'!N$4*$B$6*$B$9+ 'Prediction Results (Transposed)'!N$5*$B$7*$B$10) *(H24*H62) *H5/(H43 *$B$14)</f>
        <v>3213685.4147789977</v>
      </c>
      <c r="I81" s="63">
        <f>('Prediction Results (Transposed)'!O$3*$B$5*$B$8 + 'Prediction Results (Transposed)'!O$4*$B$6*$B$9+ 'Prediction Results (Transposed)'!O$5*$B$7*$B$10) *(I24*I62) *I5/(I43 *$B$14)</f>
        <v>2779114.9671780886</v>
      </c>
      <c r="K81" s="38">
        <v>2021</v>
      </c>
      <c r="L81" s="63">
        <f>('Prediction Results (Transposed)'!J$3*$B$5*$B$8 + 'Prediction Results (Transposed)'!J$4*$B$6*$B$9+ 'Prediction Results (Transposed)'!J$5*$B$7*$B$10) *(L24*L62) *L5/(L43 *$B$14)</f>
        <v>137342665.29217938</v>
      </c>
      <c r="M81" s="63">
        <f>('Prediction Results (Transposed)'!K$3*$B$5*$B$8 + 'Prediction Results (Transposed)'!K$4*$B$6*$B$9+ 'Prediction Results (Transposed)'!K$5*$B$7*$B$10) *(M24*M62) *M5/(M43 *$B$14)</f>
        <v>148179393.29850188</v>
      </c>
      <c r="N81" s="63">
        <f>('Prediction Results (Transposed)'!L$3*$B$5*$B$8 + 'Prediction Results (Transposed)'!L$4*$B$6*$B$9+ 'Prediction Results (Transposed)'!L$5*$B$7*$B$10) *(N24*N62) *N5/(N43 *$B$14)</f>
        <v>6660039.6007896364</v>
      </c>
      <c r="O81" s="63">
        <f>('Prediction Results (Transposed)'!M$3*$B$5*$B$8 + 'Prediction Results (Transposed)'!M$4*$B$6*$B$9+ 'Prediction Results (Transposed)'!M$5*$B$7*$B$10) *(O24*O62) *O5/(O43 *$B$14)</f>
        <v>1070615.2134491042</v>
      </c>
      <c r="P81" s="63">
        <f>('Prediction Results (Transposed)'!N$3*$B$5*$B$8 + 'Prediction Results (Transposed)'!N$4*$B$6*$B$9+ 'Prediction Results (Transposed)'!N$5*$B$7*$B$10) *(P24*P62) *P5/(P43 *$B$14)</f>
        <v>3229541.2404761645</v>
      </c>
      <c r="Q81" s="63">
        <f>('Prediction Results (Transposed)'!O$3*$B$5*$B$8 + 'Prediction Results (Transposed)'!O$4*$B$6*$B$9+ 'Prediction Results (Transposed)'!O$5*$B$7*$B$10) *(Q24*Q62) *Q5/(Q43 *$B$14)</f>
        <v>2792826.689647662</v>
      </c>
      <c r="S81" s="38">
        <v>2021</v>
      </c>
      <c r="T81" s="63">
        <f>('Prediction Results (Transposed)'!J$3*$B$5*$B$8 + 'Prediction Results (Transposed)'!J$4*$B$6*$B$9+ 'Prediction Results (Transposed)'!J$5*$B$7*$B$10) *(T24*T62) *T5/(T43 *$B$14)</f>
        <v>138464576.32755911</v>
      </c>
      <c r="U81" s="63">
        <f>('Prediction Results (Transposed)'!K$3*$B$5*$B$8 + 'Prediction Results (Transposed)'!K$4*$B$6*$B$9+ 'Prediction Results (Transposed)'!K$5*$B$7*$B$10) *(U24*U62) *U5/(U43 *$B$14)</f>
        <v>149389826.31437355</v>
      </c>
      <c r="V81" s="63">
        <f>('Prediction Results (Transposed)'!L$3*$B$5*$B$8 + 'Prediction Results (Transposed)'!L$4*$B$6*$B$9+ 'Prediction Results (Transposed)'!L$5*$B$7*$B$10) *(V24*V62) *V5/(V43 *$B$14)</f>
        <v>6714443.4665388269</v>
      </c>
      <c r="W81" s="63">
        <f>('Prediction Results (Transposed)'!M$3*$B$5*$B$8 + 'Prediction Results (Transposed)'!M$4*$B$6*$B$9+ 'Prediction Results (Transposed)'!M$5*$B$7*$B$10) *(W24*W62) *W5/(W43 *$B$14)</f>
        <v>1079360.7479853588</v>
      </c>
      <c r="X81" s="63">
        <f>('Prediction Results (Transposed)'!N$3*$B$5*$B$8 + 'Prediction Results (Transposed)'!N$4*$B$6*$B$9+ 'Prediction Results (Transposed)'!N$5*$B$7*$B$10) *(X24*X62) *X5/(X43 *$B$14)</f>
        <v>3255922.3941343976</v>
      </c>
      <c r="Y81" s="63">
        <f>('Prediction Results (Transposed)'!O$3*$B$5*$B$8 + 'Prediction Results (Transposed)'!O$4*$B$6*$B$9+ 'Prediction Results (Transposed)'!O$5*$B$7*$B$10) *(Y24*Y62) *Y5/(Y43 *$B$14)</f>
        <v>2815640.4531373475</v>
      </c>
      <c r="AA81" s="38">
        <v>2021</v>
      </c>
      <c r="AB81" s="63">
        <f>('Prediction Results (Transposed)'!J$3*$B$5*$B$8 + 'Prediction Results (Transposed)'!J$4*$B$6*$B$9+ 'Prediction Results (Transposed)'!J$5*$B$7*$B$10) *(AB24*AB62) *AB5/(AB43 *$B$14)</f>
        <v>138461012.28177494</v>
      </c>
      <c r="AC81" s="63">
        <f>('Prediction Results (Transposed)'!K$3*$B$5*$B$8 + 'Prediction Results (Transposed)'!K$4*$B$6*$B$9+ 'Prediction Results (Transposed)'!K$5*$B$7*$B$10) *(AC24*AC62) *AC5/(AC43 *$B$14)</f>
        <v>149385981.05521202</v>
      </c>
      <c r="AD81" s="63">
        <f>('Prediction Results (Transposed)'!L$3*$B$5*$B$8 + 'Prediction Results (Transposed)'!L$4*$B$6*$B$9+ 'Prediction Results (Transposed)'!L$5*$B$7*$B$10) *(AD24*AD62) *AD5/(AD43 *$B$14)</f>
        <v>6714270.6383356526</v>
      </c>
      <c r="AE81" s="63">
        <f>('Prediction Results (Transposed)'!M$3*$B$5*$B$8 + 'Prediction Results (Transposed)'!M$4*$B$6*$B$9+ 'Prediction Results (Transposed)'!M$5*$B$7*$B$10) *(AE24*AE62) *AE5/(AE43 *$B$14)</f>
        <v>1079332.9654923526</v>
      </c>
      <c r="AF81" s="63">
        <f>('Prediction Results (Transposed)'!N$3*$B$5*$B$8 + 'Prediction Results (Transposed)'!N$4*$B$6*$B$9+ 'Prediction Results (Transposed)'!N$5*$B$7*$B$10) *(AF24*AF62) *AF5/(AF43 *$B$14)</f>
        <v>3255838.587454089</v>
      </c>
      <c r="AG81" s="63">
        <f>('Prediction Results (Transposed)'!O$3*$B$5*$B$8 + 'Prediction Results (Transposed)'!O$4*$B$6*$B$9+ 'Prediction Results (Transposed)'!O$5*$B$7*$B$10) *(AG24*AG62) *AG5/(AG43 *$B$14)</f>
        <v>2815567.9792111428</v>
      </c>
    </row>
    <row r="82" spans="1:33">
      <c r="A82" s="599"/>
      <c r="B82" s="600"/>
      <c r="C82" s="38">
        <v>2022</v>
      </c>
      <c r="D82" s="63">
        <f>('Prediction Results (Transposed)'!J$3*$B$5*$B$8 + 'Prediction Results (Transposed)'!J$4*$B$6*$B$9+ 'Prediction Results (Transposed)'!J$5*$B$7*$B$10) *(D25*D63) *D6/(D44 *$B$14)</f>
        <v>145543489.65115181</v>
      </c>
      <c r="E82" s="63">
        <f>('Prediction Results (Transposed)'!K$3*$B$5*$B$8 + 'Prediction Results (Transposed)'!K$4*$B$6*$B$9+ 'Prediction Results (Transposed)'!K$5*$B$7*$B$10) *(E25*E63) *E6/(E44 *$B$14)</f>
        <v>156830756.31913027</v>
      </c>
      <c r="F82" s="63">
        <f>('Prediction Results (Transposed)'!L$3*$B$5*$B$8 + 'Prediction Results (Transposed)'!L$4*$B$6*$B$9+ 'Prediction Results (Transposed)'!L$5*$B$7*$B$10) *(F25*F63) *F6/(F44 *$B$14)</f>
        <v>7081004.371615828</v>
      </c>
      <c r="G82" s="63">
        <f>('Prediction Results (Transposed)'!M$3*$B$5*$B$8 + 'Prediction Results (Transposed)'!M$4*$B$6*$B$9+ 'Prediction Results (Transposed)'!M$5*$B$7*$B$10) *(G25*G63) *G6/(G44 *$B$14)</f>
        <v>1140738.4288588611</v>
      </c>
      <c r="H82" s="63">
        <f>('Prediction Results (Transposed)'!N$3*$B$5*$B$8 + 'Prediction Results (Transposed)'!N$4*$B$6*$B$9+ 'Prediction Results (Transposed)'!N$5*$B$7*$B$10) *(H25*H63) *H6/(H44 *$B$14)</f>
        <v>3434456.4067666153</v>
      </c>
      <c r="I82" s="63">
        <f>('Prediction Results (Transposed)'!O$3*$B$5*$B$8 + 'Prediction Results (Transposed)'!O$4*$B$6*$B$9+ 'Prediction Results (Transposed)'!O$5*$B$7*$B$10) *(I25*I63) *I6/(I44 *$B$14)</f>
        <v>2972744.025320136</v>
      </c>
      <c r="K82" s="38">
        <v>2022</v>
      </c>
      <c r="L82" s="63">
        <f>('Prediction Results (Transposed)'!J$3*$B$5*$B$8 + 'Prediction Results (Transposed)'!J$4*$B$6*$B$9+ 'Prediction Results (Transposed)'!J$5*$B$7*$B$10) *(L25*L63) *L6/(L44 *$B$14)</f>
        <v>146978172.98245889</v>
      </c>
      <c r="M82" s="63">
        <f>('Prediction Results (Transposed)'!K$3*$B$5*$B$8 + 'Prediction Results (Transposed)'!K$4*$B$6*$B$9+ 'Prediction Results (Transposed)'!K$5*$B$7*$B$10) *(M25*M63) *M6/(M44 *$B$14)</f>
        <v>158376702.98061714</v>
      </c>
      <c r="N82" s="63">
        <f>('Prediction Results (Transposed)'!L$3*$B$5*$B$8 + 'Prediction Results (Transposed)'!L$4*$B$6*$B$9+ 'Prediction Results (Transposed)'!L$5*$B$7*$B$10) *(N25*N63) *N6/(N44 *$B$14)</f>
        <v>7150754.9951381851</v>
      </c>
      <c r="O82" s="63">
        <f>('Prediction Results (Transposed)'!M$3*$B$5*$B$8 + 'Prediction Results (Transposed)'!M$4*$B$6*$B$9+ 'Prediction Results (Transposed)'!M$5*$B$7*$B$10) *(O25*O63) *O6/(O44 *$B$14)</f>
        <v>1152020.2267727256</v>
      </c>
      <c r="P82" s="63">
        <f>('Prediction Results (Transposed)'!N$3*$B$5*$B$8 + 'Prediction Results (Transposed)'!N$4*$B$6*$B$9+ 'Prediction Results (Transposed)'!N$5*$B$7*$B$10) *(P25*P63) *P6/(P44 *$B$14)</f>
        <v>3468303.1593577834</v>
      </c>
      <c r="Q82" s="63">
        <f>('Prediction Results (Transposed)'!O$3*$B$5*$B$8 + 'Prediction Results (Transposed)'!O$4*$B$6*$B$9+ 'Prediction Results (Transposed)'!O$5*$B$7*$B$10) *(Q25*Q63) *Q6/(Q44 *$B$14)</f>
        <v>3002097.0713406405</v>
      </c>
      <c r="S82" s="38">
        <v>2022</v>
      </c>
      <c r="T82" s="63">
        <f>('Prediction Results (Transposed)'!J$3*$B$5*$B$8 + 'Prediction Results (Transposed)'!J$4*$B$6*$B$9+ 'Prediction Results (Transposed)'!J$5*$B$7*$B$10) *(T25*T63) *T6/(T44 *$B$14)</f>
        <v>149370804.1300979</v>
      </c>
      <c r="U82" s="63">
        <f>('Prediction Results (Transposed)'!K$3*$B$5*$B$8 + 'Prediction Results (Transposed)'!K$4*$B$6*$B$9+ 'Prediction Results (Transposed)'!K$5*$B$7*$B$10) *(U25*U63) *U6/(U44 *$B$14)</f>
        <v>160954888.74060082</v>
      </c>
      <c r="V82" s="63">
        <f>('Prediction Results (Transposed)'!L$3*$B$5*$B$8 + 'Prediction Results (Transposed)'!L$4*$B$6*$B$9+ 'Prediction Results (Transposed)'!L$5*$B$7*$B$10) *(V25*V63) *V6/(V44 *$B$14)</f>
        <v>7267113.9446378667</v>
      </c>
      <c r="W82" s="63">
        <f>('Prediction Results (Transposed)'!M$3*$B$5*$B$8 + 'Prediction Results (Transposed)'!M$4*$B$6*$B$9+ 'Prediction Results (Transposed)'!M$5*$B$7*$B$10) *(W25*W63) *W6/(W44 *$B$14)</f>
        <v>1170808.6498458337</v>
      </c>
      <c r="X82" s="63">
        <f>('Prediction Results (Transposed)'!N$3*$B$5*$B$8 + 'Prediction Results (Transposed)'!N$4*$B$6*$B$9+ 'Prediction Results (Transposed)'!N$5*$B$7*$B$10) *(X25*X63) *X6/(X44 *$B$14)</f>
        <v>3524755.3881991138</v>
      </c>
      <c r="Y82" s="63">
        <f>('Prediction Results (Transposed)'!O$3*$B$5*$B$8 + 'Prediction Results (Transposed)'!O$4*$B$6*$B$9+ 'Prediction Results (Transposed)'!O$5*$B$7*$B$10) *(Y25*Y63) *Y6/(Y44 *$B$14)</f>
        <v>3051014.2358603943</v>
      </c>
      <c r="AA82" s="38">
        <v>2022</v>
      </c>
      <c r="AB82" s="63">
        <f>('Prediction Results (Transposed)'!J$3*$B$5*$B$8 + 'Prediction Results (Transposed)'!J$4*$B$6*$B$9+ 'Prediction Results (Transposed)'!J$5*$B$7*$B$10) *(AB25*AB63) *AB6/(AB44 *$B$14)</f>
        <v>149360572.35762632</v>
      </c>
      <c r="AC82" s="63">
        <f>('Prediction Results (Transposed)'!K$3*$B$5*$B$8 + 'Prediction Results (Transposed)'!K$4*$B$6*$B$9+ 'Prediction Results (Transposed)'!K$5*$B$7*$B$10) *(AC25*AC63) *AC6/(AC44 *$B$14)</f>
        <v>160943863.46822992</v>
      </c>
      <c r="AD82" s="63">
        <f>('Prediction Results (Transposed)'!L$3*$B$5*$B$8 + 'Prediction Results (Transposed)'!L$4*$B$6*$B$9+ 'Prediction Results (Transposed)'!L$5*$B$7*$B$10) *(AD25*AD63) *AD6/(AD44 *$B$14)</f>
        <v>7266707.1250025714</v>
      </c>
      <c r="AE82" s="63">
        <f>('Prediction Results (Transposed)'!M$3*$B$5*$B$8 + 'Prediction Results (Transposed)'!M$4*$B$6*$B$9+ 'Prediction Results (Transposed)'!M$5*$B$7*$B$10) *(AE25*AE63) *AE6/(AE44 *$B$14)</f>
        <v>1170660.7678578713</v>
      </c>
      <c r="AF82" s="63">
        <f>('Prediction Results (Transposed)'!N$3*$B$5*$B$8 + 'Prediction Results (Transposed)'!N$4*$B$6*$B$9+ 'Prediction Results (Transposed)'!N$5*$B$7*$B$10) *(AF25*AF63) *AF6/(AF44 *$B$14)</f>
        <v>3524528.788344705</v>
      </c>
      <c r="AG82" s="63">
        <f>('Prediction Results (Transposed)'!O$3*$B$5*$B$8 + 'Prediction Results (Transposed)'!O$4*$B$6*$B$9+ 'Prediction Results (Transposed)'!O$5*$B$7*$B$10) *(AG25*AG63) *AG6/(AG44 *$B$14)</f>
        <v>3050714.9167493219</v>
      </c>
    </row>
    <row r="83" spans="1:33">
      <c r="A83" s="599"/>
      <c r="B83" s="600"/>
      <c r="C83" s="38">
        <v>2023</v>
      </c>
      <c r="D83" s="63">
        <f>('Prediction Results (Transposed)'!J$3*$B$5*$B$8 + 'Prediction Results (Transposed)'!J$4*$B$6*$B$9+ 'Prediction Results (Transposed)'!J$5*$B$7*$B$10) *(D26*D64) *D7/(D45 *$B$14)</f>
        <v>154972957.77098995</v>
      </c>
      <c r="E83" s="63">
        <f>('Prediction Results (Transposed)'!K$3*$B$5*$B$8 + 'Prediction Results (Transposed)'!K$4*$B$6*$B$9+ 'Prediction Results (Transposed)'!K$5*$B$7*$B$10) *(E26*E64) *E7/(E45 *$B$14)</f>
        <v>166782502.97108546</v>
      </c>
      <c r="F83" s="63">
        <f>('Prediction Results (Transposed)'!L$3*$B$5*$B$8 + 'Prediction Results (Transposed)'!L$4*$B$6*$B$9+ 'Prediction Results (Transposed)'!L$5*$B$7*$B$10) *(F26*F64) *F7/(F45 *$B$14)</f>
        <v>7565340.9917815551</v>
      </c>
      <c r="G83" s="63">
        <f>('Prediction Results (Transposed)'!M$3*$B$5*$B$8 + 'Prediction Results (Transposed)'!M$4*$B$6*$B$9+ 'Prediction Results (Transposed)'!M$5*$B$7*$B$10) *(G26*G64) *G7/(G45 *$B$14)</f>
        <v>1220805.9944426469</v>
      </c>
      <c r="H83" s="63">
        <f>('Prediction Results (Transposed)'!N$3*$B$5*$B$8 + 'Prediction Results (Transposed)'!N$4*$B$6*$B$9+ 'Prediction Results (Transposed)'!N$5*$B$7*$B$10) *(H26*H64) *H7/(H45 *$B$14)</f>
        <v>3669443.2262185444</v>
      </c>
      <c r="I83" s="63">
        <f>('Prediction Results (Transposed)'!O$3*$B$5*$B$8 + 'Prediction Results (Transposed)'!O$4*$B$6*$B$9+ 'Prediction Results (Transposed)'!O$5*$B$7*$B$10) *(I26*I64) *I7/(I45 *$B$14)</f>
        <v>3179415.6685999711</v>
      </c>
      <c r="K83" s="38">
        <v>2023</v>
      </c>
      <c r="L83" s="63">
        <f>('Prediction Results (Transposed)'!J$3*$B$5*$B$8 + 'Prediction Results (Transposed)'!J$4*$B$6*$B$9+ 'Prediction Results (Transposed)'!J$5*$B$7*$B$10) *(L26*L64) *L7/(L45 *$B$14)</f>
        <v>157255919.83936942</v>
      </c>
      <c r="M83" s="63">
        <f>('Prediction Results (Transposed)'!K$3*$B$5*$B$8 + 'Prediction Results (Transposed)'!K$4*$B$6*$B$9+ 'Prediction Results (Transposed)'!K$5*$B$7*$B$10) *(M26*M64) *M7/(M45 *$B$14)</f>
        <v>169239435.67359626</v>
      </c>
      <c r="N83" s="63">
        <f>('Prediction Results (Transposed)'!L$3*$B$5*$B$8 + 'Prediction Results (Transposed)'!L$4*$B$6*$B$9+ 'Prediction Results (Transposed)'!L$5*$B$7*$B$10) *(N26*N64) *N7/(N45 *$B$14)</f>
        <v>7676660.3403157862</v>
      </c>
      <c r="O83" s="63">
        <f>('Prediction Results (Transposed)'!M$3*$B$5*$B$8 + 'Prediction Results (Transposed)'!M$4*$B$6*$B$9+ 'Prediction Results (Transposed)'!M$5*$B$7*$B$10) *(O26*O64) *O7/(O45 *$B$14)</f>
        <v>1238889.8869000671</v>
      </c>
      <c r="P83" s="63">
        <f>('Prediction Results (Transposed)'!N$3*$B$5*$B$8 + 'Prediction Results (Transposed)'!N$4*$B$6*$B$9+ 'Prediction Results (Transposed)'!N$5*$B$7*$B$10) *(P26*P64) *P7/(P45 *$B$14)</f>
        <v>3723459.9520527599</v>
      </c>
      <c r="Q83" s="63">
        <f>('Prediction Results (Transposed)'!O$3*$B$5*$B$8 + 'Prediction Results (Transposed)'!O$4*$B$6*$B$9+ 'Prediction Results (Transposed)'!O$5*$B$7*$B$10) *(Q26*Q64) *Q7/(Q45 *$B$14)</f>
        <v>3226408.6531900861</v>
      </c>
      <c r="S83" s="38">
        <v>2023</v>
      </c>
      <c r="T83" s="63">
        <f>('Prediction Results (Transposed)'!J$3*$B$5*$B$8 + 'Prediction Results (Transposed)'!J$4*$B$6*$B$9+ 'Prediction Results (Transposed)'!J$5*$B$7*$B$10) *(T26*T64) *T7/(T45 *$B$14)</f>
        <v>161082087.97680315</v>
      </c>
      <c r="U83" s="63">
        <f>('Prediction Results (Transposed)'!K$3*$B$5*$B$8 + 'Prediction Results (Transposed)'!K$4*$B$6*$B$9+ 'Prediction Results (Transposed)'!K$5*$B$7*$B$10) *(U26*U64) *U7/(U45 *$B$14)</f>
        <v>173357172.78030112</v>
      </c>
      <c r="V83" s="63">
        <f>('Prediction Results (Transposed)'!L$3*$B$5*$B$8 + 'Prediction Results (Transposed)'!L$4*$B$6*$B$9+ 'Prediction Results (Transposed)'!L$5*$B$7*$B$10) *(V26*V64) *V7/(V45 *$B$14)</f>
        <v>7863315.8166918773</v>
      </c>
      <c r="W83" s="63">
        <f>('Prediction Results (Transposed)'!M$3*$B$5*$B$8 + 'Prediction Results (Transposed)'!M$4*$B$6*$B$9+ 'Prediction Results (Transposed)'!M$5*$B$7*$B$10) *(W26*W64) *W7/(W45 *$B$14)</f>
        <v>1269129.5903606864</v>
      </c>
      <c r="X83" s="63">
        <f>('Prediction Results (Transposed)'!N$3*$B$5*$B$8 + 'Prediction Results (Transposed)'!N$4*$B$6*$B$9+ 'Prediction Results (Transposed)'!N$5*$B$7*$B$10) *(X26*X64) *X7/(X45 *$B$14)</f>
        <v>3814016.7689800598</v>
      </c>
      <c r="Y83" s="63">
        <f>('Prediction Results (Transposed)'!O$3*$B$5*$B$8 + 'Prediction Results (Transposed)'!O$4*$B$6*$B$9+ 'Prediction Results (Transposed)'!O$5*$B$7*$B$10) *(Y26*Y64) *Y7/(Y45 *$B$14)</f>
        <v>3305060.9003499225</v>
      </c>
      <c r="AA83" s="38">
        <v>2023</v>
      </c>
      <c r="AB83" s="63">
        <f>('Prediction Results (Transposed)'!J$3*$B$5*$B$8 + 'Prediction Results (Transposed)'!J$4*$B$6*$B$9+ 'Prediction Results (Transposed)'!J$5*$B$7*$B$10) *(AB26*AB64) *AB7/(AB45 *$B$14)</f>
        <v>161067692.07398292</v>
      </c>
      <c r="AC83" s="63">
        <f>('Prediction Results (Transposed)'!K$3*$B$5*$B$8 + 'Prediction Results (Transposed)'!K$4*$B$6*$B$9+ 'Prediction Results (Transposed)'!K$5*$B$7*$B$10) *(AC26*AC64) *AC7/(AC45 *$B$14)</f>
        <v>173341679.85340965</v>
      </c>
      <c r="AD83" s="63">
        <f>('Prediction Results (Transposed)'!L$3*$B$5*$B$8 + 'Prediction Results (Transposed)'!L$4*$B$6*$B$9+ 'Prediction Results (Transposed)'!L$5*$B$7*$B$10) *(AD26*AD64) *AD7/(AD45 *$B$14)</f>
        <v>7862851.7972449688</v>
      </c>
      <c r="AE83" s="63">
        <f>('Prediction Results (Transposed)'!M$3*$B$5*$B$8 + 'Prediction Results (Transposed)'!M$4*$B$6*$B$9+ 'Prediction Results (Transposed)'!M$5*$B$7*$B$10) *(AE26*AE64) *AE7/(AE45 *$B$14)</f>
        <v>1268830.6217212325</v>
      </c>
      <c r="AF83" s="63">
        <f>('Prediction Results (Transposed)'!N$3*$B$5*$B$8 + 'Prediction Results (Transposed)'!N$4*$B$6*$B$9+ 'Prediction Results (Transposed)'!N$5*$B$7*$B$10) *(AF26*AF64) *AF7/(AF45 *$B$14)</f>
        <v>3813748.9618350165</v>
      </c>
      <c r="AG83" s="63">
        <f>('Prediction Results (Transposed)'!O$3*$B$5*$B$8 + 'Prediction Results (Transposed)'!O$4*$B$6*$B$9+ 'Prediction Results (Transposed)'!O$5*$B$7*$B$10) *(AG26*AG64) *AG7/(AG45 *$B$14)</f>
        <v>3304475.3156091282</v>
      </c>
    </row>
    <row r="84" spans="1:33">
      <c r="A84" s="599"/>
      <c r="B84" s="600"/>
      <c r="C84" s="38">
        <v>2024</v>
      </c>
      <c r="D84" s="63">
        <f>('Prediction Results (Transposed)'!J$3*$B$5*$B$8 + 'Prediction Results (Transposed)'!J$4*$B$6*$B$9+ 'Prediction Results (Transposed)'!J$5*$B$7*$B$10) *(D27*D65) *D8/(D46 *$B$14)</f>
        <v>164990152.1534057</v>
      </c>
      <c r="E84" s="63">
        <f>('Prediction Results (Transposed)'!K$3*$B$5*$B$8 + 'Prediction Results (Transposed)'!K$4*$B$6*$B$9+ 'Prediction Results (Transposed)'!K$5*$B$7*$B$10) *(E27*E65) *E8/(E46 *$B$14)</f>
        <v>177340815.12660328</v>
      </c>
      <c r="F84" s="63">
        <f>('Prediction Results (Transposed)'!L$3*$B$5*$B$8 + 'Prediction Results (Transposed)'!L$4*$B$6*$B$9+ 'Prediction Results (Transposed)'!L$5*$B$7*$B$10) *(F27*F65) *F8/(F46 *$B$14)</f>
        <v>8082323.9798336597</v>
      </c>
      <c r="G84" s="63">
        <f>('Prediction Results (Transposed)'!M$3*$B$5*$B$8 + 'Prediction Results (Transposed)'!M$4*$B$6*$B$9+ 'Prediction Results (Transposed)'!M$5*$B$7*$B$10) *(G27*G65) *G8/(G46 *$B$14)</f>
        <v>1305858.9938795846</v>
      </c>
      <c r="H84" s="63">
        <f>('Prediction Results (Transposed)'!N$3*$B$5*$B$8 + 'Prediction Results (Transposed)'!N$4*$B$6*$B$9+ 'Prediction Results (Transposed)'!N$5*$B$7*$B$10) *(H27*H65) *H8/(H46 *$B$14)</f>
        <v>3919542.0721032228</v>
      </c>
      <c r="I84" s="63">
        <f>('Prediction Results (Transposed)'!O$3*$B$5*$B$8 + 'Prediction Results (Transposed)'!O$4*$B$6*$B$9+ 'Prediction Results (Transposed)'!O$5*$B$7*$B$10) *(I27*I65) *I8/(I46 *$B$14)</f>
        <v>3399973.29827384</v>
      </c>
      <c r="K84" s="38">
        <v>2024</v>
      </c>
      <c r="L84" s="63">
        <f>('Prediction Results (Transposed)'!J$3*$B$5*$B$8 + 'Prediction Results (Transposed)'!J$4*$B$6*$B$9+ 'Prediction Results (Transposed)'!J$5*$B$7*$B$10) *(L27*L65) *L8/(L46 *$B$14)</f>
        <v>168213537.37260151</v>
      </c>
      <c r="M84" s="63">
        <f>('Prediction Results (Transposed)'!K$3*$B$5*$B$8 + 'Prediction Results (Transposed)'!K$4*$B$6*$B$9+ 'Prediction Results (Transposed)'!K$5*$B$7*$B$10) *(M27*M65) *M8/(M46 *$B$14)</f>
        <v>180805493.19846627</v>
      </c>
      <c r="N84" s="63">
        <f>('Prediction Results (Transposed)'!L$3*$B$5*$B$8 + 'Prediction Results (Transposed)'!L$4*$B$6*$B$9+ 'Prediction Results (Transposed)'!L$5*$B$7*$B$10) *(N27*N65) *N8/(N46 *$B$14)</f>
        <v>8240011.6769945156</v>
      </c>
      <c r="O84" s="63">
        <f>('Prediction Results (Transposed)'!M$3*$B$5*$B$8 + 'Prediction Results (Transposed)'!M$4*$B$6*$B$9+ 'Prediction Results (Transposed)'!M$5*$B$7*$B$10) *(O27*O65) *O8/(O46 *$B$14)</f>
        <v>1331548.4993249089</v>
      </c>
      <c r="P84" s="63">
        <f>('Prediction Results (Transposed)'!N$3*$B$5*$B$8 + 'Prediction Results (Transposed)'!N$4*$B$6*$B$9+ 'Prediction Results (Transposed)'!N$5*$B$7*$B$10) *(P27*P65) *P8/(P46 *$B$14)</f>
        <v>3996009.6332240985</v>
      </c>
      <c r="Q84" s="63">
        <f>('Prediction Results (Transposed)'!O$3*$B$5*$B$8 + 'Prediction Results (Transposed)'!O$4*$B$6*$B$9+ 'Prediction Results (Transposed)'!O$5*$B$7*$B$10) *(Q27*Q65) *Q8/(Q46 *$B$14)</f>
        <v>3466725.0505775474</v>
      </c>
      <c r="S84" s="38">
        <v>2024</v>
      </c>
      <c r="T84" s="63">
        <f>('Prediction Results (Transposed)'!J$3*$B$5*$B$8 + 'Prediction Results (Transposed)'!J$4*$B$6*$B$9+ 'Prediction Results (Transposed)'!J$5*$B$7*$B$10) *(T27*T65) *T8/(T46 *$B$14)</f>
        <v>173654391.09360704</v>
      </c>
      <c r="U84" s="63">
        <f>('Prediction Results (Transposed)'!K$3*$B$5*$B$8 + 'Prediction Results (Transposed)'!K$4*$B$6*$B$9+ 'Prediction Results (Transposed)'!K$5*$B$7*$B$10) *(U27*U65) *U8/(U46 *$B$14)</f>
        <v>186653632.74664122</v>
      </c>
      <c r="V84" s="63">
        <f>('Prediction Results (Transposed)'!L$3*$B$5*$B$8 + 'Prediction Results (Transposed)'!L$4*$B$6*$B$9+ 'Prediction Results (Transposed)'!L$5*$B$7*$B$10) *(V27*V65) *V8/(V46 *$B$14)</f>
        <v>8506321.3276435565</v>
      </c>
      <c r="W84" s="63">
        <f>('Prediction Results (Transposed)'!M$3*$B$5*$B$8 + 'Prediction Results (Transposed)'!M$4*$B$6*$B$9+ 'Prediction Results (Transposed)'!M$5*$B$7*$B$10) *(W27*W65) *W8/(W46 *$B$14)</f>
        <v>1374792.8094869719</v>
      </c>
      <c r="X84" s="63">
        <f>('Prediction Results (Transposed)'!N$3*$B$5*$B$8 + 'Prediction Results (Transposed)'!N$4*$B$6*$B$9+ 'Prediction Results (Transposed)'!N$5*$B$7*$B$10) *(X27*X65) *X8/(X46 *$B$14)</f>
        <v>4125152.1651291652</v>
      </c>
      <c r="Y84" s="63">
        <f>('Prediction Results (Transposed)'!O$3*$B$5*$B$8 + 'Prediction Results (Transposed)'!O$4*$B$6*$B$9+ 'Prediction Results (Transposed)'!O$5*$B$7*$B$10) *(Y27*Y65) *Y8/(Y46 *$B$14)</f>
        <v>3579181.5638611098</v>
      </c>
      <c r="AA84" s="38">
        <v>2024</v>
      </c>
      <c r="AB84" s="63">
        <f>('Prediction Results (Transposed)'!J$3*$B$5*$B$8 + 'Prediction Results (Transposed)'!J$4*$B$6*$B$9+ 'Prediction Results (Transposed)'!J$5*$B$7*$B$10) *(AB27*AB65) *AB8/(AB46 *$B$14)</f>
        <v>173635620.1547575</v>
      </c>
      <c r="AC84" s="63">
        <f>('Prediction Results (Transposed)'!K$3*$B$5*$B$8 + 'Prediction Results (Transposed)'!K$4*$B$6*$B$9+ 'Prediction Results (Transposed)'!K$5*$B$7*$B$10) *(AC27*AC65) *AC8/(AC46 *$B$14)</f>
        <v>186633456.67217347</v>
      </c>
      <c r="AD84" s="63">
        <f>('Prediction Results (Transposed)'!L$3*$B$5*$B$8 + 'Prediction Results (Transposed)'!L$4*$B$6*$B$9+ 'Prediction Results (Transposed)'!L$5*$B$7*$B$10) *(AD27*AD65) *AD8/(AD46 *$B$14)</f>
        <v>8505808.6534428447</v>
      </c>
      <c r="AE84" s="63">
        <f>('Prediction Results (Transposed)'!M$3*$B$5*$B$8 + 'Prediction Results (Transposed)'!M$4*$B$6*$B$9+ 'Prediction Results (Transposed)'!M$5*$B$7*$B$10) *(AE27*AE65) *AE8/(AE46 *$B$14)</f>
        <v>1374309.1593054808</v>
      </c>
      <c r="AF84" s="63">
        <f>('Prediction Results (Transposed)'!N$3*$B$5*$B$8 + 'Prediction Results (Transposed)'!N$4*$B$6*$B$9+ 'Prediction Results (Transposed)'!N$5*$B$7*$B$10) *(AF27*AF65) *AF8/(AF46 *$B$14)</f>
        <v>4124911.592895417</v>
      </c>
      <c r="AG84" s="63">
        <f>('Prediction Results (Transposed)'!O$3*$B$5*$B$8 + 'Prediction Results (Transposed)'!O$4*$B$6*$B$9+ 'Prediction Results (Transposed)'!O$5*$B$7*$B$10) *(AG27*AG65) *AG8/(AG46 *$B$14)</f>
        <v>3578174.4511379711</v>
      </c>
    </row>
    <row r="85" spans="1:33">
      <c r="A85" s="599"/>
      <c r="B85" s="600"/>
      <c r="C85" s="38">
        <v>2025</v>
      </c>
      <c r="D85" s="63">
        <f>('Prediction Results (Transposed)'!J$3*$B$5*$B$8 + 'Prediction Results (Transposed)'!J$4*$B$6*$B$9+ 'Prediction Results (Transposed)'!J$5*$B$7*$B$10) *(D28*D66) *D9/(D47 *$B$14)</f>
        <v>175627065.78910038</v>
      </c>
      <c r="E85" s="63">
        <f>('Prediction Results (Transposed)'!K$3*$B$5*$B$8 + 'Prediction Results (Transposed)'!K$4*$B$6*$B$9+ 'Prediction Results (Transposed)'!K$5*$B$7*$B$10) *(E28*E66) *E9/(E47 *$B$14)</f>
        <v>188537713.09550285</v>
      </c>
      <c r="F85" s="63">
        <f>('Prediction Results (Transposed)'!L$3*$B$5*$B$8 + 'Prediction Results (Transposed)'!L$4*$B$6*$B$9+ 'Prediction Results (Transposed)'!L$5*$B$7*$B$10) *(F28*F66) *F9/(F47 *$B$14)</f>
        <v>8633887.6635593642</v>
      </c>
      <c r="G85" s="63">
        <f>('Prediction Results (Transposed)'!M$3*$B$5*$B$8 + 'Prediction Results (Transposed)'!M$4*$B$6*$B$9+ 'Prediction Results (Transposed)'!M$5*$B$7*$B$10) *(G28*G66) *G9/(G47 *$B$14)</f>
        <v>1396184.9956052464</v>
      </c>
      <c r="H85" s="63">
        <f>('Prediction Results (Transposed)'!N$3*$B$5*$B$8 + 'Prediction Results (Transposed)'!N$4*$B$6*$B$9+ 'Prediction Results (Transposed)'!N$5*$B$7*$B$10) *(H28*H66) *H9/(H47 *$B$14)</f>
        <v>4185622.975071704</v>
      </c>
      <c r="I85" s="63">
        <f>('Prediction Results (Transposed)'!O$3*$B$5*$B$8 + 'Prediction Results (Transposed)'!O$4*$B$6*$B$9+ 'Prediction Results (Transposed)'!O$5*$B$7*$B$10) *(I28*I66) *I9/(I47 *$B$14)</f>
        <v>3635244.2632959764</v>
      </c>
      <c r="K85" s="38">
        <v>2025</v>
      </c>
      <c r="L85" s="63">
        <f>('Prediction Results (Transposed)'!J$3*$B$5*$B$8 + 'Prediction Results (Transposed)'!J$4*$B$6*$B$9+ 'Prediction Results (Transposed)'!J$5*$B$7*$B$10) *(L28*L66) *L9/(L47 *$B$14)</f>
        <v>179900588.14473265</v>
      </c>
      <c r="M85" s="63">
        <f>('Prediction Results (Transposed)'!K$3*$B$5*$B$8 + 'Prediction Results (Transposed)'!K$4*$B$6*$B$9+ 'Prediction Results (Transposed)'!K$5*$B$7*$B$10) *(M28*M66) *M9/(M47 *$B$14)</f>
        <v>193125389.4207508</v>
      </c>
      <c r="N85" s="63">
        <f>('Prediction Results (Transposed)'!L$3*$B$5*$B$8 + 'Prediction Results (Transposed)'!L$4*$B$6*$B$9+ 'Prediction Results (Transposed)'!L$5*$B$7*$B$10) *(N28*N66) *N9/(N47 *$B$14)</f>
        <v>8843684.9486725628</v>
      </c>
      <c r="O85" s="63">
        <f>('Prediction Results (Transposed)'!M$3*$B$5*$B$8 + 'Prediction Results (Transposed)'!M$4*$B$6*$B$9+ 'Prediction Results (Transposed)'!M$5*$B$7*$B$10) *(O28*O66) *O9/(O47 *$B$14)</f>
        <v>1430416.899045289</v>
      </c>
      <c r="P85" s="63">
        <f>('Prediction Results (Transposed)'!N$3*$B$5*$B$8 + 'Prediction Results (Transposed)'!N$4*$B$6*$B$9+ 'Prediction Results (Transposed)'!N$5*$B$7*$B$10) *(P28*P66) *P9/(P47 *$B$14)</f>
        <v>4287242.1860809755</v>
      </c>
      <c r="Q85" s="63">
        <f>('Prediction Results (Transposed)'!O$3*$B$5*$B$8 + 'Prediction Results (Transposed)'!O$4*$B$6*$B$9+ 'Prediction Results (Transposed)'!O$5*$B$7*$B$10) *(Q28*Q66) *Q9/(Q47 *$B$14)</f>
        <v>3724271.5394518427</v>
      </c>
      <c r="S85" s="38">
        <v>2025</v>
      </c>
      <c r="T85" s="63">
        <f>('Prediction Results (Transposed)'!J$3*$B$5*$B$8 + 'Prediction Results (Transposed)'!J$4*$B$6*$B$9+ 'Prediction Results (Transposed)'!J$5*$B$7*$B$10) *(T28*T66) *T9/(T47 *$B$14)</f>
        <v>187150835.74474737</v>
      </c>
      <c r="U85" s="63">
        <f>('Prediction Results (Transposed)'!K$3*$B$5*$B$8 + 'Prediction Results (Transposed)'!K$4*$B$6*$B$9+ 'Prediction Results (Transposed)'!K$5*$B$7*$B$10) *(U28*U66) *U9/(U47 *$B$14)</f>
        <v>200908615.17665109</v>
      </c>
      <c r="V85" s="63">
        <f>('Prediction Results (Transposed)'!L$3*$B$5*$B$8 + 'Prediction Results (Transposed)'!L$4*$B$6*$B$9+ 'Prediction Results (Transposed)'!L$5*$B$7*$B$10) *(V28*V66) *V9/(V47 *$B$14)</f>
        <v>9199805.4255343899</v>
      </c>
      <c r="W85" s="63">
        <f>('Prediction Results (Transposed)'!M$3*$B$5*$B$8 + 'Prediction Results (Transposed)'!M$4*$B$6*$B$9+ 'Prediction Results (Transposed)'!M$5*$B$7*$B$10) *(W28*W66) *W9/(W47 *$B$14)</f>
        <v>1488326.3207479413</v>
      </c>
      <c r="X85" s="63">
        <f>('Prediction Results (Transposed)'!N$3*$B$5*$B$8 + 'Prediction Results (Transposed)'!N$4*$B$6*$B$9+ 'Prediction Results (Transposed)'!N$5*$B$7*$B$10) *(X28*X66) *X9/(X47 *$B$14)</f>
        <v>4459787.9133052398</v>
      </c>
      <c r="Y85" s="63">
        <f>('Prediction Results (Transposed)'!O$3*$B$5*$B$8 + 'Prediction Results (Transposed)'!O$4*$B$6*$B$9+ 'Prediction Results (Transposed)'!O$5*$B$7*$B$10) *(Y28*Y66) *Y9/(Y47 *$B$14)</f>
        <v>3874948.2209951947</v>
      </c>
      <c r="AA85" s="38">
        <v>2025</v>
      </c>
      <c r="AB85" s="63">
        <f>('Prediction Results (Transposed)'!J$3*$B$5*$B$8 + 'Prediction Results (Transposed)'!J$4*$B$6*$B$9+ 'Prediction Results (Transposed)'!J$5*$B$7*$B$10) *(AB28*AB66) *AB9/(AB47 *$B$14)</f>
        <v>187127457.39592662</v>
      </c>
      <c r="AC85" s="63">
        <f>('Prediction Results (Transposed)'!K$3*$B$5*$B$8 + 'Prediction Results (Transposed)'!K$4*$B$6*$B$9+ 'Prediction Results (Transposed)'!K$5*$B$7*$B$10) *(AC28*AC66) *AC9/(AC47 *$B$14)</f>
        <v>200883518.24524814</v>
      </c>
      <c r="AD85" s="63">
        <f>('Prediction Results (Transposed)'!L$3*$B$5*$B$8 + 'Prediction Results (Transposed)'!L$4*$B$6*$B$9+ 'Prediction Results (Transposed)'!L$5*$B$7*$B$10) *(AD28*AD66) *AD9/(AD47 *$B$14)</f>
        <v>9199212.5792062823</v>
      </c>
      <c r="AE85" s="63">
        <f>('Prediction Results (Transposed)'!M$3*$B$5*$B$8 + 'Prediction Results (Transposed)'!M$4*$B$6*$B$9+ 'Prediction Results (Transposed)'!M$5*$B$7*$B$10) *(AE28*AE66) *AE9/(AE47 *$B$14)</f>
        <v>1487643.8745245549</v>
      </c>
      <c r="AF85" s="63">
        <f>('Prediction Results (Transposed)'!N$3*$B$5*$B$8 + 'Prediction Results (Transposed)'!N$4*$B$6*$B$9+ 'Prediction Results (Transposed)'!N$5*$B$7*$B$10) *(AF28*AF66) *AF9/(AF47 *$B$14)</f>
        <v>4459675.5194914732</v>
      </c>
      <c r="AG85" s="63">
        <f>('Prediction Results (Transposed)'!O$3*$B$5*$B$8 + 'Prediction Results (Transposed)'!O$4*$B$6*$B$9+ 'Prediction Results (Transposed)'!O$5*$B$7*$B$10) *(AG28*AG66) *AG9/(AG47 *$B$14)</f>
        <v>3873361.7883163569</v>
      </c>
    </row>
    <row r="86" spans="1:33">
      <c r="A86" s="599"/>
      <c r="B86" s="600"/>
      <c r="C86" s="38">
        <v>2026</v>
      </c>
      <c r="D86" s="63">
        <f>('Prediction Results (Transposed)'!J$3*$B$5*$B$8 + 'Prediction Results (Transposed)'!J$4*$B$6*$B$9+ 'Prediction Results (Transposed)'!J$5*$B$7*$B$10) *(D29*D67) *D10/(D48 *$B$14)</f>
        <v>186924055.36338806</v>
      </c>
      <c r="E86" s="63">
        <f>('Prediction Results (Transposed)'!K$3*$B$5*$B$8 + 'Prediction Results (Transposed)'!K$4*$B$6*$B$9+ 'Prediction Results (Transposed)'!K$5*$B$7*$B$10) *(E29*E67) *E10/(E48 *$B$14)</f>
        <v>200414018.39342636</v>
      </c>
      <c r="F86" s="63">
        <f>('Prediction Results (Transposed)'!L$3*$B$5*$B$8 + 'Prediction Results (Transposed)'!L$4*$B$6*$B$9+ 'Prediction Results (Transposed)'!L$5*$B$7*$B$10) *(F29*F67) *F10/(F48 *$B$14)</f>
        <v>9222408.1592884827</v>
      </c>
      <c r="G86" s="63">
        <f>('Prediction Results (Transposed)'!M$3*$B$5*$B$8 + 'Prediction Results (Transposed)'!M$4*$B$6*$B$9+ 'Prediction Results (Transposed)'!M$5*$B$7*$B$10) *(G29*G67) *G10/(G48 *$B$14)</f>
        <v>1492139.2671418248</v>
      </c>
      <c r="H86" s="63">
        <f>('Prediction Results (Transposed)'!N$3*$B$5*$B$8 + 'Prediction Results (Transposed)'!N$4*$B$6*$B$9+ 'Prediction Results (Transposed)'!N$5*$B$7*$B$10) *(H29*H67) *H10/(H48 *$B$14)</f>
        <v>4468762.3457936095</v>
      </c>
      <c r="I86" s="63">
        <f>('Prediction Results (Transposed)'!O$3*$B$5*$B$8 + 'Prediction Results (Transposed)'!O$4*$B$6*$B$9+ 'Prediction Results (Transposed)'!O$5*$B$7*$B$10) *(I29*I67) *I10/(I48 *$B$14)</f>
        <v>3886242.0204566433</v>
      </c>
      <c r="K86" s="38">
        <v>2026</v>
      </c>
      <c r="L86" s="63">
        <f>('Prediction Results (Transposed)'!J$3*$B$5*$B$8 + 'Prediction Results (Transposed)'!J$4*$B$6*$B$9+ 'Prediction Results (Transposed)'!J$5*$B$7*$B$10) *(L29*L67) *L10/(L48 *$B$14)</f>
        <v>192363584.15410337</v>
      </c>
      <c r="M86" s="63">
        <f>('Prediction Results (Transposed)'!K$3*$B$5*$B$8 + 'Prediction Results (Transposed)'!K$4*$B$6*$B$9+ 'Prediction Results (Transposed)'!K$5*$B$7*$B$10) *(M29*M67) *M10/(M48 *$B$14)</f>
        <v>206246107.90697074</v>
      </c>
      <c r="N86" s="63">
        <f>('Prediction Results (Transposed)'!L$3*$B$5*$B$8 + 'Prediction Results (Transposed)'!L$4*$B$6*$B$9+ 'Prediction Results (Transposed)'!L$5*$B$7*$B$10) *(N29*N67) *N10/(N48 *$B$14)</f>
        <v>9490447.9350828286</v>
      </c>
      <c r="O86" s="63">
        <f>('Prediction Results (Transposed)'!M$3*$B$5*$B$8 + 'Prediction Results (Transposed)'!M$4*$B$6*$B$9+ 'Prediction Results (Transposed)'!M$5*$B$7*$B$10) *(O29*O67) *O10/(O48 *$B$14)</f>
        <v>1535894.5825981165</v>
      </c>
      <c r="P86" s="63">
        <f>('Prediction Results (Transposed)'!N$3*$B$5*$B$8 + 'Prediction Results (Transposed)'!N$4*$B$6*$B$9+ 'Prediction Results (Transposed)'!N$5*$B$7*$B$10) *(P29*P67) *P10/(P48 *$B$14)</f>
        <v>4598385.5743752392</v>
      </c>
      <c r="Q86" s="63">
        <f>('Prediction Results (Transposed)'!O$3*$B$5*$B$8 + 'Prediction Results (Transposed)'!O$4*$B$6*$B$9+ 'Prediction Results (Transposed)'!O$5*$B$7*$B$10) *(Q29*Q67) *Q10/(Q48 *$B$14)</f>
        <v>4000229.1196315261</v>
      </c>
      <c r="S86" s="38">
        <v>2026</v>
      </c>
      <c r="T86" s="63">
        <f>('Prediction Results (Transposed)'!J$3*$B$5*$B$8 + 'Prediction Results (Transposed)'!J$4*$B$6*$B$9+ 'Prediction Results (Transposed)'!J$5*$B$7*$B$10) *(T29*T67) *T10/(T48 *$B$14)</f>
        <v>201635627.79531842</v>
      </c>
      <c r="U86" s="63">
        <f>('Prediction Results (Transposed)'!K$3*$B$5*$B$8 + 'Prediction Results (Transposed)'!K$4*$B$6*$B$9+ 'Prediction Results (Transposed)'!K$5*$B$7*$B$10) *(U29*U67) *U10/(U48 *$B$14)</f>
        <v>216187297.77278334</v>
      </c>
      <c r="V86" s="63">
        <f>('Prediction Results (Transposed)'!L$3*$B$5*$B$8 + 'Prediction Results (Transposed)'!L$4*$B$6*$B$9+ 'Prediction Results (Transposed)'!L$5*$B$7*$B$10) *(V29*V67) *V10/(V48 *$B$14)</f>
        <v>9947553.2360500284</v>
      </c>
      <c r="W86" s="63">
        <f>('Prediction Results (Transposed)'!M$3*$B$5*$B$8 + 'Prediction Results (Transposed)'!M$4*$B$6*$B$9+ 'Prediction Results (Transposed)'!M$5*$B$7*$B$10) *(W29*W67) *W10/(W48 *$B$14)</f>
        <v>1610269.1821883938</v>
      </c>
      <c r="X86" s="63">
        <f>('Prediction Results (Transposed)'!N$3*$B$5*$B$8 + 'Prediction Results (Transposed)'!N$4*$B$6*$B$9+ 'Prediction Results (Transposed)'!N$5*$B$7*$B$10) *(X29*X67) *X10/(X48 *$B$14)</f>
        <v>4819587.9881478734</v>
      </c>
      <c r="Y86" s="63">
        <f>('Prediction Results (Transposed)'!O$3*$B$5*$B$8 + 'Prediction Results (Transposed)'!O$4*$B$6*$B$9+ 'Prediction Results (Transposed)'!O$5*$B$7*$B$10) *(Y29*Y67) *Y10/(Y48 *$B$14)</f>
        <v>4193980.8529254994</v>
      </c>
      <c r="AA86" s="38">
        <v>2026</v>
      </c>
      <c r="AB86" s="63">
        <f>('Prediction Results (Transposed)'!J$3*$B$5*$B$8 + 'Prediction Results (Transposed)'!J$4*$B$6*$B$9+ 'Prediction Results (Transposed)'!J$5*$B$7*$B$10) *(AB29*AB67) *AB10/(AB48 *$B$14)</f>
        <v>201603748.66907704</v>
      </c>
      <c r="AC86" s="63">
        <f>('Prediction Results (Transposed)'!K$3*$B$5*$B$8 + 'Prediction Results (Transposed)'!K$4*$B$6*$B$9+ 'Prediction Results (Transposed)'!K$5*$B$7*$B$10) *(AC29*AC67) *AC10/(AC48 *$B$14)</f>
        <v>216153117.98901778</v>
      </c>
      <c r="AD86" s="63">
        <f>('Prediction Results (Transposed)'!L$3*$B$5*$B$8 + 'Prediction Results (Transposed)'!L$4*$B$6*$B$9+ 'Prediction Results (Transposed)'!L$5*$B$7*$B$10) *(AD29*AD67) *AD10/(AD48 *$B$14)</f>
        <v>9946626.5048126131</v>
      </c>
      <c r="AE86" s="63">
        <f>('Prediction Results (Transposed)'!M$3*$B$5*$B$8 + 'Prediction Results (Transposed)'!M$4*$B$6*$B$9+ 'Prediction Results (Transposed)'!M$5*$B$7*$B$10) *(AE29*AE67) *AE10/(AE48 *$B$14)</f>
        <v>1609365.4221101031</v>
      </c>
      <c r="AF86" s="63">
        <f>('Prediction Results (Transposed)'!N$3*$B$5*$B$8 + 'Prediction Results (Transposed)'!N$4*$B$6*$B$9+ 'Prediction Results (Transposed)'!N$5*$B$7*$B$10) *(AF29*AF67) *AF10/(AF48 *$B$14)</f>
        <v>4819652.6794288922</v>
      </c>
      <c r="AG86" s="63">
        <f>('Prediction Results (Transposed)'!O$3*$B$5*$B$8 + 'Prediction Results (Transposed)'!O$4*$B$6*$B$9+ 'Prediction Results (Transposed)'!O$5*$B$7*$B$10) *(AG29*AG67) *AG10/(AG48 *$B$14)</f>
        <v>4191557.5774095515</v>
      </c>
    </row>
    <row r="87" spans="1:33">
      <c r="A87" s="599"/>
      <c r="B87" s="600"/>
      <c r="C87" s="38">
        <v>2027</v>
      </c>
      <c r="D87" s="63">
        <f>('Prediction Results (Transposed)'!J$3*$B$5*$B$8 + 'Prediction Results (Transposed)'!J$4*$B$6*$B$9+ 'Prediction Results (Transposed)'!J$5*$B$7*$B$10) *(D30*D68) *D11/(D49 *$B$14)</f>
        <v>198916942.77165875</v>
      </c>
      <c r="E87" s="63">
        <f>('Prediction Results (Transposed)'!K$3*$B$5*$B$8 + 'Prediction Results (Transposed)'!K$4*$B$6*$B$9+ 'Prediction Results (Transposed)'!K$5*$B$7*$B$10) *(E30*E68) *E11/(E49 *$B$14)</f>
        <v>213005486.11590126</v>
      </c>
      <c r="F87" s="63">
        <f>('Prediction Results (Transposed)'!L$3*$B$5*$B$8 + 'Prediction Results (Transposed)'!L$4*$B$6*$B$9+ 'Prediction Results (Transposed)'!L$5*$B$7*$B$10) *(F30*F68) *F11/(F49 *$B$14)</f>
        <v>9850072.385907257</v>
      </c>
      <c r="G87" s="63">
        <f>('Prediction Results (Transposed)'!M$3*$B$5*$B$8 + 'Prediction Results (Transposed)'!M$4*$B$6*$B$9+ 'Prediction Results (Transposed)'!M$5*$B$7*$B$10) *(G30*G68) *G11/(G49 *$B$14)</f>
        <v>1594042.659680068</v>
      </c>
      <c r="H87" s="63">
        <f>('Prediction Results (Transposed)'!N$3*$B$5*$B$8 + 'Prediction Results (Transposed)'!N$4*$B$6*$B$9+ 'Prediction Results (Transposed)'!N$5*$B$7*$B$10) *(H30*H68) *H11/(H49 *$B$14)</f>
        <v>4769936.6467149267</v>
      </c>
      <c r="I87" s="63">
        <f>('Prediction Results (Transposed)'!O$3*$B$5*$B$8 + 'Prediction Results (Transposed)'!O$4*$B$6*$B$9+ 'Prediction Results (Transposed)'!O$5*$B$7*$B$10) *(I30*I68) *I11/(I49 *$B$14)</f>
        <v>4153900.6385308797</v>
      </c>
      <c r="K87" s="38">
        <v>2027</v>
      </c>
      <c r="L87" s="63">
        <f>('Prediction Results (Transposed)'!J$3*$B$5*$B$8 + 'Prediction Results (Transposed)'!J$4*$B$6*$B$9+ 'Prediction Results (Transposed)'!J$5*$B$7*$B$10) *(L30*L68) *L11/(L49 *$B$14)</f>
        <v>205644309.9207378</v>
      </c>
      <c r="M87" s="63">
        <f>('Prediction Results (Transposed)'!K$3*$B$5*$B$8 + 'Prediction Results (Transposed)'!K$4*$B$6*$B$9+ 'Prediction Results (Transposed)'!K$5*$B$7*$B$10) *(M30*M68) *M11/(M49 *$B$14)</f>
        <v>220209327.5278151</v>
      </c>
      <c r="N87" s="63">
        <f>('Prediction Results (Transposed)'!L$3*$B$5*$B$8 + 'Prediction Results (Transposed)'!L$4*$B$6*$B$9+ 'Prediction Results (Transposed)'!L$5*$B$7*$B$10) *(N30*N68) *N11/(N49 *$B$14)</f>
        <v>10182875.308803551</v>
      </c>
      <c r="O87" s="63">
        <f>('Prediction Results (Transposed)'!M$3*$B$5*$B$8 + 'Prediction Results (Transposed)'!M$4*$B$6*$B$9+ 'Prediction Results (Transposed)'!M$5*$B$7*$B$10) *(O30*O68) *O11/(O49 *$B$14)</f>
        <v>1648345.370295655</v>
      </c>
      <c r="P87" s="63">
        <f>('Prediction Results (Transposed)'!N$3*$B$5*$B$8 + 'Prediction Results (Transposed)'!N$4*$B$6*$B$9+ 'Prediction Results (Transposed)'!N$5*$B$7*$B$10) *(P30*P68) *P11/(P49 *$B$14)</f>
        <v>4930564.0141302347</v>
      </c>
      <c r="Q87" s="63">
        <f>('Prediction Results (Transposed)'!O$3*$B$5*$B$8 + 'Prediction Results (Transposed)'!O$4*$B$6*$B$9+ 'Prediction Results (Transposed)'!O$5*$B$7*$B$10) *(Q30*Q68) *Q11/(Q49 *$B$14)</f>
        <v>4295698.1439586645</v>
      </c>
      <c r="S87" s="38">
        <v>2027</v>
      </c>
      <c r="T87" s="63">
        <f>('Prediction Results (Transposed)'!J$3*$B$5*$B$8 + 'Prediction Results (Transposed)'!J$4*$B$6*$B$9+ 'Prediction Results (Transposed)'!J$5*$B$7*$B$10) *(T30*T68) *T11/(T49 *$B$14)</f>
        <v>217169370.13381663</v>
      </c>
      <c r="U87" s="63">
        <f>('Prediction Results (Transposed)'!K$3*$B$5*$B$8 + 'Prediction Results (Transposed)'!K$4*$B$6*$B$9+ 'Prediction Results (Transposed)'!K$5*$B$7*$B$10) *(U30*U68) *U11/(U49 *$B$14)</f>
        <v>232550664.66579789</v>
      </c>
      <c r="V87" s="63">
        <f>('Prediction Results (Transposed)'!L$3*$B$5*$B$8 + 'Prediction Results (Transposed)'!L$4*$B$6*$B$9+ 'Prediction Results (Transposed)'!L$5*$B$7*$B$10) *(V30*V68) *V11/(V49 *$B$14)</f>
        <v>10753229.993698427</v>
      </c>
      <c r="W87" s="63">
        <f>('Prediction Results (Transposed)'!M$3*$B$5*$B$8 + 'Prediction Results (Transposed)'!M$4*$B$6*$B$9+ 'Prediction Results (Transposed)'!M$5*$B$7*$B$10) *(W30*W68) *W11/(W49 *$B$14)</f>
        <v>1741133.6100453851</v>
      </c>
      <c r="X87" s="63">
        <f>('Prediction Results (Transposed)'!N$3*$B$5*$B$8 + 'Prediction Results (Transposed)'!N$4*$B$6*$B$9+ 'Prediction Results (Transposed)'!N$5*$B$7*$B$10) *(X30*X68) *X11/(X49 *$B$14)</f>
        <v>5206141.5041385442</v>
      </c>
      <c r="Y87" s="63">
        <f>('Prediction Results (Transposed)'!O$3*$B$5*$B$8 + 'Prediction Results (Transposed)'!O$4*$B$6*$B$9+ 'Prediction Results (Transposed)'!O$5*$B$7*$B$10) *(Y30*Y68) *Y11/(Y49 *$B$14)</f>
        <v>4537850.1227028053</v>
      </c>
      <c r="AA87" s="38">
        <v>2027</v>
      </c>
      <c r="AB87" s="63">
        <f>('Prediction Results (Transposed)'!J$3*$B$5*$B$8 + 'Prediction Results (Transposed)'!J$4*$B$6*$B$9+ 'Prediction Results (Transposed)'!J$5*$B$7*$B$10) *(AB30*AB68) *AB11/(AB49 *$B$14)</f>
        <v>217136134.55732366</v>
      </c>
      <c r="AC87" s="63">
        <f>('Prediction Results (Transposed)'!K$3*$B$5*$B$8 + 'Prediction Results (Transposed)'!K$4*$B$6*$B$9+ 'Prediction Results (Transposed)'!K$5*$B$7*$B$10) *(AC30*AC68) *AC11/(AC49 *$B$14)</f>
        <v>232515075.1376833</v>
      </c>
      <c r="AD87" s="63">
        <f>('Prediction Results (Transposed)'!L$3*$B$5*$B$8 + 'Prediction Results (Transposed)'!L$4*$B$6*$B$9+ 'Prediction Results (Transposed)'!L$5*$B$7*$B$10) *(AD30*AD68) *AD11/(AD49 *$B$14)</f>
        <v>10752215.936311254</v>
      </c>
      <c r="AE87" s="63">
        <f>('Prediction Results (Transposed)'!M$3*$B$5*$B$8 + 'Prediction Results (Transposed)'!M$4*$B$6*$B$9+ 'Prediction Results (Transposed)'!M$5*$B$7*$B$10) *(AE30*AE68) *AE11/(AE49 *$B$14)</f>
        <v>1740096.2271088997</v>
      </c>
      <c r="AF87" s="63">
        <f>('Prediction Results (Transposed)'!N$3*$B$5*$B$8 + 'Prediction Results (Transposed)'!N$4*$B$6*$B$9+ 'Prediction Results (Transposed)'!N$5*$B$7*$B$10) *(AF30*AF68) *AF11/(AF49 *$B$14)</f>
        <v>5206734.1426447509</v>
      </c>
      <c r="AG87" s="63">
        <f>('Prediction Results (Transposed)'!O$3*$B$5*$B$8 + 'Prediction Results (Transposed)'!O$4*$B$6*$B$9+ 'Prediction Results (Transposed)'!O$5*$B$7*$B$10) *(AG30*AG68) *AG11/(AG49 *$B$14)</f>
        <v>4534536.8252094314</v>
      </c>
    </row>
    <row r="88" spans="1:33">
      <c r="A88" s="599"/>
      <c r="B88" s="600"/>
      <c r="C88" s="38">
        <v>2028</v>
      </c>
      <c r="D88" s="63">
        <f>('Prediction Results (Transposed)'!J$3*$B$5*$B$8 + 'Prediction Results (Transposed)'!J$4*$B$6*$B$9+ 'Prediction Results (Transposed)'!J$5*$B$7*$B$10) *(D31*D69) *D12/(D50 *$B$14)</f>
        <v>211650842.25174016</v>
      </c>
      <c r="E88" s="63">
        <f>('Prediction Results (Transposed)'!K$3*$B$5*$B$8 + 'Prediction Results (Transposed)'!K$4*$B$6*$B$9+ 'Prediction Results (Transposed)'!K$5*$B$7*$B$10) *(E31*E69) *E12/(E50 *$B$14)</f>
        <v>226357623.9162294</v>
      </c>
      <c r="F88" s="63">
        <f>('Prediction Results (Transposed)'!L$3*$B$5*$B$8 + 'Prediction Results (Transposed)'!L$4*$B$6*$B$9+ 'Prediction Results (Transposed)'!L$5*$B$7*$B$10) *(F31*F69) *F12/(F50 *$B$14)</f>
        <v>10519561.538014919</v>
      </c>
      <c r="G88" s="63">
        <f>('Prediction Results (Transposed)'!M$3*$B$5*$B$8 + 'Prediction Results (Transposed)'!M$4*$B$6*$B$9+ 'Prediction Results (Transposed)'!M$5*$B$7*$B$10) *(G31*G69) *G12/(G50 *$B$14)</f>
        <v>1702291.9793455163</v>
      </c>
      <c r="H88" s="63">
        <f>('Prediction Results (Transposed)'!N$3*$B$5*$B$8 + 'Prediction Results (Transposed)'!N$4*$B$6*$B$9+ 'Prediction Results (Transposed)'!N$5*$B$7*$B$10) *(H31*H69) *H12/(H50 *$B$14)</f>
        <v>5090353.1478026984</v>
      </c>
      <c r="I88" s="63">
        <f>('Prediction Results (Transposed)'!O$3*$B$5*$B$8 + 'Prediction Results (Transposed)'!O$4*$B$6*$B$9+ 'Prediction Results (Transposed)'!O$5*$B$7*$B$10) *(I31*I69) *I12/(I50 *$B$14)</f>
        <v>4439362.7527171737</v>
      </c>
      <c r="K88" s="38">
        <v>2028</v>
      </c>
      <c r="L88" s="63">
        <f>('Prediction Results (Transposed)'!J$3*$B$5*$B$8 + 'Prediction Results (Transposed)'!J$4*$B$6*$B$9+ 'Prediction Results (Transposed)'!J$5*$B$7*$B$10) *(L31*L69) *L12/(L50 *$B$14)</f>
        <v>219801862.35740089</v>
      </c>
      <c r="M88" s="63">
        <f>('Prediction Results (Transposed)'!K$3*$B$5*$B$8 + 'Prediction Results (Transposed)'!K$4*$B$6*$B$9+ 'Prediction Results (Transposed)'!K$5*$B$7*$B$10) *(M31*M69) *M12/(M50 *$B$14)</f>
        <v>235075026.23781469</v>
      </c>
      <c r="N88" s="63">
        <f>('Prediction Results (Transposed)'!L$3*$B$5*$B$8 + 'Prediction Results (Transposed)'!L$4*$B$6*$B$9+ 'Prediction Results (Transposed)'!L$5*$B$7*$B$10) *(N31*N69) *N12/(N50 *$B$14)</f>
        <v>10924440.307671307</v>
      </c>
      <c r="O88" s="63">
        <f>('Prediction Results (Transposed)'!M$3*$B$5*$B$8 + 'Prediction Results (Transposed)'!M$4*$B$6*$B$9+ 'Prediction Results (Transposed)'!M$5*$B$7*$B$10) *(O31*O69) *O12/(O50 *$B$14)</f>
        <v>1768273.7301282005</v>
      </c>
      <c r="P88" s="63">
        <f>('Prediction Results (Transposed)'!N$3*$B$5*$B$8 + 'Prediction Results (Transposed)'!N$4*$B$6*$B$9+ 'Prediction Results (Transposed)'!N$5*$B$7*$B$10) *(P31*P69) *P12/(P50 *$B$14)</f>
        <v>5285325.9893262843</v>
      </c>
      <c r="Q88" s="63">
        <f>('Prediction Results (Transposed)'!O$3*$B$5*$B$8 + 'Prediction Results (Transposed)'!O$4*$B$6*$B$9+ 'Prediction Results (Transposed)'!O$5*$B$7*$B$10) *(Q31*Q69) *Q12/(Q50 *$B$14)</f>
        <v>4612158.6115527023</v>
      </c>
      <c r="S88" s="38">
        <v>2028</v>
      </c>
      <c r="T88" s="63">
        <f>('Prediction Results (Transposed)'!J$3*$B$5*$B$8 + 'Prediction Results (Transposed)'!J$4*$B$6*$B$9+ 'Prediction Results (Transposed)'!J$5*$B$7*$B$10) *(T31*T69) *T12/(T50 *$B$14)</f>
        <v>233831876.14757165</v>
      </c>
      <c r="U88" s="63">
        <f>('Prediction Results (Transposed)'!K$3*$B$5*$B$8 + 'Prediction Results (Transposed)'!K$4*$B$6*$B$9+ 'Prediction Results (Transposed)'!K$5*$B$7*$B$10) *(U31*U69) *U12/(U50 *$B$14)</f>
        <v>250079930.31127748</v>
      </c>
      <c r="V88" s="63">
        <f>('Prediction Results (Transposed)'!L$3*$B$5*$B$8 + 'Prediction Results (Transposed)'!L$4*$B$6*$B$9+ 'Prediction Results (Transposed)'!L$5*$B$7*$B$10) *(V31*V69) *V12/(V50 *$B$14)</f>
        <v>11621512.443180811</v>
      </c>
      <c r="W88" s="63">
        <f>('Prediction Results (Transposed)'!M$3*$B$5*$B$8 + 'Prediction Results (Transposed)'!M$4*$B$6*$B$9+ 'Prediction Results (Transposed)'!M$5*$B$7*$B$10) *(W31*W69) *W12/(W50 *$B$14)</f>
        <v>1881587.6077998001</v>
      </c>
      <c r="X88" s="63">
        <f>('Prediction Results (Transposed)'!N$3*$B$5*$B$8 + 'Prediction Results (Transposed)'!N$4*$B$6*$B$9+ 'Prediction Results (Transposed)'!N$5*$B$7*$B$10) *(X31*X69) *X12/(X50 *$B$14)</f>
        <v>5621509.48450193</v>
      </c>
      <c r="Y88" s="63">
        <f>('Prediction Results (Transposed)'!O$3*$B$5*$B$8 + 'Prediction Results (Transposed)'!O$4*$B$6*$B$9+ 'Prediction Results (Transposed)'!O$5*$B$7*$B$10) *(Y31*Y69) *Y12/(Y50 *$B$14)</f>
        <v>4908554.6113579953</v>
      </c>
      <c r="AA88" s="38">
        <v>2028</v>
      </c>
      <c r="AB88" s="63">
        <f>('Prediction Results (Transposed)'!J$3*$B$5*$B$8 + 'Prediction Results (Transposed)'!J$4*$B$6*$B$9+ 'Prediction Results (Transposed)'!J$5*$B$7*$B$10) *(AB31*AB69) *AB12/(AB50 *$B$14)</f>
        <v>233793405.57854655</v>
      </c>
      <c r="AC88" s="63">
        <f>('Prediction Results (Transposed)'!K$3*$B$5*$B$8 + 'Prediction Results (Transposed)'!K$4*$B$6*$B$9+ 'Prediction Results (Transposed)'!K$5*$B$7*$B$10) *(AC31*AC69) *AC12/(AC50 *$B$14)</f>
        <v>250038786.57425007</v>
      </c>
      <c r="AD88" s="63">
        <f>('Prediction Results (Transposed)'!L$3*$B$5*$B$8 + 'Prediction Results (Transposed)'!L$4*$B$6*$B$9+ 'Prediction Results (Transposed)'!L$5*$B$7*$B$10) *(AD31*AD69) *AD12/(AD50 *$B$14)</f>
        <v>11620066.640674064</v>
      </c>
      <c r="AE88" s="63">
        <f>('Prediction Results (Transposed)'!M$3*$B$5*$B$8 + 'Prediction Results (Transposed)'!M$4*$B$6*$B$9+ 'Prediction Results (Transposed)'!M$5*$B$7*$B$10) *(AE31*AE69) *AE12/(AE50 *$B$14)</f>
        <v>1880439.6734537215</v>
      </c>
      <c r="AF88" s="63">
        <f>('Prediction Results (Transposed)'!N$3*$B$5*$B$8 + 'Prediction Results (Transposed)'!N$4*$B$6*$B$9+ 'Prediction Results (Transposed)'!N$5*$B$7*$B$10) *(AF31*AF69) *AF12/(AF50 *$B$14)</f>
        <v>5622758.3694014112</v>
      </c>
      <c r="AG88" s="63">
        <f>('Prediction Results (Transposed)'!O$3*$B$5*$B$8 + 'Prediction Results (Transposed)'!O$4*$B$6*$B$9+ 'Prediction Results (Transposed)'!O$5*$B$7*$B$10) *(AG31*AG69) *AG12/(AG50 *$B$14)</f>
        <v>4904041.944008722</v>
      </c>
    </row>
    <row r="89" spans="1:33">
      <c r="A89" s="599"/>
      <c r="B89" s="600"/>
      <c r="C89" s="38">
        <v>2029</v>
      </c>
      <c r="D89" s="63">
        <f>('Prediction Results (Transposed)'!J$3*$B$5*$B$8 + 'Prediction Results (Transposed)'!J$4*$B$6*$B$9+ 'Prediction Results (Transposed)'!J$5*$B$7*$B$10) *(D32*D70) *D13/(D51 *$B$14)</f>
        <v>225169950.14668691</v>
      </c>
      <c r="E89" s="63">
        <f>('Prediction Results (Transposed)'!K$3*$B$5*$B$8 + 'Prediction Results (Transposed)'!K$4*$B$6*$B$9+ 'Prediction Results (Transposed)'!K$5*$B$7*$B$10) *(E32*E70) *E13/(E51 *$B$14)</f>
        <v>240514724.36260346</v>
      </c>
      <c r="F89" s="63">
        <f>('Prediction Results (Transposed)'!L$3*$B$5*$B$8 + 'Prediction Results (Transposed)'!L$4*$B$6*$B$9+ 'Prediction Results (Transposed)'!L$5*$B$7*$B$10) *(F32*F70) *F13/(F51 *$B$14)</f>
        <v>11233550.58976317</v>
      </c>
      <c r="G89" s="63">
        <f>('Prediction Results (Transposed)'!M$3*$B$5*$B$8 + 'Prediction Results (Transposed)'!M$4*$B$6*$B$9+ 'Prediction Results (Transposed)'!M$5*$B$7*$B$10) *(G32*G70) *G13/(G51 *$B$14)</f>
        <v>1817278.807560575</v>
      </c>
      <c r="H89" s="63">
        <f>('Prediction Results (Transposed)'!N$3*$B$5*$B$8 + 'Prediction Results (Transposed)'!N$4*$B$6*$B$9+ 'Prediction Results (Transposed)'!N$5*$B$7*$B$10) *(H32*H70) *H13/(H51 *$B$14)</f>
        <v>5431206.8062251462</v>
      </c>
      <c r="I89" s="63">
        <f>('Prediction Results (Transposed)'!O$3*$B$5*$B$8 + 'Prediction Results (Transposed)'!O$4*$B$6*$B$9+ 'Prediction Results (Transposed)'!O$5*$B$7*$B$10) *(I32*I70) *I13/(I51 *$B$14)</f>
        <v>4743768.771267036</v>
      </c>
      <c r="K89" s="38">
        <v>2029</v>
      </c>
      <c r="L89" s="63">
        <f>('Prediction Results (Transposed)'!J$3*$B$5*$B$8 + 'Prediction Results (Transposed)'!J$4*$B$6*$B$9+ 'Prediction Results (Transposed)'!J$5*$B$7*$B$10) *(L32*L70) *L13/(L51 *$B$14)</f>
        <v>234887516.46709612</v>
      </c>
      <c r="M89" s="63">
        <f>('Prediction Results (Transposed)'!K$3*$B$5*$B$8 + 'Prediction Results (Transposed)'!K$4*$B$6*$B$9+ 'Prediction Results (Transposed)'!K$5*$B$7*$B$10) *(M32*M70) *M13/(M51 *$B$14)</f>
        <v>250894518.75126857</v>
      </c>
      <c r="N89" s="63">
        <f>('Prediction Results (Transposed)'!L$3*$B$5*$B$8 + 'Prediction Results (Transposed)'!L$4*$B$6*$B$9+ 'Prediction Results (Transposed)'!L$5*$B$7*$B$10) *(N32*N70) *N13/(N51 *$B$14)</f>
        <v>11718277.422574552</v>
      </c>
      <c r="O89" s="63">
        <f>('Prediction Results (Transposed)'!M$3*$B$5*$B$8 + 'Prediction Results (Transposed)'!M$4*$B$6*$B$9+ 'Prediction Results (Transposed)'!M$5*$B$7*$B$10) *(O32*O70) *O13/(O51 *$B$14)</f>
        <v>1896124.1194566716</v>
      </c>
      <c r="P89" s="63">
        <f>('Prediction Results (Transposed)'!N$3*$B$5*$B$8 + 'Prediction Results (Transposed)'!N$4*$B$6*$B$9+ 'Prediction Results (Transposed)'!N$5*$B$7*$B$10) *(P32*P70) *P13/(P51 *$B$14)</f>
        <v>5664043.8814475862</v>
      </c>
      <c r="Q89" s="63">
        <f>('Prediction Results (Transposed)'!O$3*$B$5*$B$8 + 'Prediction Results (Transposed)'!O$4*$B$6*$B$9+ 'Prediction Results (Transposed)'!O$5*$B$7*$B$10) *(Q32*Q70) *Q13/(Q51 *$B$14)</f>
        <v>4950948.6042526476</v>
      </c>
      <c r="S89" s="38">
        <v>2029</v>
      </c>
      <c r="T89" s="63">
        <f>('Prediction Results (Transposed)'!J$3*$B$5*$B$8 + 'Prediction Results (Transposed)'!J$4*$B$6*$B$9+ 'Prediction Results (Transposed)'!J$5*$B$7*$B$10) *(T32*T70) *T13/(T51 *$B$14)</f>
        <v>251700784.26147211</v>
      </c>
      <c r="U89" s="63">
        <f>('Prediction Results (Transposed)'!K$3*$B$5*$B$8 + 'Prediction Results (Transposed)'!K$4*$B$6*$B$9+ 'Prediction Results (Transposed)'!K$5*$B$7*$B$10) *(U32*U70) *U13/(U51 *$B$14)</f>
        <v>268853569.08886725</v>
      </c>
      <c r="V89" s="63">
        <f>('Prediction Results (Transposed)'!L$3*$B$5*$B$8 + 'Prediction Results (Transposed)'!L$4*$B$6*$B$9+ 'Prediction Results (Transposed)'!L$5*$B$7*$B$10) *(V32*V70) *V13/(V51 *$B$14)</f>
        <v>12557040.670959694</v>
      </c>
      <c r="W89" s="63">
        <f>('Prediction Results (Transposed)'!M$3*$B$5*$B$8 + 'Prediction Results (Transposed)'!M$4*$B$6*$B$9+ 'Prediction Results (Transposed)'!M$5*$B$7*$B$10) *(W32*W70) *W13/(W51 *$B$14)</f>
        <v>2032284.6663763707</v>
      </c>
      <c r="X89" s="63">
        <f>('Prediction Results (Transposed)'!N$3*$B$5*$B$8 + 'Prediction Results (Transposed)'!N$4*$B$6*$B$9+ 'Prediction Results (Transposed)'!N$5*$B$7*$B$10) *(X32*X70) *X13/(X51 *$B$14)</f>
        <v>6067715.3707040753</v>
      </c>
      <c r="Y89" s="63">
        <f>('Prediction Results (Transposed)'!O$3*$B$5*$B$8 + 'Prediction Results (Transposed)'!O$4*$B$6*$B$9+ 'Prediction Results (Transposed)'!O$5*$B$7*$B$10) *(Y32*Y70) *Y13/(Y51 *$B$14)</f>
        <v>5308079.1625616709</v>
      </c>
      <c r="AA89" s="38">
        <v>2029</v>
      </c>
      <c r="AB89" s="63">
        <f>('Prediction Results (Transposed)'!J$3*$B$5*$B$8 + 'Prediction Results (Transposed)'!J$4*$B$6*$B$9+ 'Prediction Results (Transposed)'!J$5*$B$7*$B$10) *(AB32*AB70) *AB13/(AB51 *$B$14)</f>
        <v>251656840.44830745</v>
      </c>
      <c r="AC89" s="63">
        <f>('Prediction Results (Transposed)'!K$3*$B$5*$B$8 + 'Prediction Results (Transposed)'!K$4*$B$6*$B$9+ 'Prediction Results (Transposed)'!K$5*$B$7*$B$10) *(AC32*AC70) *AC13/(AC51 *$B$14)</f>
        <v>268806630.61371171</v>
      </c>
      <c r="AD89" s="63">
        <f>('Prediction Results (Transposed)'!L$3*$B$5*$B$8 + 'Prediction Results (Transposed)'!L$4*$B$6*$B$9+ 'Prediction Results (Transposed)'!L$5*$B$7*$B$10) *(AD32*AD70) *AD13/(AD51 *$B$14)</f>
        <v>12554948.034411758</v>
      </c>
      <c r="AE89" s="63">
        <f>('Prediction Results (Transposed)'!M$3*$B$5*$B$8 + 'Prediction Results (Transposed)'!M$4*$B$6*$B$9+ 'Prediction Results (Transposed)'!M$5*$B$7*$B$10) *(AE32*AE70) *AE13/(AE51 *$B$14)</f>
        <v>2031103.1179455055</v>
      </c>
      <c r="AF89" s="63">
        <f>('Prediction Results (Transposed)'!N$3*$B$5*$B$8 + 'Prediction Results (Transposed)'!N$4*$B$6*$B$9+ 'Prediction Results (Transposed)'!N$5*$B$7*$B$10) *(AF32*AF70) *AF13/(AF51 *$B$14)</f>
        <v>6069879.7821734268</v>
      </c>
      <c r="AG89" s="63">
        <f>('Prediction Results (Transposed)'!O$3*$B$5*$B$8 + 'Prediction Results (Transposed)'!O$4*$B$6*$B$9+ 'Prediction Results (Transposed)'!O$5*$B$7*$B$10) *(AG32*AG70) *AG13/(AG51 *$B$14)</f>
        <v>5302104.6445098715</v>
      </c>
    </row>
    <row r="90" spans="1:33">
      <c r="A90" s="599"/>
      <c r="B90" s="600"/>
      <c r="C90" s="38">
        <v>2030</v>
      </c>
      <c r="D90" s="63">
        <f>('Prediction Results (Transposed)'!J$3*$B$5*$B$8 + 'Prediction Results (Transposed)'!J$4*$B$6*$B$9+ 'Prediction Results (Transposed)'!J$5*$B$7*$B$10) *(D33*D71) *D14/(D52 *$B$14)</f>
        <v>239516693.84631842</v>
      </c>
      <c r="E90" s="63">
        <f>('Prediction Results (Transposed)'!K$3*$B$5*$B$8 + 'Prediction Results (Transposed)'!K$4*$B$6*$B$9+ 'Prediction Results (Transposed)'!K$5*$B$7*$B$10) *(E33*E71) *E14/(E52 *$B$14)</f>
        <v>255518963.89664334</v>
      </c>
      <c r="F90" s="63">
        <f>('Prediction Results (Transposed)'!L$3*$B$5*$B$8 + 'Prediction Results (Transposed)'!L$4*$B$6*$B$9+ 'Prediction Results (Transposed)'!L$5*$B$7*$B$10) *(F33*F71) *F14/(F52 *$B$14)</f>
        <v>11994665.225868214</v>
      </c>
      <c r="G90" s="63">
        <f>('Prediction Results (Transposed)'!M$3*$B$5*$B$8 + 'Prediction Results (Transposed)'!M$4*$B$6*$B$9+ 'Prediction Results (Transposed)'!M$5*$B$7*$B$10) *(G33*G71) *G14/(G52 *$B$14)</f>
        <v>1939382.3103815957</v>
      </c>
      <c r="H90" s="63">
        <f>('Prediction Results (Transposed)'!N$3*$B$5*$B$8 + 'Prediction Results (Transposed)'!N$4*$B$6*$B$9+ 'Prediction Results (Transposed)'!N$5*$B$7*$B$10) *(H33*H71) *H14/(H52 *$B$14)</f>
        <v>5793659.1764348736</v>
      </c>
      <c r="I90" s="63">
        <f>('Prediction Results (Transposed)'!O$3*$B$5*$B$8 + 'Prediction Results (Transposed)'!O$4*$B$6*$B$9+ 'Prediction Results (Transposed)'!O$5*$B$7*$B$10) *(I33*I71) *I14/(I52 *$B$14)</f>
        <v>5068238.4677064139</v>
      </c>
      <c r="K90" s="38">
        <v>2030</v>
      </c>
      <c r="L90" s="63">
        <f>('Prediction Results (Transposed)'!J$3*$B$5*$B$8 + 'Prediction Results (Transposed)'!J$4*$B$6*$B$9+ 'Prediction Results (Transposed)'!J$5*$B$7*$B$10) *(L33*L71) *L14/(L52 *$B$14)</f>
        <v>250954971.87958974</v>
      </c>
      <c r="M90" s="63">
        <f>('Prediction Results (Transposed)'!K$3*$B$5*$B$8 + 'Prediction Results (Transposed)'!K$4*$B$6*$B$9+ 'Prediction Results (Transposed)'!K$5*$B$7*$B$10) *(M33*M71) *M14/(M52 *$B$14)</f>
        <v>267721440.91354209</v>
      </c>
      <c r="N90" s="63">
        <f>('Prediction Results (Transposed)'!L$3*$B$5*$B$8 + 'Prediction Results (Transposed)'!L$4*$B$6*$B$9+ 'Prediction Results (Transposed)'!L$5*$B$7*$B$10) *(N33*N71) *N14/(N52 *$B$14)</f>
        <v>12567688.913791148</v>
      </c>
      <c r="O90" s="63">
        <f>('Prediction Results (Transposed)'!M$3*$B$5*$B$8 + 'Prediction Results (Transposed)'!M$4*$B$6*$B$9+ 'Prediction Results (Transposed)'!M$5*$B$7*$B$10) *(O33*O71) *O14/(O52 *$B$14)</f>
        <v>2032362.5561980875</v>
      </c>
      <c r="P90" s="63">
        <f>('Prediction Results (Transposed)'!N$3*$B$5*$B$8 + 'Prediction Results (Transposed)'!N$4*$B$6*$B$9+ 'Prediction Results (Transposed)'!N$5*$B$7*$B$10) *(P33*P71) *P14/(P52 *$B$14)</f>
        <v>6068158.7264803592</v>
      </c>
      <c r="Q90" s="63">
        <f>('Prediction Results (Transposed)'!O$3*$B$5*$B$8 + 'Prediction Results (Transposed)'!O$4*$B$6*$B$9+ 'Prediction Results (Transposed)'!O$5*$B$7*$B$10) *(Q33*Q71) *Q14/(Q52 *$B$14)</f>
        <v>5313477.5937247453</v>
      </c>
      <c r="S90" s="38">
        <v>2030</v>
      </c>
      <c r="T90" s="63">
        <f>('Prediction Results (Transposed)'!J$3*$B$5*$B$8 + 'Prediction Results (Transposed)'!J$4*$B$6*$B$9+ 'Prediction Results (Transposed)'!J$5*$B$7*$B$10) *(T33*T71) *T14/(T52 *$B$14)</f>
        <v>270849441.52480841</v>
      </c>
      <c r="U90" s="63">
        <f>('Prediction Results (Transposed)'!K$3*$B$5*$B$8 + 'Prediction Results (Transposed)'!K$4*$B$6*$B$9+ 'Prediction Results (Transposed)'!K$5*$B$7*$B$10) *(U33*U71) *U14/(U52 *$B$14)</f>
        <v>288945073.34344339</v>
      </c>
      <c r="V90" s="63">
        <f>('Prediction Results (Transposed)'!L$3*$B$5*$B$8 + 'Prediction Results (Transposed)'!L$4*$B$6*$B$9+ 'Prediction Results (Transposed)'!L$5*$B$7*$B$10) *(V33*V71) *V14/(V52 *$B$14)</f>
        <v>13564311.187095052</v>
      </c>
      <c r="W90" s="63">
        <f>('Prediction Results (Transposed)'!M$3*$B$5*$B$8 + 'Prediction Results (Transposed)'!M$4*$B$6*$B$9+ 'Prediction Results (Transposed)'!M$5*$B$7*$B$10) *(W33*W71) *W14/(W52 *$B$14)</f>
        <v>2193845.7978703412</v>
      </c>
      <c r="X90" s="63">
        <f>('Prediction Results (Transposed)'!N$3*$B$5*$B$8 + 'Prediction Results (Transposed)'!N$4*$B$6*$B$9+ 'Prediction Results (Transposed)'!N$5*$B$7*$B$10) *(X33*X71) *X14/(X52 *$B$14)</f>
        <v>6546692.5703657027</v>
      </c>
      <c r="Y90" s="63">
        <f>('Prediction Results (Transposed)'!O$3*$B$5*$B$8 + 'Prediction Results (Transposed)'!O$4*$B$6*$B$9+ 'Prediction Results (Transposed)'!O$5*$B$7*$B$10) *(Y33*Y71) *Y14/(Y52 *$B$14)</f>
        <v>5738349.0935707428</v>
      </c>
      <c r="AA90" s="38">
        <v>2030</v>
      </c>
      <c r="AB90" s="63">
        <f>('Prediction Results (Transposed)'!J$3*$B$5*$B$8 + 'Prediction Results (Transposed)'!J$4*$B$6*$B$9+ 'Prediction Results (Transposed)'!J$5*$B$7*$B$10) *(AB33*AB71) *AB14/(AB52 *$B$14)</f>
        <v>270804542.8324514</v>
      </c>
      <c r="AC90" s="63">
        <f>('Prediction Results (Transposed)'!K$3*$B$5*$B$8 + 'Prediction Results (Transposed)'!K$4*$B$6*$B$9+ 'Prediction Results (Transposed)'!K$5*$B$7*$B$10) *(AC33*AC71) *AC14/(AC52 *$B$14)</f>
        <v>288897174.93950695</v>
      </c>
      <c r="AD90" s="63">
        <f>('Prediction Results (Transposed)'!L$3*$B$5*$B$8 + 'Prediction Results (Transposed)'!L$4*$B$6*$B$9+ 'Prediction Results (Transposed)'!L$5*$B$7*$B$10) *(AD33*AD71) *AD14/(AD52 *$B$14)</f>
        <v>13561541.254971927</v>
      </c>
      <c r="AE90" s="63">
        <f>('Prediction Results (Transposed)'!M$3*$B$5*$B$8 + 'Prediction Results (Transposed)'!M$4*$B$6*$B$9+ 'Prediction Results (Transposed)'!M$5*$B$7*$B$10) *(AE33*AE71) *AE14/(AE52 *$B$14)</f>
        <v>2192772.4389141193</v>
      </c>
      <c r="AF90" s="63">
        <f>('Prediction Results (Transposed)'!N$3*$B$5*$B$8 + 'Prediction Results (Transposed)'!N$4*$B$6*$B$9+ 'Prediction Results (Transposed)'!N$5*$B$7*$B$10) *(AF33*AF71) *AF14/(AF52 *$B$14)</f>
        <v>6550193.8799089473</v>
      </c>
      <c r="AG90" s="63">
        <f>('Prediction Results (Transposed)'!O$3*$B$5*$B$8 + 'Prediction Results (Transposed)'!O$4*$B$6*$B$9+ 'Prediction Results (Transposed)'!O$5*$B$7*$B$10) *(AG33*AG71) *AG14/(AG52 *$B$14)</f>
        <v>5730720.3216148652</v>
      </c>
    </row>
    <row r="91" spans="1:33">
      <c r="A91" s="599"/>
      <c r="B91" s="600"/>
      <c r="C91" s="38">
        <v>2040</v>
      </c>
      <c r="D91" s="63">
        <f>('Prediction Results (Transposed)'!J$3*$B$5*$B$8 + 'Prediction Results (Transposed)'!J$4*$B$6*$B$9+ 'Prediction Results (Transposed)'!J$5*$B$7*$B$10) *(D34*D72) *D15/(D53 *$B$14)</f>
        <v>414797741.82818258</v>
      </c>
      <c r="E91" s="63">
        <f>('Prediction Results (Transposed)'!K$3*$B$5*$B$8 + 'Prediction Results (Transposed)'!K$4*$B$6*$B$9+ 'Prediction Results (Transposed)'!K$5*$B$7*$B$10) *(E34*E72) *E15/(E53 *$B$14)</f>
        <v>441956824.9819231</v>
      </c>
      <c r="F91" s="63">
        <f>('Prediction Results (Transposed)'!L$3*$B$5*$B$8 + 'Prediction Results (Transposed)'!L$4*$B$6*$B$9+ 'Prediction Results (Transposed)'!L$5*$B$7*$B$10) *(F34*F72) *F15/(F53 *$B$14)</f>
        <v>20852071.898002353</v>
      </c>
      <c r="G91" s="63">
        <f>('Prediction Results (Transposed)'!M$3*$B$5*$B$8 + 'Prediction Results (Transposed)'!M$4*$B$6*$B$9+ 'Prediction Results (Transposed)'!M$5*$B$7*$B$10) *(G34*G72) *G15/(G53 *$B$14)</f>
        <v>3369048.7492231093</v>
      </c>
      <c r="H91" s="63">
        <f>('Prediction Results (Transposed)'!N$3*$B$5*$B$8 + 'Prediction Results (Transposed)'!N$4*$B$6*$B$9+ 'Prediction Results (Transposed)'!N$5*$B$7*$B$10) *(H34*H72) *H15/(H53 *$B$14)</f>
        <v>10061439.51599046</v>
      </c>
      <c r="I91" s="63">
        <f>('Prediction Results (Transposed)'!O$3*$B$5*$B$8 + 'Prediction Results (Transposed)'!O$4*$B$6*$B$9+ 'Prediction Results (Transposed)'!O$5*$B$7*$B$10) *(I34*I72) *I15/(I53 *$B$14)</f>
        <v>8815788.7082912046</v>
      </c>
      <c r="K91" s="38">
        <v>2040</v>
      </c>
      <c r="L91" s="63">
        <f>('Prediction Results (Transposed)'!J$3*$B$5*$B$8 + 'Prediction Results (Transposed)'!J$4*$B$6*$B$9+ 'Prediction Results (Transposed)'!J$5*$B$7*$B$10) *(L34*L72) *L15/(L53 *$B$14)</f>
        <v>476054823.99349725</v>
      </c>
      <c r="M91" s="63">
        <f>('Prediction Results (Transposed)'!K$3*$B$5*$B$8 + 'Prediction Results (Transposed)'!K$4*$B$6*$B$9+ 'Prediction Results (Transposed)'!K$5*$B$7*$B$10) *(M34*M72) *M15/(M53 *$B$14)</f>
        <v>507224744.28668523</v>
      </c>
      <c r="N91" s="63">
        <f>('Prediction Results (Transposed)'!L$3*$B$5*$B$8 + 'Prediction Results (Transposed)'!L$4*$B$6*$B$9+ 'Prediction Results (Transposed)'!L$5*$B$7*$B$10) *(N34*N72) *N15/(N53 *$B$14)</f>
        <v>23932614.526581317</v>
      </c>
      <c r="O91" s="63">
        <f>('Prediction Results (Transposed)'!M$3*$B$5*$B$8 + 'Prediction Results (Transposed)'!M$4*$B$6*$B$9+ 'Prediction Results (Transposed)'!M$5*$B$7*$B$10) *(O34*O72) *O15/(O53 *$B$14)</f>
        <v>3867033.2297126921</v>
      </c>
      <c r="P91" s="63">
        <f>('Prediction Results (Transposed)'!N$3*$B$5*$B$8 + 'Prediction Results (Transposed)'!N$4*$B$6*$B$9+ 'Prediction Results (Transposed)'!N$5*$B$7*$B$10) *(P34*P72) *P15/(P53 *$B$14)</f>
        <v>11542051.359733369</v>
      </c>
      <c r="Q91" s="63">
        <f>('Prediction Results (Transposed)'!O$3*$B$5*$B$8 + 'Prediction Results (Transposed)'!O$4*$B$6*$B$9+ 'Prediction Results (Transposed)'!O$5*$B$7*$B$10) *(Q34*Q72) *Q15/(Q53 *$B$14)</f>
        <v>10124947.184027227</v>
      </c>
      <c r="S91" s="38">
        <v>2040</v>
      </c>
      <c r="T91" s="63">
        <f>('Prediction Results (Transposed)'!J$3*$B$5*$B$8 + 'Prediction Results (Transposed)'!J$4*$B$6*$B$9+ 'Prediction Results (Transposed)'!J$5*$B$7*$B$10) *(T34*T72) *T15/(T53 *$B$14)</f>
        <v>554621605.10019803</v>
      </c>
      <c r="U91" s="63">
        <f>('Prediction Results (Transposed)'!K$3*$B$5*$B$8 + 'Prediction Results (Transposed)'!K$4*$B$6*$B$9+ 'Prediction Results (Transposed)'!K$5*$B$7*$B$10) *(U34*U72) *U15/(U53 *$B$14)</f>
        <v>584186671.70174766</v>
      </c>
      <c r="V91" s="63">
        <f>('Prediction Results (Transposed)'!L$3*$B$5*$B$8 + 'Prediction Results (Transposed)'!L$4*$B$6*$B$9+ 'Prediction Results (Transposed)'!L$5*$B$7*$B$10) *(V34*V72) *V15/(V53 *$B$14)</f>
        <v>28870095.094863039</v>
      </c>
      <c r="W91" s="63">
        <f>('Prediction Results (Transposed)'!M$3*$B$5*$B$8 + 'Prediction Results (Transposed)'!M$4*$B$6*$B$9+ 'Prediction Results (Transposed)'!M$5*$B$7*$B$10) *(W34*W72) *W15/(W53 *$B$14)</f>
        <v>4626867.7301936951</v>
      </c>
      <c r="X91" s="63">
        <f>('Prediction Results (Transposed)'!N$3*$B$5*$B$8 + 'Prediction Results (Transposed)'!N$4*$B$6*$B$9+ 'Prediction Results (Transposed)'!N$5*$B$7*$B$10) *(X34*X72) *X15/(X53 *$B$14)</f>
        <v>13755123.276679052</v>
      </c>
      <c r="Y91" s="63">
        <f>('Prediction Results (Transposed)'!O$3*$B$5*$B$8 + 'Prediction Results (Transposed)'!O$4*$B$6*$B$9+ 'Prediction Results (Transposed)'!O$5*$B$7*$B$10) *(Y34*Y72) *Y15/(Y53 *$B$14)</f>
        <v>12301318.93820871</v>
      </c>
      <c r="AA91" s="38">
        <v>2040</v>
      </c>
      <c r="AB91" s="63">
        <f>('Prediction Results (Transposed)'!J$3*$B$5*$B$8 + 'Prediction Results (Transposed)'!J$4*$B$6*$B$9+ 'Prediction Results (Transposed)'!J$5*$B$7*$B$10) *(AB34*AB72) *AB15/(AB53 *$B$14)</f>
        <v>598387789.90272093</v>
      </c>
      <c r="AC91" s="63">
        <f>('Prediction Results (Transposed)'!K$3*$B$5*$B$8 + 'Prediction Results (Transposed)'!K$4*$B$6*$B$9+ 'Prediction Results (Transposed)'!K$5*$B$7*$B$10) *(AC34*AC72) *AC15/(AC53 *$B$14)</f>
        <v>630285888.89371085</v>
      </c>
      <c r="AD91" s="63">
        <f>('Prediction Results (Transposed)'!L$3*$B$5*$B$8 + 'Prediction Results (Transposed)'!L$4*$B$6*$B$9+ 'Prediction Results (Transposed)'!L$5*$B$7*$B$10) *(AD34*AD72) *AD15/(AD53 *$B$14)</f>
        <v>31128582.761947013</v>
      </c>
      <c r="AE91" s="63">
        <f>('Prediction Results (Transposed)'!M$3*$B$5*$B$8 + 'Prediction Results (Transposed)'!M$4*$B$6*$B$9+ 'Prediction Results (Transposed)'!M$5*$B$7*$B$10) *(AE34*AE72) *AE15/(AE53 *$B$14)</f>
        <v>4996733.2051028032</v>
      </c>
      <c r="AF91" s="63">
        <f>('Prediction Results (Transposed)'!N$3*$B$5*$B$8 + 'Prediction Results (Transposed)'!N$4*$B$6*$B$9+ 'Prediction Results (Transposed)'!N$5*$B$7*$B$10) *(AF34*AF72) *AF15/(AF53 *$B$14)</f>
        <v>14879340.364231624</v>
      </c>
      <c r="AG91" s="63">
        <f>('Prediction Results (Transposed)'!O$3*$B$5*$B$8 + 'Prediction Results (Transposed)'!O$4*$B$6*$B$9+ 'Prediction Results (Transposed)'!O$5*$B$7*$B$10) *(AG34*AG72) *AG15/(AG53 *$B$14)</f>
        <v>13227293.407496754</v>
      </c>
    </row>
    <row r="92" spans="1:33">
      <c r="A92" s="599"/>
      <c r="B92" s="600"/>
      <c r="C92" s="38">
        <v>2050</v>
      </c>
      <c r="D92" s="63">
        <f>('Prediction Results (Transposed)'!J$3*$B$5*$B$8 + 'Prediction Results (Transposed)'!J$4*$B$6*$B$9+ 'Prediction Results (Transposed)'!J$5*$B$7*$B$10) *(D35*D73) *D16/(D54 *$B$14)</f>
        <v>656203719.33737969</v>
      </c>
      <c r="E92" s="63">
        <f>('Prediction Results (Transposed)'!K$3*$B$5*$B$8 + 'Prediction Results (Transposed)'!K$4*$B$6*$B$9+ 'Prediction Results (Transposed)'!K$5*$B$7*$B$10) *(E35*E73) *E16/(E54 *$B$14)</f>
        <v>699168975.85186613</v>
      </c>
      <c r="F92" s="63">
        <f>('Prediction Results (Transposed)'!L$3*$B$5*$B$8 + 'Prediction Results (Transposed)'!L$4*$B$6*$B$9+ 'Prediction Results (Transposed)'!L$5*$B$7*$B$10) *(F35*F73) *F16/(F54 *$B$14)</f>
        <v>32987660.624795418</v>
      </c>
      <c r="G92" s="63">
        <f>('Prediction Results (Transposed)'!M$3*$B$5*$B$8 + 'Prediction Results (Transposed)'!M$4*$B$6*$B$9+ 'Prediction Results (Transposed)'!M$5*$B$7*$B$10) *(G35*G73) *G16/(G54 *$B$14)</f>
        <v>5329783.8848527288</v>
      </c>
      <c r="H92" s="63">
        <f>('Prediction Results (Transposed)'!N$3*$B$5*$B$8 + 'Prediction Results (Transposed)'!N$4*$B$6*$B$9+ 'Prediction Results (Transposed)'!N$5*$B$7*$B$10) *(H35*H73) *H16/(H54 *$B$14)</f>
        <v>15917044.300149176</v>
      </c>
      <c r="I92" s="63">
        <f>('Prediction Results (Transposed)'!O$3*$B$5*$B$8 + 'Prediction Results (Transposed)'!O$4*$B$6*$B$9+ 'Prediction Results (Transposed)'!O$5*$B$7*$B$10) *(I35*I73) *I16/(I54 *$B$14)</f>
        <v>13946443.66619865</v>
      </c>
      <c r="K92" s="38">
        <v>2050</v>
      </c>
      <c r="L92" s="63">
        <f>('Prediction Results (Transposed)'!J$3*$B$5*$B$8 + 'Prediction Results (Transposed)'!J$4*$B$6*$B$9+ 'Prediction Results (Transposed)'!J$5*$B$7*$B$10) *(L35*L73) *L16/(L54 *$B$14)</f>
        <v>851568924.69038928</v>
      </c>
      <c r="M92" s="63">
        <f>('Prediction Results (Transposed)'!K$3*$B$5*$B$8 + 'Prediction Results (Transposed)'!K$4*$B$6*$B$9+ 'Prediction Results (Transposed)'!K$5*$B$7*$B$10) *(M35*M73) *M16/(M54 *$B$14)</f>
        <v>907325812.69772053</v>
      </c>
      <c r="N92" s="63">
        <f>('Prediction Results (Transposed)'!L$3*$B$5*$B$8 + 'Prediction Results (Transposed)'!L$4*$B$6*$B$9+ 'Prediction Results (Transposed)'!L$5*$B$7*$B$10) *(N35*N73) *N16/(N54 *$B$14)</f>
        <v>42810764.202462591</v>
      </c>
      <c r="O92" s="63">
        <f>('Prediction Results (Transposed)'!M$3*$B$5*$B$8 + 'Prediction Results (Transposed)'!M$4*$B$6*$B$9+ 'Prediction Results (Transposed)'!M$5*$B$7*$B$10) *(O35*O73) *O16/(O54 *$B$14)</f>
        <v>6917365.7385591846</v>
      </c>
      <c r="P92" s="63">
        <f>('Prediction Results (Transposed)'!N$3*$B$5*$B$8 + 'Prediction Results (Transposed)'!N$4*$B$6*$B$9+ 'Prediction Results (Transposed)'!N$5*$B$7*$B$10) *(P35*P73) *P16/(P54 *$B$14)</f>
        <v>20646471.309076894</v>
      </c>
      <c r="Q92" s="63">
        <f>('Prediction Results (Transposed)'!O$3*$B$5*$B$8 + 'Prediction Results (Transposed)'!O$4*$B$6*$B$9+ 'Prediction Results (Transposed)'!O$5*$B$7*$B$10) *(Q35*Q73) *Q16/(Q54 *$B$14)</f>
        <v>18111549.240737919</v>
      </c>
      <c r="S92" s="38">
        <v>2050</v>
      </c>
      <c r="T92" s="63">
        <f>('Prediction Results (Transposed)'!J$3*$B$5*$B$8 + 'Prediction Results (Transposed)'!J$4*$B$6*$B$9+ 'Prediction Results (Transposed)'!J$5*$B$7*$B$10) *(T35*T73) *T16/(T54 *$B$14)</f>
        <v>1105584017.756227</v>
      </c>
      <c r="U92" s="63">
        <f>('Prediction Results (Transposed)'!K$3*$B$5*$B$8 + 'Prediction Results (Transposed)'!K$4*$B$6*$B$9+ 'Prediction Results (Transposed)'!K$5*$B$7*$B$10) *(U35*U73) *U16/(U54 *$B$14)</f>
        <v>1164519091.3595467</v>
      </c>
      <c r="V92" s="63">
        <f>('Prediction Results (Transposed)'!L$3*$B$5*$B$8 + 'Prediction Results (Transposed)'!L$4*$B$6*$B$9+ 'Prediction Results (Transposed)'!L$5*$B$7*$B$10) *(V35*V73) *V16/(V54 *$B$14)</f>
        <v>57549715.760201328</v>
      </c>
      <c r="W92" s="63">
        <f>('Prediction Results (Transposed)'!M$3*$B$5*$B$8 + 'Prediction Results (Transposed)'!M$4*$B$6*$B$9+ 'Prediction Results (Transposed)'!M$5*$B$7*$B$10) *(W35*W73) *W16/(W54 *$B$14)</f>
        <v>9223209.0631414037</v>
      </c>
      <c r="X92" s="63">
        <f>('Prediction Results (Transposed)'!N$3*$B$5*$B$8 + 'Prediction Results (Transposed)'!N$4*$B$6*$B$9+ 'Prediction Results (Transposed)'!N$5*$B$7*$B$10) *(X35*X73) *X16/(X54 *$B$14)</f>
        <v>27419495.232638199</v>
      </c>
      <c r="Y92" s="63">
        <f>('Prediction Results (Transposed)'!O$3*$B$5*$B$8 + 'Prediction Results (Transposed)'!O$4*$B$6*$B$9+ 'Prediction Results (Transposed)'!O$5*$B$7*$B$10) *(Y35*Y73) *Y16/(Y54 *$B$14)</f>
        <v>24521478.230096258</v>
      </c>
      <c r="AA92" s="38">
        <v>2050</v>
      </c>
      <c r="AB92" s="63">
        <f>('Prediction Results (Transposed)'!J$3*$B$5*$B$8 + 'Prediction Results (Transposed)'!J$4*$B$6*$B$9+ 'Prediction Results (Transposed)'!J$5*$B$7*$B$10) *(AB35*AB73) *AB16/(AB54 *$B$14)</f>
        <v>1390784327.7827888</v>
      </c>
      <c r="AC92" s="63">
        <f>('Prediction Results (Transposed)'!K$3*$B$5*$B$8 + 'Prediction Results (Transposed)'!K$4*$B$6*$B$9+ 'Prediction Results (Transposed)'!K$5*$B$7*$B$10) *(AC35*AC73) *AC16/(AC54 *$B$14)</f>
        <v>1464922498.5665624</v>
      </c>
      <c r="AD92" s="63">
        <f>('Prediction Results (Transposed)'!L$3*$B$5*$B$8 + 'Prediction Results (Transposed)'!L$4*$B$6*$B$9+ 'Prediction Results (Transposed)'!L$5*$B$7*$B$10) *(AD35*AD73) *AD16/(AD54 *$B$14)</f>
        <v>72349646.469964728</v>
      </c>
      <c r="AE92" s="63">
        <f>('Prediction Results (Transposed)'!M$3*$B$5*$B$8 + 'Prediction Results (Transposed)'!M$4*$B$6*$B$9+ 'Prediction Results (Transposed)'!M$5*$B$7*$B$10) *(AE35*AE73) *AE16/(AE54 *$B$14)</f>
        <v>11613502.730225483</v>
      </c>
      <c r="AF92" s="63">
        <f>('Prediction Results (Transposed)'!N$3*$B$5*$B$8 + 'Prediction Results (Transposed)'!N$4*$B$6*$B$9+ 'Prediction Results (Transposed)'!N$5*$B$7*$B$10) *(AF35*AF73) *AF16/(AF54 *$B$14)</f>
        <v>34582847.00241524</v>
      </c>
      <c r="AG92" s="63">
        <f>('Prediction Results (Transposed)'!O$3*$B$5*$B$8 + 'Prediction Results (Transposed)'!O$4*$B$6*$B$9+ 'Prediction Results (Transposed)'!O$5*$B$7*$B$10) *(AG35*AG73) *AG16/(AG54 *$B$14)</f>
        <v>30743127.918973334</v>
      </c>
    </row>
    <row r="93" spans="1:33">
      <c r="A93" s="599"/>
      <c r="B93" s="600"/>
      <c r="C93" s="38">
        <v>2060</v>
      </c>
      <c r="D93" s="63">
        <f>('Prediction Results (Transposed)'!J$3*$B$5*$B$8 + 'Prediction Results (Transposed)'!J$4*$B$6*$B$9+ 'Prediction Results (Transposed)'!J$5*$B$7*$B$10) *(D36*D74) *D17/(D55 *$B$14)</f>
        <v>962404882.43038583</v>
      </c>
      <c r="E93" s="63">
        <f>('Prediction Results (Transposed)'!K$3*$B$5*$B$8 + 'Prediction Results (Transposed)'!K$4*$B$6*$B$9+ 'Prediction Results (Transposed)'!K$5*$B$7*$B$10) *(E36*E74) *E17/(E55 *$B$14)</f>
        <v>1025418808.4809272</v>
      </c>
      <c r="F93" s="63">
        <f>('Prediction Results (Transposed)'!L$3*$B$5*$B$8 + 'Prediction Results (Transposed)'!L$4*$B$6*$B$9+ 'Prediction Results (Transposed)'!L$5*$B$7*$B$10) *(F36*F74) *F17/(F55 *$B$14)</f>
        <v>48380532.919437915</v>
      </c>
      <c r="G93" s="63">
        <f>('Prediction Results (Transposed)'!M$3*$B$5*$B$8 + 'Prediction Results (Transposed)'!M$4*$B$6*$B$9+ 'Prediction Results (Transposed)'!M$5*$B$7*$B$10) *(G36*G74) *G17/(G55 *$B$14)</f>
        <v>7816795.1231069267</v>
      </c>
      <c r="H93" s="63">
        <f>('Prediction Results (Transposed)'!N$3*$B$5*$B$8 + 'Prediction Results (Transposed)'!N$4*$B$6*$B$9+ 'Prediction Results (Transposed)'!N$5*$B$7*$B$10) *(H36*H74) *H17/(H55 *$B$14)</f>
        <v>23344337.584359854</v>
      </c>
      <c r="I93" s="63">
        <f>('Prediction Results (Transposed)'!O$3*$B$5*$B$8 + 'Prediction Results (Transposed)'!O$4*$B$6*$B$9+ 'Prediction Results (Transposed)'!O$5*$B$7*$B$10) *(I36*I74) *I17/(I55 *$B$14)</f>
        <v>20454205.121609624</v>
      </c>
      <c r="K93" s="38">
        <v>2060</v>
      </c>
      <c r="L93" s="63">
        <f>('Prediction Results (Transposed)'!J$3*$B$5*$B$8 + 'Prediction Results (Transposed)'!J$4*$B$6*$B$9+ 'Prediction Results (Transposed)'!J$5*$B$7*$B$10) *(L36*L74) *L17/(L55 *$B$14)</f>
        <v>1414447908.0863228</v>
      </c>
      <c r="M93" s="63">
        <f>('Prediction Results (Transposed)'!K$3*$B$5*$B$8 + 'Prediction Results (Transposed)'!K$4*$B$6*$B$9+ 'Prediction Results (Transposed)'!K$5*$B$7*$B$10) *(M36*M74) *M17/(M55 *$B$14)</f>
        <v>1507059570.2979829</v>
      </c>
      <c r="N93" s="63">
        <f>('Prediction Results (Transposed)'!L$3*$B$5*$B$8 + 'Prediction Results (Transposed)'!L$4*$B$6*$B$9+ 'Prediction Results (Transposed)'!L$5*$B$7*$B$10) *(N36*N74) *N17/(N55 *$B$14)</f>
        <v>71108273.345890269</v>
      </c>
      <c r="O93" s="63">
        <f>('Prediction Results (Transposed)'!M$3*$B$5*$B$8 + 'Prediction Results (Transposed)'!M$4*$B$6*$B$9+ 'Prediction Results (Transposed)'!M$5*$B$7*$B$10) *(O36*O74) *O17/(O55 *$B$14)</f>
        <v>11489678.891148323</v>
      </c>
      <c r="P93" s="63">
        <f>('Prediction Results (Transposed)'!N$3*$B$5*$B$8 + 'Prediction Results (Transposed)'!N$4*$B$6*$B$9+ 'Prediction Results (Transposed)'!N$5*$B$7*$B$10) *(P36*P74) *P17/(P55 *$B$14)</f>
        <v>34293593.044280909</v>
      </c>
      <c r="Q93" s="63">
        <f>('Prediction Results (Transposed)'!O$3*$B$5*$B$8 + 'Prediction Results (Transposed)'!O$4*$B$6*$B$9+ 'Prediction Results (Transposed)'!O$5*$B$7*$B$10) *(Q36*Q74) *Q17/(Q55 *$B$14)</f>
        <v>30083111.528615538</v>
      </c>
      <c r="S93" s="38">
        <v>2060</v>
      </c>
      <c r="T93" s="63">
        <f>('Prediction Results (Transposed)'!J$3*$B$5*$B$8 + 'Prediction Results (Transposed)'!J$4*$B$6*$B$9+ 'Prediction Results (Transposed)'!J$5*$B$7*$B$10) *(T36*T74) *T17/(T55 *$B$14)</f>
        <v>2154480611.5553088</v>
      </c>
      <c r="U93" s="63">
        <f>('Prediction Results (Transposed)'!K$3*$B$5*$B$8 + 'Prediction Results (Transposed)'!K$4*$B$6*$B$9+ 'Prediction Results (Transposed)'!K$5*$B$7*$B$10) *(U36*U74) *U17/(U55 *$B$14)</f>
        <v>2269328937.3086333</v>
      </c>
      <c r="V93" s="63">
        <f>('Prediction Results (Transposed)'!L$3*$B$5*$B$8 + 'Prediction Results (Transposed)'!L$4*$B$6*$B$9+ 'Prediction Results (Transposed)'!L$5*$B$7*$B$10) *(V36*V74) *V17/(V55 *$B$14)</f>
        <v>112148642.54053605</v>
      </c>
      <c r="W93" s="63">
        <f>('Prediction Results (Transposed)'!M$3*$B$5*$B$8 + 'Prediction Results (Transposed)'!M$4*$B$6*$B$9+ 'Prediction Results (Transposed)'!M$5*$B$7*$B$10) *(W36*W74) *W17/(W55 *$B$14)</f>
        <v>17973509.732157521</v>
      </c>
      <c r="X93" s="63">
        <f>('Prediction Results (Transposed)'!N$3*$B$5*$B$8 + 'Prediction Results (Transposed)'!N$4*$B$6*$B$9+ 'Prediction Results (Transposed)'!N$5*$B$7*$B$10) *(X36*X74) *X17/(X55 *$B$14)</f>
        <v>53433090.483022682</v>
      </c>
      <c r="Y93" s="63">
        <f>('Prediction Results (Transposed)'!O$3*$B$5*$B$8 + 'Prediction Results (Transposed)'!O$4*$B$6*$B$9+ 'Prediction Results (Transposed)'!O$5*$B$7*$B$10) *(Y36*Y74) *Y17/(Y55 *$B$14)</f>
        <v>47785648.639022589</v>
      </c>
      <c r="AA93" s="38">
        <v>2060</v>
      </c>
      <c r="AB93" s="63">
        <f>('Prediction Results (Transposed)'!J$3*$B$5*$B$8 + 'Prediction Results (Transposed)'!J$4*$B$6*$B$9+ 'Prediction Results (Transposed)'!J$5*$B$7*$B$10) *(AB36*AB74) *AB17/(AB55 *$B$14)</f>
        <v>3351751590.0529771</v>
      </c>
      <c r="AC93" s="63">
        <f>('Prediction Results (Transposed)'!K$3*$B$5*$B$8 + 'Prediction Results (Transposed)'!K$4*$B$6*$B$9+ 'Prediction Results (Transposed)'!K$5*$B$7*$B$10) *(AC36*AC74) *AC17/(AC55 *$B$14)</f>
        <v>3530422521.874795</v>
      </c>
      <c r="AD93" s="63">
        <f>('Prediction Results (Transposed)'!L$3*$B$5*$B$8 + 'Prediction Results (Transposed)'!L$4*$B$6*$B$9+ 'Prediction Results (Transposed)'!L$5*$B$7*$B$10) *(AD36*AD74) *AD17/(AD55 *$B$14)</f>
        <v>174360637.91577905</v>
      </c>
      <c r="AE93" s="63">
        <f>('Prediction Results (Transposed)'!M$3*$B$5*$B$8 + 'Prediction Results (Transposed)'!M$4*$B$6*$B$9+ 'Prediction Results (Transposed)'!M$5*$B$7*$B$10) *(AE36*AE74) *AE17/(AE55 *$B$14)</f>
        <v>27988218.924046714</v>
      </c>
      <c r="AF93" s="63">
        <f>('Prediction Results (Transposed)'!N$3*$B$5*$B$8 + 'Prediction Results (Transposed)'!N$4*$B$6*$B$9+ 'Prediction Results (Transposed)'!N$5*$B$7*$B$10) *(AF36*AF74) *AF17/(AF55 *$B$14)</f>
        <v>83343700.466983765</v>
      </c>
      <c r="AG93" s="63">
        <f>('Prediction Results (Transposed)'!O$3*$B$5*$B$8 + 'Prediction Results (Transposed)'!O$4*$B$6*$B$9+ 'Prediction Results (Transposed)'!O$5*$B$7*$B$10) *(AG36*AG74) *AG17/(AG55 *$B$14)</f>
        <v>74090084.154093295</v>
      </c>
    </row>
    <row r="94" spans="1:33">
      <c r="A94" s="599"/>
      <c r="B94" s="600"/>
      <c r="C94" s="38">
        <v>2070</v>
      </c>
      <c r="D94" s="63">
        <f>('Prediction Results (Transposed)'!J$3*$B$5*$B$8 + 'Prediction Results (Transposed)'!J$4*$B$6*$B$9+ 'Prediction Results (Transposed)'!J$5*$B$7*$B$10) *(D37*D75) *D18/(D56 *$B$14)</f>
        <v>1333729739.3751872</v>
      </c>
      <c r="E94" s="63">
        <f>('Prediction Results (Transposed)'!K$3*$B$5*$B$8 + 'Prediction Results (Transposed)'!K$4*$B$6*$B$9+ 'Prediction Results (Transposed)'!K$5*$B$7*$B$10) *(E37*E75) *E18/(E56 *$B$14)</f>
        <v>1421056340.3751307</v>
      </c>
      <c r="F94" s="63">
        <f>('Prediction Results (Transposed)'!L$3*$B$5*$B$8 + 'Prediction Results (Transposed)'!L$4*$B$6*$B$9+ 'Prediction Results (Transposed)'!L$5*$B$7*$B$10) *(F37*F75) *F18/(F56 *$B$14)</f>
        <v>67047203.042573959</v>
      </c>
      <c r="G94" s="63">
        <f>('Prediction Results (Transposed)'!M$3*$B$5*$B$8 + 'Prediction Results (Transposed)'!M$4*$B$6*$B$9+ 'Prediction Results (Transposed)'!M$5*$B$7*$B$10) *(G37*G75) *G18/(G56 *$B$14)</f>
        <v>10832750.656836729</v>
      </c>
      <c r="H94" s="63">
        <f>('Prediction Results (Transposed)'!N$3*$B$5*$B$8 + 'Prediction Results (Transposed)'!N$4*$B$6*$B$9+ 'Prediction Results (Transposed)'!N$5*$B$7*$B$10) *(H37*H75) *H18/(H56 *$B$14)</f>
        <v>32351287.748716056</v>
      </c>
      <c r="I94" s="63">
        <f>('Prediction Results (Transposed)'!O$3*$B$5*$B$8 + 'Prediction Results (Transposed)'!O$4*$B$6*$B$9+ 'Prediction Results (Transposed)'!O$5*$B$7*$B$10) *(I37*I75) *I18/(I56 *$B$14)</f>
        <v>28346054.933843624</v>
      </c>
      <c r="K94" s="38">
        <v>2070</v>
      </c>
      <c r="L94" s="63">
        <f>('Prediction Results (Transposed)'!J$3*$B$5*$B$8 + 'Prediction Results (Transposed)'!J$4*$B$6*$B$9+ 'Prediction Results (Transposed)'!J$5*$B$7*$B$10) *(L37*L75) *L18/(L56 *$B$14)</f>
        <v>2177051750.7785439</v>
      </c>
      <c r="M94" s="63">
        <f>('Prediction Results (Transposed)'!K$3*$B$5*$B$8 + 'Prediction Results (Transposed)'!K$4*$B$6*$B$9+ 'Prediction Results (Transposed)'!K$5*$B$7*$B$10) *(M37*M75) *M18/(M56 *$B$14)</f>
        <v>2319595269.1419659</v>
      </c>
      <c r="N94" s="63">
        <f>('Prediction Results (Transposed)'!L$3*$B$5*$B$8 + 'Prediction Results (Transposed)'!L$4*$B$6*$B$9+ 'Prediction Results (Transposed)'!L$5*$B$7*$B$10) *(N37*N75) *N18/(N56 *$B$14)</f>
        <v>109446512.73298216</v>
      </c>
      <c r="O94" s="63">
        <f>('Prediction Results (Transposed)'!M$3*$B$5*$B$8 + 'Prediction Results (Transposed)'!M$4*$B$6*$B$9+ 'Prediction Results (Transposed)'!M$5*$B$7*$B$10) *(O37*O75) *O18/(O56 *$B$14)</f>
        <v>17684373.813172035</v>
      </c>
      <c r="P94" s="63">
        <f>('Prediction Results (Transposed)'!N$3*$B$5*$B$8 + 'Prediction Results (Transposed)'!N$4*$B$6*$B$9+ 'Prediction Results (Transposed)'!N$5*$B$7*$B$10) *(P37*P75) *P18/(P56 *$B$14)</f>
        <v>52783086.850153722</v>
      </c>
      <c r="Q94" s="63">
        <f>('Prediction Results (Transposed)'!O$3*$B$5*$B$8 + 'Prediction Results (Transposed)'!O$4*$B$6*$B$9+ 'Prediction Results (Transposed)'!O$5*$B$7*$B$10) *(Q37*Q75) *Q18/(Q56 *$B$14)</f>
        <v>46302511.564987019</v>
      </c>
      <c r="S94" s="38">
        <v>2070</v>
      </c>
      <c r="T94" s="63">
        <f>('Prediction Results (Transposed)'!J$3*$B$5*$B$8 + 'Prediction Results (Transposed)'!J$4*$B$6*$B$9+ 'Prediction Results (Transposed)'!J$5*$B$7*$B$10) *(T37*T75) *T18/(T56 *$B$14)</f>
        <v>4078609604.9310584</v>
      </c>
      <c r="U94" s="63">
        <f>('Prediction Results (Transposed)'!K$3*$B$5*$B$8 + 'Prediction Results (Transposed)'!K$4*$B$6*$B$9+ 'Prediction Results (Transposed)'!K$5*$B$7*$B$10) *(U37*U75) *U18/(U56 *$B$14)</f>
        <v>4296026963.9063206</v>
      </c>
      <c r="V94" s="63">
        <f>('Prediction Results (Transposed)'!L$3*$B$5*$B$8 + 'Prediction Results (Transposed)'!L$4*$B$6*$B$9+ 'Prediction Results (Transposed)'!L$5*$B$7*$B$10) *(V37*V75) *V18/(V56 *$B$14)</f>
        <v>212306635.85113803</v>
      </c>
      <c r="W94" s="63">
        <f>('Prediction Results (Transposed)'!M$3*$B$5*$B$8 + 'Prediction Results (Transposed)'!M$4*$B$6*$B$9+ 'Prediction Results (Transposed)'!M$5*$B$7*$B$10) *(W37*W75) *W18/(W56 *$B$14)</f>
        <v>34025337.25981392</v>
      </c>
      <c r="X94" s="63">
        <f>('Prediction Results (Transposed)'!N$3*$B$5*$B$8 + 'Prediction Results (Transposed)'!N$4*$B$6*$B$9+ 'Prediction Results (Transposed)'!N$5*$B$7*$B$10) *(X37*X75) *X18/(X56 *$B$14)</f>
        <v>101153250.06702293</v>
      </c>
      <c r="Y94" s="63">
        <f>('Prediction Results (Transposed)'!O$3*$B$5*$B$8 + 'Prediction Results (Transposed)'!O$4*$B$6*$B$9+ 'Prediction Results (Transposed)'!O$5*$B$7*$B$10) *(Y37*Y75) *Y18/(Y56 *$B$14)</f>
        <v>90462176.578271344</v>
      </c>
      <c r="AA94" s="38">
        <v>2070</v>
      </c>
      <c r="AB94" s="63">
        <f>('Prediction Results (Transposed)'!J$3*$B$5*$B$8 + 'Prediction Results (Transposed)'!J$4*$B$6*$B$9+ 'Prediction Results (Transposed)'!J$5*$B$7*$B$10) *(AB37*AB75) *AB18/(AB56 *$B$14)</f>
        <v>8294752660.8667984</v>
      </c>
      <c r="AC94" s="63">
        <f>('Prediction Results (Transposed)'!K$3*$B$5*$B$8 + 'Prediction Results (Transposed)'!K$4*$B$6*$B$9+ 'Prediction Results (Transposed)'!K$5*$B$7*$B$10) *(AC37*AC75) *AC18/(AC56 *$B$14)</f>
        <v>8736918837.9626255</v>
      </c>
      <c r="AD94" s="63">
        <f>('Prediction Results (Transposed)'!L$3*$B$5*$B$8 + 'Prediction Results (Transposed)'!L$4*$B$6*$B$9+ 'Prediction Results (Transposed)'!L$5*$B$7*$B$10) *(AD37*AD75) *AD18/(AD56 *$B$14)</f>
        <v>431499270.2903384</v>
      </c>
      <c r="AE94" s="63">
        <f>('Prediction Results (Transposed)'!M$3*$B$5*$B$8 + 'Prediction Results (Transposed)'!M$4*$B$6*$B$9+ 'Prediction Results (Transposed)'!M$5*$B$7*$B$10) *(AE37*AE75) *AE18/(AE56 *$B$14)</f>
        <v>69263889.985799834</v>
      </c>
      <c r="AF94" s="63">
        <f>('Prediction Results (Transposed)'!N$3*$B$5*$B$8 + 'Prediction Results (Transposed)'!N$4*$B$6*$B$9+ 'Prediction Results (Transposed)'!N$5*$B$7*$B$10) *(AF37*AF75) *AF18/(AF56 *$B$14)</f>
        <v>206254957.33831292</v>
      </c>
      <c r="AG94" s="63">
        <f>('Prediction Results (Transposed)'!O$3*$B$5*$B$8 + 'Prediction Results (Transposed)'!O$4*$B$6*$B$9+ 'Prediction Results (Transposed)'!O$5*$B$7*$B$10) *(AG37*AG75) *AG18/(AG56 *$B$14)</f>
        <v>183354555.42255661</v>
      </c>
    </row>
    <row r="95" spans="1:33">
      <c r="A95" s="599"/>
      <c r="B95" s="600"/>
      <c r="C95" s="38">
        <v>2080</v>
      </c>
      <c r="D95" s="63">
        <f>('Prediction Results (Transposed)'!J$3*$B$5*$B$8 + 'Prediction Results (Transposed)'!J$4*$B$6*$B$9+ 'Prediction Results (Transposed)'!J$5*$B$7*$B$10) *(D38*D76) *D19/(D57 *$B$14)</f>
        <v>1744751709.9856248</v>
      </c>
      <c r="E95" s="63">
        <f>('Prediction Results (Transposed)'!K$3*$B$5*$B$8 + 'Prediction Results (Transposed)'!K$4*$B$6*$B$9+ 'Prediction Results (Transposed)'!K$5*$B$7*$B$10) *(E38*E76) *E19/(E57 *$B$14)</f>
        <v>1858990173.6891203</v>
      </c>
      <c r="F95" s="63">
        <f>('Prediction Results (Transposed)'!L$3*$B$5*$B$8 + 'Prediction Results (Transposed)'!L$4*$B$6*$B$9+ 'Prediction Results (Transposed)'!L$5*$B$7*$B$10) *(F38*F76) *F19/(F57 *$B$14)</f>
        <v>87709465.197264269</v>
      </c>
      <c r="G95" s="63">
        <f>('Prediction Results (Transposed)'!M$3*$B$5*$B$8 + 'Prediction Results (Transposed)'!M$4*$B$6*$B$9+ 'Prediction Results (Transposed)'!M$5*$B$7*$B$10) *(G38*G76) *G19/(G57 *$B$14)</f>
        <v>14171132.032504641</v>
      </c>
      <c r="H95" s="63">
        <f>('Prediction Results (Transposed)'!N$3*$B$5*$B$8 + 'Prediction Results (Transposed)'!N$4*$B$6*$B$9+ 'Prediction Results (Transposed)'!N$5*$B$7*$B$10) *(H38*H76) *H19/(H57 *$B$14)</f>
        <v>42321141.197805285</v>
      </c>
      <c r="I95" s="63">
        <f>('Prediction Results (Transposed)'!O$3*$B$5*$B$8 + 'Prediction Results (Transposed)'!O$4*$B$6*$B$9+ 'Prediction Results (Transposed)'!O$5*$B$7*$B$10) *(I38*I76) *I19/(I57 *$B$14)</f>
        <v>37081596.336255625</v>
      </c>
      <c r="K95" s="38">
        <v>2080</v>
      </c>
      <c r="L95" s="63">
        <f>('Prediction Results (Transposed)'!J$3*$B$5*$B$8 + 'Prediction Results (Transposed)'!J$4*$B$6*$B$9+ 'Prediction Results (Transposed)'!J$5*$B$7*$B$10) *(L38*L76) *L19/(L57 *$B$14)</f>
        <v>3142934583.2141261</v>
      </c>
      <c r="M95" s="63">
        <f>('Prediction Results (Transposed)'!K$3*$B$5*$B$8 + 'Prediction Results (Transposed)'!K$4*$B$6*$B$9+ 'Prediction Results (Transposed)'!K$5*$B$7*$B$10) *(M38*M76) *M19/(M57 *$B$14)</f>
        <v>3348719748.0900655</v>
      </c>
      <c r="N95" s="63">
        <f>('Prediction Results (Transposed)'!L$3*$B$5*$B$8 + 'Prediction Results (Transposed)'!L$4*$B$6*$B$9+ 'Prediction Results (Transposed)'!L$5*$B$7*$B$10) *(N38*N76) *N19/(N57 *$B$14)</f>
        <v>158004158.49446926</v>
      </c>
      <c r="O95" s="63">
        <f>('Prediction Results (Transposed)'!M$3*$B$5*$B$8 + 'Prediction Results (Transposed)'!M$4*$B$6*$B$9+ 'Prediction Results (Transposed)'!M$5*$B$7*$B$10) *(O38*O76) *O19/(O57 *$B$14)</f>
        <v>25530321.004095636</v>
      </c>
      <c r="P95" s="63">
        <f>('Prediction Results (Transposed)'!N$3*$B$5*$B$8 + 'Prediction Results (Transposed)'!N$4*$B$6*$B$9+ 'Prediction Results (Transposed)'!N$5*$B$7*$B$10) *(P38*P76) *P19/(P57 *$B$14)</f>
        <v>76201123.382031217</v>
      </c>
      <c r="Q95" s="63">
        <f>('Prediction Results (Transposed)'!O$3*$B$5*$B$8 + 'Prediction Results (Transposed)'!O$4*$B$6*$B$9+ 'Prediction Results (Transposed)'!O$5*$B$7*$B$10) *(Q38*Q76) *Q19/(Q57 *$B$14)</f>
        <v>66845340.187814854</v>
      </c>
      <c r="S95" s="38">
        <v>2080</v>
      </c>
      <c r="T95" s="63">
        <f>('Prediction Results (Transposed)'!J$3*$B$5*$B$8 + 'Prediction Results (Transposed)'!J$4*$B$6*$B$9+ 'Prediction Results (Transposed)'!J$5*$B$7*$B$10) *(T38*T76) *T19/(T57 *$B$14)</f>
        <v>7384699530.971549</v>
      </c>
      <c r="U95" s="63">
        <f>('Prediction Results (Transposed)'!K$3*$B$5*$B$8 + 'Prediction Results (Transposed)'!K$4*$B$6*$B$9+ 'Prediction Results (Transposed)'!K$5*$B$7*$B$10) *(U38*U76) *U19/(U57 *$B$14)</f>
        <v>7778353747.5723648</v>
      </c>
      <c r="V95" s="63">
        <f>('Prediction Results (Transposed)'!L$3*$B$5*$B$8 + 'Prediction Results (Transposed)'!L$4*$B$6*$B$9+ 'Prediction Results (Transposed)'!L$5*$B$7*$B$10) *(V38*V76) *V19/(V57 *$B$14)</f>
        <v>384400780.18169326</v>
      </c>
      <c r="W95" s="63">
        <f>('Prediction Results (Transposed)'!M$3*$B$5*$B$8 + 'Prediction Results (Transposed)'!M$4*$B$6*$B$9+ 'Prediction Results (Transposed)'!M$5*$B$7*$B$10) *(W38*W76) *W19/(W57 *$B$14)</f>
        <v>61606016.864157259</v>
      </c>
      <c r="X95" s="63">
        <f>('Prediction Results (Transposed)'!N$3*$B$5*$B$8 + 'Prediction Results (Transposed)'!N$4*$B$6*$B$9+ 'Prediction Results (Transposed)'!N$5*$B$7*$B$10) *(X38*X76) *X19/(X57 *$B$14)</f>
        <v>183147305.25399685</v>
      </c>
      <c r="Y95" s="63">
        <f>('Prediction Results (Transposed)'!O$3*$B$5*$B$8 + 'Prediction Results (Transposed)'!O$4*$B$6*$B$9+ 'Prediction Results (Transposed)'!O$5*$B$7*$B$10) *(Y38*Y76) *Y19/(Y57 *$B$14)</f>
        <v>163790128.90583274</v>
      </c>
      <c r="AA95" s="38">
        <v>2080</v>
      </c>
      <c r="AB95" s="63">
        <f>('Prediction Results (Transposed)'!J$3*$B$5*$B$8 + 'Prediction Results (Transposed)'!J$4*$B$6*$B$9+ 'Prediction Results (Transposed)'!J$5*$B$7*$B$10) *(AB38*AB76) *AB19/(AB57 *$B$14)</f>
        <v>20520427451.945671</v>
      </c>
      <c r="AC95" s="63">
        <f>('Prediction Results (Transposed)'!K$3*$B$5*$B$8 + 'Prediction Results (Transposed)'!K$4*$B$6*$B$9+ 'Prediction Results (Transposed)'!K$5*$B$7*$B$10) *(AC38*AC76) *AC19/(AC57 *$B$14)</f>
        <v>21614304428.121944</v>
      </c>
      <c r="AD95" s="63">
        <f>('Prediction Results (Transposed)'!L$3*$B$5*$B$8 + 'Prediction Results (Transposed)'!L$4*$B$6*$B$9+ 'Prediction Results (Transposed)'!L$5*$B$7*$B$10) *(AD38*AD76) *AD19/(AD57 *$B$14)</f>
        <v>1067488065.4771795</v>
      </c>
      <c r="AE95" s="63">
        <f>('Prediction Results (Transposed)'!M$3*$B$5*$B$8 + 'Prediction Results (Transposed)'!M$4*$B$6*$B$9+ 'Prediction Results (Transposed)'!M$5*$B$7*$B$10) *(AE38*AE76) *AE19/(AE57 *$B$14)</f>
        <v>171352261.7978369</v>
      </c>
      <c r="AF95" s="63">
        <f>('Prediction Results (Transposed)'!N$3*$B$5*$B$8 + 'Prediction Results (Transposed)'!N$4*$B$6*$B$9+ 'Prediction Results (Transposed)'!N$5*$B$7*$B$10) *(AF38*AF76) *AF19/(AF57 *$B$14)</f>
        <v>510255104.8487457</v>
      </c>
      <c r="AG95" s="63">
        <f>('Prediction Results (Transposed)'!O$3*$B$5*$B$8 + 'Prediction Results (Transposed)'!O$4*$B$6*$B$9+ 'Prediction Results (Transposed)'!O$5*$B$7*$B$10) *(AG38*AG76) *AG19/(AG57 *$B$14)</f>
        <v>453601693.30704826</v>
      </c>
    </row>
    <row r="96" spans="1:33">
      <c r="A96" s="599"/>
      <c r="B96" s="600"/>
      <c r="C96" s="38">
        <v>2090</v>
      </c>
      <c r="D96" s="63">
        <f>('Prediction Results (Transposed)'!J$3*$B$5*$B$8 + 'Prediction Results (Transposed)'!J$4*$B$6*$B$9+ 'Prediction Results (Transposed)'!J$5*$B$7*$B$10) *(D39*D77) *D20/(D58 *$B$14)</f>
        <v>2158946670.3192992</v>
      </c>
      <c r="E96" s="63">
        <f>('Prediction Results (Transposed)'!K$3*$B$5*$B$8 + 'Prediction Results (Transposed)'!K$4*$B$6*$B$9+ 'Prediction Results (Transposed)'!K$5*$B$7*$B$10) *(E39*E77) *E20/(E58 *$B$14)</f>
        <v>2300304749.7660789</v>
      </c>
      <c r="F96" s="63">
        <f>('Prediction Results (Transposed)'!L$3*$B$5*$B$8 + 'Prediction Results (Transposed)'!L$4*$B$6*$B$9+ 'Prediction Results (Transposed)'!L$5*$B$7*$B$10) *(F39*F77) *F20/(F58 *$B$14)</f>
        <v>108531234.99427912</v>
      </c>
      <c r="G96" s="63">
        <f>('Prediction Results (Transposed)'!M$3*$B$5*$B$8 + 'Prediction Results (Transposed)'!M$4*$B$6*$B$9+ 'Prediction Results (Transposed)'!M$5*$B$7*$B$10) *(G39*G77) *G20/(G58 *$B$14)</f>
        <v>17535284.901072323</v>
      </c>
      <c r="H96" s="63">
        <f>('Prediction Results (Transposed)'!N$3*$B$5*$B$8 + 'Prediction Results (Transposed)'!N$4*$B$6*$B$9+ 'Prediction Results (Transposed)'!N$5*$B$7*$B$10) *(H39*H77) *H20/(H58 *$B$14)</f>
        <v>52367959.492567264</v>
      </c>
      <c r="I96" s="63">
        <f>('Prediction Results (Transposed)'!O$3*$B$5*$B$8 + 'Prediction Results (Transposed)'!O$4*$B$6*$B$9+ 'Prediction Results (Transposed)'!O$5*$B$7*$B$10) *(I39*I77) *I20/(I58 *$B$14)</f>
        <v>45884573.995312504</v>
      </c>
      <c r="K96" s="38">
        <v>2090</v>
      </c>
      <c r="L96" s="63">
        <f>('Prediction Results (Transposed)'!J$3*$B$5*$B$8 + 'Prediction Results (Transposed)'!J$4*$B$6*$B$9+ 'Prediction Results (Transposed)'!J$5*$B$7*$B$10) *(L39*L77) *L20/(L58 *$B$14)</f>
        <v>4323809230.4512997</v>
      </c>
      <c r="M96" s="63">
        <f>('Prediction Results (Transposed)'!K$3*$B$5*$B$8 + 'Prediction Results (Transposed)'!K$4*$B$6*$B$9+ 'Prediction Results (Transposed)'!K$5*$B$7*$B$10) *(M39*M77) *M20/(M58 *$B$14)</f>
        <v>4606912735.0971394</v>
      </c>
      <c r="N96" s="63">
        <f>('Prediction Results (Transposed)'!L$3*$B$5*$B$8 + 'Prediction Results (Transposed)'!L$4*$B$6*$B$9+ 'Prediction Results (Transposed)'!L$5*$B$7*$B$10) *(N39*N77) *N20/(N58 *$B$14)</f>
        <v>217370047.27900556</v>
      </c>
      <c r="O96" s="63">
        <f>('Prediction Results (Transposed)'!M$3*$B$5*$B$8 + 'Prediction Results (Transposed)'!M$4*$B$6*$B$9+ 'Prediction Results (Transposed)'!M$5*$B$7*$B$10) *(O39*O77) *O20/(O58 *$B$14)</f>
        <v>35122664.723426968</v>
      </c>
      <c r="P96" s="63">
        <f>('Prediction Results (Transposed)'!N$3*$B$5*$B$8 + 'Prediction Results (Transposed)'!N$4*$B$6*$B$9+ 'Prediction Results (Transposed)'!N$5*$B$7*$B$10) *(P39*P77) *P20/(P58 *$B$14)</f>
        <v>104831682.59679228</v>
      </c>
      <c r="Q96" s="63">
        <f>('Prediction Results (Transposed)'!O$3*$B$5*$B$8 + 'Prediction Results (Transposed)'!O$4*$B$6*$B$9+ 'Prediction Results (Transposed)'!O$5*$B$7*$B$10) *(Q39*Q77) *Q20/(Q58 *$B$14)</f>
        <v>91960711.005686209</v>
      </c>
      <c r="S96" s="38">
        <v>2090</v>
      </c>
      <c r="T96" s="63">
        <f>('Prediction Results (Transposed)'!J$3*$B$5*$B$8 + 'Prediction Results (Transposed)'!J$4*$B$6*$B$9+ 'Prediction Results (Transposed)'!J$5*$B$7*$B$10) *(T39*T77) *T20/(T58 *$B$14)</f>
        <v>12958067975.922619</v>
      </c>
      <c r="U96" s="63">
        <f>('Prediction Results (Transposed)'!K$3*$B$5*$B$8 + 'Prediction Results (Transposed)'!K$4*$B$6*$B$9+ 'Prediction Results (Transposed)'!K$5*$B$7*$B$10) *(U39*U77) *U20/(U58 *$B$14)</f>
        <v>13648820263.991791</v>
      </c>
      <c r="V96" s="63">
        <f>('Prediction Results (Transposed)'!L$3*$B$5*$B$8 + 'Prediction Results (Transposed)'!L$4*$B$6*$B$9+ 'Prediction Results (Transposed)'!L$5*$B$7*$B$10) *(V39*V77) *V20/(V58 *$B$14)</f>
        <v>674515113.13375616</v>
      </c>
      <c r="W96" s="63">
        <f>('Prediction Results (Transposed)'!M$3*$B$5*$B$8 + 'Prediction Results (Transposed)'!M$4*$B$6*$B$9+ 'Prediction Results (Transposed)'!M$5*$B$7*$B$10) *(W39*W77) *W20/(W58 *$B$14)</f>
        <v>108101209.92784107</v>
      </c>
      <c r="X96" s="63">
        <f>('Prediction Results (Transposed)'!N$3*$B$5*$B$8 + 'Prediction Results (Transposed)'!N$4*$B$6*$B$9+ 'Prediction Results (Transposed)'!N$5*$B$7*$B$10) *(X39*X77) *X20/(X58 *$B$14)</f>
        <v>321371942.23474556</v>
      </c>
      <c r="Y96" s="63">
        <f>('Prediction Results (Transposed)'!O$3*$B$5*$B$8 + 'Prediction Results (Transposed)'!O$4*$B$6*$B$9+ 'Prediction Results (Transposed)'!O$5*$B$7*$B$10) *(Y39*Y77) *Y20/(Y58 *$B$14)</f>
        <v>287405549.16899651</v>
      </c>
      <c r="AA96" s="38">
        <v>2090</v>
      </c>
      <c r="AB96" s="63">
        <f>('Prediction Results (Transposed)'!J$3*$B$5*$B$8 + 'Prediction Results (Transposed)'!J$4*$B$6*$B$9+ 'Prediction Results (Transposed)'!J$5*$B$7*$B$10) *(AB39*AB77) *AB20/(AB58 *$B$14)</f>
        <v>48746339058.057487</v>
      </c>
      <c r="AC96" s="63">
        <f>('Prediction Results (Transposed)'!K$3*$B$5*$B$8 + 'Prediction Results (Transposed)'!K$4*$B$6*$B$9+ 'Prediction Results (Transposed)'!K$5*$B$7*$B$10) *(AC39*AC77) *AC20/(AC58 *$B$14)</f>
        <v>51344847207.722542</v>
      </c>
      <c r="AD96" s="63">
        <f>('Prediction Results (Transposed)'!L$3*$B$5*$B$8 + 'Prediction Results (Transposed)'!L$4*$B$6*$B$9+ 'Prediction Results (Transposed)'!L$5*$B$7*$B$10) *(AD39*AD77) *AD20/(AD58 *$B$14)</f>
        <v>2535821210.4517636</v>
      </c>
      <c r="AE96" s="63">
        <f>('Prediction Results (Transposed)'!M$3*$B$5*$B$8 + 'Prediction Results (Transposed)'!M$4*$B$6*$B$9+ 'Prediction Results (Transposed)'!M$5*$B$7*$B$10) *(AE39*AE77) *AE20/(AE58 *$B$14)</f>
        <v>407047829.36528963</v>
      </c>
      <c r="AF96" s="63">
        <f>('Prediction Results (Transposed)'!N$3*$B$5*$B$8 + 'Prediction Results (Transposed)'!N$4*$B$6*$B$9+ 'Prediction Results (Transposed)'!N$5*$B$7*$B$10) *(AF39*AF77) *AF20/(AF58 *$B$14)</f>
        <v>1212112584.1705244</v>
      </c>
      <c r="AG96" s="63">
        <f>('Prediction Results (Transposed)'!O$3*$B$5*$B$8 + 'Prediction Results (Transposed)'!O$4*$B$6*$B$9+ 'Prediction Results (Transposed)'!O$5*$B$7*$B$10) *(AG39*AG77) *AG20/(AG58 *$B$14)</f>
        <v>1077532229.3375454</v>
      </c>
    </row>
    <row r="97" spans="1:33">
      <c r="A97" s="599"/>
      <c r="B97" s="600"/>
      <c r="C97" s="38">
        <v>2100</v>
      </c>
      <c r="D97" s="63">
        <f>('Prediction Results (Transposed)'!J$3*$B$5*$B$8 + 'Prediction Results (Transposed)'!J$4*$B$6*$B$9+ 'Prediction Results (Transposed)'!J$5*$B$7*$B$10) *(D40*D78) *D21/(D59 *$B$14)</f>
        <v>2617605967.0641351</v>
      </c>
      <c r="E97" s="63">
        <f>('Prediction Results (Transposed)'!K$3*$B$5*$B$8 + 'Prediction Results (Transposed)'!K$4*$B$6*$B$9+ 'Prediction Results (Transposed)'!K$5*$B$7*$B$10) *(E40*E78) *E21/(E59 *$B$14)</f>
        <v>2788994986.2277679</v>
      </c>
      <c r="F97" s="63">
        <f>('Prediction Results (Transposed)'!L$3*$B$5*$B$8 + 'Prediction Results (Transposed)'!L$4*$B$6*$B$9+ 'Prediction Results (Transposed)'!L$5*$B$7*$B$10) *(F40*F78) *F21/(F59 *$B$14)</f>
        <v>131588247.28720546</v>
      </c>
      <c r="G97" s="63">
        <f>('Prediction Results (Transposed)'!M$3*$B$5*$B$8 + 'Prediction Results (Transposed)'!M$4*$B$6*$B$9+ 'Prediction Results (Transposed)'!M$5*$B$7*$B$10) *(G40*G78) *G21/(G59 *$B$14)</f>
        <v>21260583.701415863</v>
      </c>
      <c r="H97" s="63">
        <f>('Prediction Results (Transposed)'!N$3*$B$5*$B$8 + 'Prediction Results (Transposed)'!N$4*$B$6*$B$9+ 'Prediction Results (Transposed)'!N$5*$B$7*$B$10) *(H40*H78) *H21/(H59 *$B$14)</f>
        <v>63493316.039364502</v>
      </c>
      <c r="I97" s="63">
        <f>('Prediction Results (Transposed)'!O$3*$B$5*$B$8 + 'Prediction Results (Transposed)'!O$4*$B$6*$B$9+ 'Prediction Results (Transposed)'!O$5*$B$7*$B$10) *(I40*I78) *I21/(I59 *$B$14)</f>
        <v>55632562.090365306</v>
      </c>
      <c r="K97" s="38">
        <v>2100</v>
      </c>
      <c r="L97" s="63">
        <f>('Prediction Results (Transposed)'!J$3*$B$5*$B$8 + 'Prediction Results (Transposed)'!J$4*$B$6*$B$9+ 'Prediction Results (Transposed)'!J$5*$B$7*$B$10) *(L40*L78) *L21/(L59 *$B$14)</f>
        <v>5788307149.9401989</v>
      </c>
      <c r="M97" s="63">
        <f>('Prediction Results (Transposed)'!K$3*$B$5*$B$8 + 'Prediction Results (Transposed)'!K$4*$B$6*$B$9+ 'Prediction Results (Transposed)'!K$5*$B$7*$B$10) *(M40*M78) *M21/(M59 *$B$14)</f>
        <v>6167299365.5480995</v>
      </c>
      <c r="N97" s="63">
        <f>('Prediction Results (Transposed)'!L$3*$B$5*$B$8 + 'Prediction Results (Transposed)'!L$4*$B$6*$B$9+ 'Prediction Results (Transposed)'!L$5*$B$7*$B$10) *(N40*N78) *N21/(N59 *$B$14)</f>
        <v>290994475.42383379</v>
      </c>
      <c r="O97" s="63">
        <f>('Prediction Results (Transposed)'!M$3*$B$5*$B$8 + 'Prediction Results (Transposed)'!M$4*$B$6*$B$9+ 'Prediction Results (Transposed)'!M$5*$B$7*$B$10) *(O40*O78) *O21/(O59 *$B$14)</f>
        <v>47018904.051496521</v>
      </c>
      <c r="P97" s="63">
        <f>('Prediction Results (Transposed)'!N$3*$B$5*$B$8 + 'Prediction Results (Transposed)'!N$4*$B$6*$B$9+ 'Prediction Results (Transposed)'!N$5*$B$7*$B$10) *(P40*P78) *P21/(P59 *$B$14)</f>
        <v>140338748.90727758</v>
      </c>
      <c r="Q97" s="63">
        <f>('Prediction Results (Transposed)'!O$3*$B$5*$B$8 + 'Prediction Results (Transposed)'!O$4*$B$6*$B$9+ 'Prediction Results (Transposed)'!O$5*$B$7*$B$10) *(Q40*Q78) *Q21/(Q59 *$B$14)</f>
        <v>123108308.59025639</v>
      </c>
      <c r="S97" s="38">
        <v>2100</v>
      </c>
      <c r="T97" s="63">
        <f>('Prediction Results (Transposed)'!J$3*$B$5*$B$8 + 'Prediction Results (Transposed)'!J$4*$B$6*$B$9+ 'Prediction Results (Transposed)'!J$5*$B$7*$B$10) *(T40*T78) *T21/(T59 *$B$14)</f>
        <v>22380606546.335236</v>
      </c>
      <c r="U97" s="63">
        <f>('Prediction Results (Transposed)'!K$3*$B$5*$B$8 + 'Prediction Results (Transposed)'!K$4*$B$6*$B$9+ 'Prediction Results (Transposed)'!K$5*$B$7*$B$10) *(U40*U78) *U21/(U59 *$B$14)</f>
        <v>23573643595.452595</v>
      </c>
      <c r="V97" s="63">
        <f>('Prediction Results (Transposed)'!L$3*$B$5*$B$8 + 'Prediction Results (Transposed)'!L$4*$B$6*$B$9+ 'Prediction Results (Transposed)'!L$5*$B$7*$B$10) *(V40*V78) *V21/(V59 *$B$14)</f>
        <v>1164992912.8827977</v>
      </c>
      <c r="W97" s="63">
        <f>('Prediction Results (Transposed)'!M$3*$B$5*$B$8 + 'Prediction Results (Transposed)'!M$4*$B$6*$B$9+ 'Prediction Results (Transposed)'!M$5*$B$7*$B$10) *(W40*W78) *W21/(W59 *$B$14)</f>
        <v>186707667.46039847</v>
      </c>
      <c r="X97" s="63">
        <f>('Prediction Results (Transposed)'!N$3*$B$5*$B$8 + 'Prediction Results (Transposed)'!N$4*$B$6*$B$9+ 'Prediction Results (Transposed)'!N$5*$B$7*$B$10) *(X40*X78) *X21/(X59 *$B$14)</f>
        <v>555059520.25809658</v>
      </c>
      <c r="Y97" s="63">
        <f>('Prediction Results (Transposed)'!O$3*$B$5*$B$8 + 'Prediction Results (Transposed)'!O$4*$B$6*$B$9+ 'Prediction Results (Transposed)'!O$5*$B$7*$B$10) *(Y40*Y78) *Y21/(Y59 *$B$14)</f>
        <v>496394256.23762643</v>
      </c>
      <c r="AA97" s="38">
        <v>2100</v>
      </c>
      <c r="AB97" s="63">
        <f>('Prediction Results (Transposed)'!J$3*$B$5*$B$8 + 'Prediction Results (Transposed)'!J$4*$B$6*$B$9+ 'Prediction Results (Transposed)'!J$5*$B$7*$B$10) *(AB40*AB78) *AB21/(AB59 *$B$14)</f>
        <v>108224248644.42322</v>
      </c>
      <c r="AC97" s="63">
        <f>('Prediction Results (Transposed)'!K$3*$B$5*$B$8 + 'Prediction Results (Transposed)'!K$4*$B$6*$B$9+ 'Prediction Results (Transposed)'!K$5*$B$7*$B$10) *(AC40*AC78) *AC21/(AC59 *$B$14)</f>
        <v>113993329923.7162</v>
      </c>
      <c r="AD97" s="63">
        <f>('Prediction Results (Transposed)'!L$3*$B$5*$B$8 + 'Prediction Results (Transposed)'!L$4*$B$6*$B$9+ 'Prediction Results (Transposed)'!L$5*$B$7*$B$10) *(AD40*AD78) *AD21/(AD59 *$B$14)</f>
        <v>5629906788.9154816</v>
      </c>
      <c r="AE97" s="63">
        <f>('Prediction Results (Transposed)'!M$3*$B$5*$B$8 + 'Prediction Results (Transposed)'!M$4*$B$6*$B$9+ 'Prediction Results (Transposed)'!M$5*$B$7*$B$10) *(AE40*AE78) *AE21/(AE59 *$B$14)</f>
        <v>903707772.65826738</v>
      </c>
      <c r="AF97" s="63">
        <f>('Prediction Results (Transposed)'!N$3*$B$5*$B$8 + 'Prediction Results (Transposed)'!N$4*$B$6*$B$9+ 'Prediction Results (Transposed)'!N$5*$B$7*$B$10) *(AF40*AF78) *AF21/(AF59 *$B$14)</f>
        <v>2691073344.7709413</v>
      </c>
      <c r="AG97" s="63">
        <f>('Prediction Results (Transposed)'!O$3*$B$5*$B$8 + 'Prediction Results (Transposed)'!O$4*$B$6*$B$9+ 'Prediction Results (Transposed)'!O$5*$B$7*$B$10) *(AG40*AG78) *AG21/(AG59 *$B$14)</f>
        <v>2392284593.337688</v>
      </c>
    </row>
    <row r="98" spans="1:33">
      <c r="A98" s="383"/>
      <c r="B98" s="383"/>
      <c r="C98" s="376" t="s">
        <v>87</v>
      </c>
      <c r="D98" s="597" t="s">
        <v>269</v>
      </c>
      <c r="E98" s="597"/>
      <c r="F98" s="597"/>
      <c r="G98" s="597"/>
      <c r="H98" s="597"/>
      <c r="I98" s="598"/>
      <c r="K98" s="376" t="s">
        <v>87</v>
      </c>
      <c r="L98" s="597" t="s">
        <v>269</v>
      </c>
      <c r="M98" s="597"/>
      <c r="N98" s="597"/>
      <c r="O98" s="597"/>
      <c r="P98" s="597"/>
      <c r="Q98" s="598"/>
      <c r="S98" s="376" t="s">
        <v>87</v>
      </c>
      <c r="T98" s="597" t="s">
        <v>269</v>
      </c>
      <c r="U98" s="597"/>
      <c r="V98" s="597"/>
      <c r="W98" s="597"/>
      <c r="X98" s="597"/>
      <c r="Y98" s="598"/>
      <c r="AA98" s="376" t="s">
        <v>87</v>
      </c>
      <c r="AB98" s="597" t="s">
        <v>269</v>
      </c>
      <c r="AC98" s="597"/>
      <c r="AD98" s="597"/>
      <c r="AE98" s="597"/>
      <c r="AF98" s="597"/>
      <c r="AG98" s="598"/>
    </row>
    <row r="99" spans="1:33">
      <c r="A99" s="589"/>
      <c r="B99" s="590"/>
      <c r="C99" s="38">
        <v>2020</v>
      </c>
      <c r="D99" s="63">
        <f>('Demographic-Economic'!C$22+'Demographic-Economic'!C$23+'Demographic-Economic'!C$24)*1000*(1+'Inflation-Interest'!$C$65)*(1+'Inflation-Interest'!$C$66)*(1+'Inflation-Interest'!$C$67)* ('Prediction Results (Transposed)'!J$3*($B$8/12)*$B$5+ 'Prediction Results (Transposed)'!J$4*($B$9/12)*$B$6+ 'Prediction Results (Transposed)'!J$5*($B$10/12)*$B$7)*D4/D42*(1+$B$15)^($C99-$C$99)*1/$B$14</f>
        <v>80878825.222779036</v>
      </c>
      <c r="E99" s="63">
        <f>('Demographic-Economic'!D$22+'Demographic-Economic'!D$23+'Demographic-Economic'!D$24)*1000*(1+'Inflation-Interest'!$C$65)*(1+'Inflation-Interest'!$C$66)*(1+'Inflation-Interest'!$C$67)* ('Prediction Results (Transposed)'!K$3*($B$8/12)*$B$5+ 'Prediction Results (Transposed)'!K$4*($B$9/12)*$B$6+ 'Prediction Results (Transposed)'!K$5*($B$10/12)*$B$7)*E4/E42*(1+$B$15)^($C99-$C$99)*1/$B$14</f>
        <v>103902026.28162192</v>
      </c>
      <c r="F99" s="63">
        <f>('Demographic-Economic'!E$22+'Demographic-Economic'!E$23+'Demographic-Economic'!E$24)*1000*(1+'Inflation-Interest'!$C$65)*(1+'Inflation-Interest'!$C$66)*(1+'Inflation-Interest'!$C$67)* ('Prediction Results (Transposed)'!L$3*($B$8/12)*$B$5+ 'Prediction Results (Transposed)'!L$4*($B$9/12)*$B$6+ 'Prediction Results (Transposed)'!L$5*($B$10/12)*$B$7)*F4/F42*(1+$B$15)^($C99-$C$99)*1/$B$14</f>
        <v>5160080.9187419061</v>
      </c>
      <c r="G99" s="63">
        <f>('Demographic-Economic'!F$22+'Demographic-Economic'!F$23+'Demographic-Economic'!F$24)*1000*(1+'Inflation-Interest'!$C$65)*(1+'Inflation-Interest'!$C$66)*(1+'Inflation-Interest'!$C$67)* ('Prediction Results (Transposed)'!M$3*($B$8/12)*$B$5+ 'Prediction Results (Transposed)'!M$4*($B$9/12)*$B$6+ 'Prediction Results (Transposed)'!M$5*($B$10/12)*$B$7)*G4/G42*(1+$B$15)^($C99-$C$99)*1/$B$14</f>
        <v>611578.55014335678</v>
      </c>
      <c r="H99" s="63">
        <f>('Demographic-Economic'!G$22+'Demographic-Economic'!G$23+'Demographic-Economic'!G$24)*1000*(1+'Inflation-Interest'!$C$65)*(1+'Inflation-Interest'!$C$66)*(1+'Inflation-Interest'!$C$67)* ('Prediction Results (Transposed)'!N$3*($B$8/12)*$B$5+ 'Prediction Results (Transposed)'!N$4*($B$9/12)*$B$6+ 'Prediction Results (Transposed)'!N$5*($B$10/12)*$B$7)*H4/H42*(1+$B$15)^($C99-$C$99)*1/$B$14</f>
        <v>1874391.0379006553</v>
      </c>
      <c r="I99" s="63">
        <f>('Demographic-Economic'!H$22+'Demographic-Economic'!H$23+'Demographic-Economic'!H$24)*1000*(1+'Inflation-Interest'!$C$65)*(1+'Inflation-Interest'!$C$66)*(1+'Inflation-Interest'!$C$67)* ('Prediction Results (Transposed)'!O$3*($B$8/12)*$B$5+ 'Prediction Results (Transposed)'!O$4*($B$9/12)*$B$6+ 'Prediction Results (Transposed)'!O$5*($B$10/12)*$B$7)*I4/I42*(1+$B$15)^($C99-$C$99)*1/$B$14</f>
        <v>467113.24368319404</v>
      </c>
      <c r="K99" s="38">
        <v>2020</v>
      </c>
      <c r="L99" s="63">
        <f>('Demographic-Economic'!C$22+'Demographic-Economic'!C$23+'Demographic-Economic'!C$24)*1000*(1+'Inflation-Interest'!$C$65)*(1+'Inflation-Interest'!$C$66)*(1+'Inflation-Interest'!$C$67)* ('Prediction Results (Transposed)'!J$3*($B$8/12)*$B$5+ 'Prediction Results (Transposed)'!J$4*($B$9/12)*$B$6+ 'Prediction Results (Transposed)'!J$5*($B$10/12)*$B$7)*L4/L42*(1+$B$15)^($C99-$C$99)*1/$B$14</f>
        <v>80878825.222779036</v>
      </c>
      <c r="M99" s="63">
        <f>('Demographic-Economic'!D$22+'Demographic-Economic'!D$23+'Demographic-Economic'!D$24)*1000*(1+'Inflation-Interest'!$C$65)*(1+'Inflation-Interest'!$C$66)*(1+'Inflation-Interest'!$C$67)* ('Prediction Results (Transposed)'!K$3*($B$8/12)*$B$5+ 'Prediction Results (Transposed)'!K$4*($B$9/12)*$B$6+ 'Prediction Results (Transposed)'!K$5*($B$10/12)*$B$7)*M4/M42*(1+$B$15)^($C99-$C$99)*1/$B$14</f>
        <v>103902026.28162192</v>
      </c>
      <c r="N99" s="63">
        <f>('Demographic-Economic'!E$22+'Demographic-Economic'!E$23+'Demographic-Economic'!E$24)*1000*(1+'Inflation-Interest'!$C$65)*(1+'Inflation-Interest'!$C$66)*(1+'Inflation-Interest'!$C$67)* ('Prediction Results (Transposed)'!L$3*($B$8/12)*$B$5+ 'Prediction Results (Transposed)'!L$4*($B$9/12)*$B$6+ 'Prediction Results (Transposed)'!L$5*($B$10/12)*$B$7)*N4/N42*(1+$B$15)^($C99-$C$99)*1/$B$14</f>
        <v>5160080.9187419061</v>
      </c>
      <c r="O99" s="63">
        <f>('Demographic-Economic'!F$22+'Demographic-Economic'!F$23+'Demographic-Economic'!F$24)*1000*(1+'Inflation-Interest'!$C$65)*(1+'Inflation-Interest'!$C$66)*(1+'Inflation-Interest'!$C$67)* ('Prediction Results (Transposed)'!M$3*($B$8/12)*$B$5+ 'Prediction Results (Transposed)'!M$4*($B$9/12)*$B$6+ 'Prediction Results (Transposed)'!M$5*($B$10/12)*$B$7)*O4/O42*(1+$B$15)^($C99-$C$99)*1/$B$14</f>
        <v>611578.55014335678</v>
      </c>
      <c r="P99" s="63">
        <f>('Demographic-Economic'!G$22+'Demographic-Economic'!G$23+'Demographic-Economic'!G$24)*1000*(1+'Inflation-Interest'!$C$65)*(1+'Inflation-Interest'!$C$66)*(1+'Inflation-Interest'!$C$67)* ('Prediction Results (Transposed)'!N$3*($B$8/12)*$B$5+ 'Prediction Results (Transposed)'!N$4*($B$9/12)*$B$6+ 'Prediction Results (Transposed)'!N$5*($B$10/12)*$B$7)*P4/P42*(1+$B$15)^($C99-$C$99)*1/$B$14</f>
        <v>1874391.0379006553</v>
      </c>
      <c r="Q99" s="63">
        <f>('Demographic-Economic'!H$22+'Demographic-Economic'!H$23+'Demographic-Economic'!H$24)*1000*(1+'Inflation-Interest'!$C$65)*(1+'Inflation-Interest'!$C$66)*(1+'Inflation-Interest'!$C$67)* ('Prediction Results (Transposed)'!O$3*($B$8/12)*$B$5+ 'Prediction Results (Transposed)'!O$4*($B$9/12)*$B$6+ 'Prediction Results (Transposed)'!O$5*($B$10/12)*$B$7)*Q4/Q42*(1+$B$15)^($C99-$C$99)*1/$B$14</f>
        <v>467113.24368319404</v>
      </c>
      <c r="S99" s="38">
        <v>2020</v>
      </c>
      <c r="T99" s="63">
        <f>('Demographic-Economic'!C$22+'Demographic-Economic'!C$23+'Demographic-Economic'!C$24)*1000*(1+'Inflation-Interest'!$C$65)*(1+'Inflation-Interest'!$C$66)*(1+'Inflation-Interest'!$C$67)* ('Prediction Results (Transposed)'!J$3*($B$8/12)*$B$5+ 'Prediction Results (Transposed)'!J$4*($B$9/12)*$B$6+ 'Prediction Results (Transposed)'!J$5*($B$10/12)*$B$7)*T4/T42*(1+$B$15)^($C99-$C$99)*1/$B$14</f>
        <v>80878825.222779036</v>
      </c>
      <c r="U99" s="63">
        <f>('Demographic-Economic'!D$22+'Demographic-Economic'!D$23+'Demographic-Economic'!D$24)*1000*(1+'Inflation-Interest'!$C$65)*(1+'Inflation-Interest'!$C$66)*(1+'Inflation-Interest'!$C$67)* ('Prediction Results (Transposed)'!K$3*($B$8/12)*$B$5+ 'Prediction Results (Transposed)'!K$4*($B$9/12)*$B$6+ 'Prediction Results (Transposed)'!K$5*($B$10/12)*$B$7)*U4/U42*(1+$B$15)^($C99-$C$99)*1/$B$14</f>
        <v>103902026.28162192</v>
      </c>
      <c r="V99" s="63">
        <f>('Demographic-Economic'!E$22+'Demographic-Economic'!E$23+'Demographic-Economic'!E$24)*1000*(1+'Inflation-Interest'!$C$65)*(1+'Inflation-Interest'!$C$66)*(1+'Inflation-Interest'!$C$67)* ('Prediction Results (Transposed)'!L$3*($B$8/12)*$B$5+ 'Prediction Results (Transposed)'!L$4*($B$9/12)*$B$6+ 'Prediction Results (Transposed)'!L$5*($B$10/12)*$B$7)*V4/V42*(1+$B$15)^($C99-$C$99)*1/$B$14</f>
        <v>5160080.9187419061</v>
      </c>
      <c r="W99" s="63">
        <f>('Demographic-Economic'!F$22+'Demographic-Economic'!F$23+'Demographic-Economic'!F$24)*1000*(1+'Inflation-Interest'!$C$65)*(1+'Inflation-Interest'!$C$66)*(1+'Inflation-Interest'!$C$67)* ('Prediction Results (Transposed)'!M$3*($B$8/12)*$B$5+ 'Prediction Results (Transposed)'!M$4*($B$9/12)*$B$6+ 'Prediction Results (Transposed)'!M$5*($B$10/12)*$B$7)*W4/W42*(1+$B$15)^($C99-$C$99)*1/$B$14</f>
        <v>611578.55014335678</v>
      </c>
      <c r="X99" s="63">
        <f>('Demographic-Economic'!G$22+'Demographic-Economic'!G$23+'Demographic-Economic'!G$24)*1000*(1+'Inflation-Interest'!$C$65)*(1+'Inflation-Interest'!$C$66)*(1+'Inflation-Interest'!$C$67)* ('Prediction Results (Transposed)'!N$3*($B$8/12)*$B$5+ 'Prediction Results (Transposed)'!N$4*($B$9/12)*$B$6+ 'Prediction Results (Transposed)'!N$5*($B$10/12)*$B$7)*X4/X42*(1+$B$15)^($C99-$C$99)*1/$B$14</f>
        <v>1874391.0379006553</v>
      </c>
      <c r="Y99" s="63">
        <f>('Demographic-Economic'!H$22+'Demographic-Economic'!H$23+'Demographic-Economic'!H$24)*1000*(1+'Inflation-Interest'!$C$65)*(1+'Inflation-Interest'!$C$66)*(1+'Inflation-Interest'!$C$67)* ('Prediction Results (Transposed)'!O$3*($B$8/12)*$B$5+ 'Prediction Results (Transposed)'!O$4*($B$9/12)*$B$6+ 'Prediction Results (Transposed)'!O$5*($B$10/12)*$B$7)*Y4/Y42*(1+$B$15)^($C99-$C$99)*1/$B$14</f>
        <v>467113.24368319404</v>
      </c>
      <c r="AA99" s="38">
        <v>2020</v>
      </c>
      <c r="AB99" s="63">
        <f>('Demographic-Economic'!C$22+'Demographic-Economic'!C$23+'Demographic-Economic'!C$24)*1000*(1+'Inflation-Interest'!$C$65)*(1+'Inflation-Interest'!$C$66)*(1+'Inflation-Interest'!$C$67)* ('Prediction Results (Transposed)'!J$3*($B$8/12)*$B$5+ 'Prediction Results (Transposed)'!J$4*($B$9/12)*$B$6+ 'Prediction Results (Transposed)'!J$5*($B$10/12)*$B$7)*AB4/AB42*(1+$B$15)^($C99-$C$99)*1/$B$14</f>
        <v>80878825.222779036</v>
      </c>
      <c r="AC99" s="63">
        <f>('Demographic-Economic'!D$22+'Demographic-Economic'!D$23+'Demographic-Economic'!D$24)*1000*(1+'Inflation-Interest'!$C$65)*(1+'Inflation-Interest'!$C$66)*(1+'Inflation-Interest'!$C$67)* ('Prediction Results (Transposed)'!K$3*($B$8/12)*$B$5+ 'Prediction Results (Transposed)'!K$4*($B$9/12)*$B$6+ 'Prediction Results (Transposed)'!K$5*($B$10/12)*$B$7)*AC4/AC42*(1+$B$15)^($C99-$C$99)*1/$B$14</f>
        <v>103902026.28162192</v>
      </c>
      <c r="AD99" s="63">
        <f>('Demographic-Economic'!E$22+'Demographic-Economic'!E$23+'Demographic-Economic'!E$24)*1000*(1+'Inflation-Interest'!$C$65)*(1+'Inflation-Interest'!$C$66)*(1+'Inflation-Interest'!$C$67)* ('Prediction Results (Transposed)'!L$3*($B$8/12)*$B$5+ 'Prediction Results (Transposed)'!L$4*($B$9/12)*$B$6+ 'Prediction Results (Transposed)'!L$5*($B$10/12)*$B$7)*AD4/AD42*(1+$B$15)^($C99-$C$99)*1/$B$14</f>
        <v>5160080.9187419061</v>
      </c>
      <c r="AE99" s="63">
        <f>('Demographic-Economic'!F$22+'Demographic-Economic'!F$23+'Demographic-Economic'!F$24)*1000*(1+'Inflation-Interest'!$C$65)*(1+'Inflation-Interest'!$C$66)*(1+'Inflation-Interest'!$C$67)* ('Prediction Results (Transposed)'!M$3*($B$8/12)*$B$5+ 'Prediction Results (Transposed)'!M$4*($B$9/12)*$B$6+ 'Prediction Results (Transposed)'!M$5*($B$10/12)*$B$7)*AE4/AE42*(1+$B$15)^($C99-$C$99)*1/$B$14</f>
        <v>611578.55014335678</v>
      </c>
      <c r="AF99" s="63">
        <f>('Demographic-Economic'!G$22+'Demographic-Economic'!G$23+'Demographic-Economic'!G$24)*1000*(1+'Inflation-Interest'!$C$65)*(1+'Inflation-Interest'!$C$66)*(1+'Inflation-Interest'!$C$67)* ('Prediction Results (Transposed)'!N$3*($B$8/12)*$B$5+ 'Prediction Results (Transposed)'!N$4*($B$9/12)*$B$6+ 'Prediction Results (Transposed)'!N$5*($B$10/12)*$B$7)*AF4/AF42*(1+$B$15)^($C99-$C$99)*1/$B$14</f>
        <v>1874391.0379006553</v>
      </c>
      <c r="AG99" s="63">
        <f>('Demographic-Economic'!H$22+'Demographic-Economic'!H$23+'Demographic-Economic'!H$24)*1000*(1+'Inflation-Interest'!$C$65)*(1+'Inflation-Interest'!$C$66)*(1+'Inflation-Interest'!$C$67)* ('Prediction Results (Transposed)'!O$3*($B$8/12)*$B$5+ 'Prediction Results (Transposed)'!O$4*($B$9/12)*$B$6+ 'Prediction Results (Transposed)'!O$5*($B$10/12)*$B$7)*AG4/AG42*(1+$B$15)^($C99-$C$99)*1/$B$14</f>
        <v>467113.24368319404</v>
      </c>
    </row>
    <row r="100" spans="1:33">
      <c r="A100" s="589"/>
      <c r="B100" s="590"/>
      <c r="C100" s="38">
        <v>2021</v>
      </c>
      <c r="D100" s="63">
        <f>('Demographic-Economic'!C$22+'Demographic-Economic'!C$23+'Demographic-Economic'!C$24)*1000*(1+'Inflation-Interest'!$C$65)*(1+'Inflation-Interest'!$C$66)*(1+'Inflation-Interest'!$C$67)* ('Prediction Results (Transposed)'!J$3*($B$8/12)*$B$5+ 'Prediction Results (Transposed)'!J$4*($B$9/12)*$B$6+ 'Prediction Results (Transposed)'!J$5*($B$10/12)*$B$7)*D5/D43*(1+$B$15)^($C100-$C$99)*1/$B$14</f>
        <v>85710159.013496056</v>
      </c>
      <c r="E100" s="63">
        <f>('Demographic-Economic'!D$22+'Demographic-Economic'!D$23+'Demographic-Economic'!D$24)*1000*(1+'Inflation-Interest'!$C$65)*(1+'Inflation-Interest'!$C$66)*(1+'Inflation-Interest'!$C$67)* ('Prediction Results (Transposed)'!K$3*($B$8/12)*$B$5+ 'Prediction Results (Transposed)'!K$4*($B$9/12)*$B$6+ 'Prediction Results (Transposed)'!K$5*($B$10/12)*$B$7)*E5/E43*(1+$B$15)^($C100-$C$99)*1/$B$14</f>
        <v>110108661.5673801</v>
      </c>
      <c r="F100" s="63">
        <f>('Demographic-Economic'!E$22+'Demographic-Economic'!E$23+'Demographic-Economic'!E$24)*1000*(1+'Inflation-Interest'!$C$65)*(1+'Inflation-Interest'!$C$66)*(1+'Inflation-Interest'!$C$67)* ('Prediction Results (Transposed)'!L$3*($B$8/12)*$B$5+ 'Prediction Results (Transposed)'!L$4*($B$9/12)*$B$6+ 'Prediction Results (Transposed)'!L$5*($B$10/12)*$B$7)*F5/F43*(1+$B$15)^($C100-$C$99)*1/$B$14</f>
        <v>5468320.7236213982</v>
      </c>
      <c r="G100" s="63">
        <f>('Demographic-Economic'!F$22+'Demographic-Economic'!F$23+'Demographic-Economic'!F$24)*1000*(1+'Inflation-Interest'!$C$65)*(1+'Inflation-Interest'!$C$66)*(1+'Inflation-Interest'!$C$67)* ('Prediction Results (Transposed)'!M$3*($B$8/12)*$B$5+ 'Prediction Results (Transposed)'!M$4*($B$9/12)*$B$6+ 'Prediction Results (Transposed)'!M$5*($B$10/12)*$B$7)*G5/G43*(1+$B$15)^($C100-$C$99)*1/$B$14</f>
        <v>648111.47587325657</v>
      </c>
      <c r="H100" s="63">
        <f>('Demographic-Economic'!G$22+'Demographic-Economic'!G$23+'Demographic-Economic'!G$24)*1000*(1+'Inflation-Interest'!$C$65)*(1+'Inflation-Interest'!$C$66)*(1+'Inflation-Interest'!$C$67)* ('Prediction Results (Transposed)'!N$3*($B$8/12)*$B$5+ 'Prediction Results (Transposed)'!N$4*($B$9/12)*$B$6+ 'Prediction Results (Transposed)'!N$5*($B$10/12)*$B$7)*H5/H43*(1+$B$15)^($C100-$C$99)*1/$B$14</f>
        <v>1986358.6478836457</v>
      </c>
      <c r="I100" s="63">
        <f>('Demographic-Economic'!H$22+'Demographic-Economic'!H$23+'Demographic-Economic'!H$24)*1000*(1+'Inflation-Interest'!$C$65)*(1+'Inflation-Interest'!$C$66)*(1+'Inflation-Interest'!$C$67)* ('Prediction Results (Transposed)'!O$3*($B$8/12)*$B$5+ 'Prediction Results (Transposed)'!O$4*($B$9/12)*$B$6+ 'Prediction Results (Transposed)'!O$5*($B$10/12)*$B$7)*I5/I43*(1+$B$15)^($C100-$C$99)*1/$B$14</f>
        <v>495016.4679459327</v>
      </c>
      <c r="K100" s="38">
        <v>2021</v>
      </c>
      <c r="L100" s="63">
        <f>('Demographic-Economic'!C$22+'Demographic-Economic'!C$23+'Demographic-Economic'!C$24)*1000*(1+'Inflation-Interest'!$C$65)*(1+'Inflation-Interest'!$C$66)*(1+'Inflation-Interest'!$C$67)* ('Prediction Results (Transposed)'!J$3*($B$8/12)*$B$5+ 'Prediction Results (Transposed)'!J$4*($B$9/12)*$B$6+ 'Prediction Results (Transposed)'!J$5*($B$10/12)*$B$7)*L5/L43*(1+$B$15)^($C100-$C$99)*1/$B$14</f>
        <v>85944388.360107258</v>
      </c>
      <c r="M100" s="63">
        <f>('Demographic-Economic'!D$22+'Demographic-Economic'!D$23+'Demographic-Economic'!D$24)*1000*(1+'Inflation-Interest'!$C$65)*(1+'Inflation-Interest'!$C$66)*(1+'Inflation-Interest'!$C$67)* ('Prediction Results (Transposed)'!K$3*($B$8/12)*$B$5+ 'Prediction Results (Transposed)'!K$4*($B$9/12)*$B$6+ 'Prediction Results (Transposed)'!K$5*($B$10/12)*$B$7)*M5/M43*(1+$B$15)^($C100-$C$99)*1/$B$14</f>
        <v>110409567.319417</v>
      </c>
      <c r="N100" s="63">
        <f>('Demographic-Economic'!E$22+'Demographic-Economic'!E$23+'Demographic-Economic'!E$24)*1000*(1+'Inflation-Interest'!$C$65)*(1+'Inflation-Interest'!$C$66)*(1+'Inflation-Interest'!$C$67)* ('Prediction Results (Transposed)'!L$3*($B$8/12)*$B$5+ 'Prediction Results (Transposed)'!L$4*($B$9/12)*$B$6+ 'Prediction Results (Transposed)'!L$5*($B$10/12)*$B$7)*N5/N43*(1+$B$15)^($C100-$C$99)*1/$B$14</f>
        <v>5483264.5903099729</v>
      </c>
      <c r="O100" s="63">
        <f>('Demographic-Economic'!F$22+'Demographic-Economic'!F$23+'Demographic-Economic'!F$24)*1000*(1+'Inflation-Interest'!$C$65)*(1+'Inflation-Interest'!$C$66)*(1+'Inflation-Interest'!$C$67)* ('Prediction Results (Transposed)'!M$3*($B$8/12)*$B$5+ 'Prediction Results (Transposed)'!M$4*($B$9/12)*$B$6+ 'Prediction Results (Transposed)'!M$5*($B$10/12)*$B$7)*O5/O43*(1+$B$15)^($C100-$C$99)*1/$B$14</f>
        <v>649882.63963344856</v>
      </c>
      <c r="P100" s="63">
        <f>('Demographic-Economic'!G$22+'Demographic-Economic'!G$23+'Demographic-Economic'!G$24)*1000*(1+'Inflation-Interest'!$C$65)*(1+'Inflation-Interest'!$C$66)*(1+'Inflation-Interest'!$C$67)* ('Prediction Results (Transposed)'!N$3*($B$8/12)*$B$5+ 'Prediction Results (Transposed)'!N$4*($B$9/12)*$B$6+ 'Prediction Results (Transposed)'!N$5*($B$10/12)*$B$7)*P5/P43*(1+$B$15)^($C100-$C$99)*1/$B$14</f>
        <v>1991786.9832593389</v>
      </c>
      <c r="Q100" s="63">
        <f>('Demographic-Economic'!H$22+'Demographic-Economic'!H$23+'Demographic-Economic'!H$24)*1000*(1+'Inflation-Interest'!$C$65)*(1+'Inflation-Interest'!$C$66)*(1+'Inflation-Interest'!$C$67)* ('Prediction Results (Transposed)'!O$3*($B$8/12)*$B$5+ 'Prediction Results (Transposed)'!O$4*($B$9/12)*$B$6+ 'Prediction Results (Transposed)'!O$5*($B$10/12)*$B$7)*Q5/Q43*(1+$B$15)^($C100-$C$99)*1/$B$14</f>
        <v>496369.25255377009</v>
      </c>
      <c r="S100" s="38">
        <v>2021</v>
      </c>
      <c r="T100" s="63">
        <f>('Demographic-Economic'!C$22+'Demographic-Economic'!C$23+'Demographic-Economic'!C$24)*1000*(1+'Inflation-Interest'!$C$65)*(1+'Inflation-Interest'!$C$66)*(1+'Inflation-Interest'!$C$67)* ('Prediction Results (Transposed)'!J$3*($B$8/12)*$B$5+ 'Prediction Results (Transposed)'!J$4*($B$9/12)*$B$6+ 'Prediction Results (Transposed)'!J$5*($B$10/12)*$B$7)*T5/T43*(1+$B$15)^($C100-$C$99)*1/$B$14</f>
        <v>86476832.243840635</v>
      </c>
      <c r="U100" s="63">
        <f>('Demographic-Economic'!D$22+'Demographic-Economic'!D$23+'Demographic-Economic'!D$24)*1000*(1+'Inflation-Interest'!$C$65)*(1+'Inflation-Interest'!$C$66)*(1+'Inflation-Interest'!$C$67)* ('Prediction Results (Transposed)'!K$3*($B$8/12)*$B$5+ 'Prediction Results (Transposed)'!K$4*($B$9/12)*$B$6+ 'Prediction Results (Transposed)'!K$5*($B$10/12)*$B$7)*U5/U43*(1+$B$15)^($C100-$C$99)*1/$B$14</f>
        <v>111093578.22398657</v>
      </c>
      <c r="V100" s="63">
        <f>('Demographic-Economic'!E$22+'Demographic-Economic'!E$23+'Demographic-Economic'!E$24)*1000*(1+'Inflation-Interest'!$C$65)*(1+'Inflation-Interest'!$C$66)*(1+'Inflation-Interest'!$C$67)* ('Prediction Results (Transposed)'!L$3*($B$8/12)*$B$5+ 'Prediction Results (Transposed)'!L$4*($B$9/12)*$B$6+ 'Prediction Results (Transposed)'!L$5*($B$10/12)*$B$7)*V5/V43*(1+$B$15)^($C100-$C$99)*1/$B$14</f>
        <v>5517234.5882319985</v>
      </c>
      <c r="W100" s="63">
        <f>('Demographic-Economic'!F$22+'Demographic-Economic'!F$23+'Demographic-Economic'!F$24)*1000*(1+'Inflation-Interest'!$C$65)*(1+'Inflation-Interest'!$C$66)*(1+'Inflation-Interest'!$C$67)* ('Prediction Results (Transposed)'!M$3*($B$8/12)*$B$5+ 'Prediction Results (Transposed)'!M$4*($B$9/12)*$B$6+ 'Prediction Results (Transposed)'!M$5*($B$10/12)*$B$7)*W5/W43*(1+$B$15)^($C100-$C$99)*1/$B$14</f>
        <v>653908.80170429253</v>
      </c>
      <c r="X100" s="63">
        <f>('Demographic-Economic'!G$22+'Demographic-Economic'!G$23+'Demographic-Economic'!G$24)*1000*(1+'Inflation-Interest'!$C$65)*(1+'Inflation-Interest'!$C$66)*(1+'Inflation-Interest'!$C$67)* ('Prediction Results (Transposed)'!N$3*($B$8/12)*$B$5+ 'Prediction Results (Transposed)'!N$4*($B$9/12)*$B$6+ 'Prediction Results (Transposed)'!N$5*($B$10/12)*$B$7)*X5/X43*(1+$B$15)^($C100-$C$99)*1/$B$14</f>
        <v>2004126.5299961509</v>
      </c>
      <c r="Y100" s="63">
        <f>('Demographic-Economic'!H$22+'Demographic-Economic'!H$23+'Demographic-Economic'!H$24)*1000*(1+'Inflation-Interest'!$C$65)*(1+'Inflation-Interest'!$C$66)*(1+'Inflation-Interest'!$C$67)* ('Prediction Results (Transposed)'!O$3*($B$8/12)*$B$5+ 'Prediction Results (Transposed)'!O$4*($B$9/12)*$B$6+ 'Prediction Results (Transposed)'!O$5*($B$10/12)*$B$7)*Y5/Y43*(1+$B$15)^($C100-$C$99)*1/$B$14</f>
        <v>499444.36632953183</v>
      </c>
      <c r="AA100" s="38">
        <v>2021</v>
      </c>
      <c r="AB100" s="63">
        <f>('Demographic-Economic'!C$22+'Demographic-Economic'!C$23+'Demographic-Economic'!C$24)*1000*(1+'Inflation-Interest'!$C$65)*(1+'Inflation-Interest'!$C$66)*(1+'Inflation-Interest'!$C$67)* ('Prediction Results (Transposed)'!J$3*($B$8/12)*$B$5+ 'Prediction Results (Transposed)'!J$4*($B$9/12)*$B$6+ 'Prediction Results (Transposed)'!J$5*($B$10/12)*$B$7)*AB5/AB43*(1+$B$15)^($C100-$C$99)*1/$B$14</f>
        <v>86809377.745989218</v>
      </c>
      <c r="AC100" s="63">
        <f>('Demographic-Economic'!D$22+'Demographic-Economic'!D$23+'Demographic-Economic'!D$24)*1000*(1+'Inflation-Interest'!$C$65)*(1+'Inflation-Interest'!$C$66)*(1+'Inflation-Interest'!$C$67)* ('Prediction Results (Transposed)'!K$3*($B$8/12)*$B$5+ 'Prediction Results (Transposed)'!K$4*($B$9/12)*$B$6+ 'Prediction Results (Transposed)'!K$5*($B$10/12)*$B$7)*AC5/AC43*(1+$B$15)^($C100-$C$99)*1/$B$14</f>
        <v>111520787.09366173</v>
      </c>
      <c r="AD100" s="63">
        <f>('Demographic-Economic'!E$22+'Demographic-Economic'!E$23+'Demographic-Economic'!E$24)*1000*(1+'Inflation-Interest'!$C$65)*(1+'Inflation-Interest'!$C$66)*(1+'Inflation-Interest'!$C$67)* ('Prediction Results (Transposed)'!L$3*($B$8/12)*$B$5+ 'Prediction Results (Transposed)'!L$4*($B$9/12)*$B$6+ 'Prediction Results (Transposed)'!L$5*($B$10/12)*$B$7)*AD5/AD43*(1+$B$15)^($C100-$C$99)*1/$B$14</f>
        <v>5538451.0400724346</v>
      </c>
      <c r="AE100" s="63">
        <f>('Demographic-Economic'!F$22+'Demographic-Economic'!F$23+'Demographic-Economic'!F$24)*1000*(1+'Inflation-Interest'!$C$65)*(1+'Inflation-Interest'!$C$66)*(1+'Inflation-Interest'!$C$67)* ('Prediction Results (Transposed)'!M$3*($B$8/12)*$B$5+ 'Prediction Results (Transposed)'!M$4*($B$9/12)*$B$6+ 'Prediction Results (Transposed)'!M$5*($B$10/12)*$B$7)*AE5/AE43*(1+$B$15)^($C100-$C$99)*1/$B$14</f>
        <v>656423.39925810869</v>
      </c>
      <c r="AF100" s="63">
        <f>('Demographic-Economic'!G$22+'Demographic-Economic'!G$23+'Demographic-Economic'!G$24)*1000*(1+'Inflation-Interest'!$C$65)*(1+'Inflation-Interest'!$C$66)*(1+'Inflation-Interest'!$C$67)* ('Prediction Results (Transposed)'!N$3*($B$8/12)*$B$5+ 'Prediction Results (Transposed)'!N$4*($B$9/12)*$B$6+ 'Prediction Results (Transposed)'!N$5*($B$10/12)*$B$7)*AF5/AF43*(1+$B$15)^($C100-$C$99)*1/$B$14</f>
        <v>2011833.3717709235</v>
      </c>
      <c r="AG100" s="63">
        <f>('Demographic-Economic'!H$22+'Demographic-Economic'!H$23+'Demographic-Economic'!H$24)*1000*(1+'Inflation-Interest'!$C$65)*(1+'Inflation-Interest'!$C$66)*(1+'Inflation-Interest'!$C$67)* ('Prediction Results (Transposed)'!O$3*($B$8/12)*$B$5+ 'Prediction Results (Transposed)'!O$4*($B$9/12)*$B$6+ 'Prediction Results (Transposed)'!O$5*($B$10/12)*$B$7)*AG5/AG43*(1+$B$15)^($C100-$C$99)*1/$B$14</f>
        <v>501364.97296239279</v>
      </c>
    </row>
    <row r="101" spans="1:33">
      <c r="A101" s="589"/>
      <c r="B101" s="590"/>
      <c r="C101" s="38">
        <v>2022</v>
      </c>
      <c r="D101" s="63">
        <f>('Demographic-Economic'!C$22+'Demographic-Economic'!C$23+'Demographic-Economic'!C$24)*1000*(1+'Inflation-Interest'!$C$65)*(1+'Inflation-Interest'!$C$66)*(1+'Inflation-Interest'!$C$67)* ('Prediction Results (Transposed)'!J$3*($B$8/12)*$B$5+ 'Prediction Results (Transposed)'!J$4*($B$9/12)*$B$6+ 'Prediction Results (Transposed)'!J$5*($B$10/12)*$B$7)*D6/D44*(1+$B$15)^($C101-$C$99)*1/$B$14</f>
        <v>90818852.934209794</v>
      </c>
      <c r="E101" s="63">
        <f>('Demographic-Economic'!D$22+'Demographic-Economic'!D$23+'Demographic-Economic'!D$24)*1000*(1+'Inflation-Interest'!$C$65)*(1+'Inflation-Interest'!$C$66)*(1+'Inflation-Interest'!$C$67)* ('Prediction Results (Transposed)'!K$3*($B$8/12)*$B$5+ 'Prediction Results (Transposed)'!K$4*($B$9/12)*$B$6+ 'Prediction Results (Transposed)'!K$5*($B$10/12)*$B$7)*E6/E44*(1+$B$15)^($C101-$C$99)*1/$B$14</f>
        <v>116671611.12250374</v>
      </c>
      <c r="F101" s="63">
        <f>('Demographic-Economic'!E$22+'Demographic-Economic'!E$23+'Demographic-Economic'!E$24)*1000*(1+'Inflation-Interest'!$C$65)*(1+'Inflation-Interest'!$C$66)*(1+'Inflation-Interest'!$C$67)* ('Prediction Results (Transposed)'!L$3*($B$8/12)*$B$5+ 'Prediction Results (Transposed)'!L$4*($B$9/12)*$B$6+ 'Prediction Results (Transposed)'!L$5*($B$10/12)*$B$7)*F6/F44*(1+$B$15)^($C101-$C$99)*1/$B$14</f>
        <v>5794256.1454992024</v>
      </c>
      <c r="G101" s="63">
        <f>('Demographic-Economic'!F$22+'Demographic-Economic'!F$23+'Demographic-Economic'!F$24)*1000*(1+'Inflation-Interest'!$C$65)*(1+'Inflation-Interest'!$C$66)*(1+'Inflation-Interest'!$C$67)* ('Prediction Results (Transposed)'!M$3*($B$8/12)*$B$5+ 'Prediction Results (Transposed)'!M$4*($B$9/12)*$B$6+ 'Prediction Results (Transposed)'!M$5*($B$10/12)*$B$7)*G6/G44*(1+$B$15)^($C101-$C$99)*1/$B$14</f>
        <v>686741.70588154695</v>
      </c>
      <c r="H101" s="63">
        <f>('Demographic-Economic'!G$22+'Demographic-Economic'!G$23+'Demographic-Economic'!G$24)*1000*(1+'Inflation-Interest'!$C$65)*(1+'Inflation-Interest'!$C$66)*(1+'Inflation-Interest'!$C$67)* ('Prediction Results (Transposed)'!N$3*($B$8/12)*$B$5+ 'Prediction Results (Transposed)'!N$4*($B$9/12)*$B$6+ 'Prediction Results (Transposed)'!N$5*($B$10/12)*$B$7)*H6/H44*(1+$B$15)^($C101-$C$99)*1/$B$14</f>
        <v>2104754.1620863727</v>
      </c>
      <c r="I101" s="63">
        <f>('Demographic-Economic'!H$22+'Demographic-Economic'!H$23+'Demographic-Economic'!H$24)*1000*(1+'Inflation-Interest'!$C$65)*(1+'Inflation-Interest'!$C$66)*(1+'Inflation-Interest'!$C$67)* ('Prediction Results (Transposed)'!O$3*($B$8/12)*$B$5+ 'Prediction Results (Transposed)'!O$4*($B$9/12)*$B$6+ 'Prediction Results (Transposed)'!O$5*($B$10/12)*$B$7)*I6/I44*(1+$B$15)^($C101-$C$99)*1/$B$14</f>
        <v>524521.57737001369</v>
      </c>
      <c r="K101" s="38">
        <v>2022</v>
      </c>
      <c r="L101" s="63">
        <f>('Demographic-Economic'!C$22+'Demographic-Economic'!C$23+'Demographic-Economic'!C$24)*1000*(1+'Inflation-Interest'!$C$65)*(1+'Inflation-Interest'!$C$66)*(1+'Inflation-Interest'!$C$67)* ('Prediction Results (Transposed)'!J$3*($B$8/12)*$B$5+ 'Prediction Results (Transposed)'!J$4*($B$9/12)*$B$6+ 'Prediction Results (Transposed)'!J$5*($B$10/12)*$B$7)*L6/L44*(1+$B$15)^($C101-$C$99)*1/$B$14</f>
        <v>91315716.218585029</v>
      </c>
      <c r="M101" s="63">
        <f>('Demographic-Economic'!D$22+'Demographic-Economic'!D$23+'Demographic-Economic'!D$24)*1000*(1+'Inflation-Interest'!$C$65)*(1+'Inflation-Interest'!$C$66)*(1+'Inflation-Interest'!$C$67)* ('Prediction Results (Transposed)'!K$3*($B$8/12)*$B$5+ 'Prediction Results (Transposed)'!K$4*($B$9/12)*$B$6+ 'Prediction Results (Transposed)'!K$5*($B$10/12)*$B$7)*M6/M44*(1+$B$15)^($C101-$C$99)*1/$B$14</f>
        <v>117309912.95106429</v>
      </c>
      <c r="N101" s="63">
        <f>('Demographic-Economic'!E$22+'Demographic-Economic'!E$23+'Demographic-Economic'!E$24)*1000*(1+'Inflation-Interest'!$C$65)*(1+'Inflation-Interest'!$C$66)*(1+'Inflation-Interest'!$C$67)* ('Prediction Results (Transposed)'!L$3*($B$8/12)*$B$5+ 'Prediction Results (Transposed)'!L$4*($B$9/12)*$B$6+ 'Prediction Results (Transposed)'!L$5*($B$10/12)*$B$7)*N6/N44*(1+$B$15)^($C101-$C$99)*1/$B$14</f>
        <v>5825956.0959604764</v>
      </c>
      <c r="O101" s="63">
        <f>('Demographic-Economic'!F$22+'Demographic-Economic'!F$23+'Demographic-Economic'!F$24)*1000*(1+'Inflation-Interest'!$C$65)*(1+'Inflation-Interest'!$C$66)*(1+'Inflation-Interest'!$C$67)* ('Prediction Results (Transposed)'!M$3*($B$8/12)*$B$5+ 'Prediction Results (Transposed)'!M$4*($B$9/12)*$B$6+ 'Prediction Results (Transposed)'!M$5*($B$10/12)*$B$7)*O6/O44*(1+$B$15)^($C101-$C$99)*1/$B$14</f>
        <v>690498.81939352816</v>
      </c>
      <c r="P101" s="63">
        <f>('Demographic-Economic'!G$22+'Demographic-Economic'!G$23+'Demographic-Economic'!G$24)*1000*(1+'Inflation-Interest'!$C$65)*(1+'Inflation-Interest'!$C$66)*(1+'Inflation-Interest'!$C$67)* ('Prediction Results (Transposed)'!N$3*($B$8/12)*$B$5+ 'Prediction Results (Transposed)'!N$4*($B$9/12)*$B$6+ 'Prediction Results (Transposed)'!N$5*($B$10/12)*$B$7)*P6/P44*(1+$B$15)^($C101-$C$99)*1/$B$14</f>
        <v>2116269.1177590038</v>
      </c>
      <c r="Q101" s="63">
        <f>('Demographic-Economic'!H$22+'Demographic-Economic'!H$23+'Demographic-Economic'!H$24)*1000*(1+'Inflation-Interest'!$C$65)*(1+'Inflation-Interest'!$C$66)*(1+'Inflation-Interest'!$C$67)* ('Prediction Results (Transposed)'!O$3*($B$8/12)*$B$5+ 'Prediction Results (Transposed)'!O$4*($B$9/12)*$B$6+ 'Prediction Results (Transposed)'!O$5*($B$10/12)*$B$7)*Q6/Q44*(1+$B$15)^($C101-$C$99)*1/$B$14</f>
        <v>527391.19645501277</v>
      </c>
      <c r="S101" s="38">
        <v>2022</v>
      </c>
      <c r="T101" s="63">
        <f>('Demographic-Economic'!C$22+'Demographic-Economic'!C$23+'Demographic-Economic'!C$24)*1000*(1+'Inflation-Interest'!$C$65)*(1+'Inflation-Interest'!$C$66)*(1+'Inflation-Interest'!$C$67)* ('Prediction Results (Transposed)'!J$3*($B$8/12)*$B$5+ 'Prediction Results (Transposed)'!J$4*($B$9/12)*$B$6+ 'Prediction Results (Transposed)'!J$5*($B$10/12)*$B$7)*T6/T44*(1+$B$15)^($C101-$C$99)*1/$B$14</f>
        <v>92442651.524399444</v>
      </c>
      <c r="U101" s="63">
        <f>('Demographic-Economic'!D$22+'Demographic-Economic'!D$23+'Demographic-Economic'!D$24)*1000*(1+'Inflation-Interest'!$C$65)*(1+'Inflation-Interest'!$C$66)*(1+'Inflation-Interest'!$C$67)* ('Prediction Results (Transposed)'!K$3*($B$8/12)*$B$5+ 'Prediction Results (Transposed)'!K$4*($B$9/12)*$B$6+ 'Prediction Results (Transposed)'!K$5*($B$10/12)*$B$7)*U6/U44*(1+$B$15)^($C101-$C$99)*1/$B$14</f>
        <v>118757644.93084875</v>
      </c>
      <c r="V101" s="63">
        <f>('Demographic-Economic'!E$22+'Demographic-Economic'!E$23+'Demographic-Economic'!E$24)*1000*(1+'Inflation-Interest'!$C$65)*(1+'Inflation-Interest'!$C$66)*(1+'Inflation-Interest'!$C$67)* ('Prediction Results (Transposed)'!L$3*($B$8/12)*$B$5+ 'Prediction Results (Transposed)'!L$4*($B$9/12)*$B$6+ 'Prediction Results (Transposed)'!L$5*($B$10/12)*$B$7)*V6/V44*(1+$B$15)^($C101-$C$99)*1/$B$14</f>
        <v>5897854.7338570096</v>
      </c>
      <c r="W101" s="63">
        <f>('Demographic-Economic'!F$22+'Demographic-Economic'!F$23+'Demographic-Economic'!F$24)*1000*(1+'Inflation-Interest'!$C$65)*(1+'Inflation-Interest'!$C$66)*(1+'Inflation-Interest'!$C$67)* ('Prediction Results (Transposed)'!M$3*($B$8/12)*$B$5+ 'Prediction Results (Transposed)'!M$4*($B$9/12)*$B$6+ 'Prediction Results (Transposed)'!M$5*($B$10/12)*$B$7)*W6/W44*(1+$B$15)^($C101-$C$99)*1/$B$14</f>
        <v>699020.32620989135</v>
      </c>
      <c r="X101" s="63">
        <f>('Demographic-Economic'!G$22+'Demographic-Economic'!G$23+'Demographic-Economic'!G$24)*1000*(1+'Inflation-Interest'!$C$65)*(1+'Inflation-Interest'!$C$66)*(1+'Inflation-Interest'!$C$67)* ('Prediction Results (Transposed)'!N$3*($B$8/12)*$B$5+ 'Prediction Results (Transposed)'!N$4*($B$9/12)*$B$6+ 'Prediction Results (Transposed)'!N$5*($B$10/12)*$B$7)*X6/X44*(1+$B$15)^($C101-$C$99)*1/$B$14</f>
        <v>2142386.1815478764</v>
      </c>
      <c r="Y101" s="63">
        <f>('Demographic-Economic'!H$22+'Demographic-Economic'!H$23+'Demographic-Economic'!H$24)*1000*(1+'Inflation-Interest'!$C$65)*(1+'Inflation-Interest'!$C$66)*(1+'Inflation-Interest'!$C$67)* ('Prediction Results (Transposed)'!O$3*($B$8/12)*$B$5+ 'Prediction Results (Transposed)'!O$4*($B$9/12)*$B$6+ 'Prediction Results (Transposed)'!O$5*($B$10/12)*$B$7)*Y6/Y44*(1+$B$15)^($C101-$C$99)*1/$B$14</f>
        <v>533899.77771432395</v>
      </c>
      <c r="AA101" s="38">
        <v>2022</v>
      </c>
      <c r="AB101" s="63">
        <f>('Demographic-Economic'!C$22+'Demographic-Economic'!C$23+'Demographic-Economic'!C$24)*1000*(1+'Inflation-Interest'!$C$65)*(1+'Inflation-Interest'!$C$66)*(1+'Inflation-Interest'!$C$67)* ('Prediction Results (Transposed)'!J$3*($B$8/12)*$B$5+ 'Prediction Results (Transposed)'!J$4*($B$9/12)*$B$6+ 'Prediction Results (Transposed)'!J$5*($B$10/12)*$B$7)*AB6/AB44*(1+$B$15)^($C101-$C$99)*1/$B$14</f>
        <v>93147343.749389961</v>
      </c>
      <c r="AC101" s="63">
        <f>('Demographic-Economic'!D$22+'Demographic-Economic'!D$23+'Demographic-Economic'!D$24)*1000*(1+'Inflation-Interest'!$C$65)*(1+'Inflation-Interest'!$C$66)*(1+'Inflation-Interest'!$C$67)* ('Prediction Results (Transposed)'!K$3*($B$8/12)*$B$5+ 'Prediction Results (Transposed)'!K$4*($B$9/12)*$B$6+ 'Prediction Results (Transposed)'!K$5*($B$10/12)*$B$7)*AC6/AC44*(1+$B$15)^($C101-$C$99)*1/$B$14</f>
        <v>119662936.8892784</v>
      </c>
      <c r="AD101" s="63">
        <f>('Demographic-Economic'!E$22+'Demographic-Economic'!E$23+'Demographic-Economic'!E$24)*1000*(1+'Inflation-Interest'!$C$65)*(1+'Inflation-Interest'!$C$66)*(1+'Inflation-Interest'!$C$67)* ('Prediction Results (Transposed)'!L$3*($B$8/12)*$B$5+ 'Prediction Results (Transposed)'!L$4*($B$9/12)*$B$6+ 'Prediction Results (Transposed)'!L$5*($B$10/12)*$B$7)*AD6/AD44*(1+$B$15)^($C101-$C$99)*1/$B$14</f>
        <v>5942814.2012298759</v>
      </c>
      <c r="AE101" s="63">
        <f>('Demographic-Economic'!F$22+'Demographic-Economic'!F$23+'Demographic-Economic'!F$24)*1000*(1+'Inflation-Interest'!$C$65)*(1+'Inflation-Interest'!$C$66)*(1+'Inflation-Interest'!$C$67)* ('Prediction Results (Transposed)'!M$3*($B$8/12)*$B$5+ 'Prediction Results (Transposed)'!M$4*($B$9/12)*$B$6+ 'Prediction Results (Transposed)'!M$5*($B$10/12)*$B$7)*AE6/AE44*(1+$B$15)^($C101-$C$99)*1/$B$14</f>
        <v>704348.97246643458</v>
      </c>
      <c r="AF101" s="63">
        <f>('Demographic-Economic'!G$22+'Demographic-Economic'!G$23+'Demographic-Economic'!G$24)*1000*(1+'Inflation-Interest'!$C$65)*(1+'Inflation-Interest'!$C$66)*(1+'Inflation-Interest'!$C$67)* ('Prediction Results (Transposed)'!N$3*($B$8/12)*$B$5+ 'Prediction Results (Transposed)'!N$4*($B$9/12)*$B$6+ 'Prediction Results (Transposed)'!N$5*($B$10/12)*$B$7)*AF6/AF44*(1+$B$15)^($C101-$C$99)*1/$B$14</f>
        <v>2158717.6352672172</v>
      </c>
      <c r="AG101" s="63">
        <f>('Demographic-Economic'!H$22+'Demographic-Economic'!H$23+'Demographic-Economic'!H$24)*1000*(1+'Inflation-Interest'!$C$65)*(1+'Inflation-Interest'!$C$66)*(1+'Inflation-Interest'!$C$67)* ('Prediction Results (Transposed)'!O$3*($B$8/12)*$B$5+ 'Prediction Results (Transposed)'!O$4*($B$9/12)*$B$6+ 'Prediction Results (Transposed)'!O$5*($B$10/12)*$B$7)*AG6/AG44*(1+$B$15)^($C101-$C$99)*1/$B$14</f>
        <v>537969.70664945559</v>
      </c>
    </row>
    <row r="102" spans="1:33">
      <c r="A102" s="589"/>
      <c r="B102" s="590"/>
      <c r="C102" s="38">
        <v>2023</v>
      </c>
      <c r="D102" s="63">
        <f>('Demographic-Economic'!C$22+'Demographic-Economic'!C$23+'Demographic-Economic'!C$24)*1000*(1+'Inflation-Interest'!$C$65)*(1+'Inflation-Interest'!$C$66)*(1+'Inflation-Interest'!$C$67)* ('Prediction Results (Transposed)'!J$3*($B$8/12)*$B$5+ 'Prediction Results (Transposed)'!J$4*($B$9/12)*$B$6+ 'Prediction Results (Transposed)'!J$5*($B$10/12)*$B$7)*D7/D45*(1+$B$15)^($C102-$C$99)*1/$B$14</f>
        <v>96222150.589772582</v>
      </c>
      <c r="E102" s="63">
        <f>('Demographic-Economic'!D$22+'Demographic-Economic'!D$23+'Demographic-Economic'!D$24)*1000*(1+'Inflation-Interest'!$C$65)*(1+'Inflation-Interest'!$C$66)*(1+'Inflation-Interest'!$C$67)* ('Prediction Results (Transposed)'!K$3*($B$8/12)*$B$5+ 'Prediction Results (Transposed)'!K$4*($B$9/12)*$B$6+ 'Prediction Results (Transposed)'!K$5*($B$10/12)*$B$7)*E7/E45*(1+$B$15)^($C102-$C$99)*1/$B$14</f>
        <v>123613027.166435</v>
      </c>
      <c r="F102" s="63">
        <f>('Demographic-Economic'!E$22+'Demographic-Economic'!E$23+'Demographic-Economic'!E$24)*1000*(1+'Inflation-Interest'!$C$65)*(1+'Inflation-Interest'!$C$66)*(1+'Inflation-Interest'!$C$67)* ('Prediction Results (Transposed)'!L$3*($B$8/12)*$B$5+ 'Prediction Results (Transposed)'!L$4*($B$9/12)*$B$6+ 'Prediction Results (Transposed)'!L$5*($B$10/12)*$B$7)*F7/F45*(1+$B$15)^($C102-$C$99)*1/$B$14</f>
        <v>6138987.3288955186</v>
      </c>
      <c r="G102" s="63">
        <f>('Demographic-Economic'!F$22+'Demographic-Economic'!F$23+'Demographic-Economic'!F$24)*1000*(1+'Inflation-Interest'!$C$65)*(1+'Inflation-Interest'!$C$66)*(1+'Inflation-Interest'!$C$67)* ('Prediction Results (Transposed)'!M$3*($B$8/12)*$B$5+ 'Prediction Results (Transposed)'!M$4*($B$9/12)*$B$6+ 'Prediction Results (Transposed)'!M$5*($B$10/12)*$B$7)*G7/G45*(1+$B$15)^($C102-$C$99)*1/$B$14</f>
        <v>727599.63052473788</v>
      </c>
      <c r="H102" s="63">
        <f>('Demographic-Economic'!G$22+'Demographic-Economic'!G$23+'Demographic-Economic'!G$24)*1000*(1+'Inflation-Interest'!$C$65)*(1+'Inflation-Interest'!$C$66)*(1+'Inflation-Interest'!$C$67)* ('Prediction Results (Transposed)'!N$3*($B$8/12)*$B$5+ 'Prediction Results (Transposed)'!N$4*($B$9/12)*$B$6+ 'Prediction Results (Transposed)'!N$5*($B$10/12)*$B$7)*H7/H45*(1+$B$15)^($C102-$C$99)*1/$B$14</f>
        <v>2229977.2062243088</v>
      </c>
      <c r="I102" s="63">
        <f>('Demographic-Economic'!H$22+'Demographic-Economic'!H$23+'Demographic-Economic'!H$24)*1000*(1+'Inflation-Interest'!$C$65)*(1+'Inflation-Interest'!$C$66)*(1+'Inflation-Interest'!$C$67)* ('Prediction Results (Transposed)'!O$3*($B$8/12)*$B$5+ 'Prediction Results (Transposed)'!O$4*($B$9/12)*$B$6+ 'Prediction Results (Transposed)'!O$5*($B$10/12)*$B$7)*I7/I45*(1+$B$15)^($C102-$C$99)*1/$B$14</f>
        <v>555728.16188114579</v>
      </c>
      <c r="K102" s="38">
        <v>2023</v>
      </c>
      <c r="L102" s="63">
        <f>('Demographic-Economic'!C$22+'Demographic-Economic'!C$23+'Demographic-Economic'!C$24)*1000*(1+'Inflation-Interest'!$C$65)*(1+'Inflation-Interest'!$C$66)*(1+'Inflation-Interest'!$C$67)* ('Prediction Results (Transposed)'!J$3*($B$8/12)*$B$5+ 'Prediction Results (Transposed)'!J$4*($B$9/12)*$B$6+ 'Prediction Results (Transposed)'!J$5*($B$10/12)*$B$7)*L7/L45*(1+$B$15)^($C102-$C$99)*1/$B$14</f>
        <v>97008759.136287197</v>
      </c>
      <c r="M102" s="63">
        <f>('Demographic-Economic'!D$22+'Demographic-Economic'!D$23+'Demographic-Economic'!D$24)*1000*(1+'Inflation-Interest'!$C$65)*(1+'Inflation-Interest'!$C$66)*(1+'Inflation-Interest'!$C$67)* ('Prediction Results (Transposed)'!K$3*($B$8/12)*$B$5+ 'Prediction Results (Transposed)'!K$4*($B$9/12)*$B$6+ 'Prediction Results (Transposed)'!K$5*($B$10/12)*$B$7)*M7/M45*(1+$B$15)^($C102-$C$99)*1/$B$14</f>
        <v>124623553.98415503</v>
      </c>
      <c r="N102" s="63">
        <f>('Demographic-Economic'!E$22+'Demographic-Economic'!E$23+'Demographic-Economic'!E$24)*1000*(1+'Inflation-Interest'!$C$65)*(1+'Inflation-Interest'!$C$66)*(1+'Inflation-Interest'!$C$67)* ('Prediction Results (Transposed)'!L$3*($B$8/12)*$B$5+ 'Prediction Results (Transposed)'!L$4*($B$9/12)*$B$6+ 'Prediction Results (Transposed)'!L$5*($B$10/12)*$B$7)*N7/N45*(1+$B$15)^($C102-$C$99)*1/$B$14</f>
        <v>6189173.0696034115</v>
      </c>
      <c r="O102" s="63">
        <f>('Demographic-Economic'!F$22+'Demographic-Economic'!F$23+'Demographic-Economic'!F$24)*1000*(1+'Inflation-Interest'!$C$65)*(1+'Inflation-Interest'!$C$66)*(1+'Inflation-Interest'!$C$67)* ('Prediction Results (Transposed)'!M$3*($B$8/12)*$B$5+ 'Prediction Results (Transposed)'!M$4*($B$9/12)*$B$6+ 'Prediction Results (Transposed)'!M$5*($B$10/12)*$B$7)*O7/O45*(1+$B$15)^($C102-$C$99)*1/$B$14</f>
        <v>733547.70053048618</v>
      </c>
      <c r="P102" s="63">
        <f>('Demographic-Economic'!G$22+'Demographic-Economic'!G$23+'Demographic-Economic'!G$24)*1000*(1+'Inflation-Interest'!$C$65)*(1+'Inflation-Interest'!$C$66)*(1+'Inflation-Interest'!$C$67)* ('Prediction Results (Transposed)'!N$3*($B$8/12)*$B$5+ 'Prediction Results (Transposed)'!N$4*($B$9/12)*$B$6+ 'Prediction Results (Transposed)'!N$5*($B$10/12)*$B$7)*P7/P45*(1+$B$15)^($C102-$C$99)*1/$B$14</f>
        <v>2248207.0952695785</v>
      </c>
      <c r="Q102" s="63">
        <f>('Demographic-Economic'!H$22+'Demographic-Economic'!H$23+'Demographic-Economic'!H$24)*1000*(1+'Inflation-Interest'!$C$65)*(1+'Inflation-Interest'!$C$66)*(1+'Inflation-Interest'!$C$67)* ('Prediction Results (Transposed)'!O$3*($B$8/12)*$B$5+ 'Prediction Results (Transposed)'!O$4*($B$9/12)*$B$6+ 'Prediction Results (Transposed)'!O$5*($B$10/12)*$B$7)*Q7/Q45*(1+$B$15)^($C102-$C$99)*1/$B$14</f>
        <v>560271.19608891592</v>
      </c>
      <c r="S102" s="38">
        <v>2023</v>
      </c>
      <c r="T102" s="63">
        <f>('Demographic-Economic'!C$22+'Demographic-Economic'!C$23+'Demographic-Economic'!C$24)*1000*(1+'Inflation-Interest'!$C$65)*(1+'Inflation-Interest'!$C$66)*(1+'Inflation-Interest'!$C$67)* ('Prediction Results (Transposed)'!J$3*($B$8/12)*$B$5+ 'Prediction Results (Transposed)'!J$4*($B$9/12)*$B$6+ 'Prediction Results (Transposed)'!J$5*($B$10/12)*$B$7)*T7/T45*(1+$B$15)^($C102-$C$99)*1/$B$14</f>
        <v>98797421.422644049</v>
      </c>
      <c r="U102" s="63">
        <f>('Demographic-Economic'!D$22+'Demographic-Economic'!D$23+'Demographic-Economic'!D$24)*1000*(1+'Inflation-Interest'!$C$65)*(1+'Inflation-Interest'!$C$66)*(1+'Inflation-Interest'!$C$67)* ('Prediction Results (Transposed)'!K$3*($B$8/12)*$B$5+ 'Prediction Results (Transposed)'!K$4*($B$9/12)*$B$6+ 'Prediction Results (Transposed)'!K$5*($B$10/12)*$B$7)*U7/U45*(1+$B$15)^($C102-$C$99)*1/$B$14</f>
        <v>126921382.06677231</v>
      </c>
      <c r="V102" s="63">
        <f>('Demographic-Economic'!E$22+'Demographic-Economic'!E$23+'Demographic-Economic'!E$24)*1000*(1+'Inflation-Interest'!$C$65)*(1+'Inflation-Interest'!$C$66)*(1+'Inflation-Interest'!$C$67)* ('Prediction Results (Transposed)'!L$3*($B$8/12)*$B$5+ 'Prediction Results (Transposed)'!L$4*($B$9/12)*$B$6+ 'Prediction Results (Transposed)'!L$5*($B$10/12)*$B$7)*V7/V45*(1+$B$15)^($C102-$C$99)*1/$B$14</f>
        <v>6303289.9859715775</v>
      </c>
      <c r="W102" s="63">
        <f>('Demographic-Economic'!F$22+'Demographic-Economic'!F$23+'Demographic-Economic'!F$24)*1000*(1+'Inflation-Interest'!$C$65)*(1+'Inflation-Interest'!$C$66)*(1+'Inflation-Interest'!$C$67)* ('Prediction Results (Transposed)'!M$3*($B$8/12)*$B$5+ 'Prediction Results (Transposed)'!M$4*($B$9/12)*$B$6+ 'Prediction Results (Transposed)'!M$5*($B$10/12)*$B$7)*W7/W45*(1+$B$15)^($C102-$C$99)*1/$B$14</f>
        <v>747072.96483511839</v>
      </c>
      <c r="X102" s="63">
        <f>('Demographic-Economic'!G$22+'Demographic-Economic'!G$23+'Demographic-Economic'!G$24)*1000*(1+'Inflation-Interest'!$C$65)*(1+'Inflation-Interest'!$C$66)*(1+'Inflation-Interest'!$C$67)* ('Prediction Results (Transposed)'!N$3*($B$8/12)*$B$5+ 'Prediction Results (Transposed)'!N$4*($B$9/12)*$B$6+ 'Prediction Results (Transposed)'!N$5*($B$10/12)*$B$7)*X7/X45*(1+$B$15)^($C102-$C$99)*1/$B$14</f>
        <v>2289659.8803482861</v>
      </c>
      <c r="Y102" s="63">
        <f>('Demographic-Economic'!H$22+'Demographic-Economic'!H$23+'Demographic-Economic'!H$24)*1000*(1+'Inflation-Interest'!$C$65)*(1+'Inflation-Interest'!$C$66)*(1+'Inflation-Interest'!$C$67)* ('Prediction Results (Transposed)'!O$3*($B$8/12)*$B$5+ 'Prediction Results (Transposed)'!O$4*($B$9/12)*$B$6+ 'Prediction Results (Transposed)'!O$5*($B$10/12)*$B$7)*Y7/Y45*(1+$B$15)^($C102-$C$99)*1/$B$14</f>
        <v>570601.56179505179</v>
      </c>
      <c r="AA102" s="38">
        <v>2023</v>
      </c>
      <c r="AB102" s="63">
        <f>('Demographic-Economic'!C$22+'Demographic-Economic'!C$23+'Demographic-Economic'!C$24)*1000*(1+'Inflation-Interest'!$C$65)*(1+'Inflation-Interest'!$C$66)*(1+'Inflation-Interest'!$C$67)* ('Prediction Results (Transposed)'!J$3*($B$8/12)*$B$5+ 'Prediction Results (Transposed)'!J$4*($B$9/12)*$B$6+ 'Prediction Results (Transposed)'!J$5*($B$10/12)*$B$7)*AB7/AB45*(1+$B$15)^($C102-$C$99)*1/$B$14</f>
        <v>99921020.0739723</v>
      </c>
      <c r="AC102" s="63">
        <f>('Demographic-Economic'!D$22+'Demographic-Economic'!D$23+'Demographic-Economic'!D$24)*1000*(1+'Inflation-Interest'!$C$65)*(1+'Inflation-Interest'!$C$66)*(1+'Inflation-Interest'!$C$67)* ('Prediction Results (Transposed)'!K$3*($B$8/12)*$B$5+ 'Prediction Results (Transposed)'!K$4*($B$9/12)*$B$6+ 'Prediction Results (Transposed)'!K$5*($B$10/12)*$B$7)*AC7/AC45*(1+$B$15)^($C102-$C$99)*1/$B$14</f>
        <v>128364827.57032323</v>
      </c>
      <c r="AD102" s="63">
        <f>('Demographic-Economic'!E$22+'Demographic-Economic'!E$23+'Demographic-Economic'!E$24)*1000*(1+'Inflation-Interest'!$C$65)*(1+'Inflation-Interest'!$C$66)*(1+'Inflation-Interest'!$C$67)* ('Prediction Results (Transposed)'!L$3*($B$8/12)*$B$5+ 'Prediction Results (Transposed)'!L$4*($B$9/12)*$B$6+ 'Prediction Results (Transposed)'!L$5*($B$10/12)*$B$7)*AD7/AD45*(1+$B$15)^($C102-$C$99)*1/$B$14</f>
        <v>6374975.7448222144</v>
      </c>
      <c r="AE102" s="63">
        <f>('Demographic-Economic'!F$22+'Demographic-Economic'!F$23+'Demographic-Economic'!F$24)*1000*(1+'Inflation-Interest'!$C$65)*(1+'Inflation-Interest'!$C$66)*(1+'Inflation-Interest'!$C$67)* ('Prediction Results (Transposed)'!M$3*($B$8/12)*$B$5+ 'Prediction Results (Transposed)'!M$4*($B$9/12)*$B$6+ 'Prediction Results (Transposed)'!M$5*($B$10/12)*$B$7)*AE7/AE45*(1+$B$15)^($C102-$C$99)*1/$B$14</f>
        <v>755569.24098934745</v>
      </c>
      <c r="AF102" s="63">
        <f>('Demographic-Economic'!G$22+'Demographic-Economic'!G$23+'Demographic-Economic'!G$24)*1000*(1+'Inflation-Interest'!$C$65)*(1+'Inflation-Interest'!$C$66)*(1+'Inflation-Interest'!$C$67)* ('Prediction Results (Transposed)'!N$3*($B$8/12)*$B$5+ 'Prediction Results (Transposed)'!N$4*($B$9/12)*$B$6+ 'Prediction Results (Transposed)'!N$5*($B$10/12)*$B$7)*AF7/AF45*(1+$B$15)^($C102-$C$99)*1/$B$14</f>
        <v>2315699.6161684566</v>
      </c>
      <c r="AG102" s="63">
        <f>('Demographic-Economic'!H$22+'Demographic-Economic'!H$23+'Demographic-Economic'!H$24)*1000*(1+'Inflation-Interest'!$C$65)*(1+'Inflation-Interest'!$C$66)*(1+'Inflation-Interest'!$C$67)* ('Prediction Results (Transposed)'!O$3*($B$8/12)*$B$5+ 'Prediction Results (Transposed)'!O$4*($B$9/12)*$B$6+ 'Prediction Results (Transposed)'!O$5*($B$10/12)*$B$7)*AG7/AG45*(1+$B$15)^($C102-$C$99)*1/$B$14</f>
        <v>577090.87230586004</v>
      </c>
    </row>
    <row r="103" spans="1:33">
      <c r="A103" s="589"/>
      <c r="B103" s="590"/>
      <c r="C103" s="38">
        <v>2024</v>
      </c>
      <c r="D103" s="63">
        <f>('Demographic-Economic'!C$22+'Demographic-Economic'!C$23+'Demographic-Economic'!C$24)*1000*(1+'Inflation-Interest'!$C$65)*(1+'Inflation-Interest'!$C$66)*(1+'Inflation-Interest'!$C$67)* ('Prediction Results (Transposed)'!J$3*($B$8/12)*$B$5+ 'Prediction Results (Transposed)'!J$4*($B$9/12)*$B$6+ 'Prediction Results (Transposed)'!J$5*($B$10/12)*$B$7)*D8/D46*(1+$B$15)^($C103-$C$99)*1/$B$14</f>
        <v>101936528.93223481</v>
      </c>
      <c r="E103" s="63">
        <f>('Demographic-Economic'!D$22+'Demographic-Economic'!D$23+'Demographic-Economic'!D$24)*1000*(1+'Inflation-Interest'!$C$65)*(1+'Inflation-Interest'!$C$66)*(1+'Inflation-Interest'!$C$67)* ('Prediction Results (Transposed)'!K$3*($B$8/12)*$B$5+ 'Prediction Results (Transposed)'!K$4*($B$9/12)*$B$6+ 'Prediction Results (Transposed)'!K$5*($B$10/12)*$B$7)*E8/E46*(1+$B$15)^($C103-$C$99)*1/$B$14</f>
        <v>130954077.02820303</v>
      </c>
      <c r="F103" s="63">
        <f>('Demographic-Economic'!E$22+'Demographic-Economic'!E$23+'Demographic-Economic'!E$24)*1000*(1+'Inflation-Interest'!$C$65)*(1+'Inflation-Interest'!$C$66)*(1+'Inflation-Interest'!$C$67)* ('Prediction Results (Transposed)'!L$3*($B$8/12)*$B$5+ 'Prediction Results (Transposed)'!L$4*($B$9/12)*$B$6+ 'Prediction Results (Transposed)'!L$5*($B$10/12)*$B$7)*F8/F46*(1+$B$15)^($C103-$C$99)*1/$B$14</f>
        <v>6503565.5057692677</v>
      </c>
      <c r="G103" s="63">
        <f>('Demographic-Economic'!F$22+'Demographic-Economic'!F$23+'Demographic-Economic'!F$24)*1000*(1+'Inflation-Interest'!$C$65)*(1+'Inflation-Interest'!$C$66)*(1+'Inflation-Interest'!$C$67)* ('Prediction Results (Transposed)'!M$3*($B$8/12)*$B$5+ 'Prediction Results (Transposed)'!M$4*($B$9/12)*$B$6+ 'Prediction Results (Transposed)'!M$5*($B$10/12)*$B$7)*G8/G46*(1+$B$15)^($C103-$C$99)*1/$B$14</f>
        <v>770809.84298797918</v>
      </c>
      <c r="H103" s="63">
        <f>('Demographic-Economic'!G$22+'Demographic-Economic'!G$23+'Demographic-Economic'!G$24)*1000*(1+'Inflation-Interest'!$C$65)*(1+'Inflation-Interest'!$C$66)*(1+'Inflation-Interest'!$C$67)* ('Prediction Results (Transposed)'!N$3*($B$8/12)*$B$5+ 'Prediction Results (Transposed)'!N$4*($B$9/12)*$B$6+ 'Prediction Results (Transposed)'!N$5*($B$10/12)*$B$7)*H8/H46*(1+$B$15)^($C103-$C$99)*1/$B$14</f>
        <v>2362409.6386042503</v>
      </c>
      <c r="I103" s="63">
        <f>('Demographic-Economic'!H$22+'Demographic-Economic'!H$23+'Demographic-Economic'!H$24)*1000*(1+'Inflation-Interest'!$C$65)*(1+'Inflation-Interest'!$C$66)*(1+'Inflation-Interest'!$C$67)* ('Prediction Results (Transposed)'!O$3*($B$8/12)*$B$5+ 'Prediction Results (Transposed)'!O$4*($B$9/12)*$B$6+ 'Prediction Results (Transposed)'!O$5*($B$10/12)*$B$7)*I8/I46*(1+$B$15)^($C103-$C$99)*1/$B$14</f>
        <v>588731.38362463785</v>
      </c>
      <c r="K103" s="38">
        <v>2024</v>
      </c>
      <c r="L103" s="63">
        <f>('Demographic-Economic'!C$22+'Demographic-Economic'!C$23+'Demographic-Economic'!C$24)*1000*(1+'Inflation-Interest'!$C$65)*(1+'Inflation-Interest'!$C$66)*(1+'Inflation-Interest'!$C$67)* ('Prediction Results (Transposed)'!J$3*($B$8/12)*$B$5+ 'Prediction Results (Transposed)'!J$4*($B$9/12)*$B$6+ 'Prediction Results (Transposed)'!J$5*($B$10/12)*$B$7)*L8/L46*(1+$B$15)^($C103-$C$99)*1/$B$14</f>
        <v>103040100.26415595</v>
      </c>
      <c r="M103" s="63">
        <f>('Demographic-Economic'!D$22+'Demographic-Economic'!D$23+'Demographic-Economic'!D$24)*1000*(1+'Inflation-Interest'!$C$65)*(1+'Inflation-Interest'!$C$66)*(1+'Inflation-Interest'!$C$67)* ('Prediction Results (Transposed)'!K$3*($B$8/12)*$B$5+ 'Prediction Results (Transposed)'!K$4*($B$9/12)*$B$6+ 'Prediction Results (Transposed)'!K$5*($B$10/12)*$B$7)*M8/M46*(1+$B$15)^($C103-$C$99)*1/$B$14</f>
        <v>132371794.17749497</v>
      </c>
      <c r="N103" s="63">
        <f>('Demographic-Economic'!E$22+'Demographic-Economic'!E$23+'Demographic-Economic'!E$24)*1000*(1+'Inflation-Interest'!$C$65)*(1+'Inflation-Interest'!$C$66)*(1+'Inflation-Interest'!$C$67)* ('Prediction Results (Transposed)'!L$3*($B$8/12)*$B$5+ 'Prediction Results (Transposed)'!L$4*($B$9/12)*$B$6+ 'Prediction Results (Transposed)'!L$5*($B$10/12)*$B$7)*N8/N46*(1+$B$15)^($C103-$C$99)*1/$B$14</f>
        <v>6573973.5187025853</v>
      </c>
      <c r="O103" s="63">
        <f>('Demographic-Economic'!F$22+'Demographic-Economic'!F$23+'Demographic-Economic'!F$24)*1000*(1+'Inflation-Interest'!$C$65)*(1+'Inflation-Interest'!$C$66)*(1+'Inflation-Interest'!$C$67)* ('Prediction Results (Transposed)'!M$3*($B$8/12)*$B$5+ 'Prediction Results (Transposed)'!M$4*($B$9/12)*$B$6+ 'Prediction Results (Transposed)'!M$5*($B$10/12)*$B$7)*O8/O46*(1+$B$15)^($C103-$C$99)*1/$B$14</f>
        <v>779154.67926987447</v>
      </c>
      <c r="P103" s="63">
        <f>('Demographic-Economic'!G$22+'Demographic-Economic'!G$23+'Demographic-Economic'!G$24)*1000*(1+'Inflation-Interest'!$C$65)*(1+'Inflation-Interest'!$C$66)*(1+'Inflation-Interest'!$C$67)* ('Prediction Results (Transposed)'!N$3*($B$8/12)*$B$5+ 'Prediction Results (Transposed)'!N$4*($B$9/12)*$B$6+ 'Prediction Results (Transposed)'!N$5*($B$10/12)*$B$7)*P8/P46*(1+$B$15)^($C103-$C$99)*1/$B$14</f>
        <v>2387985.2352890363</v>
      </c>
      <c r="Q103" s="63">
        <f>('Demographic-Economic'!H$22+'Demographic-Economic'!H$23+'Demographic-Economic'!H$24)*1000*(1+'Inflation-Interest'!$C$65)*(1+'Inflation-Interest'!$C$66)*(1+'Inflation-Interest'!$C$67)* ('Prediction Results (Transposed)'!O$3*($B$8/12)*$B$5+ 'Prediction Results (Transposed)'!O$4*($B$9/12)*$B$6+ 'Prediction Results (Transposed)'!O$5*($B$10/12)*$B$7)*Q8/Q46*(1+$B$15)^($C103-$C$99)*1/$B$14</f>
        <v>595105.02694932232</v>
      </c>
      <c r="S103" s="38">
        <v>2024</v>
      </c>
      <c r="T103" s="63">
        <f>('Demographic-Economic'!C$22+'Demographic-Economic'!C$23+'Demographic-Economic'!C$24)*1000*(1+'Inflation-Interest'!$C$65)*(1+'Inflation-Interest'!$C$66)*(1+'Inflation-Interest'!$C$67)* ('Prediction Results (Transposed)'!J$3*($B$8/12)*$B$5+ 'Prediction Results (Transposed)'!J$4*($B$9/12)*$B$6+ 'Prediction Results (Transposed)'!J$5*($B$10/12)*$B$7)*T8/T46*(1+$B$15)^($C103-$C$99)*1/$B$14</f>
        <v>105565249.66701239</v>
      </c>
      <c r="U103" s="63">
        <f>('Demographic-Economic'!D$22+'Demographic-Economic'!D$23+'Demographic-Economic'!D$24)*1000*(1+'Inflation-Interest'!$C$65)*(1+'Inflation-Interest'!$C$66)*(1+'Inflation-Interest'!$C$67)* ('Prediction Results (Transposed)'!K$3*($B$8/12)*$B$5+ 'Prediction Results (Transposed)'!K$4*($B$9/12)*$B$6+ 'Prediction Results (Transposed)'!K$5*($B$10/12)*$B$7)*U8/U46*(1+$B$15)^($C103-$C$99)*1/$B$14</f>
        <v>135615759.93612117</v>
      </c>
      <c r="V103" s="63">
        <f>('Demographic-Economic'!E$22+'Demographic-Economic'!E$23+'Demographic-Economic'!E$24)*1000*(1+'Inflation-Interest'!$C$65)*(1+'Inflation-Interest'!$C$66)*(1+'Inflation-Interest'!$C$67)* ('Prediction Results (Transposed)'!L$3*($B$8/12)*$B$5+ 'Prediction Results (Transposed)'!L$4*($B$9/12)*$B$6+ 'Prediction Results (Transposed)'!L$5*($B$10/12)*$B$7)*V8/V46*(1+$B$15)^($C103-$C$99)*1/$B$14</f>
        <v>6735078.4211880174</v>
      </c>
      <c r="W103" s="63">
        <f>('Demographic-Economic'!F$22+'Demographic-Economic'!F$23+'Demographic-Economic'!F$24)*1000*(1+'Inflation-Interest'!$C$65)*(1+'Inflation-Interest'!$C$66)*(1+'Inflation-Interest'!$C$67)* ('Prediction Results (Transposed)'!M$3*($B$8/12)*$B$5+ 'Prediction Results (Transposed)'!M$4*($B$9/12)*$B$6+ 'Prediction Results (Transposed)'!M$5*($B$10/12)*$B$7)*W8/W46*(1+$B$15)^($C103-$C$99)*1/$B$14</f>
        <v>798249.01213685772</v>
      </c>
      <c r="X103" s="63">
        <f>('Demographic-Economic'!G$22+'Demographic-Economic'!G$23+'Demographic-Economic'!G$24)*1000*(1+'Inflation-Interest'!$C$65)*(1+'Inflation-Interest'!$C$66)*(1+'Inflation-Interest'!$C$67)* ('Prediction Results (Transposed)'!N$3*($B$8/12)*$B$5+ 'Prediction Results (Transposed)'!N$4*($B$9/12)*$B$6+ 'Prediction Results (Transposed)'!N$5*($B$10/12)*$B$7)*X8/X46*(1+$B$15)^($C103-$C$99)*1/$B$14</f>
        <v>2446506.3302361625</v>
      </c>
      <c r="Y103" s="63">
        <f>('Demographic-Economic'!H$22+'Demographic-Economic'!H$23+'Demographic-Economic'!H$24)*1000*(1+'Inflation-Interest'!$C$65)*(1+'Inflation-Interest'!$C$66)*(1+'Inflation-Interest'!$C$67)* ('Prediction Results (Transposed)'!O$3*($B$8/12)*$B$5+ 'Prediction Results (Transposed)'!O$4*($B$9/12)*$B$6+ 'Prediction Results (Transposed)'!O$5*($B$10/12)*$B$7)*Y8/Y46*(1+$B$15)^($C103-$C$99)*1/$B$14</f>
        <v>609688.95203854004</v>
      </c>
      <c r="AA103" s="38">
        <v>2024</v>
      </c>
      <c r="AB103" s="63">
        <f>('Demographic-Economic'!C$22+'Demographic-Economic'!C$23+'Demographic-Economic'!C$24)*1000*(1+'Inflation-Interest'!$C$65)*(1+'Inflation-Interest'!$C$66)*(1+'Inflation-Interest'!$C$67)* ('Prediction Results (Transposed)'!J$3*($B$8/12)*$B$5+ 'Prediction Results (Transposed)'!J$4*($B$9/12)*$B$6+ 'Prediction Results (Transposed)'!J$5*($B$10/12)*$B$7)*AB8/AB46*(1+$B$15)^($C103-$C$99)*1/$B$14</f>
        <v>107156735.90338887</v>
      </c>
      <c r="AC103" s="63">
        <f>('Demographic-Economic'!D$22+'Demographic-Economic'!D$23+'Demographic-Economic'!D$24)*1000*(1+'Inflation-Interest'!$C$65)*(1+'Inflation-Interest'!$C$66)*(1+'Inflation-Interest'!$C$67)* ('Prediction Results (Transposed)'!K$3*($B$8/12)*$B$5+ 'Prediction Results (Transposed)'!K$4*($B$9/12)*$B$6+ 'Prediction Results (Transposed)'!K$5*($B$10/12)*$B$7)*AC8/AC46*(1+$B$15)^($C103-$C$99)*1/$B$14</f>
        <v>137660283.26226184</v>
      </c>
      <c r="AD103" s="63">
        <f>('Demographic-Economic'!E$22+'Demographic-Economic'!E$23+'Demographic-Economic'!E$24)*1000*(1+'Inflation-Interest'!$C$65)*(1+'Inflation-Interest'!$C$66)*(1+'Inflation-Interest'!$C$67)* ('Prediction Results (Transposed)'!L$3*($B$8/12)*$B$5+ 'Prediction Results (Transposed)'!L$4*($B$9/12)*$B$6+ 'Prediction Results (Transposed)'!L$5*($B$10/12)*$B$7)*AD8/AD46*(1+$B$15)^($C103-$C$99)*1/$B$14</f>
        <v>6836615.4766304791</v>
      </c>
      <c r="AE103" s="63">
        <f>('Demographic-Economic'!F$22+'Demographic-Economic'!F$23+'Demographic-Economic'!F$24)*1000*(1+'Inflation-Interest'!$C$65)*(1+'Inflation-Interest'!$C$66)*(1+'Inflation-Interest'!$C$67)* ('Prediction Results (Transposed)'!M$3*($B$8/12)*$B$5+ 'Prediction Results (Transposed)'!M$4*($B$9/12)*$B$6+ 'Prediction Results (Transposed)'!M$5*($B$10/12)*$B$7)*AE8/AE46*(1+$B$15)^($C103-$C$99)*1/$B$14</f>
        <v>810283.29728300346</v>
      </c>
      <c r="AF103" s="63">
        <f>('Demographic-Economic'!G$22+'Demographic-Economic'!G$23+'Demographic-Economic'!G$24)*1000*(1+'Inflation-Interest'!$C$65)*(1+'Inflation-Interest'!$C$66)*(1+'Inflation-Interest'!$C$67)* ('Prediction Results (Transposed)'!N$3*($B$8/12)*$B$5+ 'Prediction Results (Transposed)'!N$4*($B$9/12)*$B$6+ 'Prediction Results (Transposed)'!N$5*($B$10/12)*$B$7)*AF8/AF46*(1+$B$15)^($C103-$C$99)*1/$B$14</f>
        <v>2483389.5012044534</v>
      </c>
      <c r="AG103" s="63">
        <f>('Demographic-Economic'!H$22+'Demographic-Economic'!H$23+'Demographic-Economic'!H$24)*1000*(1+'Inflation-Interest'!$C$65)*(1+'Inflation-Interest'!$C$66)*(1+'Inflation-Interest'!$C$67)* ('Prediction Results (Transposed)'!O$3*($B$8/12)*$B$5+ 'Prediction Results (Transposed)'!O$4*($B$9/12)*$B$6+ 'Prediction Results (Transposed)'!O$5*($B$10/12)*$B$7)*AG8/AG46*(1+$B$15)^($C103-$C$99)*1/$B$14</f>
        <v>618880.5333467907</v>
      </c>
    </row>
    <row r="104" spans="1:33">
      <c r="A104" s="589"/>
      <c r="B104" s="590"/>
      <c r="C104" s="38">
        <v>2025</v>
      </c>
      <c r="D104" s="63">
        <f>('Demographic-Economic'!C$22+'Demographic-Economic'!C$23+'Demographic-Economic'!C$24)*1000*(1+'Inflation-Interest'!$C$65)*(1+'Inflation-Interest'!$C$66)*(1+'Inflation-Interest'!$C$67)* ('Prediction Results (Transposed)'!J$3*($B$8/12)*$B$5+ 'Prediction Results (Transposed)'!J$4*($B$9/12)*$B$6+ 'Prediction Results (Transposed)'!J$5*($B$10/12)*$B$7)*D9/D47*(1+$B$15)^($C104-$C$99)*1/$B$14</f>
        <v>107977311.6137739</v>
      </c>
      <c r="E104" s="63">
        <f>('Demographic-Economic'!D$22+'Demographic-Economic'!D$23+'Demographic-Economic'!D$24)*1000*(1+'Inflation-Interest'!$C$65)*(1+'Inflation-Interest'!$C$66)*(1+'Inflation-Interest'!$C$67)* ('Prediction Results (Transposed)'!K$3*($B$8/12)*$B$5+ 'Prediction Results (Transposed)'!K$4*($B$9/12)*$B$6+ 'Prediction Results (Transposed)'!K$5*($B$10/12)*$B$7)*E9/E47*(1+$B$15)^($C104-$C$99)*1/$B$14</f>
        <v>138714446.43527585</v>
      </c>
      <c r="F104" s="63">
        <f>('Demographic-Economic'!E$22+'Demographic-Economic'!E$23+'Demographic-Economic'!E$24)*1000*(1+'Inflation-Interest'!$C$65)*(1+'Inflation-Interest'!$C$66)*(1+'Inflation-Interest'!$C$67)* ('Prediction Results (Transposed)'!L$3*($B$8/12)*$B$5+ 'Prediction Results (Transposed)'!L$4*($B$9/12)*$B$6+ 'Prediction Results (Transposed)'!L$5*($B$10/12)*$B$7)*F9/F47*(1+$B$15)^($C104-$C$99)*1/$B$14</f>
        <v>6888968.3273782227</v>
      </c>
      <c r="G104" s="63">
        <f>('Demographic-Economic'!F$22+'Demographic-Economic'!F$23+'Demographic-Economic'!F$24)*1000*(1+'Inflation-Interest'!$C$65)*(1+'Inflation-Interest'!$C$66)*(1+'Inflation-Interest'!$C$67)* ('Prediction Results (Transposed)'!M$3*($B$8/12)*$B$5+ 'Prediction Results (Transposed)'!M$4*($B$9/12)*$B$6+ 'Prediction Results (Transposed)'!M$5*($B$10/12)*$B$7)*G9/G47*(1+$B$15)^($C104-$C$99)*1/$B$14</f>
        <v>816488.21558959177</v>
      </c>
      <c r="H104" s="63">
        <f>('Demographic-Economic'!G$22+'Demographic-Economic'!G$23+'Demographic-Economic'!G$24)*1000*(1+'Inflation-Interest'!$C$65)*(1+'Inflation-Interest'!$C$66)*(1+'Inflation-Interest'!$C$67)* ('Prediction Results (Transposed)'!N$3*($B$8/12)*$B$5+ 'Prediction Results (Transposed)'!N$4*($B$9/12)*$B$6+ 'Prediction Results (Transposed)'!N$5*($B$10/12)*$B$7)*H9/H47*(1+$B$15)^($C104-$C$99)*1/$B$14</f>
        <v>2502406.5894624516</v>
      </c>
      <c r="I104" s="63">
        <f>('Demographic-Economic'!H$22+'Demographic-Economic'!H$23+'Demographic-Economic'!H$24)*1000*(1+'Inflation-Interest'!$C$65)*(1+'Inflation-Interest'!$C$66)*(1+'Inflation-Interest'!$C$67)* ('Prediction Results (Transposed)'!O$3*($B$8/12)*$B$5+ 'Prediction Results (Transposed)'!O$4*($B$9/12)*$B$6+ 'Prediction Results (Transposed)'!O$5*($B$10/12)*$B$7)*I9/I47*(1+$B$15)^($C104-$C$99)*1/$B$14</f>
        <v>623619.74389676878</v>
      </c>
      <c r="K104" s="38">
        <v>2025</v>
      </c>
      <c r="L104" s="63">
        <f>('Demographic-Economic'!C$22+'Demographic-Economic'!C$23+'Demographic-Economic'!C$24)*1000*(1+'Inflation-Interest'!$C$65)*(1+'Inflation-Interest'!$C$66)*(1+'Inflation-Interest'!$C$67)* ('Prediction Results (Transposed)'!J$3*($B$8/12)*$B$5+ 'Prediction Results (Transposed)'!J$4*($B$9/12)*$B$6+ 'Prediction Results (Transposed)'!J$5*($B$10/12)*$B$7)*L9/L47*(1+$B$15)^($C104-$C$99)*1/$B$14</f>
        <v>109433155.18502952</v>
      </c>
      <c r="M104" s="63">
        <f>('Demographic-Economic'!D$22+'Demographic-Economic'!D$23+'Demographic-Economic'!D$24)*1000*(1+'Inflation-Interest'!$C$65)*(1+'Inflation-Interest'!$C$66)*(1+'Inflation-Interest'!$C$67)* ('Prediction Results (Transposed)'!K$3*($B$8/12)*$B$5+ 'Prediction Results (Transposed)'!K$4*($B$9/12)*$B$6+ 'Prediction Results (Transposed)'!K$5*($B$10/12)*$B$7)*M9/M47*(1+$B$15)^($C104-$C$99)*1/$B$14</f>
        <v>140584714.66167346</v>
      </c>
      <c r="N104" s="63">
        <f>('Demographic-Economic'!E$22+'Demographic-Economic'!E$23+'Demographic-Economic'!E$24)*1000*(1+'Inflation-Interest'!$C$65)*(1+'Inflation-Interest'!$C$66)*(1+'Inflation-Interest'!$C$67)* ('Prediction Results (Transposed)'!L$3*($B$8/12)*$B$5+ 'Prediction Results (Transposed)'!L$4*($B$9/12)*$B$6+ 'Prediction Results (Transposed)'!L$5*($B$10/12)*$B$7)*N9/N47*(1+$B$15)^($C104-$C$99)*1/$B$14</f>
        <v>6981851.3608794725</v>
      </c>
      <c r="O104" s="63">
        <f>('Demographic-Economic'!F$22+'Demographic-Economic'!F$23+'Demographic-Economic'!F$24)*1000*(1+'Inflation-Interest'!$C$65)*(1+'Inflation-Interest'!$C$66)*(1+'Inflation-Interest'!$C$67)* ('Prediction Results (Transposed)'!M$3*($B$8/12)*$B$5+ 'Prediction Results (Transposed)'!M$4*($B$9/12)*$B$6+ 'Prediction Results (Transposed)'!M$5*($B$10/12)*$B$7)*O9/O47*(1+$B$15)^($C104-$C$99)*1/$B$14</f>
        <v>827496.81639569311</v>
      </c>
      <c r="P104" s="63">
        <f>('Demographic-Economic'!G$22+'Demographic-Economic'!G$23+'Demographic-Economic'!G$24)*1000*(1+'Inflation-Interest'!$C$65)*(1+'Inflation-Interest'!$C$66)*(1+'Inflation-Interest'!$C$67)* ('Prediction Results (Transposed)'!N$3*($B$8/12)*$B$5+ 'Prediction Results (Transposed)'!N$4*($B$9/12)*$B$6+ 'Prediction Results (Transposed)'!N$5*($B$10/12)*$B$7)*P9/P47*(1+$B$15)^($C104-$C$99)*1/$B$14</f>
        <v>2536146.2009742446</v>
      </c>
      <c r="Q104" s="63">
        <f>('Demographic-Economic'!H$22+'Demographic-Economic'!H$23+'Demographic-Economic'!H$24)*1000*(1+'Inflation-Interest'!$C$65)*(1+'Inflation-Interest'!$C$66)*(1+'Inflation-Interest'!$C$67)* ('Prediction Results (Transposed)'!O$3*($B$8/12)*$B$5+ 'Prediction Results (Transposed)'!O$4*($B$9/12)*$B$6+ 'Prediction Results (Transposed)'!O$5*($B$10/12)*$B$7)*Q9/Q47*(1+$B$15)^($C104-$C$99)*1/$B$14</f>
        <v>632027.925036781</v>
      </c>
      <c r="S104" s="38">
        <v>2025</v>
      </c>
      <c r="T104" s="63">
        <f>('Demographic-Economic'!C$22+'Demographic-Economic'!C$23+'Demographic-Economic'!C$24)*1000*(1+'Inflation-Interest'!$C$65)*(1+'Inflation-Interest'!$C$66)*(1+'Inflation-Interest'!$C$67)* ('Prediction Results (Transposed)'!J$3*($B$8/12)*$B$5+ 'Prediction Results (Transposed)'!J$4*($B$9/12)*$B$6+ 'Prediction Results (Transposed)'!J$5*($B$10/12)*$B$7)*T9/T47*(1+$B$15)^($C104-$C$99)*1/$B$14</f>
        <v>112773767.39263828</v>
      </c>
      <c r="U104" s="63">
        <f>('Demographic-Economic'!D$22+'Demographic-Economic'!D$23+'Demographic-Economic'!D$24)*1000*(1+'Inflation-Interest'!$C$65)*(1+'Inflation-Interest'!$C$66)*(1+'Inflation-Interest'!$C$67)* ('Prediction Results (Transposed)'!K$3*($B$8/12)*$B$5+ 'Prediction Results (Transposed)'!K$4*($B$9/12)*$B$6+ 'Prediction Results (Transposed)'!K$5*($B$10/12)*$B$7)*U9/U47*(1+$B$15)^($C104-$C$99)*1/$B$14</f>
        <v>144876275.23312837</v>
      </c>
      <c r="V104" s="63">
        <f>('Demographic-Economic'!E$22+'Demographic-Economic'!E$23+'Demographic-Economic'!E$24)*1000*(1+'Inflation-Interest'!$C$65)*(1+'Inflation-Interest'!$C$66)*(1+'Inflation-Interest'!$C$67)* ('Prediction Results (Transposed)'!L$3*($B$8/12)*$B$5+ 'Prediction Results (Transposed)'!L$4*($B$9/12)*$B$6+ 'Prediction Results (Transposed)'!L$5*($B$10/12)*$B$7)*V9/V47*(1+$B$15)^($C104-$C$99)*1/$B$14</f>
        <v>7194982.9099829243</v>
      </c>
      <c r="W104" s="63">
        <f>('Demographic-Economic'!F$22+'Demographic-Economic'!F$23+'Demographic-Economic'!F$24)*1000*(1+'Inflation-Interest'!$C$65)*(1+'Inflation-Interest'!$C$66)*(1+'Inflation-Interest'!$C$67)* ('Prediction Results (Transposed)'!M$3*($B$8/12)*$B$5+ 'Prediction Results (Transposed)'!M$4*($B$9/12)*$B$6+ 'Prediction Results (Transposed)'!M$5*($B$10/12)*$B$7)*W9/W47*(1+$B$15)^($C104-$C$99)*1/$B$14</f>
        <v>852757.40549170214</v>
      </c>
      <c r="X104" s="63">
        <f>('Demographic-Economic'!G$22+'Demographic-Economic'!G$23+'Demographic-Economic'!G$24)*1000*(1+'Inflation-Interest'!$C$65)*(1+'Inflation-Interest'!$C$66)*(1+'Inflation-Interest'!$C$67)* ('Prediction Results (Transposed)'!N$3*($B$8/12)*$B$5+ 'Prediction Results (Transposed)'!N$4*($B$9/12)*$B$6+ 'Prediction Results (Transposed)'!N$5*($B$10/12)*$B$7)*X9/X47*(1+$B$15)^($C104-$C$99)*1/$B$14</f>
        <v>2613565.891057475</v>
      </c>
      <c r="Y104" s="63">
        <f>('Demographic-Economic'!H$22+'Demographic-Economic'!H$23+'Demographic-Economic'!H$24)*1000*(1+'Inflation-Interest'!$C$65)*(1+'Inflation-Interest'!$C$66)*(1+'Inflation-Interest'!$C$67)* ('Prediction Results (Transposed)'!O$3*($B$8/12)*$B$5+ 'Prediction Results (Transposed)'!O$4*($B$9/12)*$B$6+ 'Prediction Results (Transposed)'!O$5*($B$10/12)*$B$7)*Y9/Y47*(1+$B$15)^($C104-$C$99)*1/$B$14</f>
        <v>651321.53124193533</v>
      </c>
      <c r="AA104" s="38">
        <v>2025</v>
      </c>
      <c r="AB104" s="63">
        <f>('Demographic-Economic'!C$22+'Demographic-Economic'!C$23+'Demographic-Economic'!C$24)*1000*(1+'Inflation-Interest'!$C$65)*(1+'Inflation-Interest'!$C$66)*(1+'Inflation-Interest'!$C$67)* ('Prediction Results (Transposed)'!J$3*($B$8/12)*$B$5+ 'Prediction Results (Transposed)'!J$4*($B$9/12)*$B$6+ 'Prediction Results (Transposed)'!J$5*($B$10/12)*$B$7)*AB9/AB47*(1+$B$15)^($C104-$C$99)*1/$B$14</f>
        <v>114886362.12531738</v>
      </c>
      <c r="AC104" s="63">
        <f>('Demographic-Economic'!D$22+'Demographic-Economic'!D$23+'Demographic-Economic'!D$24)*1000*(1+'Inflation-Interest'!$C$65)*(1+'Inflation-Interest'!$C$66)*(1+'Inflation-Interest'!$C$67)* ('Prediction Results (Transposed)'!K$3*($B$8/12)*$B$5+ 'Prediction Results (Transposed)'!K$4*($B$9/12)*$B$6+ 'Prediction Results (Transposed)'!K$5*($B$10/12)*$B$7)*AC9/AC47*(1+$B$15)^($C104-$C$99)*1/$B$14</f>
        <v>147590247.31213203</v>
      </c>
      <c r="AD104" s="63">
        <f>('Demographic-Economic'!E$22+'Demographic-Economic'!E$23+'Demographic-Economic'!E$24)*1000*(1+'Inflation-Interest'!$C$65)*(1+'Inflation-Interest'!$C$66)*(1+'Inflation-Interest'!$C$67)* ('Prediction Results (Transposed)'!L$3*($B$8/12)*$B$5+ 'Prediction Results (Transposed)'!L$4*($B$9/12)*$B$6+ 'Prediction Results (Transposed)'!L$5*($B$10/12)*$B$7)*AD9/AD47*(1+$B$15)^($C104-$C$99)*1/$B$14</f>
        <v>7329766.7639657827</v>
      </c>
      <c r="AE104" s="63">
        <f>('Demographic-Economic'!F$22+'Demographic-Economic'!F$23+'Demographic-Economic'!F$24)*1000*(1+'Inflation-Interest'!$C$65)*(1+'Inflation-Interest'!$C$66)*(1+'Inflation-Interest'!$C$67)* ('Prediction Results (Transposed)'!M$3*($B$8/12)*$B$5+ 'Prediction Results (Transposed)'!M$4*($B$9/12)*$B$6+ 'Prediction Results (Transposed)'!M$5*($B$10/12)*$B$7)*AE9/AE47*(1+$B$15)^($C104-$C$99)*1/$B$14</f>
        <v>868732.13831075025</v>
      </c>
      <c r="AF104" s="63">
        <f>('Demographic-Economic'!G$22+'Demographic-Economic'!G$23+'Demographic-Economic'!G$24)*1000*(1+'Inflation-Interest'!$C$65)*(1+'Inflation-Interest'!$C$66)*(1+'Inflation-Interest'!$C$67)* ('Prediction Results (Transposed)'!N$3*($B$8/12)*$B$5+ 'Prediction Results (Transposed)'!N$4*($B$9/12)*$B$6+ 'Prediction Results (Transposed)'!N$5*($B$10/12)*$B$7)*AF9/AF47*(1+$B$15)^($C104-$C$99)*1/$B$14</f>
        <v>2662525.9077582941</v>
      </c>
      <c r="AG104" s="63">
        <f>('Demographic-Economic'!H$22+'Demographic-Economic'!H$23+'Demographic-Economic'!H$24)*1000*(1+'Inflation-Interest'!$C$65)*(1+'Inflation-Interest'!$C$66)*(1+'Inflation-Interest'!$C$67)* ('Prediction Results (Transposed)'!O$3*($B$8/12)*$B$5+ 'Prediction Results (Transposed)'!O$4*($B$9/12)*$B$6+ 'Prediction Results (Transposed)'!O$5*($B$10/12)*$B$7)*AG9/AG47*(1+$B$15)^($C104-$C$99)*1/$B$14</f>
        <v>663522.75913380436</v>
      </c>
    </row>
    <row r="105" spans="1:33">
      <c r="A105" s="589"/>
      <c r="B105" s="590"/>
      <c r="C105" s="38">
        <v>2026</v>
      </c>
      <c r="D105" s="63">
        <f>('Demographic-Economic'!C$22+'Demographic-Economic'!C$23+'Demographic-Economic'!C$24)*1000*(1+'Inflation-Interest'!$C$65)*(1+'Inflation-Interest'!$C$66)*(1+'Inflation-Interest'!$C$67)* ('Prediction Results (Transposed)'!J$3*($B$8/12)*$B$5+ 'Prediction Results (Transposed)'!J$4*($B$9/12)*$B$6+ 'Prediction Results (Transposed)'!J$5*($B$10/12)*$B$7)*D10/D48*(1+$B$15)^($C105-$C$99)*1/$B$14</f>
        <v>114364666.74681829</v>
      </c>
      <c r="E105" s="63">
        <f>('Demographic-Economic'!D$22+'Demographic-Economic'!D$23+'Demographic-Economic'!D$24)*1000*(1+'Inflation-Interest'!$C$65)*(1+'Inflation-Interest'!$C$66)*(1+'Inflation-Interest'!$C$67)* ('Prediction Results (Transposed)'!K$3*($B$8/12)*$B$5+ 'Prediction Results (Transposed)'!K$4*($B$9/12)*$B$6+ 'Prediction Results (Transposed)'!K$5*($B$10/12)*$B$7)*E10/E48*(1+$B$15)^($C105-$C$99)*1/$B$14</f>
        <v>146920044.61348376</v>
      </c>
      <c r="F105" s="63">
        <f>('Demographic-Economic'!E$22+'Demographic-Economic'!E$23+'Demographic-Economic'!E$24)*1000*(1+'Inflation-Interest'!$C$65)*(1+'Inflation-Interest'!$C$66)*(1+'Inflation-Interest'!$C$67)* ('Prediction Results (Transposed)'!L$3*($B$8/12)*$B$5+ 'Prediction Results (Transposed)'!L$4*($B$9/12)*$B$6+ 'Prediction Results (Transposed)'!L$5*($B$10/12)*$B$7)*F10/F48*(1+$B$15)^($C105-$C$99)*1/$B$14</f>
        <v>7296482.5222551264</v>
      </c>
      <c r="G105" s="63">
        <f>('Demographic-Economic'!F$22+'Demographic-Economic'!F$23+'Demographic-Economic'!F$24)*1000*(1+'Inflation-Interest'!$C$65)*(1+'Inflation-Interest'!$C$66)*(1+'Inflation-Interest'!$C$67)* ('Prediction Results (Transposed)'!M$3*($B$8/12)*$B$5+ 'Prediction Results (Transposed)'!M$4*($B$9/12)*$B$6+ 'Prediction Results (Transposed)'!M$5*($B$10/12)*$B$7)*G10/G48*(1+$B$15)^($C105-$C$99)*1/$B$14</f>
        <v>864787.25283151516</v>
      </c>
      <c r="H105" s="63">
        <f>('Demographic-Economic'!G$22+'Demographic-Economic'!G$23+'Demographic-Economic'!G$24)*1000*(1+'Inflation-Interest'!$C$65)*(1+'Inflation-Interest'!$C$66)*(1+'Inflation-Interest'!$C$67)* ('Prediction Results (Transposed)'!N$3*($B$8/12)*$B$5+ 'Prediction Results (Transposed)'!N$4*($B$9/12)*$B$6+ 'Prediction Results (Transposed)'!N$5*($B$10/12)*$B$7)*H10/H48*(1+$B$15)^($C105-$C$99)*1/$B$14</f>
        <v>2650435.4608548023</v>
      </c>
      <c r="I105" s="63">
        <f>('Demographic-Economic'!H$22+'Demographic-Economic'!H$23+'Demographic-Economic'!H$24)*1000*(1+'Inflation-Interest'!$C$65)*(1+'Inflation-Interest'!$C$66)*(1+'Inflation-Interest'!$C$67)* ('Prediction Results (Transposed)'!O$3*($B$8/12)*$B$5+ 'Prediction Results (Transposed)'!O$4*($B$9/12)*$B$6+ 'Prediction Results (Transposed)'!O$5*($B$10/12)*$B$7)*I10/I48*(1+$B$15)^($C105-$C$99)*1/$B$14</f>
        <v>660509.72302955831</v>
      </c>
      <c r="K105" s="38">
        <v>2026</v>
      </c>
      <c r="L105" s="63">
        <f>('Demographic-Economic'!C$22+'Demographic-Economic'!C$23+'Demographic-Economic'!C$24)*1000*(1+'Inflation-Interest'!$C$65)*(1+'Inflation-Interest'!$C$66)*(1+'Inflation-Interest'!$C$67)* ('Prediction Results (Transposed)'!J$3*($B$8/12)*$B$5+ 'Prediction Results (Transposed)'!J$4*($B$9/12)*$B$6+ 'Prediction Results (Transposed)'!J$5*($B$10/12)*$B$7)*L10/L48*(1+$B$15)^($C105-$C$99)*1/$B$14</f>
        <v>116208889.20252541</v>
      </c>
      <c r="M105" s="63">
        <f>('Demographic-Economic'!D$22+'Demographic-Economic'!D$23+'Demographic-Economic'!D$24)*1000*(1+'Inflation-Interest'!$C$65)*(1+'Inflation-Interest'!$C$66)*(1+'Inflation-Interest'!$C$67)* ('Prediction Results (Transposed)'!K$3*($B$8/12)*$B$5+ 'Prediction Results (Transposed)'!K$4*($B$9/12)*$B$6+ 'Prediction Results (Transposed)'!K$5*($B$10/12)*$B$7)*M10/M48*(1+$B$15)^($C105-$C$99)*1/$B$14</f>
        <v>149289248.78446704</v>
      </c>
      <c r="N105" s="63">
        <f>('Demographic-Economic'!E$22+'Demographic-Economic'!E$23+'Demographic-Economic'!E$24)*1000*(1+'Inflation-Interest'!$C$65)*(1+'Inflation-Interest'!$C$66)*(1+'Inflation-Interest'!$C$67)* ('Prediction Results (Transposed)'!L$3*($B$8/12)*$B$5+ 'Prediction Results (Transposed)'!L$4*($B$9/12)*$B$6+ 'Prediction Results (Transposed)'!L$5*($B$10/12)*$B$7)*N10/N48*(1+$B$15)^($C105-$C$99)*1/$B$14</f>
        <v>7414144.1855816785</v>
      </c>
      <c r="O105" s="63">
        <f>('Demographic-Economic'!F$22+'Demographic-Economic'!F$23+'Demographic-Economic'!F$24)*1000*(1+'Inflation-Interest'!$C$65)*(1+'Inflation-Interest'!$C$66)*(1+'Inflation-Interest'!$C$67)* ('Prediction Results (Transposed)'!M$3*($B$8/12)*$B$5+ 'Prediction Results (Transposed)'!M$4*($B$9/12)*$B$6+ 'Prediction Results (Transposed)'!M$5*($B$10/12)*$B$7)*O10/O48*(1+$B$15)^($C105-$C$99)*1/$B$14</f>
        <v>878732.64450228226</v>
      </c>
      <c r="P105" s="63">
        <f>('Demographic-Economic'!G$22+'Demographic-Economic'!G$23+'Demographic-Economic'!G$24)*1000*(1+'Inflation-Interest'!$C$65)*(1+'Inflation-Interest'!$C$66)*(1+'Inflation-Interest'!$C$67)* ('Prediction Results (Transposed)'!N$3*($B$8/12)*$B$5+ 'Prediction Results (Transposed)'!N$4*($B$9/12)*$B$6+ 'Prediction Results (Transposed)'!N$5*($B$10/12)*$B$7)*P10/P48*(1+$B$15)^($C105-$C$99)*1/$B$14</f>
        <v>2693175.8695260566</v>
      </c>
      <c r="Q105" s="63">
        <f>('Demographic-Economic'!H$22+'Demographic-Economic'!H$23+'Demographic-Economic'!H$24)*1000*(1+'Inflation-Interest'!$C$65)*(1+'Inflation-Interest'!$C$66)*(1+'Inflation-Interest'!$C$67)* ('Prediction Results (Transposed)'!O$3*($B$8/12)*$B$5+ 'Prediction Results (Transposed)'!O$4*($B$9/12)*$B$6+ 'Prediction Results (Transposed)'!O$5*($B$10/12)*$B$7)*Q10/Q48*(1+$B$15)^($C105-$C$99)*1/$B$14</f>
        <v>671160.97483725788</v>
      </c>
      <c r="S105" s="38">
        <v>2026</v>
      </c>
      <c r="T105" s="63">
        <f>('Demographic-Economic'!C$22+'Demographic-Economic'!C$23+'Demographic-Economic'!C$24)*1000*(1+'Inflation-Interest'!$C$65)*(1+'Inflation-Interest'!$C$66)*(1+'Inflation-Interest'!$C$67)* ('Prediction Results (Transposed)'!J$3*($B$8/12)*$B$5+ 'Prediction Results (Transposed)'!J$4*($B$9/12)*$B$6+ 'Prediction Results (Transposed)'!J$5*($B$10/12)*$B$7)*T10/T48*(1+$B$15)^($C105-$C$99)*1/$B$14</f>
        <v>120450352.81988859</v>
      </c>
      <c r="U105" s="63">
        <f>('Demographic-Economic'!D$22+'Demographic-Economic'!D$23+'Demographic-Economic'!D$24)*1000*(1+'Inflation-Interest'!$C$65)*(1+'Inflation-Interest'!$C$66)*(1+'Inflation-Interest'!$C$67)* ('Prediction Results (Transposed)'!K$3*($B$8/12)*$B$5+ 'Prediction Results (Transposed)'!K$4*($B$9/12)*$B$6+ 'Prediction Results (Transposed)'!K$5*($B$10/12)*$B$7)*U10/U48*(1+$B$15)^($C105-$C$99)*1/$B$14</f>
        <v>154738099.74180877</v>
      </c>
      <c r="V105" s="63">
        <f>('Demographic-Economic'!E$22+'Demographic-Economic'!E$23+'Demographic-Economic'!E$24)*1000*(1+'Inflation-Interest'!$C$65)*(1+'Inflation-Interest'!$C$66)*(1+'Inflation-Interest'!$C$67)* ('Prediction Results (Transposed)'!L$3*($B$8/12)*$B$5+ 'Prediction Results (Transposed)'!L$4*($B$9/12)*$B$6+ 'Prediction Results (Transposed)'!L$5*($B$10/12)*$B$7)*V10/V48*(1+$B$15)^($C105-$C$99)*1/$B$14</f>
        <v>7684750.1868336517</v>
      </c>
      <c r="W105" s="63">
        <f>('Demographic-Economic'!F$22+'Demographic-Economic'!F$23+'Demographic-Economic'!F$24)*1000*(1+'Inflation-Interest'!$C$65)*(1+'Inflation-Interest'!$C$66)*(1+'Inflation-Interest'!$C$67)* ('Prediction Results (Transposed)'!M$3*($B$8/12)*$B$5+ 'Prediction Results (Transposed)'!M$4*($B$9/12)*$B$6+ 'Prediction Results (Transposed)'!M$5*($B$10/12)*$B$7)*W10/W48*(1+$B$15)^($C105-$C$99)*1/$B$14</f>
        <v>910805.16981960344</v>
      </c>
      <c r="X105" s="63">
        <f>('Demographic-Economic'!G$22+'Demographic-Economic'!G$23+'Demographic-Economic'!G$24)*1000*(1+'Inflation-Interest'!$C$65)*(1+'Inflation-Interest'!$C$66)*(1+'Inflation-Interest'!$C$67)* ('Prediction Results (Transposed)'!N$3*($B$8/12)*$B$5+ 'Prediction Results (Transposed)'!N$4*($B$9/12)*$B$6+ 'Prediction Results (Transposed)'!N$5*($B$10/12)*$B$7)*X10/X48*(1+$B$15)^($C105-$C$99)*1/$B$14</f>
        <v>2791473.0612825966</v>
      </c>
      <c r="Y105" s="63">
        <f>('Demographic-Economic'!H$22+'Demographic-Economic'!H$23+'Demographic-Economic'!H$24)*1000*(1+'Inflation-Interest'!$C$65)*(1+'Inflation-Interest'!$C$66)*(1+'Inflation-Interest'!$C$67)* ('Prediction Results (Transposed)'!O$3*($B$8/12)*$B$5+ 'Prediction Results (Transposed)'!O$4*($B$9/12)*$B$6+ 'Prediction Results (Transposed)'!O$5*($B$10/12)*$B$7)*Y10/Y48*(1+$B$15)^($C105-$C$99)*1/$B$14</f>
        <v>695657.42150068888</v>
      </c>
      <c r="AA105" s="38">
        <v>2026</v>
      </c>
      <c r="AB105" s="63">
        <f>('Demographic-Economic'!C$22+'Demographic-Economic'!C$23+'Demographic-Economic'!C$24)*1000*(1+'Inflation-Interest'!$C$65)*(1+'Inflation-Interest'!$C$66)*(1+'Inflation-Interest'!$C$67)* ('Prediction Results (Transposed)'!J$3*($B$8/12)*$B$5+ 'Prediction Results (Transposed)'!J$4*($B$9/12)*$B$6+ 'Prediction Results (Transposed)'!J$5*($B$10/12)*$B$7)*AB10/AB48*(1+$B$15)^($C105-$C$99)*1/$B$14</f>
        <v>123139594.16653129</v>
      </c>
      <c r="AC105" s="63">
        <f>('Demographic-Economic'!D$22+'Demographic-Economic'!D$23+'Demographic-Economic'!D$24)*1000*(1+'Inflation-Interest'!$C$65)*(1+'Inflation-Interest'!$C$66)*(1+'Inflation-Interest'!$C$67)* ('Prediction Results (Transposed)'!K$3*($B$8/12)*$B$5+ 'Prediction Results (Transposed)'!K$4*($B$9/12)*$B$6+ 'Prediction Results (Transposed)'!K$5*($B$10/12)*$B$7)*AC10/AC48*(1+$B$15)^($C105-$C$99)*1/$B$14</f>
        <v>158192868.33305424</v>
      </c>
      <c r="AD105" s="63">
        <f>('Demographic-Economic'!E$22+'Demographic-Economic'!E$23+'Demographic-Economic'!E$24)*1000*(1+'Inflation-Interest'!$C$65)*(1+'Inflation-Interest'!$C$66)*(1+'Inflation-Interest'!$C$67)* ('Prediction Results (Transposed)'!L$3*($B$8/12)*$B$5+ 'Prediction Results (Transposed)'!L$4*($B$9/12)*$B$6+ 'Prediction Results (Transposed)'!L$5*($B$10/12)*$B$7)*AD10/AD48*(1+$B$15)^($C105-$C$99)*1/$B$14</f>
        <v>7856324.1794142807</v>
      </c>
      <c r="AE105" s="63">
        <f>('Demographic-Economic'!F$22+'Demographic-Economic'!F$23+'Demographic-Economic'!F$24)*1000*(1+'Inflation-Interest'!$C$65)*(1+'Inflation-Interest'!$C$66)*(1+'Inflation-Interest'!$C$67)* ('Prediction Results (Transposed)'!M$3*($B$8/12)*$B$5+ 'Prediction Results (Transposed)'!M$4*($B$9/12)*$B$6+ 'Prediction Results (Transposed)'!M$5*($B$10/12)*$B$7)*AE10/AE48*(1+$B$15)^($C105-$C$99)*1/$B$14</f>
        <v>931140.31093021017</v>
      </c>
      <c r="AF105" s="63">
        <f>('Demographic-Economic'!G$22+'Demographic-Economic'!G$23+'Demographic-Economic'!G$24)*1000*(1+'Inflation-Interest'!$C$65)*(1+'Inflation-Interest'!$C$66)*(1+'Inflation-Interest'!$C$67)* ('Prediction Results (Transposed)'!N$3*($B$8/12)*$B$5+ 'Prediction Results (Transposed)'!N$4*($B$9/12)*$B$6+ 'Prediction Results (Transposed)'!N$5*($B$10/12)*$B$7)*AF10/AF48*(1+$B$15)^($C105-$C$99)*1/$B$14</f>
        <v>2853797.0362539752</v>
      </c>
      <c r="AG105" s="63">
        <f>('Demographic-Economic'!H$22+'Demographic-Economic'!H$23+'Demographic-Economic'!H$24)*1000*(1+'Inflation-Interest'!$C$65)*(1+'Inflation-Interest'!$C$66)*(1+'Inflation-Interest'!$C$67)* ('Prediction Results (Transposed)'!O$3*($B$8/12)*$B$5+ 'Prediction Results (Transposed)'!O$4*($B$9/12)*$B$6+ 'Prediction Results (Transposed)'!O$5*($B$10/12)*$B$7)*AG10/AG48*(1+$B$15)^($C105-$C$99)*1/$B$14</f>
        <v>711189.05471886578</v>
      </c>
    </row>
    <row r="106" spans="1:33">
      <c r="A106" s="589"/>
      <c r="B106" s="590"/>
      <c r="C106" s="38">
        <v>2027</v>
      </c>
      <c r="D106" s="63">
        <f>('Demographic-Economic'!C$22+'Demographic-Economic'!C$23+'Demographic-Economic'!C$24)*1000*(1+'Inflation-Interest'!$C$65)*(1+'Inflation-Interest'!$C$66)*(1+'Inflation-Interest'!$C$67)* ('Prediction Results (Transposed)'!J$3*($B$8/12)*$B$5+ 'Prediction Results (Transposed)'!J$4*($B$9/12)*$B$6+ 'Prediction Results (Transposed)'!J$5*($B$10/12)*$B$7)*D11/D49*(1+$B$15)^($C106-$C$99)*1/$B$14</f>
        <v>121115638.59698486</v>
      </c>
      <c r="E106" s="63">
        <f>('Demographic-Economic'!D$22+'Demographic-Economic'!D$23+'Demographic-Economic'!D$24)*1000*(1+'Inflation-Interest'!$C$65)*(1+'Inflation-Interest'!$C$66)*(1+'Inflation-Interest'!$C$67)* ('Prediction Results (Transposed)'!K$3*($B$8/12)*$B$5+ 'Prediction Results (Transposed)'!K$4*($B$9/12)*$B$6+ 'Prediction Results (Transposed)'!K$5*($B$10/12)*$B$7)*E11/E49*(1+$B$15)^($C106-$C$99)*1/$B$14</f>
        <v>155592767.69854829</v>
      </c>
      <c r="F106" s="63">
        <f>('Demographic-Economic'!E$22+'Demographic-Economic'!E$23+'Demographic-Economic'!E$24)*1000*(1+'Inflation-Interest'!$C$65)*(1+'Inflation-Interest'!$C$66)*(1+'Inflation-Interest'!$C$67)* ('Prediction Results (Transposed)'!L$3*($B$8/12)*$B$5+ 'Prediction Results (Transposed)'!L$4*($B$9/12)*$B$6+ 'Prediction Results (Transposed)'!L$5*($B$10/12)*$B$7)*F11/F49*(1+$B$15)^($C106-$C$99)*1/$B$14</f>
        <v>7727195.5170477005</v>
      </c>
      <c r="G106" s="63">
        <f>('Demographic-Economic'!F$22+'Demographic-Economic'!F$23+'Demographic-Economic'!F$24)*1000*(1+'Inflation-Interest'!$C$65)*(1+'Inflation-Interest'!$C$66)*(1+'Inflation-Interest'!$C$67)* ('Prediction Results (Transposed)'!M$3*($B$8/12)*$B$5+ 'Prediction Results (Transposed)'!M$4*($B$9/12)*$B$6+ 'Prediction Results (Transposed)'!M$5*($B$10/12)*$B$7)*G11/G49*(1+$B$15)^($C106-$C$99)*1/$B$14</f>
        <v>915835.83773381729</v>
      </c>
      <c r="H106" s="63">
        <f>('Demographic-Economic'!G$22+'Demographic-Economic'!G$23+'Demographic-Economic'!G$24)*1000*(1+'Inflation-Interest'!$C$65)*(1+'Inflation-Interest'!$C$66)*(1+'Inflation-Interest'!$C$67)* ('Prediction Results (Transposed)'!N$3*($B$8/12)*$B$5+ 'Prediction Results (Transposed)'!N$4*($B$9/12)*$B$6+ 'Prediction Results (Transposed)'!N$5*($B$10/12)*$B$7)*H11/H49*(1+$B$15)^($C106-$C$99)*1/$B$14</f>
        <v>2806891.2587501938</v>
      </c>
      <c r="I106" s="63">
        <f>('Demographic-Economic'!H$22+'Demographic-Economic'!H$23+'Demographic-Economic'!H$24)*1000*(1+'Inflation-Interest'!$C$65)*(1+'Inflation-Interest'!$C$66)*(1+'Inflation-Interest'!$C$67)* ('Prediction Results (Transposed)'!O$3*($B$8/12)*$B$5+ 'Prediction Results (Transposed)'!O$4*($B$9/12)*$B$6+ 'Prediction Results (Transposed)'!O$5*($B$10/12)*$B$7)*I11/I49*(1+$B$15)^($C106-$C$99)*1/$B$14</f>
        <v>699499.75967090519</v>
      </c>
      <c r="K106" s="38">
        <v>2027</v>
      </c>
      <c r="L106" s="63">
        <f>('Demographic-Economic'!C$22+'Demographic-Economic'!C$23+'Demographic-Economic'!C$24)*1000*(1+'Inflation-Interest'!$C$65)*(1+'Inflation-Interest'!$C$66)*(1+'Inflation-Interest'!$C$67)* ('Prediction Results (Transposed)'!J$3*($B$8/12)*$B$5+ 'Prediction Results (Transposed)'!J$4*($B$9/12)*$B$6+ 'Prediction Results (Transposed)'!J$5*($B$10/12)*$B$7)*L11/L49*(1+$B$15)^($C106-$C$99)*1/$B$14</f>
        <v>123384898.97990341</v>
      </c>
      <c r="M106" s="63">
        <f>('Demographic-Economic'!D$22+'Demographic-Economic'!D$23+'Demographic-Economic'!D$24)*1000*(1+'Inflation-Interest'!$C$65)*(1+'Inflation-Interest'!$C$66)*(1+'Inflation-Interest'!$C$67)* ('Prediction Results (Transposed)'!K$3*($B$8/12)*$B$5+ 'Prediction Results (Transposed)'!K$4*($B$9/12)*$B$6+ 'Prediction Results (Transposed)'!K$5*($B$10/12)*$B$7)*M11/M49*(1+$B$15)^($C106-$C$99)*1/$B$14</f>
        <v>158508002.3263559</v>
      </c>
      <c r="N106" s="63">
        <f>('Demographic-Economic'!E$22+'Demographic-Economic'!E$23+'Demographic-Economic'!E$24)*1000*(1+'Inflation-Interest'!$C$65)*(1+'Inflation-Interest'!$C$66)*(1+'Inflation-Interest'!$C$67)* ('Prediction Results (Transposed)'!L$3*($B$8/12)*$B$5+ 'Prediction Results (Transposed)'!L$4*($B$9/12)*$B$6+ 'Prediction Results (Transposed)'!L$5*($B$10/12)*$B$7)*N11/N49*(1+$B$15)^($C106-$C$99)*1/$B$14</f>
        <v>7871974.6625076029</v>
      </c>
      <c r="O106" s="63">
        <f>('Demographic-Economic'!F$22+'Demographic-Economic'!F$23+'Demographic-Economic'!F$24)*1000*(1+'Inflation-Interest'!$C$65)*(1+'Inflation-Interest'!$C$66)*(1+'Inflation-Interest'!$C$67)* ('Prediction Results (Transposed)'!M$3*($B$8/12)*$B$5+ 'Prediction Results (Transposed)'!M$4*($B$9/12)*$B$6+ 'Prediction Results (Transposed)'!M$5*($B$10/12)*$B$7)*O11/O49*(1+$B$15)^($C106-$C$99)*1/$B$14</f>
        <v>932995.22365541442</v>
      </c>
      <c r="P106" s="63">
        <f>('Demographic-Economic'!G$22+'Demographic-Economic'!G$23+'Demographic-Economic'!G$24)*1000*(1+'Inflation-Interest'!$C$65)*(1+'Inflation-Interest'!$C$66)*(1+'Inflation-Interest'!$C$67)* ('Prediction Results (Transposed)'!N$3*($B$8/12)*$B$5+ 'Prediction Results (Transposed)'!N$4*($B$9/12)*$B$6+ 'Prediction Results (Transposed)'!N$5*($B$10/12)*$B$7)*P11/P49*(1+$B$15)^($C106-$C$99)*1/$B$14</f>
        <v>2859482.0488944543</v>
      </c>
      <c r="Q106" s="63">
        <f>('Demographic-Economic'!H$22+'Demographic-Economic'!H$23+'Demographic-Economic'!H$24)*1000*(1+'Inflation-Interest'!$C$65)*(1+'Inflation-Interest'!$C$66)*(1+'Inflation-Interest'!$C$67)* ('Prediction Results (Transposed)'!O$3*($B$8/12)*$B$5+ 'Prediction Results (Transposed)'!O$4*($B$9/12)*$B$6+ 'Prediction Results (Transposed)'!O$5*($B$10/12)*$B$7)*Q11/Q49*(1+$B$15)^($C106-$C$99)*1/$B$14</f>
        <v>712605.80535476736</v>
      </c>
      <c r="S106" s="38">
        <v>2027</v>
      </c>
      <c r="T106" s="63">
        <f>('Demographic-Economic'!C$22+'Demographic-Economic'!C$23+'Demographic-Economic'!C$24)*1000*(1+'Inflation-Interest'!$C$65)*(1+'Inflation-Interest'!$C$66)*(1+'Inflation-Interest'!$C$67)* ('Prediction Results (Transposed)'!J$3*($B$8/12)*$B$5+ 'Prediction Results (Transposed)'!J$4*($B$9/12)*$B$6+ 'Prediction Results (Transposed)'!J$5*($B$10/12)*$B$7)*T11/T49*(1+$B$15)^($C106-$C$99)*1/$B$14</f>
        <v>128619372.60681988</v>
      </c>
      <c r="U106" s="63">
        <f>('Demographic-Economic'!D$22+'Demographic-Economic'!D$23+'Demographic-Economic'!D$24)*1000*(1+'Inflation-Interest'!$C$65)*(1+'Inflation-Interest'!$C$66)*(1+'Inflation-Interest'!$C$67)* ('Prediction Results (Transposed)'!K$3*($B$8/12)*$B$5+ 'Prediction Results (Transposed)'!K$4*($B$9/12)*$B$6+ 'Prediction Results (Transposed)'!K$5*($B$10/12)*$B$7)*U11/U49*(1+$B$15)^($C106-$C$99)*1/$B$14</f>
        <v>165232536.40380132</v>
      </c>
      <c r="V106" s="63">
        <f>('Demographic-Economic'!E$22+'Demographic-Economic'!E$23+'Demographic-Economic'!E$24)*1000*(1+'Inflation-Interest'!$C$65)*(1+'Inflation-Interest'!$C$66)*(1+'Inflation-Interest'!$C$67)* ('Prediction Results (Transposed)'!L$3*($B$8/12)*$B$5+ 'Prediction Results (Transposed)'!L$4*($B$9/12)*$B$6+ 'Prediction Results (Transposed)'!L$5*($B$10/12)*$B$7)*V11/V49*(1+$B$15)^($C106-$C$99)*1/$B$14</f>
        <v>8205934.8481001854</v>
      </c>
      <c r="W106" s="63">
        <f>('Demographic-Economic'!F$22+'Demographic-Economic'!F$23+'Demographic-Economic'!F$24)*1000*(1+'Inflation-Interest'!$C$65)*(1+'Inflation-Interest'!$C$66)*(1+'Inflation-Interest'!$C$67)* ('Prediction Results (Transposed)'!M$3*($B$8/12)*$B$5+ 'Prediction Results (Transposed)'!M$4*($B$9/12)*$B$6+ 'Prediction Results (Transposed)'!M$5*($B$10/12)*$B$7)*W11/W49*(1+$B$15)^($C106-$C$99)*1/$B$14</f>
        <v>972576.5576163776</v>
      </c>
      <c r="X106" s="63">
        <f>('Demographic-Economic'!G$22+'Demographic-Economic'!G$23+'Demographic-Economic'!G$24)*1000*(1+'Inflation-Interest'!$C$65)*(1+'Inflation-Interest'!$C$66)*(1+'Inflation-Interest'!$C$67)* ('Prediction Results (Transposed)'!N$3*($B$8/12)*$B$5+ 'Prediction Results (Transposed)'!N$4*($B$9/12)*$B$6+ 'Prediction Results (Transposed)'!N$5*($B$10/12)*$B$7)*X11/X49*(1+$B$15)^($C106-$C$99)*1/$B$14</f>
        <v>2980792.5455218977</v>
      </c>
      <c r="Y106" s="63">
        <f>('Demographic-Economic'!H$22+'Demographic-Economic'!H$23+'Demographic-Economic'!H$24)*1000*(1+'Inflation-Interest'!$C$65)*(1+'Inflation-Interest'!$C$66)*(1+'Inflation-Interest'!$C$67)* ('Prediction Results (Transposed)'!O$3*($B$8/12)*$B$5+ 'Prediction Results (Transposed)'!O$4*($B$9/12)*$B$6+ 'Prediction Results (Transposed)'!O$5*($B$10/12)*$B$7)*Y11/Y49*(1+$B$15)^($C106-$C$99)*1/$B$14</f>
        <v>742837.35172191751</v>
      </c>
      <c r="AA106" s="38">
        <v>2027</v>
      </c>
      <c r="AB106" s="63">
        <f>('Demographic-Economic'!C$22+'Demographic-Economic'!C$23+'Demographic-Economic'!C$24)*1000*(1+'Inflation-Interest'!$C$65)*(1+'Inflation-Interest'!$C$66)*(1+'Inflation-Interest'!$C$67)* ('Prediction Results (Transposed)'!J$3*($B$8/12)*$B$5+ 'Prediction Results (Transposed)'!J$4*($B$9/12)*$B$6+ 'Prediction Results (Transposed)'!J$5*($B$10/12)*$B$7)*AB11/AB49*(1+$B$15)^($C106-$C$99)*1/$B$14</f>
        <v>131952307.75451687</v>
      </c>
      <c r="AC106" s="63">
        <f>('Demographic-Economic'!D$22+'Demographic-Economic'!D$23+'Demographic-Economic'!D$24)*1000*(1+'Inflation-Interest'!$C$65)*(1+'Inflation-Interest'!$C$66)*(1+'Inflation-Interest'!$C$67)* ('Prediction Results (Transposed)'!K$3*($B$8/12)*$B$5+ 'Prediction Results (Transposed)'!K$4*($B$9/12)*$B$6+ 'Prediction Results (Transposed)'!K$5*($B$10/12)*$B$7)*AC11/AC49*(1+$B$15)^($C106-$C$99)*1/$B$14</f>
        <v>169514234.54119492</v>
      </c>
      <c r="AD106" s="63">
        <f>('Demographic-Economic'!E$22+'Demographic-Economic'!E$23+'Demographic-Economic'!E$24)*1000*(1+'Inflation-Interest'!$C$65)*(1+'Inflation-Interest'!$C$66)*(1+'Inflation-Interest'!$C$67)* ('Prediction Results (Transposed)'!L$3*($B$8/12)*$B$5+ 'Prediction Results (Transposed)'!L$4*($B$9/12)*$B$6+ 'Prediction Results (Transposed)'!L$5*($B$10/12)*$B$7)*AD11/AD49*(1+$B$15)^($C106-$C$99)*1/$B$14</f>
        <v>8418576.5996546056</v>
      </c>
      <c r="AE106" s="63">
        <f>('Demographic-Economic'!F$22+'Demographic-Economic'!F$23+'Demographic-Economic'!F$24)*1000*(1+'Inflation-Interest'!$C$65)*(1+'Inflation-Interest'!$C$66)*(1+'Inflation-Interest'!$C$67)* ('Prediction Results (Transposed)'!M$3*($B$8/12)*$B$5+ 'Prediction Results (Transposed)'!M$4*($B$9/12)*$B$6+ 'Prediction Results (Transposed)'!M$5*($B$10/12)*$B$7)*AE11/AE49*(1+$B$15)^($C106-$C$99)*1/$B$14</f>
        <v>997779.09536016651</v>
      </c>
      <c r="AF106" s="63">
        <f>('Demographic-Economic'!G$22+'Demographic-Economic'!G$23+'Demographic-Economic'!G$24)*1000*(1+'Inflation-Interest'!$C$65)*(1+'Inflation-Interest'!$C$66)*(1+'Inflation-Interest'!$C$67)* ('Prediction Results (Transposed)'!N$3*($B$8/12)*$B$5+ 'Prediction Results (Transposed)'!N$4*($B$9/12)*$B$6+ 'Prediction Results (Transposed)'!N$5*($B$10/12)*$B$7)*AF11/AF49*(1+$B$15)^($C106-$C$99)*1/$B$14</f>
        <v>3058034.3174385829</v>
      </c>
      <c r="AG106" s="63">
        <f>('Demographic-Economic'!H$22+'Demographic-Economic'!H$23+'Demographic-Economic'!H$24)*1000*(1+'Inflation-Interest'!$C$65)*(1+'Inflation-Interest'!$C$66)*(1+'Inflation-Interest'!$C$67)* ('Prediction Results (Transposed)'!O$3*($B$8/12)*$B$5+ 'Prediction Results (Transposed)'!O$4*($B$9/12)*$B$6+ 'Prediction Results (Transposed)'!O$5*($B$10/12)*$B$7)*AG11/AG49*(1+$B$15)^($C106-$C$99)*1/$B$14</f>
        <v>762086.6192964419</v>
      </c>
    </row>
    <row r="107" spans="1:33">
      <c r="A107" s="589"/>
      <c r="B107" s="590"/>
      <c r="C107" s="38">
        <v>2028</v>
      </c>
      <c r="D107" s="63">
        <f>('Demographic-Economic'!C$22+'Demographic-Economic'!C$23+'Demographic-Economic'!C$24)*1000*(1+'Inflation-Interest'!$C$65)*(1+'Inflation-Interest'!$C$66)*(1+'Inflation-Interest'!$C$67)* ('Prediction Results (Transposed)'!J$3*($B$8/12)*$B$5+ 'Prediction Results (Transposed)'!J$4*($B$9/12)*$B$6+ 'Prediction Results (Transposed)'!J$5*($B$10/12)*$B$7)*D12/D50*(1+$B$15)^($C107-$C$99)*1/$B$14</f>
        <v>128252603.66934851</v>
      </c>
      <c r="E107" s="63">
        <f>('Demographic-Economic'!D$22+'Demographic-Economic'!D$23+'Demographic-Economic'!D$24)*1000*(1+'Inflation-Interest'!$C$65)*(1+'Inflation-Interest'!$C$66)*(1+'Inflation-Interest'!$C$67)* ('Prediction Results (Transposed)'!K$3*($B$8/12)*$B$5+ 'Prediction Results (Transposed)'!K$4*($B$9/12)*$B$6+ 'Prediction Results (Transposed)'!K$5*($B$10/12)*$B$7)*E12/E50*(1+$B$15)^($C107-$C$99)*1/$B$14</f>
        <v>164761361.95640469</v>
      </c>
      <c r="F107" s="63">
        <f>('Demographic-Economic'!E$22+'Demographic-Economic'!E$23+'Demographic-Economic'!E$24)*1000*(1+'Inflation-Interest'!$C$65)*(1+'Inflation-Interest'!$C$66)*(1+'Inflation-Interest'!$C$67)* ('Prediction Results (Transposed)'!L$3*($B$8/12)*$B$5+ 'Prediction Results (Transposed)'!L$4*($B$9/12)*$B$6+ 'Prediction Results (Transposed)'!L$5*($B$10/12)*$B$7)*F12/F50*(1+$B$15)^($C107-$C$99)*1/$B$14</f>
        <v>8182534.9360636277</v>
      </c>
      <c r="G107" s="63">
        <f>('Demographic-Economic'!F$22+'Demographic-Economic'!F$23+'Demographic-Economic'!F$24)*1000*(1+'Inflation-Interest'!$C$65)*(1+'Inflation-Interest'!$C$66)*(1+'Inflation-Interest'!$C$67)* ('Prediction Results (Transposed)'!M$3*($B$8/12)*$B$5+ 'Prediction Results (Transposed)'!M$4*($B$9/12)*$B$6+ 'Prediction Results (Transposed)'!M$5*($B$10/12)*$B$7)*G12/G50*(1+$B$15)^($C107-$C$99)*1/$B$14</f>
        <v>969803.17392295133</v>
      </c>
      <c r="H107" s="63">
        <f>('Demographic-Economic'!G$22+'Demographic-Economic'!G$23+'Demographic-Economic'!G$24)*1000*(1+'Inflation-Interest'!$C$65)*(1+'Inflation-Interest'!$C$66)*(1+'Inflation-Interest'!$C$67)* ('Prediction Results (Transposed)'!N$3*($B$8/12)*$B$5+ 'Prediction Results (Transposed)'!N$4*($B$9/12)*$B$6+ 'Prediction Results (Transposed)'!N$5*($B$10/12)*$B$7)*H12/H50*(1+$B$15)^($C107-$C$99)*1/$B$14</f>
        <v>2972292.5653666086</v>
      </c>
      <c r="I107" s="63">
        <f>('Demographic-Economic'!H$22+'Demographic-Economic'!H$23+'Demographic-Economic'!H$24)*1000*(1+'Inflation-Interest'!$C$65)*(1+'Inflation-Interest'!$C$66)*(1+'Inflation-Interest'!$C$67)* ('Prediction Results (Transposed)'!O$3*($B$8/12)*$B$5+ 'Prediction Results (Transposed)'!O$4*($B$9/12)*$B$6+ 'Prediction Results (Transposed)'!O$5*($B$10/12)*$B$7)*I12/I50*(1+$B$15)^($C107-$C$99)*1/$B$14</f>
        <v>740719.08865871665</v>
      </c>
      <c r="K107" s="38">
        <v>2028</v>
      </c>
      <c r="L107" s="63">
        <f>('Demographic-Economic'!C$22+'Demographic-Economic'!C$23+'Demographic-Economic'!C$24)*1000*(1+'Inflation-Interest'!$C$65)*(1+'Inflation-Interest'!$C$66)*(1+'Inflation-Interest'!$C$67)* ('Prediction Results (Transposed)'!J$3*($B$8/12)*$B$5+ 'Prediction Results (Transposed)'!J$4*($B$9/12)*$B$6+ 'Prediction Results (Transposed)'!J$5*($B$10/12)*$B$7)*L12/L50*(1+$B$15)^($C107-$C$99)*1/$B$14</f>
        <v>130988664.47140749</v>
      </c>
      <c r="M107" s="63">
        <f>('Demographic-Economic'!D$22+'Demographic-Economic'!D$23+'Demographic-Economic'!D$24)*1000*(1+'Inflation-Interest'!$C$65)*(1+'Inflation-Interest'!$C$66)*(1+'Inflation-Interest'!$C$67)* ('Prediction Results (Transposed)'!K$3*($B$8/12)*$B$5+ 'Prediction Results (Transposed)'!K$4*($B$9/12)*$B$6+ 'Prediction Results (Transposed)'!K$5*($B$10/12)*$B$7)*M12/M50*(1+$B$15)^($C107-$C$99)*1/$B$14</f>
        <v>168276277.76509255</v>
      </c>
      <c r="N107" s="63">
        <f>('Demographic-Economic'!E$22+'Demographic-Economic'!E$23+'Demographic-Economic'!E$24)*1000*(1+'Inflation-Interest'!$C$65)*(1+'Inflation-Interest'!$C$66)*(1+'Inflation-Interest'!$C$67)* ('Prediction Results (Transposed)'!L$3*($B$8/12)*$B$5+ 'Prediction Results (Transposed)'!L$4*($B$9/12)*$B$6+ 'Prediction Results (Transposed)'!L$5*($B$10/12)*$B$7)*N12/N50*(1+$B$15)^($C107-$C$99)*1/$B$14</f>
        <v>8357096.0167708918</v>
      </c>
      <c r="O107" s="63">
        <f>('Demographic-Economic'!F$22+'Demographic-Economic'!F$23+'Demographic-Economic'!F$24)*1000*(1+'Inflation-Interest'!$C$65)*(1+'Inflation-Interest'!$C$66)*(1+'Inflation-Interest'!$C$67)* ('Prediction Results (Transposed)'!M$3*($B$8/12)*$B$5+ 'Prediction Results (Transposed)'!M$4*($B$9/12)*$B$6+ 'Prediction Results (Transposed)'!M$5*($B$10/12)*$B$7)*O12/O50*(1+$B$15)^($C107-$C$99)*1/$B$14</f>
        <v>990492.34805249877</v>
      </c>
      <c r="P107" s="63">
        <f>('Demographic-Economic'!G$22+'Demographic-Economic'!G$23+'Demographic-Economic'!G$24)*1000*(1+'Inflation-Interest'!$C$65)*(1+'Inflation-Interest'!$C$66)*(1+'Inflation-Interest'!$C$67)* ('Prediction Results (Transposed)'!N$3*($B$8/12)*$B$5+ 'Prediction Results (Transposed)'!N$4*($B$9/12)*$B$6+ 'Prediction Results (Transposed)'!N$5*($B$10/12)*$B$7)*P12/P50*(1+$B$15)^($C107-$C$99)*1/$B$14</f>
        <v>3035701.5952629317</v>
      </c>
      <c r="Q107" s="63">
        <f>('Demographic-Economic'!H$22+'Demographic-Economic'!H$23+'Demographic-Economic'!H$24)*1000*(1+'Inflation-Interest'!$C$65)*(1+'Inflation-Interest'!$C$66)*(1+'Inflation-Interest'!$C$67)* ('Prediction Results (Transposed)'!O$3*($B$8/12)*$B$5+ 'Prediction Results (Transposed)'!O$4*($B$9/12)*$B$6+ 'Prediction Results (Transposed)'!O$5*($B$10/12)*$B$7)*Q12/Q50*(1+$B$15)^($C107-$C$99)*1/$B$14</f>
        <v>756521.12624573463</v>
      </c>
      <c r="S107" s="38">
        <v>2028</v>
      </c>
      <c r="T107" s="63">
        <f>('Demographic-Economic'!C$22+'Demographic-Economic'!C$23+'Demographic-Economic'!C$24)*1000*(1+'Inflation-Interest'!$C$65)*(1+'Inflation-Interest'!$C$66)*(1+'Inflation-Interest'!$C$67)* ('Prediction Results (Transposed)'!J$3*($B$8/12)*$B$5+ 'Prediction Results (Transposed)'!J$4*($B$9/12)*$B$6+ 'Prediction Results (Transposed)'!J$5*($B$10/12)*$B$7)*T12/T50*(1+$B$15)^($C107-$C$99)*1/$B$14</f>
        <v>137315712.34269625</v>
      </c>
      <c r="U107" s="63">
        <f>('Demographic-Economic'!D$22+'Demographic-Economic'!D$23+'Demographic-Economic'!D$24)*1000*(1+'Inflation-Interest'!$C$65)*(1+'Inflation-Interest'!$C$66)*(1+'Inflation-Interest'!$C$67)* ('Prediction Results (Transposed)'!K$3*($B$8/12)*$B$5+ 'Prediction Results (Transposed)'!K$4*($B$9/12)*$B$6+ 'Prediction Results (Transposed)'!K$5*($B$10/12)*$B$7)*U12/U50*(1+$B$15)^($C107-$C$99)*1/$B$14</f>
        <v>176404401.44143119</v>
      </c>
      <c r="V107" s="63">
        <f>('Demographic-Economic'!E$22+'Demographic-Economic'!E$23+'Demographic-Economic'!E$24)*1000*(1+'Inflation-Interest'!$C$65)*(1+'Inflation-Interest'!$C$66)*(1+'Inflation-Interest'!$C$67)* ('Prediction Results (Transposed)'!L$3*($B$8/12)*$B$5+ 'Prediction Results (Transposed)'!L$4*($B$9/12)*$B$6+ 'Prediction Results (Transposed)'!L$5*($B$10/12)*$B$7)*V12/V50*(1+$B$15)^($C107-$C$99)*1/$B$14</f>
        <v>8760762.5994972754</v>
      </c>
      <c r="W107" s="63">
        <f>('Demographic-Economic'!F$22+'Demographic-Economic'!F$23+'Demographic-Economic'!F$24)*1000*(1+'Inflation-Interest'!$C$65)*(1+'Inflation-Interest'!$C$66)*(1+'Inflation-Interest'!$C$67)* ('Prediction Results (Transposed)'!M$3*($B$8/12)*$B$5+ 'Prediction Results (Transposed)'!M$4*($B$9/12)*$B$6+ 'Prediction Results (Transposed)'!M$5*($B$10/12)*$B$7)*W12/W50*(1+$B$15)^($C107-$C$99)*1/$B$14</f>
        <v>1038335.362007659</v>
      </c>
      <c r="X107" s="63">
        <f>('Demographic-Economic'!G$22+'Demographic-Economic'!G$23+'Demographic-Economic'!G$24)*1000*(1+'Inflation-Interest'!$C$65)*(1+'Inflation-Interest'!$C$66)*(1+'Inflation-Interest'!$C$67)* ('Prediction Results (Transposed)'!N$3*($B$8/12)*$B$5+ 'Prediction Results (Transposed)'!N$4*($B$9/12)*$B$6+ 'Prediction Results (Transposed)'!N$5*($B$10/12)*$B$7)*X12/X50*(1+$B$15)^($C107-$C$99)*1/$B$14</f>
        <v>3182332.8277721303</v>
      </c>
      <c r="Y107" s="63">
        <f>('Demographic-Economic'!H$22+'Demographic-Economic'!H$23+'Demographic-Economic'!H$24)*1000*(1+'Inflation-Interest'!$C$65)*(1+'Inflation-Interest'!$C$66)*(1+'Inflation-Interest'!$C$67)* ('Prediction Results (Transposed)'!O$3*($B$8/12)*$B$5+ 'Prediction Results (Transposed)'!O$4*($B$9/12)*$B$6+ 'Prediction Results (Transposed)'!O$5*($B$10/12)*$B$7)*Y12/Y50*(1+$B$15)^($C107-$C$99)*1/$B$14</f>
        <v>793062.80258630728</v>
      </c>
      <c r="AA107" s="38">
        <v>2028</v>
      </c>
      <c r="AB107" s="63">
        <f>('Demographic-Economic'!C$22+'Demographic-Economic'!C$23+'Demographic-Economic'!C$24)*1000*(1+'Inflation-Interest'!$C$65)*(1+'Inflation-Interest'!$C$66)*(1+'Inflation-Interest'!$C$67)* ('Prediction Results (Transposed)'!J$3*($B$8/12)*$B$5+ 'Prediction Results (Transposed)'!J$4*($B$9/12)*$B$6+ 'Prediction Results (Transposed)'!J$5*($B$10/12)*$B$7)*AB12/AB50*(1+$B$15)^($C107-$C$99)*1/$B$14</f>
        <v>141357975.0779404</v>
      </c>
      <c r="AC107" s="63">
        <f>('Demographic-Economic'!D$22+'Demographic-Economic'!D$23+'Demographic-Economic'!D$24)*1000*(1+'Inflation-Interest'!$C$65)*(1+'Inflation-Interest'!$C$66)*(1+'Inflation-Interest'!$C$67)* ('Prediction Results (Transposed)'!K$3*($B$8/12)*$B$5+ 'Prediction Results (Transposed)'!K$4*($B$9/12)*$B$6+ 'Prediction Results (Transposed)'!K$5*($B$10/12)*$B$7)*AC12/AC50*(1+$B$15)^($C107-$C$99)*1/$B$14</f>
        <v>181597346.41556597</v>
      </c>
      <c r="AD107" s="63">
        <f>('Demographic-Economic'!E$22+'Demographic-Economic'!E$23+'Demographic-Economic'!E$24)*1000*(1+'Inflation-Interest'!$C$65)*(1+'Inflation-Interest'!$C$66)*(1+'Inflation-Interest'!$C$67)* ('Prediction Results (Transposed)'!L$3*($B$8/12)*$B$5+ 'Prediction Results (Transposed)'!L$4*($B$9/12)*$B$6+ 'Prediction Results (Transposed)'!L$5*($B$10/12)*$B$7)*AD12/AD50*(1+$B$15)^($C107-$C$99)*1/$B$14</f>
        <v>9018659.5552359466</v>
      </c>
      <c r="AE107" s="63">
        <f>('Demographic-Economic'!F$22+'Demographic-Economic'!F$23+'Demographic-Economic'!F$24)*1000*(1+'Inflation-Interest'!$C$65)*(1+'Inflation-Interest'!$C$66)*(1+'Inflation-Interest'!$C$67)* ('Prediction Results (Transposed)'!M$3*($B$8/12)*$B$5+ 'Prediction Results (Transposed)'!M$4*($B$9/12)*$B$6+ 'Prediction Results (Transposed)'!M$5*($B$10/12)*$B$7)*AE12/AE50*(1+$B$15)^($C107-$C$99)*1/$B$14</f>
        <v>1068901.5970649761</v>
      </c>
      <c r="AF107" s="63">
        <f>('Demographic-Economic'!G$22+'Demographic-Economic'!G$23+'Demographic-Economic'!G$24)*1000*(1+'Inflation-Interest'!$C$65)*(1+'Inflation-Interest'!$C$66)*(1+'Inflation-Interest'!$C$67)* ('Prediction Results (Transposed)'!N$3*($B$8/12)*$B$5+ 'Prediction Results (Transposed)'!N$4*($B$9/12)*$B$6+ 'Prediction Results (Transposed)'!N$5*($B$10/12)*$B$7)*AF12/AF50*(1+$B$15)^($C107-$C$99)*1/$B$14</f>
        <v>3276013.4793259976</v>
      </c>
      <c r="AG107" s="63">
        <f>('Demographic-Economic'!H$22+'Demographic-Economic'!H$23+'Demographic-Economic'!H$24)*1000*(1+'Inflation-Interest'!$C$65)*(1+'Inflation-Interest'!$C$66)*(1+'Inflation-Interest'!$C$67)* ('Prediction Results (Transposed)'!O$3*($B$8/12)*$B$5+ 'Prediction Results (Transposed)'!O$4*($B$9/12)*$B$6+ 'Prediction Results (Transposed)'!O$5*($B$10/12)*$B$7)*AG12/AG50*(1+$B$15)^($C107-$C$99)*1/$B$14</f>
        <v>816408.77049420669</v>
      </c>
    </row>
    <row r="108" spans="1:33">
      <c r="A108" s="589"/>
      <c r="B108" s="590"/>
      <c r="C108" s="38">
        <v>2029</v>
      </c>
      <c r="D108" s="63">
        <f>('Demographic-Economic'!C$22+'Demographic-Economic'!C$23+'Demographic-Economic'!C$24)*1000*(1+'Inflation-Interest'!$C$65)*(1+'Inflation-Interest'!$C$66)*(1+'Inflation-Interest'!$C$67)* ('Prediction Results (Transposed)'!J$3*($B$8/12)*$B$5+ 'Prediction Results (Transposed)'!J$4*($B$9/12)*$B$6+ 'Prediction Results (Transposed)'!J$5*($B$10/12)*$B$7)*D13/D51*(1+$B$15)^($C108-$C$99)*1/$B$14</f>
        <v>135796988.69415408</v>
      </c>
      <c r="E108" s="63">
        <f>('Demographic-Economic'!D$22+'Demographic-Economic'!D$23+'Demographic-Economic'!D$24)*1000*(1+'Inflation-Interest'!$C$65)*(1+'Inflation-Interest'!$C$66)*(1+'Inflation-Interest'!$C$67)* ('Prediction Results (Transposed)'!K$3*($B$8/12)*$B$5+ 'Prediction Results (Transposed)'!K$4*($B$9/12)*$B$6+ 'Prediction Results (Transposed)'!K$5*($B$10/12)*$B$7)*E13/E51*(1+$B$15)^($C108-$C$99)*1/$B$14</f>
        <v>174453353.51249927</v>
      </c>
      <c r="F108" s="63">
        <f>('Demographic-Economic'!E$22+'Demographic-Economic'!E$23+'Demographic-Economic'!E$24)*1000*(1+'Inflation-Interest'!$C$65)*(1+'Inflation-Interest'!$C$66)*(1+'Inflation-Interest'!$C$67)* ('Prediction Results (Transposed)'!L$3*($B$8/12)*$B$5+ 'Prediction Results (Transposed)'!L$4*($B$9/12)*$B$6+ 'Prediction Results (Transposed)'!L$5*($B$10/12)*$B$7)*F13/F51*(1+$B$15)^($C108-$C$99)*1/$B$14</f>
        <v>8663867.807837056</v>
      </c>
      <c r="G108" s="63">
        <f>('Demographic-Economic'!F$22+'Demographic-Economic'!F$23+'Demographic-Economic'!F$24)*1000*(1+'Inflation-Interest'!$C$65)*(1+'Inflation-Interest'!$C$66)*(1+'Inflation-Interest'!$C$67)* ('Prediction Results (Transposed)'!M$3*($B$8/12)*$B$5+ 'Prediction Results (Transposed)'!M$4*($B$9/12)*$B$6+ 'Prediction Results (Transposed)'!M$5*($B$10/12)*$B$7)*G13/G51*(1+$B$15)^($C108-$C$99)*1/$B$14</f>
        <v>1026851.283146654</v>
      </c>
      <c r="H108" s="63">
        <f>('Demographic-Economic'!G$22+'Demographic-Economic'!G$23+'Demographic-Economic'!G$24)*1000*(1+'Inflation-Interest'!$C$65)*(1+'Inflation-Interest'!$C$66)*(1+'Inflation-Interest'!$C$67)* ('Prediction Results (Transposed)'!N$3*($B$8/12)*$B$5+ 'Prediction Results (Transposed)'!N$4*($B$9/12)*$B$6+ 'Prediction Results (Transposed)'!N$5*($B$10/12)*$B$7)*H13/H51*(1+$B$15)^($C108-$C$99)*1/$B$14</f>
        <v>3147135.9516054187</v>
      </c>
      <c r="I108" s="63">
        <f>('Demographic-Economic'!H$22+'Demographic-Economic'!H$23+'Demographic-Economic'!H$24)*1000*(1+'Inflation-Interest'!$C$65)*(1+'Inflation-Interest'!$C$66)*(1+'Inflation-Interest'!$C$67)* ('Prediction Results (Transposed)'!O$3*($B$8/12)*$B$5+ 'Prediction Results (Transposed)'!O$4*($B$9/12)*$B$6+ 'Prediction Results (Transposed)'!O$5*($B$10/12)*$B$7)*I13/I51*(1+$B$15)^($C108-$C$99)*1/$B$14</f>
        <v>784291.45943468728</v>
      </c>
      <c r="K108" s="38">
        <v>2029</v>
      </c>
      <c r="L108" s="63">
        <f>('Demographic-Economic'!C$22+'Demographic-Economic'!C$23+'Demographic-Economic'!C$24)*1000*(1+'Inflation-Interest'!$C$65)*(1+'Inflation-Interest'!$C$66)*(1+'Inflation-Interest'!$C$67)* ('Prediction Results (Transposed)'!J$3*($B$8/12)*$B$5+ 'Prediction Results (Transposed)'!J$4*($B$9/12)*$B$6+ 'Prediction Results (Transposed)'!J$5*($B$10/12)*$B$7)*L13/L51*(1+$B$15)^($C108-$C$99)*1/$B$14</f>
        <v>139042343.0908694</v>
      </c>
      <c r="M108" s="63">
        <f>('Demographic-Economic'!D$22+'Demographic-Economic'!D$23+'Demographic-Economic'!D$24)*1000*(1+'Inflation-Interest'!$C$65)*(1+'Inflation-Interest'!$C$66)*(1+'Inflation-Interest'!$C$67)* ('Prediction Results (Transposed)'!K$3*($B$8/12)*$B$5+ 'Prediction Results (Transposed)'!K$4*($B$9/12)*$B$6+ 'Prediction Results (Transposed)'!K$5*($B$10/12)*$B$7)*M13/M51*(1+$B$15)^($C108-$C$99)*1/$B$14</f>
        <v>178622539.90822005</v>
      </c>
      <c r="N108" s="63">
        <f>('Demographic-Economic'!E$22+'Demographic-Economic'!E$23+'Demographic-Economic'!E$24)*1000*(1+'Inflation-Interest'!$C$65)*(1+'Inflation-Interest'!$C$66)*(1+'Inflation-Interest'!$C$67)* ('Prediction Results (Transposed)'!L$3*($B$8/12)*$B$5+ 'Prediction Results (Transposed)'!L$4*($B$9/12)*$B$6+ 'Prediction Results (Transposed)'!L$5*($B$10/12)*$B$7)*N13/N51*(1+$B$15)^($C108-$C$99)*1/$B$14</f>
        <v>8870921.8946257606</v>
      </c>
      <c r="O108" s="63">
        <f>('Demographic-Economic'!F$22+'Demographic-Economic'!F$23+'Demographic-Economic'!F$24)*1000*(1+'Inflation-Interest'!$C$65)*(1+'Inflation-Interest'!$C$66)*(1+'Inflation-Interest'!$C$67)* ('Prediction Results (Transposed)'!M$3*($B$8/12)*$B$5+ 'Prediction Results (Transposed)'!M$4*($B$9/12)*$B$6+ 'Prediction Results (Transposed)'!M$5*($B$10/12)*$B$7)*O13/O51*(1+$B$15)^($C108-$C$99)*1/$B$14</f>
        <v>1051391.5646254891</v>
      </c>
      <c r="P108" s="63">
        <f>('Demographic-Economic'!G$22+'Demographic-Economic'!G$23+'Demographic-Economic'!G$24)*1000*(1+'Inflation-Interest'!$C$65)*(1+'Inflation-Interest'!$C$66)*(1+'Inflation-Interest'!$C$67)* ('Prediction Results (Transposed)'!N$3*($B$8/12)*$B$5+ 'Prediction Results (Transposed)'!N$4*($B$9/12)*$B$6+ 'Prediction Results (Transposed)'!N$5*($B$10/12)*$B$7)*P13/P51*(1+$B$15)^($C108-$C$99)*1/$B$14</f>
        <v>3222348.0133441859</v>
      </c>
      <c r="Q108" s="63">
        <f>('Demographic-Economic'!H$22+'Demographic-Economic'!H$23+'Demographic-Economic'!H$24)*1000*(1+'Inflation-Interest'!$C$65)*(1+'Inflation-Interest'!$C$66)*(1+'Inflation-Interest'!$C$67)* ('Prediction Results (Transposed)'!O$3*($B$8/12)*$B$5+ 'Prediction Results (Transposed)'!O$4*($B$9/12)*$B$6+ 'Prediction Results (Transposed)'!O$5*($B$10/12)*$B$7)*Q13/Q51*(1+$B$15)^($C108-$C$99)*1/$B$14</f>
        <v>803034.90699312475</v>
      </c>
      <c r="S108" s="38">
        <v>2029</v>
      </c>
      <c r="T108" s="63">
        <f>('Demographic-Economic'!C$22+'Demographic-Economic'!C$23+'Demographic-Economic'!C$24)*1000*(1+'Inflation-Interest'!$C$65)*(1+'Inflation-Interest'!$C$66)*(1+'Inflation-Interest'!$C$67)* ('Prediction Results (Transposed)'!J$3*($B$8/12)*$B$5+ 'Prediction Results (Transposed)'!J$4*($B$9/12)*$B$6+ 'Prediction Results (Transposed)'!J$5*($B$10/12)*$B$7)*T13/T51*(1+$B$15)^($C108-$C$99)*1/$B$14</f>
        <v>146571888.30200097</v>
      </c>
      <c r="U108" s="63">
        <f>('Demographic-Economic'!D$22+'Demographic-Economic'!D$23+'Demographic-Economic'!D$24)*1000*(1+'Inflation-Interest'!$C$65)*(1+'Inflation-Interest'!$C$66)*(1+'Inflation-Interest'!$C$67)* ('Prediction Results (Transposed)'!K$3*($B$8/12)*$B$5+ 'Prediction Results (Transposed)'!K$4*($B$9/12)*$B$6+ 'Prediction Results (Transposed)'!K$5*($B$10/12)*$B$7)*U13/U51*(1+$B$15)^($C108-$C$99)*1/$B$14</f>
        <v>188295467.30622235</v>
      </c>
      <c r="V108" s="63">
        <f>('Demographic-Economic'!E$22+'Demographic-Economic'!E$23+'Demographic-Economic'!E$24)*1000*(1+'Inflation-Interest'!$C$65)*(1+'Inflation-Interest'!$C$66)*(1+'Inflation-Interest'!$C$67)* ('Prediction Results (Transposed)'!L$3*($B$8/12)*$B$5+ 'Prediction Results (Transposed)'!L$4*($B$9/12)*$B$6+ 'Prediction Results (Transposed)'!L$5*($B$10/12)*$B$7)*V13/V51*(1+$B$15)^($C108-$C$99)*1/$B$14</f>
        <v>9351307.9841089454</v>
      </c>
      <c r="W108" s="63">
        <f>('Demographic-Economic'!F$22+'Demographic-Economic'!F$23+'Demographic-Economic'!F$24)*1000*(1+'Inflation-Interest'!$C$65)*(1+'Inflation-Interest'!$C$66)*(1+'Inflation-Interest'!$C$67)* ('Prediction Results (Transposed)'!M$3*($B$8/12)*$B$5+ 'Prediction Results (Transposed)'!M$4*($B$9/12)*$B$6+ 'Prediction Results (Transposed)'!M$5*($B$10/12)*$B$7)*W13/W51*(1+$B$15)^($C108-$C$99)*1/$B$14</f>
        <v>1108327.4601553585</v>
      </c>
      <c r="X108" s="63">
        <f>('Demographic-Economic'!G$22+'Demographic-Economic'!G$23+'Demographic-Economic'!G$24)*1000*(1+'Inflation-Interest'!$C$65)*(1+'Inflation-Interest'!$C$66)*(1+'Inflation-Interest'!$C$67)* ('Prediction Results (Transposed)'!N$3*($B$8/12)*$B$5+ 'Prediction Results (Transposed)'!N$4*($B$9/12)*$B$6+ 'Prediction Results (Transposed)'!N$5*($B$10/12)*$B$7)*X13/X51*(1+$B$15)^($C108-$C$99)*1/$B$14</f>
        <v>3396847.4824492084</v>
      </c>
      <c r="Y108" s="63">
        <f>('Demographic-Economic'!H$22+'Demographic-Economic'!H$23+'Demographic-Economic'!H$24)*1000*(1+'Inflation-Interest'!$C$65)*(1+'Inflation-Interest'!$C$66)*(1+'Inflation-Interest'!$C$67)* ('Prediction Results (Transposed)'!O$3*($B$8/12)*$B$5+ 'Prediction Results (Transposed)'!O$4*($B$9/12)*$B$6+ 'Prediction Results (Transposed)'!O$5*($B$10/12)*$B$7)*Y13/Y51*(1+$B$15)^($C108-$C$99)*1/$B$14</f>
        <v>846521.57086766814</v>
      </c>
      <c r="AA108" s="38">
        <v>2029</v>
      </c>
      <c r="AB108" s="63">
        <f>('Demographic-Economic'!C$22+'Demographic-Economic'!C$23+'Demographic-Economic'!C$24)*1000*(1+'Inflation-Interest'!$C$65)*(1+'Inflation-Interest'!$C$66)*(1+'Inflation-Interest'!$C$67)* ('Prediction Results (Transposed)'!J$3*($B$8/12)*$B$5+ 'Prediction Results (Transposed)'!J$4*($B$9/12)*$B$6+ 'Prediction Results (Transposed)'!J$5*($B$10/12)*$B$7)*AB13/AB51*(1+$B$15)^($C108-$C$99)*1/$B$14</f>
        <v>151396957.37735823</v>
      </c>
      <c r="AC108" s="63">
        <f>('Demographic-Economic'!D$22+'Demographic-Economic'!D$23+'Demographic-Economic'!D$24)*1000*(1+'Inflation-Interest'!$C$65)*(1+'Inflation-Interest'!$C$66)*(1+'Inflation-Interest'!$C$67)* ('Prediction Results (Transposed)'!K$3*($B$8/12)*$B$5+ 'Prediction Results (Transposed)'!K$4*($B$9/12)*$B$6+ 'Prediction Results (Transposed)'!K$5*($B$10/12)*$B$7)*AC13/AC51*(1+$B$15)^($C108-$C$99)*1/$B$14</f>
        <v>194494054.54456928</v>
      </c>
      <c r="AD108" s="63">
        <f>('Demographic-Economic'!E$22+'Demographic-Economic'!E$23+'Demographic-Economic'!E$24)*1000*(1+'Inflation-Interest'!$C$65)*(1+'Inflation-Interest'!$C$66)*(1+'Inflation-Interest'!$C$67)* ('Prediction Results (Transposed)'!L$3*($B$8/12)*$B$5+ 'Prediction Results (Transposed)'!L$4*($B$9/12)*$B$6+ 'Prediction Results (Transposed)'!L$5*($B$10/12)*$B$7)*AD13/AD51*(1+$B$15)^($C108-$C$99)*1/$B$14</f>
        <v>9659148.0992290899</v>
      </c>
      <c r="AE108" s="63">
        <f>('Demographic-Economic'!F$22+'Demographic-Economic'!F$23+'Demographic-Economic'!F$24)*1000*(1+'Inflation-Interest'!$C$65)*(1+'Inflation-Interest'!$C$66)*(1+'Inflation-Interest'!$C$67)* ('Prediction Results (Transposed)'!M$3*($B$8/12)*$B$5+ 'Prediction Results (Transposed)'!M$4*($B$9/12)*$B$6+ 'Prediction Results (Transposed)'!M$5*($B$10/12)*$B$7)*AE13/AE51*(1+$B$15)^($C108-$C$99)*1/$B$14</f>
        <v>1144813.0142088495</v>
      </c>
      <c r="AF108" s="63">
        <f>('Demographic-Economic'!G$22+'Demographic-Economic'!G$23+'Demographic-Economic'!G$24)*1000*(1+'Inflation-Interest'!$C$65)*(1+'Inflation-Interest'!$C$66)*(1+'Inflation-Interest'!$C$67)* ('Prediction Results (Transposed)'!N$3*($B$8/12)*$B$5+ 'Prediction Results (Transposed)'!N$4*($B$9/12)*$B$6+ 'Prediction Results (Transposed)'!N$5*($B$10/12)*$B$7)*AF13/AF51*(1+$B$15)^($C108-$C$99)*1/$B$14</f>
        <v>3508669.9057743442</v>
      </c>
      <c r="AG108" s="63">
        <f>('Demographic-Economic'!H$22+'Demographic-Economic'!H$23+'Demographic-Economic'!H$24)*1000*(1+'Inflation-Interest'!$C$65)*(1+'Inflation-Interest'!$C$66)*(1+'Inflation-Interest'!$C$67)* ('Prediction Results (Transposed)'!O$3*($B$8/12)*$B$5+ 'Prediction Results (Transposed)'!O$4*($B$9/12)*$B$6+ 'Prediction Results (Transposed)'!O$5*($B$10/12)*$B$7)*AG13/AG51*(1+$B$15)^($C108-$C$99)*1/$B$14</f>
        <v>874388.61345362803</v>
      </c>
    </row>
    <row r="109" spans="1:33">
      <c r="A109" s="589"/>
      <c r="B109" s="590"/>
      <c r="C109" s="38">
        <v>2030</v>
      </c>
      <c r="D109" s="63">
        <f>('Demographic-Economic'!C$22+'Demographic-Economic'!C$23+'Demographic-Economic'!C$24)*1000*(1+'Inflation-Interest'!$C$65)*(1+'Inflation-Interest'!$C$66)*(1+'Inflation-Interest'!$C$67)* ('Prediction Results (Transposed)'!J$3*($B$8/12)*$B$5+ 'Prediction Results (Transposed)'!J$4*($B$9/12)*$B$6+ 'Prediction Results (Transposed)'!J$5*($B$10/12)*$B$7)*D14/D52*(1+$B$15)^($C109-$C$99)*1/$B$14</f>
        <v>143768785.05190402</v>
      </c>
      <c r="E109" s="63">
        <f>('Demographic-Economic'!D$22+'Demographic-Economic'!D$23+'Demographic-Economic'!D$24)*1000*(1+'Inflation-Interest'!$C$65)*(1+'Inflation-Interest'!$C$66)*(1+'Inflation-Interest'!$C$67)* ('Prediction Results (Transposed)'!K$3*($B$8/12)*$B$5+ 'Prediction Results (Transposed)'!K$4*($B$9/12)*$B$6+ 'Prediction Results (Transposed)'!K$5*($B$10/12)*$B$7)*E14/E52*(1+$B$15)^($C109-$C$99)*1/$B$14</f>
        <v>184694424.5517135</v>
      </c>
      <c r="F109" s="63">
        <f>('Demographic-Economic'!E$22+'Demographic-Economic'!E$23+'Demographic-Economic'!E$24)*1000*(1+'Inflation-Interest'!$C$65)*(1+'Inflation-Interest'!$C$66)*(1+'Inflation-Interest'!$C$67)* ('Prediction Results (Transposed)'!L$3*($B$8/12)*$B$5+ 'Prediction Results (Transposed)'!L$4*($B$9/12)*$B$6+ 'Prediction Results (Transposed)'!L$5*($B$10/12)*$B$7)*F14/F52*(1+$B$15)^($C109-$C$99)*1/$B$14</f>
        <v>9172469.585377913</v>
      </c>
      <c r="G109" s="63">
        <f>('Demographic-Economic'!F$22+'Demographic-Economic'!F$23+'Demographic-Economic'!F$24)*1000*(1+'Inflation-Interest'!$C$65)*(1+'Inflation-Interest'!$C$66)*(1+'Inflation-Interest'!$C$67)* ('Prediction Results (Transposed)'!M$3*($B$8/12)*$B$5+ 'Prediction Results (Transposed)'!M$4*($B$9/12)*$B$6+ 'Prediction Results (Transposed)'!M$5*($B$10/12)*$B$7)*G14/G52*(1+$B$15)^($C109-$C$99)*1/$B$14</f>
        <v>1087131.3335193153</v>
      </c>
      <c r="H109" s="63">
        <f>('Demographic-Economic'!G$22+'Demographic-Economic'!G$23+'Demographic-Economic'!G$24)*1000*(1+'Inflation-Interest'!$C$65)*(1+'Inflation-Interest'!$C$66)*(1+'Inflation-Interest'!$C$67)* ('Prediction Results (Transposed)'!N$3*($B$8/12)*$B$5+ 'Prediction Results (Transposed)'!N$4*($B$9/12)*$B$6+ 'Prediction Results (Transposed)'!N$5*($B$10/12)*$B$7)*H14/H52*(1+$B$15)^($C109-$C$99)*1/$B$14</f>
        <v>3331884.7237071074</v>
      </c>
      <c r="I109" s="63">
        <f>('Demographic-Economic'!H$22+'Demographic-Economic'!H$23+'Demographic-Economic'!H$24)*1000*(1+'Inflation-Interest'!$C$65)*(1+'Inflation-Interest'!$C$66)*(1+'Inflation-Interest'!$C$67)* ('Prediction Results (Transposed)'!O$3*($B$8/12)*$B$5+ 'Prediction Results (Transposed)'!O$4*($B$9/12)*$B$6+ 'Prediction Results (Transposed)'!O$5*($B$10/12)*$B$7)*I14/I52*(1+$B$15)^($C109-$C$99)*1/$B$14</f>
        <v>830332.33162086806</v>
      </c>
      <c r="K109" s="38">
        <v>2030</v>
      </c>
      <c r="L109" s="63">
        <f>('Demographic-Economic'!C$22+'Demographic-Economic'!C$23+'Demographic-Economic'!C$24)*1000*(1+'Inflation-Interest'!$C$65)*(1+'Inflation-Interest'!$C$66)*(1+'Inflation-Interest'!$C$67)* ('Prediction Results (Transposed)'!J$3*($B$8/12)*$B$5+ 'Prediction Results (Transposed)'!J$4*($B$9/12)*$B$6+ 'Prediction Results (Transposed)'!J$5*($B$10/12)*$B$7)*L14/L52*(1+$B$15)^($C109-$C$99)*1/$B$14</f>
        <v>147568976.20696211</v>
      </c>
      <c r="M109" s="63">
        <f>('Demographic-Economic'!D$22+'Demographic-Economic'!D$23+'Demographic-Economic'!D$24)*1000*(1+'Inflation-Interest'!$C$65)*(1+'Inflation-Interest'!$C$66)*(1+'Inflation-Interest'!$C$67)* ('Prediction Results (Transposed)'!K$3*($B$8/12)*$B$5+ 'Prediction Results (Transposed)'!K$4*($B$9/12)*$B$6+ 'Prediction Results (Transposed)'!K$5*($B$10/12)*$B$7)*M14/M52*(1+$B$15)^($C109-$C$99)*1/$B$14</f>
        <v>189576389.14727274</v>
      </c>
      <c r="N109" s="63">
        <f>('Demographic-Economic'!E$22+'Demographic-Economic'!E$23+'Demographic-Economic'!E$24)*1000*(1+'Inflation-Interest'!$C$65)*(1+'Inflation-Interest'!$C$66)*(1+'Inflation-Interest'!$C$67)* ('Prediction Results (Transposed)'!L$3*($B$8/12)*$B$5+ 'Prediction Results (Transposed)'!L$4*($B$9/12)*$B$6+ 'Prediction Results (Transposed)'!L$5*($B$10/12)*$B$7)*N14/N52*(1+$B$15)^($C109-$C$99)*1/$B$14</f>
        <v>9414922.3387750294</v>
      </c>
      <c r="O109" s="63">
        <f>('Demographic-Economic'!F$22+'Demographic-Economic'!F$23+'Demographic-Economic'!F$24)*1000*(1+'Inflation-Interest'!$C$65)*(1+'Inflation-Interest'!$C$66)*(1+'Inflation-Interest'!$C$67)* ('Prediction Results (Transposed)'!M$3*($B$8/12)*$B$5+ 'Prediction Results (Transposed)'!M$4*($B$9/12)*$B$6+ 'Prediction Results (Transposed)'!M$5*($B$10/12)*$B$7)*O14/O52*(1+$B$15)^($C109-$C$99)*1/$B$14</f>
        <v>1115867.1044763776</v>
      </c>
      <c r="P109" s="63">
        <f>('Demographic-Economic'!G$22+'Demographic-Economic'!G$23+'Demographic-Economic'!G$24)*1000*(1+'Inflation-Interest'!$C$65)*(1+'Inflation-Interest'!$C$66)*(1+'Inflation-Interest'!$C$67)* ('Prediction Results (Transposed)'!N$3*($B$8/12)*$B$5+ 'Prediction Results (Transposed)'!N$4*($B$9/12)*$B$6+ 'Prediction Results (Transposed)'!N$5*($B$10/12)*$B$7)*P14/P52*(1+$B$15)^($C109-$C$99)*1/$B$14</f>
        <v>3419955.2937695431</v>
      </c>
      <c r="Q109" s="63">
        <f>('Demographic-Economic'!H$22+'Demographic-Economic'!H$23+'Demographic-Economic'!H$24)*1000*(1+'Inflation-Interest'!$C$65)*(1+'Inflation-Interest'!$C$66)*(1+'Inflation-Interest'!$C$67)* ('Prediction Results (Transposed)'!O$3*($B$8/12)*$B$5+ 'Prediction Results (Transposed)'!O$4*($B$9/12)*$B$6+ 'Prediction Results (Transposed)'!O$5*($B$10/12)*$B$7)*Q14/Q52*(1+$B$15)^($C109-$C$99)*1/$B$14</f>
        <v>852280.22233473323</v>
      </c>
      <c r="S109" s="38">
        <v>2030</v>
      </c>
      <c r="T109" s="63">
        <f>('Demographic-Economic'!C$22+'Demographic-Economic'!C$23+'Demographic-Economic'!C$24)*1000*(1+'Inflation-Interest'!$C$65)*(1+'Inflation-Interest'!$C$66)*(1+'Inflation-Interest'!$C$67)* ('Prediction Results (Transposed)'!J$3*($B$8/12)*$B$5+ 'Prediction Results (Transposed)'!J$4*($B$9/12)*$B$6+ 'Prediction Results (Transposed)'!J$5*($B$10/12)*$B$7)*T14/T52*(1+$B$15)^($C109-$C$99)*1/$B$14</f>
        <v>156416930.84509885</v>
      </c>
      <c r="U109" s="63">
        <f>('Demographic-Economic'!D$22+'Demographic-Economic'!D$23+'Demographic-Economic'!D$24)*1000*(1+'Inflation-Interest'!$C$65)*(1+'Inflation-Interest'!$C$66)*(1+'Inflation-Interest'!$C$67)* ('Prediction Results (Transposed)'!K$3*($B$8/12)*$B$5+ 'Prediction Results (Transposed)'!K$4*($B$9/12)*$B$6+ 'Prediction Results (Transposed)'!K$5*($B$10/12)*$B$7)*U14/U52*(1+$B$15)^($C109-$C$99)*1/$B$14</f>
        <v>200943028.22515297</v>
      </c>
      <c r="V109" s="63">
        <f>('Demographic-Economic'!E$22+'Demographic-Economic'!E$23+'Demographic-Economic'!E$24)*1000*(1+'Inflation-Interest'!$C$65)*(1+'Inflation-Interest'!$C$66)*(1+'Inflation-Interest'!$C$67)* ('Prediction Results (Transposed)'!L$3*($B$8/12)*$B$5+ 'Prediction Results (Transposed)'!L$4*($B$9/12)*$B$6+ 'Prediction Results (Transposed)'!L$5*($B$10/12)*$B$7)*V14/V52*(1+$B$15)^($C109-$C$99)*1/$B$14</f>
        <v>9979423.143186871</v>
      </c>
      <c r="W109" s="63">
        <f>('Demographic-Economic'!F$22+'Demographic-Economic'!F$23+'Demographic-Economic'!F$24)*1000*(1+'Inflation-Interest'!$C$65)*(1+'Inflation-Interest'!$C$66)*(1+'Inflation-Interest'!$C$67)* ('Prediction Results (Transposed)'!M$3*($B$8/12)*$B$5+ 'Prediction Results (Transposed)'!M$4*($B$9/12)*$B$6+ 'Prediction Results (Transposed)'!M$5*($B$10/12)*$B$7)*W14/W52*(1+$B$15)^($C109-$C$99)*1/$B$14</f>
        <v>1182772.3699079757</v>
      </c>
      <c r="X109" s="63">
        <f>('Demographic-Economic'!G$22+'Demographic-Economic'!G$23+'Demographic-Economic'!G$24)*1000*(1+'Inflation-Interest'!$C$65)*(1+'Inflation-Interest'!$C$66)*(1+'Inflation-Interest'!$C$67)* ('Prediction Results (Transposed)'!N$3*($B$8/12)*$B$5+ 'Prediction Results (Transposed)'!N$4*($B$9/12)*$B$6+ 'Prediction Results (Transposed)'!N$5*($B$10/12)*$B$7)*X14/X52*(1+$B$15)^($C109-$C$99)*1/$B$14</f>
        <v>3625009.296863596</v>
      </c>
      <c r="Y109" s="63">
        <f>('Demographic-Economic'!H$22+'Demographic-Economic'!H$23+'Demographic-Economic'!H$24)*1000*(1+'Inflation-Interest'!$C$65)*(1+'Inflation-Interest'!$C$66)*(1+'Inflation-Interest'!$C$67)* ('Prediction Results (Transposed)'!O$3*($B$8/12)*$B$5+ 'Prediction Results (Transposed)'!O$4*($B$9/12)*$B$6+ 'Prediction Results (Transposed)'!O$5*($B$10/12)*$B$7)*Y14/Y52*(1+$B$15)^($C109-$C$99)*1/$B$14</f>
        <v>903381.32054675091</v>
      </c>
      <c r="AA109" s="38">
        <v>2030</v>
      </c>
      <c r="AB109" s="63">
        <f>('Demographic-Economic'!C$22+'Demographic-Economic'!C$23+'Demographic-Economic'!C$24)*1000*(1+'Inflation-Interest'!$C$65)*(1+'Inflation-Interest'!$C$66)*(1+'Inflation-Interest'!$C$67)* ('Prediction Results (Transposed)'!J$3*($B$8/12)*$B$5+ 'Prediction Results (Transposed)'!J$4*($B$9/12)*$B$6+ 'Prediction Results (Transposed)'!J$5*($B$10/12)*$B$7)*AB14/AB52*(1+$B$15)^($C109-$C$99)*1/$B$14</f>
        <v>162106962.16342047</v>
      </c>
      <c r="AC109" s="63">
        <f>('Demographic-Economic'!D$22+'Demographic-Economic'!D$23+'Demographic-Economic'!D$24)*1000*(1+'Inflation-Interest'!$C$65)*(1+'Inflation-Interest'!$C$66)*(1+'Inflation-Interest'!$C$67)* ('Prediction Results (Transposed)'!K$3*($B$8/12)*$B$5+ 'Prediction Results (Transposed)'!K$4*($B$9/12)*$B$6+ 'Prediction Results (Transposed)'!K$5*($B$10/12)*$B$7)*AC14/AC52*(1+$B$15)^($C109-$C$99)*1/$B$14</f>
        <v>208252800.3682453</v>
      </c>
      <c r="AD109" s="63">
        <f>('Demographic-Economic'!E$22+'Demographic-Economic'!E$23+'Demographic-Economic'!E$24)*1000*(1+'Inflation-Interest'!$C$65)*(1+'Inflation-Interest'!$C$66)*(1+'Inflation-Interest'!$C$67)* ('Prediction Results (Transposed)'!L$3*($B$8/12)*$B$5+ 'Prediction Results (Transposed)'!L$4*($B$9/12)*$B$6+ 'Prediction Results (Transposed)'!L$5*($B$10/12)*$B$7)*AD14/AD52*(1+$B$15)^($C109-$C$99)*1/$B$14</f>
        <v>10342447.976347353</v>
      </c>
      <c r="AE109" s="63">
        <f>('Demographic-Economic'!F$22+'Demographic-Economic'!F$23+'Demographic-Economic'!F$24)*1000*(1+'Inflation-Interest'!$C$65)*(1+'Inflation-Interest'!$C$66)*(1+'Inflation-Interest'!$C$67)* ('Prediction Results (Transposed)'!M$3*($B$8/12)*$B$5+ 'Prediction Results (Transposed)'!M$4*($B$9/12)*$B$6+ 'Prediction Results (Transposed)'!M$5*($B$10/12)*$B$7)*AE14/AE52*(1+$B$15)^($C109-$C$99)*1/$B$14</f>
        <v>1225798.4783404872</v>
      </c>
      <c r="AF109" s="63">
        <f>('Demographic-Economic'!G$22+'Demographic-Economic'!G$23+'Demographic-Economic'!G$24)*1000*(1+'Inflation-Interest'!$C$65)*(1+'Inflation-Interest'!$C$66)*(1+'Inflation-Interest'!$C$67)* ('Prediction Results (Transposed)'!N$3*($B$8/12)*$B$5+ 'Prediction Results (Transposed)'!N$4*($B$9/12)*$B$6+ 'Prediction Results (Transposed)'!N$5*($B$10/12)*$B$7)*AF14/AF52*(1+$B$15)^($C109-$C$99)*1/$B$14</f>
        <v>3756877.4796550567</v>
      </c>
      <c r="AG109" s="63">
        <f>('Demographic-Economic'!H$22+'Demographic-Economic'!H$23+'Demographic-Economic'!H$24)*1000*(1+'Inflation-Interest'!$C$65)*(1+'Inflation-Interest'!$C$66)*(1+'Inflation-Interest'!$C$67)* ('Prediction Results (Transposed)'!O$3*($B$8/12)*$B$5+ 'Prediction Results (Transposed)'!O$4*($B$9/12)*$B$6+ 'Prediction Results (Transposed)'!O$5*($B$10/12)*$B$7)*AG14/AG52*(1+$B$15)^($C109-$C$99)*1/$B$14</f>
        <v>936243.9267782222</v>
      </c>
    </row>
    <row r="110" spans="1:33">
      <c r="A110" s="589"/>
      <c r="B110" s="590"/>
      <c r="C110" s="38">
        <v>2040</v>
      </c>
      <c r="D110" s="63">
        <f>('Demographic-Economic'!C$22+'Demographic-Economic'!C$23+'Demographic-Economic'!C$24)*1000*(1+'Inflation-Interest'!$C$65)*(1+'Inflation-Interest'!$C$66)*(1+'Inflation-Interest'!$C$67)* ('Prediction Results (Transposed)'!J$3*($B$8/12)*$B$5+ 'Prediction Results (Transposed)'!J$4*($B$9/12)*$B$6+ 'Prediction Results (Transposed)'!J$5*($B$10/12)*$B$7)*D15/D53*(1+$B$15)^($C110-$C$99)*1/$B$14</f>
        <v>239486747.8405157</v>
      </c>
      <c r="E110" s="63">
        <f>('Demographic-Economic'!D$22+'Demographic-Economic'!D$23+'Demographic-Economic'!D$24)*1000*(1+'Inflation-Interest'!$C$65)*(1+'Inflation-Interest'!$C$66)*(1+'Inflation-Interest'!$C$67)* ('Prediction Results (Transposed)'!K$3*($B$8/12)*$B$5+ 'Prediction Results (Transposed)'!K$4*($B$9/12)*$B$6+ 'Prediction Results (Transposed)'!K$5*($B$10/12)*$B$7)*E15/E53*(1+$B$15)^($C110-$C$99)*1/$B$14</f>
        <v>307659740.35460192</v>
      </c>
      <c r="F110" s="63">
        <f>('Demographic-Economic'!E$22+'Demographic-Economic'!E$23+'Demographic-Economic'!E$24)*1000*(1+'Inflation-Interest'!$C$65)*(1+'Inflation-Interest'!$C$66)*(1+'Inflation-Interest'!$C$67)* ('Prediction Results (Transposed)'!L$3*($B$8/12)*$B$5+ 'Prediction Results (Transposed)'!L$4*($B$9/12)*$B$6+ 'Prediction Results (Transposed)'!L$5*($B$10/12)*$B$7)*F15/F53*(1+$B$15)^($C110-$C$99)*1/$B$14</f>
        <v>15279289.658566315</v>
      </c>
      <c r="G110" s="63">
        <f>('Demographic-Economic'!F$22+'Demographic-Economic'!F$23+'Demographic-Economic'!F$24)*1000*(1+'Inflation-Interest'!$C$65)*(1+'Inflation-Interest'!$C$66)*(1+'Inflation-Interest'!$C$67)* ('Prediction Results (Transposed)'!M$3*($B$8/12)*$B$5+ 'Prediction Results (Transposed)'!M$4*($B$9/12)*$B$6+ 'Prediction Results (Transposed)'!M$5*($B$10/12)*$B$7)*G15/G53*(1+$B$15)^($C110-$C$99)*1/$B$14</f>
        <v>1810918.4649927311</v>
      </c>
      <c r="H110" s="63">
        <f>('Demographic-Economic'!G$22+'Demographic-Economic'!G$23+'Demographic-Economic'!G$24)*1000*(1+'Inflation-Interest'!$C$65)*(1+'Inflation-Interest'!$C$66)*(1+'Inflation-Interest'!$C$67)* ('Prediction Results (Transposed)'!N$3*($B$8/12)*$B$5+ 'Prediction Results (Transposed)'!N$4*($B$9/12)*$B$6+ 'Prediction Results (Transposed)'!N$5*($B$10/12)*$B$7)*H15/H53*(1+$B$15)^($C110-$C$99)*1/$B$14</f>
        <v>5550177.2263849489</v>
      </c>
      <c r="I110" s="63">
        <f>('Demographic-Economic'!H$22+'Demographic-Economic'!H$23+'Demographic-Economic'!H$24)*1000*(1+'Inflation-Interest'!$C$65)*(1+'Inflation-Interest'!$C$66)*(1+'Inflation-Interest'!$C$67)* ('Prediction Results (Transposed)'!O$3*($B$8/12)*$B$5+ 'Prediction Results (Transposed)'!O$4*($B$9/12)*$B$6+ 'Prediction Results (Transposed)'!O$5*($B$10/12)*$B$7)*I15/I53*(1+$B$15)^($C110-$C$99)*1/$B$14</f>
        <v>1383148.5718886987</v>
      </c>
      <c r="K110" s="38">
        <v>2040</v>
      </c>
      <c r="L110" s="63">
        <f>('Demographic-Economic'!C$22+'Demographic-Economic'!C$23+'Demographic-Economic'!C$24)*1000*(1+'Inflation-Interest'!$C$65)*(1+'Inflation-Interest'!$C$66)*(1+'Inflation-Interest'!$C$67)* ('Prediction Results (Transposed)'!J$3*($B$8/12)*$B$5+ 'Prediction Results (Transposed)'!J$4*($B$9/12)*$B$6+ 'Prediction Results (Transposed)'!J$5*($B$10/12)*$B$7)*L15/L53*(1+$B$15)^($C110-$C$99)*1/$B$14</f>
        <v>263384740.65849265</v>
      </c>
      <c r="M110" s="63">
        <f>('Demographic-Economic'!D$22+'Demographic-Economic'!D$23+'Demographic-Economic'!D$24)*1000*(1+'Inflation-Interest'!$C$65)*(1+'Inflation-Interest'!$C$66)*(1+'Inflation-Interest'!$C$67)* ('Prediction Results (Transposed)'!K$3*($B$8/12)*$B$5+ 'Prediction Results (Transposed)'!K$4*($B$9/12)*$B$6+ 'Prediction Results (Transposed)'!K$5*($B$10/12)*$B$7)*M15/M53*(1+$B$15)^($C110-$C$99)*1/$B$14</f>
        <v>338360605.14847022</v>
      </c>
      <c r="N110" s="63">
        <f>('Demographic-Economic'!E$22+'Demographic-Economic'!E$23+'Demographic-Economic'!E$24)*1000*(1+'Inflation-Interest'!$C$65)*(1+'Inflation-Interest'!$C$66)*(1+'Inflation-Interest'!$C$67)* ('Prediction Results (Transposed)'!L$3*($B$8/12)*$B$5+ 'Prediction Results (Transposed)'!L$4*($B$9/12)*$B$6+ 'Prediction Results (Transposed)'!L$5*($B$10/12)*$B$7)*N15/N53*(1+$B$15)^($C110-$C$99)*1/$B$14</f>
        <v>16803985.107549451</v>
      </c>
      <c r="O110" s="63">
        <f>('Demographic-Economic'!F$22+'Demographic-Economic'!F$23+'Demographic-Economic'!F$24)*1000*(1+'Inflation-Interest'!$C$65)*(1+'Inflation-Interest'!$C$66)*(1+'Inflation-Interest'!$C$67)* ('Prediction Results (Transposed)'!M$3*($B$8/12)*$B$5+ 'Prediction Results (Transposed)'!M$4*($B$9/12)*$B$6+ 'Prediction Results (Transposed)'!M$5*($B$10/12)*$B$7)*O15/O53*(1+$B$15)^($C110-$C$99)*1/$B$14</f>
        <v>1991627.0714629237</v>
      </c>
      <c r="P110" s="63">
        <f>('Demographic-Economic'!G$22+'Demographic-Economic'!G$23+'Demographic-Economic'!G$24)*1000*(1+'Inflation-Interest'!$C$65)*(1+'Inflation-Interest'!$C$66)*(1+'Inflation-Interest'!$C$67)* ('Prediction Results (Transposed)'!N$3*($B$8/12)*$B$5+ 'Prediction Results (Transposed)'!N$4*($B$9/12)*$B$6+ 'Prediction Results (Transposed)'!N$5*($B$10/12)*$B$7)*P15/P53*(1+$B$15)^($C110-$C$99)*1/$B$14</f>
        <v>6104020.379255252</v>
      </c>
      <c r="Q110" s="63">
        <f>('Demographic-Economic'!H$22+'Demographic-Economic'!H$23+'Demographic-Economic'!H$24)*1000*(1+'Inflation-Interest'!$C$65)*(1+'Inflation-Interest'!$C$66)*(1+'Inflation-Interest'!$C$67)* ('Prediction Results (Transposed)'!O$3*($B$8/12)*$B$5+ 'Prediction Results (Transposed)'!O$4*($B$9/12)*$B$6+ 'Prediction Results (Transposed)'!O$5*($B$10/12)*$B$7)*Q15/Q53*(1+$B$15)^($C110-$C$99)*1/$B$14</f>
        <v>1521170.7168935803</v>
      </c>
      <c r="S110" s="38">
        <v>2040</v>
      </c>
      <c r="T110" s="63">
        <f>('Demographic-Economic'!C$22+'Demographic-Economic'!C$23+'Demographic-Economic'!C$24)*1000*(1+'Inflation-Interest'!$C$65)*(1+'Inflation-Interest'!$C$66)*(1+'Inflation-Interest'!$C$67)* ('Prediction Results (Transposed)'!J$3*($B$8/12)*$B$5+ 'Prediction Results (Transposed)'!J$4*($B$9/12)*$B$6+ 'Prediction Results (Transposed)'!J$5*($B$10/12)*$B$7)*T15/T53*(1+$B$15)^($C110-$C$99)*1/$B$14</f>
        <v>298080844.59888297</v>
      </c>
      <c r="U110" s="63">
        <f>('Demographic-Economic'!D$22+'Demographic-Economic'!D$23+'Demographic-Economic'!D$24)*1000*(1+'Inflation-Interest'!$C$65)*(1+'Inflation-Interest'!$C$66)*(1+'Inflation-Interest'!$C$67)* ('Prediction Results (Transposed)'!K$3*($B$8/12)*$B$5+ 'Prediction Results (Transposed)'!K$4*($B$9/12)*$B$6+ 'Prediction Results (Transposed)'!K$5*($B$10/12)*$B$7)*U15/U53*(1+$B$15)^($C110-$C$99)*1/$B$14</f>
        <v>382933402.70771325</v>
      </c>
      <c r="V110" s="63">
        <f>('Demographic-Economic'!E$22+'Demographic-Economic'!E$23+'Demographic-Economic'!E$24)*1000*(1+'Inflation-Interest'!$C$65)*(1+'Inflation-Interest'!$C$66)*(1+'Inflation-Interest'!$C$67)* ('Prediction Results (Transposed)'!L$3*($B$8/12)*$B$5+ 'Prediction Results (Transposed)'!L$4*($B$9/12)*$B$6+ 'Prediction Results (Transposed)'!L$5*($B$10/12)*$B$7)*V15/V53*(1+$B$15)^($C110-$C$99)*1/$B$14</f>
        <v>19017601.630840275</v>
      </c>
      <c r="W110" s="63">
        <f>('Demographic-Economic'!F$22+'Demographic-Economic'!F$23+'Demographic-Economic'!F$24)*1000*(1+'Inflation-Interest'!$C$65)*(1+'Inflation-Interest'!$C$66)*(1+'Inflation-Interest'!$C$67)* ('Prediction Results (Transposed)'!M$3*($B$8/12)*$B$5+ 'Prediction Results (Transposed)'!M$4*($B$9/12)*$B$6+ 'Prediction Results (Transposed)'!M$5*($B$10/12)*$B$7)*W15/W53*(1+$B$15)^($C110-$C$99)*1/$B$14</f>
        <v>2253987.3726299941</v>
      </c>
      <c r="X110" s="63">
        <f>('Demographic-Economic'!G$22+'Demographic-Economic'!G$23+'Demographic-Economic'!G$24)*1000*(1+'Inflation-Interest'!$C$65)*(1+'Inflation-Interest'!$C$66)*(1+'Inflation-Interest'!$C$67)* ('Prediction Results (Transposed)'!N$3*($B$8/12)*$B$5+ 'Prediction Results (Transposed)'!N$4*($B$9/12)*$B$6+ 'Prediction Results (Transposed)'!N$5*($B$10/12)*$B$7)*X15/X53*(1+$B$15)^($C110-$C$99)*1/$B$14</f>
        <v>6908112.9967827974</v>
      </c>
      <c r="Y110" s="63">
        <f>('Demographic-Economic'!H$22+'Demographic-Economic'!H$23+'Demographic-Economic'!H$24)*1000*(1+'Inflation-Interest'!$C$65)*(1+'Inflation-Interest'!$C$66)*(1+'Inflation-Interest'!$C$67)* ('Prediction Results (Transposed)'!O$3*($B$8/12)*$B$5+ 'Prediction Results (Transposed)'!O$4*($B$9/12)*$B$6+ 'Prediction Results (Transposed)'!O$5*($B$10/12)*$B$7)*Y15/Y53*(1+$B$15)^($C110-$C$99)*1/$B$14</f>
        <v>1721557.0307417738</v>
      </c>
      <c r="AA110" s="38">
        <v>2040</v>
      </c>
      <c r="AB110" s="63">
        <f>('Demographic-Economic'!C$22+'Demographic-Economic'!C$23+'Demographic-Economic'!C$24)*1000*(1+'Inflation-Interest'!$C$65)*(1+'Inflation-Interest'!$C$66)*(1+'Inflation-Interest'!$C$67)* ('Prediction Results (Transposed)'!J$3*($B$8/12)*$B$5+ 'Prediction Results (Transposed)'!J$4*($B$9/12)*$B$6+ 'Prediction Results (Transposed)'!J$5*($B$10/12)*$B$7)*AB15/AB53*(1+$B$15)^($C110-$C$99)*1/$B$14</f>
        <v>347622545.16396183</v>
      </c>
      <c r="AC110" s="63">
        <f>('Demographic-Economic'!D$22+'Demographic-Economic'!D$23+'Demographic-Economic'!D$24)*1000*(1+'Inflation-Interest'!$C$65)*(1+'Inflation-Interest'!$C$66)*(1+'Inflation-Interest'!$C$67)* ('Prediction Results (Transposed)'!K$3*($B$8/12)*$B$5+ 'Prediction Results (Transposed)'!K$4*($B$9/12)*$B$6+ 'Prediction Results (Transposed)'!K$5*($B$10/12)*$B$7)*AC15/AC53*(1+$B$15)^($C110-$C$99)*1/$B$14</f>
        <v>446577787.50151342</v>
      </c>
      <c r="AD110" s="63">
        <f>('Demographic-Economic'!E$22+'Demographic-Economic'!E$23+'Demographic-Economic'!E$24)*1000*(1+'Inflation-Interest'!$C$65)*(1+'Inflation-Interest'!$C$66)*(1+'Inflation-Interest'!$C$67)* ('Prediction Results (Transposed)'!L$3*($B$8/12)*$B$5+ 'Prediction Results (Transposed)'!L$4*($B$9/12)*$B$6+ 'Prediction Results (Transposed)'!L$5*($B$10/12)*$B$7)*AD15/AD53*(1+$B$15)^($C110-$C$99)*1/$B$14</f>
        <v>22178369.397480499</v>
      </c>
      <c r="AE110" s="63">
        <f>('Demographic-Economic'!F$22+'Demographic-Economic'!F$23+'Demographic-Economic'!F$24)*1000*(1+'Inflation-Interest'!$C$65)*(1+'Inflation-Interest'!$C$66)*(1+'Inflation-Interest'!$C$67)* ('Prediction Results (Transposed)'!M$3*($B$8/12)*$B$5+ 'Prediction Results (Transposed)'!M$4*($B$9/12)*$B$6+ 'Prediction Results (Transposed)'!M$5*($B$10/12)*$B$7)*AE15/AE53*(1+$B$15)^($C110-$C$99)*1/$B$14</f>
        <v>2628605.0963638662</v>
      </c>
      <c r="AF110" s="63">
        <f>('Demographic-Economic'!G$22+'Demographic-Economic'!G$23+'Demographic-Economic'!G$24)*1000*(1+'Inflation-Interest'!$C$65)*(1+'Inflation-Interest'!$C$66)*(1+'Inflation-Interest'!$C$67)* ('Prediction Results (Transposed)'!N$3*($B$8/12)*$B$5+ 'Prediction Results (Transposed)'!N$4*($B$9/12)*$B$6+ 'Prediction Results (Transposed)'!N$5*($B$10/12)*$B$7)*AF15/AF53*(1+$B$15)^($C110-$C$99)*1/$B$14</f>
        <v>8056256.7697142083</v>
      </c>
      <c r="AG110" s="63">
        <f>('Demographic-Economic'!H$22+'Demographic-Economic'!H$23+'Demographic-Economic'!H$24)*1000*(1+'Inflation-Interest'!$C$65)*(1+'Inflation-Interest'!$C$66)*(1+'Inflation-Interest'!$C$67)* ('Prediction Results (Transposed)'!O$3*($B$8/12)*$B$5+ 'Prediction Results (Transposed)'!O$4*($B$9/12)*$B$6+ 'Prediction Results (Transposed)'!O$5*($B$10/12)*$B$7)*AG15/AG53*(1+$B$15)^($C110-$C$99)*1/$B$14</f>
        <v>2007683.6452764499</v>
      </c>
    </row>
    <row r="111" spans="1:33">
      <c r="A111" s="589"/>
      <c r="B111" s="590"/>
      <c r="C111" s="38">
        <v>2050</v>
      </c>
      <c r="D111" s="63">
        <f>('Demographic-Economic'!C$22+'Demographic-Economic'!C$23+'Demographic-Economic'!C$24)*1000*(1+'Inflation-Interest'!$C$65)*(1+'Inflation-Interest'!$C$66)*(1+'Inflation-Interest'!$C$67)* ('Prediction Results (Transposed)'!J$3*($B$8/12)*$B$5+ 'Prediction Results (Transposed)'!J$4*($B$9/12)*$B$6+ 'Prediction Results (Transposed)'!J$5*($B$10/12)*$B$7)*D16/D54*(1+$B$15)^($C111-$C$99)*1/$B$14</f>
        <v>372646220.05354035</v>
      </c>
      <c r="E111" s="63">
        <f>('Demographic-Economic'!D$22+'Demographic-Economic'!D$23+'Demographic-Economic'!D$24)*1000*(1+'Inflation-Interest'!$C$65)*(1+'Inflation-Interest'!$C$66)*(1+'Inflation-Interest'!$C$67)* ('Prediction Results (Transposed)'!K$3*($B$8/12)*$B$5+ 'Prediction Results (Transposed)'!K$4*($B$9/12)*$B$6+ 'Prediction Results (Transposed)'!K$5*($B$10/12)*$B$7)*E16/E54*(1+$B$15)^($C111-$C$99)*1/$B$14</f>
        <v>478724774.29166621</v>
      </c>
      <c r="F111" s="63">
        <f>('Demographic-Economic'!E$22+'Demographic-Economic'!E$23+'Demographic-Economic'!E$24)*1000*(1+'Inflation-Interest'!$C$65)*(1+'Inflation-Interest'!$C$66)*(1+'Inflation-Interest'!$C$67)* ('Prediction Results (Transposed)'!L$3*($B$8/12)*$B$5+ 'Prediction Results (Transposed)'!L$4*($B$9/12)*$B$6+ 'Prediction Results (Transposed)'!L$5*($B$10/12)*$B$7)*F16/F54*(1+$B$15)^($C111-$C$99)*1/$B$14</f>
        <v>23774883.527833469</v>
      </c>
      <c r="G111" s="63">
        <f>('Demographic-Economic'!F$22+'Demographic-Economic'!F$23+'Demographic-Economic'!F$24)*1000*(1+'Inflation-Interest'!$C$65)*(1+'Inflation-Interest'!$C$66)*(1+'Inflation-Interest'!$C$67)* ('Prediction Results (Transposed)'!M$3*($B$8/12)*$B$5+ 'Prediction Results (Transposed)'!M$4*($B$9/12)*$B$6+ 'Prediction Results (Transposed)'!M$5*($B$10/12)*$B$7)*G16/G54*(1+$B$15)^($C111-$C$99)*1/$B$14</f>
        <v>2817825.7331136311</v>
      </c>
      <c r="H111" s="63">
        <f>('Demographic-Economic'!G$22+'Demographic-Economic'!G$23+'Demographic-Economic'!G$24)*1000*(1+'Inflation-Interest'!$C$65)*(1+'Inflation-Interest'!$C$66)*(1+'Inflation-Interest'!$C$67)* ('Prediction Results (Transposed)'!N$3*($B$8/12)*$B$5+ 'Prediction Results (Transposed)'!N$4*($B$9/12)*$B$6+ 'Prediction Results (Transposed)'!N$5*($B$10/12)*$B$7)*H16/H54*(1+$B$15)^($C111-$C$99)*1/$B$14</f>
        <v>8636187.9422945343</v>
      </c>
      <c r="I111" s="63">
        <f>('Demographic-Economic'!H$22+'Demographic-Economic'!H$23+'Demographic-Economic'!H$24)*1000*(1+'Inflation-Interest'!$C$65)*(1+'Inflation-Interest'!$C$66)*(1+'Inflation-Interest'!$C$67)* ('Prediction Results (Transposed)'!O$3*($B$8/12)*$B$5+ 'Prediction Results (Transposed)'!O$4*($B$9/12)*$B$6+ 'Prediction Results (Transposed)'!O$5*($B$10/12)*$B$7)*I16/I54*(1+$B$15)^($C111-$C$99)*1/$B$14</f>
        <v>2152207.1335238102</v>
      </c>
      <c r="K111" s="38">
        <v>2050</v>
      </c>
      <c r="L111" s="63">
        <f>('Demographic-Economic'!C$22+'Demographic-Economic'!C$23+'Demographic-Economic'!C$24)*1000*(1+'Inflation-Interest'!$C$65)*(1+'Inflation-Interest'!$C$66)*(1+'Inflation-Interest'!$C$67)* ('Prediction Results (Transposed)'!J$3*($B$8/12)*$B$5+ 'Prediction Results (Transposed)'!J$4*($B$9/12)*$B$6+ 'Prediction Results (Transposed)'!J$5*($B$10/12)*$B$7)*L16/L54*(1+$B$15)^($C111-$C$99)*1/$B$14</f>
        <v>451619810.49254817</v>
      </c>
      <c r="M111" s="63">
        <f>('Demographic-Economic'!D$22+'Demographic-Economic'!D$23+'Demographic-Economic'!D$24)*1000*(1+'Inflation-Interest'!$C$65)*(1+'Inflation-Interest'!$C$66)*(1+'Inflation-Interest'!$C$67)* ('Prediction Results (Transposed)'!K$3*($B$8/12)*$B$5+ 'Prediction Results (Transposed)'!K$4*($B$9/12)*$B$6+ 'Prediction Results (Transposed)'!K$5*($B$10/12)*$B$7)*M16/M54*(1+$B$15)^($C111-$C$99)*1/$B$14</f>
        <v>580179216.12790573</v>
      </c>
      <c r="N111" s="63">
        <f>('Demographic-Economic'!E$22+'Demographic-Economic'!E$23+'Demographic-Economic'!E$24)*1000*(1+'Inflation-Interest'!$C$65)*(1+'Inflation-Interest'!$C$66)*(1+'Inflation-Interest'!$C$67)* ('Prediction Results (Transposed)'!L$3*($B$8/12)*$B$5+ 'Prediction Results (Transposed)'!L$4*($B$9/12)*$B$6+ 'Prediction Results (Transposed)'!L$5*($B$10/12)*$B$7)*N16/N54*(1+$B$15)^($C111-$C$99)*1/$B$14</f>
        <v>28813410.187764358</v>
      </c>
      <c r="O111" s="63">
        <f>('Demographic-Economic'!F$22+'Demographic-Economic'!F$23+'Demographic-Economic'!F$24)*1000*(1+'Inflation-Interest'!$C$65)*(1+'Inflation-Interest'!$C$66)*(1+'Inflation-Interest'!$C$67)* ('Prediction Results (Transposed)'!M$3*($B$8/12)*$B$5+ 'Prediction Results (Transposed)'!M$4*($B$9/12)*$B$6+ 'Prediction Results (Transposed)'!M$5*($B$10/12)*$B$7)*O16/O54*(1+$B$15)^($C111-$C$99)*1/$B$14</f>
        <v>3414997.5368245086</v>
      </c>
      <c r="P111" s="63">
        <f>('Demographic-Economic'!G$22+'Demographic-Economic'!G$23+'Demographic-Economic'!G$24)*1000*(1+'Inflation-Interest'!$C$65)*(1+'Inflation-Interest'!$C$66)*(1+'Inflation-Interest'!$C$67)* ('Prediction Results (Transposed)'!N$3*($B$8/12)*$B$5+ 'Prediction Results (Transposed)'!N$4*($B$9/12)*$B$6+ 'Prediction Results (Transposed)'!N$5*($B$10/12)*$B$7)*P16/P54*(1+$B$15)^($C111-$C$99)*1/$B$14</f>
        <v>10466424.592517566</v>
      </c>
      <c r="Q111" s="63">
        <f>('Demographic-Economic'!H$22+'Demographic-Economic'!H$23+'Demographic-Economic'!H$24)*1000*(1+'Inflation-Interest'!$C$65)*(1+'Inflation-Interest'!$C$66)*(1+'Inflation-Interest'!$C$67)* ('Prediction Results (Transposed)'!O$3*($B$8/12)*$B$5+ 'Prediction Results (Transposed)'!O$4*($B$9/12)*$B$6+ 'Prediction Results (Transposed)'!O$5*($B$10/12)*$B$7)*Q16/Q54*(1+$B$15)^($C111-$C$99)*1/$B$14</f>
        <v>2608316.7505176445</v>
      </c>
      <c r="S111" s="38">
        <v>2050</v>
      </c>
      <c r="T111" s="63">
        <f>('Demographic-Economic'!C$22+'Demographic-Economic'!C$23+'Demographic-Economic'!C$24)*1000*(1+'Inflation-Interest'!$C$65)*(1+'Inflation-Interest'!$C$66)*(1+'Inflation-Interest'!$C$67)* ('Prediction Results (Transposed)'!J$3*($B$8/12)*$B$5+ 'Prediction Results (Transposed)'!J$4*($B$9/12)*$B$6+ 'Prediction Results (Transposed)'!J$5*($B$10/12)*$B$7)*T16/T54*(1+$B$15)^($C111-$C$99)*1/$B$14</f>
        <v>552434362.79076493</v>
      </c>
      <c r="U111" s="63">
        <f>('Demographic-Economic'!D$22+'Demographic-Economic'!D$23+'Demographic-Economic'!D$24)*1000*(1+'Inflation-Interest'!$C$65)*(1+'Inflation-Interest'!$C$66)*(1+'Inflation-Interest'!$C$67)* ('Prediction Results (Transposed)'!K$3*($B$8/12)*$B$5+ 'Prediction Results (Transposed)'!K$4*($B$9/12)*$B$6+ 'Prediction Results (Transposed)'!K$5*($B$10/12)*$B$7)*U16/U54*(1+$B$15)^($C111-$C$99)*1/$B$14</f>
        <v>709691931.39802217</v>
      </c>
      <c r="V111" s="63">
        <f>('Demographic-Economic'!E$22+'Demographic-Economic'!E$23+'Demographic-Economic'!E$24)*1000*(1+'Inflation-Interest'!$C$65)*(1+'Inflation-Interest'!$C$66)*(1+'Inflation-Interest'!$C$67)* ('Prediction Results (Transposed)'!L$3*($B$8/12)*$B$5+ 'Prediction Results (Transposed)'!L$4*($B$9/12)*$B$6+ 'Prediction Results (Transposed)'!L$5*($B$10/12)*$B$7)*V16/V54*(1+$B$15)^($C111-$C$99)*1/$B$14</f>
        <v>35245393.419625424</v>
      </c>
      <c r="W111" s="63">
        <f>('Demographic-Economic'!F$22+'Demographic-Economic'!F$23+'Demographic-Economic'!F$24)*1000*(1+'Inflation-Interest'!$C$65)*(1+'Inflation-Interest'!$C$66)*(1+'Inflation-Interest'!$C$67)* ('Prediction Results (Transposed)'!M$3*($B$8/12)*$B$5+ 'Prediction Results (Transposed)'!M$4*($B$9/12)*$B$6+ 'Prediction Results (Transposed)'!M$5*($B$10/12)*$B$7)*W16/W54*(1+$B$15)^($C111-$C$99)*1/$B$14</f>
        <v>4177323.3688091449</v>
      </c>
      <c r="X111" s="63">
        <f>('Demographic-Economic'!G$22+'Demographic-Economic'!G$23+'Demographic-Economic'!G$24)*1000*(1+'Inflation-Interest'!$C$65)*(1+'Inflation-Interest'!$C$66)*(1+'Inflation-Interest'!$C$67)* ('Prediction Results (Transposed)'!N$3*($B$8/12)*$B$5+ 'Prediction Results (Transposed)'!N$4*($B$9/12)*$B$6+ 'Prediction Results (Transposed)'!N$5*($B$10/12)*$B$7)*X16/X54*(1+$B$15)^($C111-$C$99)*1/$B$14</f>
        <v>12802832.086039413</v>
      </c>
      <c r="Y111" s="63">
        <f>('Demographic-Economic'!H$22+'Demographic-Economic'!H$23+'Demographic-Economic'!H$24)*1000*(1+'Inflation-Interest'!$C$65)*(1+'Inflation-Interest'!$C$66)*(1+'Inflation-Interest'!$C$67)* ('Prediction Results (Transposed)'!O$3*($B$8/12)*$B$5+ 'Prediction Results (Transposed)'!O$4*($B$9/12)*$B$6+ 'Prediction Results (Transposed)'!O$5*($B$10/12)*$B$7)*Y16/Y54*(1+$B$15)^($C111-$C$99)*1/$B$14</f>
        <v>3190568.1915440904</v>
      </c>
      <c r="AA111" s="38">
        <v>2050</v>
      </c>
      <c r="AB111" s="63">
        <f>('Demographic-Economic'!C$22+'Demographic-Economic'!C$23+'Demographic-Economic'!C$24)*1000*(1+'Inflation-Interest'!$C$65)*(1+'Inflation-Interest'!$C$66)*(1+'Inflation-Interest'!$C$67)* ('Prediction Results (Transposed)'!J$3*($B$8/12)*$B$5+ 'Prediction Results (Transposed)'!J$4*($B$9/12)*$B$6+ 'Prediction Results (Transposed)'!J$5*($B$10/12)*$B$7)*AB16/AB54*(1+$B$15)^($C111-$C$99)*1/$B$14</f>
        <v>791000937.39588392</v>
      </c>
      <c r="AC111" s="63">
        <f>('Demographic-Economic'!D$22+'Demographic-Economic'!D$23+'Demographic-Economic'!D$24)*1000*(1+'Inflation-Interest'!$C$65)*(1+'Inflation-Interest'!$C$66)*(1+'Inflation-Interest'!$C$67)* ('Prediction Results (Transposed)'!K$3*($B$8/12)*$B$5+ 'Prediction Results (Transposed)'!K$4*($B$9/12)*$B$6+ 'Prediction Results (Transposed)'!K$5*($B$10/12)*$B$7)*AC16/AC54*(1+$B$15)^($C111-$C$99)*1/$B$14</f>
        <v>1016169559.3341448</v>
      </c>
      <c r="AD111" s="63">
        <f>('Demographic-Economic'!E$22+'Demographic-Economic'!E$23+'Demographic-Economic'!E$24)*1000*(1+'Inflation-Interest'!$C$65)*(1+'Inflation-Interest'!$C$66)*(1+'Inflation-Interest'!$C$67)* ('Prediction Results (Transposed)'!L$3*($B$8/12)*$B$5+ 'Prediction Results (Transposed)'!L$4*($B$9/12)*$B$6+ 'Prediction Results (Transposed)'!L$5*($B$10/12)*$B$7)*AD16/AD54*(1+$B$15)^($C111-$C$99)*1/$B$14</f>
        <v>50465975.89073161</v>
      </c>
      <c r="AE111" s="63">
        <f>('Demographic-Economic'!F$22+'Demographic-Economic'!F$23+'Demographic-Economic'!F$24)*1000*(1+'Inflation-Interest'!$C$65)*(1+'Inflation-Interest'!$C$66)*(1+'Inflation-Interest'!$C$67)* ('Prediction Results (Transposed)'!M$3*($B$8/12)*$B$5+ 'Prediction Results (Transposed)'!M$4*($B$9/12)*$B$6+ 'Prediction Results (Transposed)'!M$5*($B$10/12)*$B$7)*AE16/AE54*(1+$B$15)^($C111-$C$99)*1/$B$14</f>
        <v>5981283.7924154596</v>
      </c>
      <c r="AF111" s="63">
        <f>('Demographic-Economic'!G$22+'Demographic-Economic'!G$23+'Demographic-Economic'!G$24)*1000*(1+'Inflation-Interest'!$C$65)*(1+'Inflation-Interest'!$C$66)*(1+'Inflation-Interest'!$C$67)* ('Prediction Results (Transposed)'!N$3*($B$8/12)*$B$5+ 'Prediction Results (Transposed)'!N$4*($B$9/12)*$B$6+ 'Prediction Results (Transposed)'!N$5*($B$10/12)*$B$7)*AF16/AF54*(1+$B$15)^($C111-$C$99)*1/$B$14</f>
        <v>18331684.021645308</v>
      </c>
      <c r="AG111" s="63">
        <f>('Demographic-Economic'!H$22+'Demographic-Economic'!H$23+'Demographic-Economic'!H$24)*1000*(1+'Inflation-Interest'!$C$65)*(1+'Inflation-Interest'!$C$66)*(1+'Inflation-Interest'!$C$67)* ('Prediction Results (Transposed)'!O$3*($B$8/12)*$B$5+ 'Prediction Results (Transposed)'!O$4*($B$9/12)*$B$6+ 'Prediction Results (Transposed)'!O$5*($B$10/12)*$B$7)*AG16/AG54*(1+$B$15)^($C111-$C$99)*1/$B$14</f>
        <v>4568402.3303465918</v>
      </c>
    </row>
    <row r="112" spans="1:33">
      <c r="A112" s="589"/>
      <c r="B112" s="590"/>
      <c r="C112" s="38">
        <v>2060</v>
      </c>
      <c r="D112" s="63">
        <f>('Demographic-Economic'!C$22+'Demographic-Economic'!C$23+'Demographic-Economic'!C$24)*1000*(1+'Inflation-Interest'!$C$65)*(1+'Inflation-Interest'!$C$66)*(1+'Inflation-Interest'!$C$67)* ('Prediction Results (Transposed)'!J$3*($B$8/12)*$B$5+ 'Prediction Results (Transposed)'!J$4*($B$9/12)*$B$6+ 'Prediction Results (Transposed)'!J$5*($B$10/12)*$B$7)*D17/D55*(1+$B$15)^($C112-$C$99)*1/$B$14</f>
        <v>549107266.8782351</v>
      </c>
      <c r="E112" s="63">
        <f>('Demographic-Economic'!D$22+'Demographic-Economic'!D$23+'Demographic-Economic'!D$24)*1000*(1+'Inflation-Interest'!$C$65)*(1+'Inflation-Interest'!$C$66)*(1+'Inflation-Interest'!$C$67)* ('Prediction Results (Transposed)'!K$3*($B$8/12)*$B$5+ 'Prediction Results (Transposed)'!K$4*($B$9/12)*$B$6+ 'Prediction Results (Transposed)'!K$5*($B$10/12)*$B$7)*E17/E55*(1+$B$15)^($C112-$C$99)*1/$B$14</f>
        <v>705417734.7094208</v>
      </c>
      <c r="F112" s="63">
        <f>('Demographic-Economic'!E$22+'Demographic-Economic'!E$23+'Demographic-Economic'!E$24)*1000*(1+'Inflation-Interest'!$C$65)*(1+'Inflation-Interest'!$C$66)*(1+'Inflation-Interest'!$C$67)* ('Prediction Results (Transposed)'!L$3*($B$8/12)*$B$5+ 'Prediction Results (Transposed)'!L$4*($B$9/12)*$B$6+ 'Prediction Results (Transposed)'!L$5*($B$10/12)*$B$7)*F17/F55*(1+$B$15)^($C112-$C$99)*1/$B$14</f>
        <v>35033124.212131605</v>
      </c>
      <c r="G112" s="63">
        <f>('Demographic-Economic'!F$22+'Demographic-Economic'!F$23+'Demographic-Economic'!F$24)*1000*(1+'Inflation-Interest'!$C$65)*(1+'Inflation-Interest'!$C$66)*(1+'Inflation-Interest'!$C$67)* ('Prediction Results (Transposed)'!M$3*($B$8/12)*$B$5+ 'Prediction Results (Transposed)'!M$4*($B$9/12)*$B$6+ 'Prediction Results (Transposed)'!M$5*($B$10/12)*$B$7)*G17/G55*(1+$B$15)^($C112-$C$99)*1/$B$14</f>
        <v>4152164.9854032514</v>
      </c>
      <c r="H112" s="63">
        <f>('Demographic-Economic'!G$22+'Demographic-Economic'!G$23+'Demographic-Economic'!G$24)*1000*(1+'Inflation-Interest'!$C$65)*(1+'Inflation-Interest'!$C$66)*(1+'Inflation-Interest'!$C$67)* ('Prediction Results (Transposed)'!N$3*($B$8/12)*$B$5+ 'Prediction Results (Transposed)'!N$4*($B$9/12)*$B$6+ 'Prediction Results (Transposed)'!N$5*($B$10/12)*$B$7)*H17/H55*(1+$B$15)^($C112-$C$99)*1/$B$14</f>
        <v>12725725.640149472</v>
      </c>
      <c r="I112" s="63">
        <f>('Demographic-Economic'!H$22+'Demographic-Economic'!H$23+'Demographic-Economic'!H$24)*1000*(1+'Inflation-Interest'!$C$65)*(1+'Inflation-Interest'!$C$66)*(1+'Inflation-Interest'!$C$67)* ('Prediction Results (Transposed)'!O$3*($B$8/12)*$B$5+ 'Prediction Results (Transposed)'!O$4*($B$9/12)*$B$6+ 'Prediction Results (Transposed)'!O$5*($B$10/12)*$B$7)*I17/I55*(1+$B$15)^($C112-$C$99)*1/$B$14</f>
        <v>3171352.6482981769</v>
      </c>
      <c r="K112" s="38">
        <v>2060</v>
      </c>
      <c r="L112" s="63">
        <f>('Demographic-Economic'!C$22+'Demographic-Economic'!C$23+'Demographic-Economic'!C$24)*1000*(1+'Inflation-Interest'!$C$65)*(1+'Inflation-Interest'!$C$66)*(1+'Inflation-Interest'!$C$67)* ('Prediction Results (Transposed)'!J$3*($B$8/12)*$B$5+ 'Prediction Results (Transposed)'!J$4*($B$9/12)*$B$6+ 'Prediction Results (Transposed)'!J$5*($B$10/12)*$B$7)*L17/L55*(1+$B$15)^($C112-$C$99)*1/$B$14</f>
        <v>733342127.77801836</v>
      </c>
      <c r="M112" s="63">
        <f>('Demographic-Economic'!D$22+'Demographic-Economic'!D$23+'Demographic-Economic'!D$24)*1000*(1+'Inflation-Interest'!$C$65)*(1+'Inflation-Interest'!$C$66)*(1+'Inflation-Interest'!$C$67)* ('Prediction Results (Transposed)'!K$3*($B$8/12)*$B$5+ 'Prediction Results (Transposed)'!K$4*($B$9/12)*$B$6+ 'Prediction Results (Transposed)'!K$5*($B$10/12)*$B$7)*M17/M55*(1+$B$15)^($C112-$C$99)*1/$B$14</f>
        <v>942097425.67269778</v>
      </c>
      <c r="N112" s="63">
        <f>('Demographic-Economic'!E$22+'Demographic-Economic'!E$23+'Demographic-Economic'!E$24)*1000*(1+'Inflation-Interest'!$C$65)*(1+'Inflation-Interest'!$C$66)*(1+'Inflation-Interest'!$C$67)* ('Prediction Results (Transposed)'!L$3*($B$8/12)*$B$5+ 'Prediction Results (Transposed)'!L$4*($B$9/12)*$B$6+ 'Prediction Results (Transposed)'!L$5*($B$10/12)*$B$7)*N17/N55*(1+$B$15)^($C112-$C$99)*1/$B$14</f>
        <v>46787335.375281543</v>
      </c>
      <c r="O112" s="63">
        <f>('Demographic-Economic'!F$22+'Demographic-Economic'!F$23+'Demographic-Economic'!F$24)*1000*(1+'Inflation-Interest'!$C$65)*(1+'Inflation-Interest'!$C$66)*(1+'Inflation-Interest'!$C$67)* ('Prediction Results (Transposed)'!M$3*($B$8/12)*$B$5+ 'Prediction Results (Transposed)'!M$4*($B$9/12)*$B$6+ 'Prediction Results (Transposed)'!M$5*($B$10/12)*$B$7)*O17/O55*(1+$B$15)^($C112-$C$99)*1/$B$14</f>
        <v>5545287.2124459185</v>
      </c>
      <c r="P112" s="63">
        <f>('Demographic-Economic'!G$22+'Demographic-Economic'!G$23+'Demographic-Economic'!G$24)*1000*(1+'Inflation-Interest'!$C$65)*(1+'Inflation-Interest'!$C$66)*(1+'Inflation-Interest'!$C$67)* ('Prediction Results (Transposed)'!N$3*($B$8/12)*$B$5+ 'Prediction Results (Transposed)'!N$4*($B$9/12)*$B$6+ 'Prediction Results (Transposed)'!N$5*($B$10/12)*$B$7)*P17/P55*(1+$B$15)^($C112-$C$99)*1/$B$14</f>
        <v>16995423.811311439</v>
      </c>
      <c r="Q112" s="63">
        <f>('Demographic-Economic'!H$22+'Demographic-Economic'!H$23+'Demographic-Economic'!H$24)*1000*(1+'Inflation-Interest'!$C$65)*(1+'Inflation-Interest'!$C$66)*(1+'Inflation-Interest'!$C$67)* ('Prediction Results (Transposed)'!O$3*($B$8/12)*$B$5+ 'Prediction Results (Transposed)'!O$4*($B$9/12)*$B$6+ 'Prediction Results (Transposed)'!O$5*($B$10/12)*$B$7)*Q17/Q55*(1+$B$15)^($C112-$C$99)*1/$B$14</f>
        <v>4235395.5944880284</v>
      </c>
      <c r="S112" s="38">
        <v>2060</v>
      </c>
      <c r="T112" s="63">
        <f>('Demographic-Economic'!C$22+'Demographic-Economic'!C$23+'Demographic-Economic'!C$24)*1000*(1+'Inflation-Interest'!$C$65)*(1+'Inflation-Interest'!$C$66)*(1+'Inflation-Interest'!$C$67)* ('Prediction Results (Transposed)'!J$3*($B$8/12)*$B$5+ 'Prediction Results (Transposed)'!J$4*($B$9/12)*$B$6+ 'Prediction Results (Transposed)'!J$5*($B$10/12)*$B$7)*T17/T55*(1+$B$15)^($C112-$C$99)*1/$B$14</f>
        <v>1014415494.8424758</v>
      </c>
      <c r="U112" s="63">
        <f>('Demographic-Economic'!D$22+'Demographic-Economic'!D$23+'Demographic-Economic'!D$24)*1000*(1+'Inflation-Interest'!$C$65)*(1+'Inflation-Interest'!$C$66)*(1+'Inflation-Interest'!$C$67)* ('Prediction Results (Transposed)'!K$3*($B$8/12)*$B$5+ 'Prediction Results (Transposed)'!K$4*($B$9/12)*$B$6+ 'Prediction Results (Transposed)'!K$5*($B$10/12)*$B$7)*U17/U55*(1+$B$15)^($C112-$C$99)*1/$B$14</f>
        <v>1303181952.9436264</v>
      </c>
      <c r="V112" s="63">
        <f>('Demographic-Economic'!E$22+'Demographic-Economic'!E$23+'Demographic-Economic'!E$24)*1000*(1+'Inflation-Interest'!$C$65)*(1+'Inflation-Interest'!$C$66)*(1+'Inflation-Interest'!$C$67)* ('Prediction Results (Transposed)'!L$3*($B$8/12)*$B$5+ 'Prediction Results (Transposed)'!L$4*($B$9/12)*$B$6+ 'Prediction Results (Transposed)'!L$5*($B$10/12)*$B$7)*V17/V55*(1+$B$15)^($C112-$C$99)*1/$B$14</f>
        <v>64719857.443460174</v>
      </c>
      <c r="W112" s="63">
        <f>('Demographic-Economic'!F$22+'Demographic-Economic'!F$23+'Demographic-Economic'!F$24)*1000*(1+'Inflation-Interest'!$C$65)*(1+'Inflation-Interest'!$C$66)*(1+'Inflation-Interest'!$C$67)* ('Prediction Results (Transposed)'!M$3*($B$8/12)*$B$5+ 'Prediction Results (Transposed)'!M$4*($B$9/12)*$B$6+ 'Prediction Results (Transposed)'!M$5*($B$10/12)*$B$7)*W17/W55*(1+$B$15)^($C112-$C$99)*1/$B$14</f>
        <v>7670669.7441493869</v>
      </c>
      <c r="X112" s="63">
        <f>('Demographic-Economic'!G$22+'Demographic-Economic'!G$23+'Demographic-Economic'!G$24)*1000*(1+'Inflation-Interest'!$C$65)*(1+'Inflation-Interest'!$C$66)*(1+'Inflation-Interest'!$C$67)* ('Prediction Results (Transposed)'!N$3*($B$8/12)*$B$5+ 'Prediction Results (Transposed)'!N$4*($B$9/12)*$B$6+ 'Prediction Results (Transposed)'!N$5*($B$10/12)*$B$7)*X17/X55*(1+$B$15)^($C112-$C$99)*1/$B$14</f>
        <v>23509383.414050557</v>
      </c>
      <c r="Y112" s="63">
        <f>('Demographic-Economic'!H$22+'Demographic-Economic'!H$23+'Demographic-Economic'!H$24)*1000*(1+'Inflation-Interest'!$C$65)*(1+'Inflation-Interest'!$C$66)*(1+'Inflation-Interest'!$C$67)* ('Prediction Results (Transposed)'!O$3*($B$8/12)*$B$5+ 'Prediction Results (Transposed)'!O$4*($B$9/12)*$B$6+ 'Prediction Results (Transposed)'!O$5*($B$10/12)*$B$7)*Y17/Y55*(1+$B$15)^($C112-$C$99)*1/$B$14</f>
        <v>5858726.445805314</v>
      </c>
      <c r="AA112" s="38">
        <v>2060</v>
      </c>
      <c r="AB112" s="63">
        <f>('Demographic-Economic'!C$22+'Demographic-Economic'!C$23+'Demographic-Economic'!C$24)*1000*(1+'Inflation-Interest'!$C$65)*(1+'Inflation-Interest'!$C$66)*(1+'Inflation-Interest'!$C$67)* ('Prediction Results (Transposed)'!J$3*($B$8/12)*$B$5+ 'Prediction Results (Transposed)'!J$4*($B$9/12)*$B$6+ 'Prediction Results (Transposed)'!J$5*($B$10/12)*$B$7)*AB17/AB55*(1+$B$15)^($C112-$C$99)*1/$B$14</f>
        <v>1904071085.8217289</v>
      </c>
      <c r="AC112" s="63">
        <f>('Demographic-Economic'!D$22+'Demographic-Economic'!D$23+'Demographic-Economic'!D$24)*1000*(1+'Inflation-Interest'!$C$65)*(1+'Inflation-Interest'!$C$66)*(1+'Inflation-Interest'!$C$67)* ('Prediction Results (Transposed)'!K$3*($B$8/12)*$B$5+ 'Prediction Results (Transposed)'!K$4*($B$9/12)*$B$6+ 'Prediction Results (Transposed)'!K$5*($B$10/12)*$B$7)*AC17/AC55*(1+$B$15)^($C112-$C$99)*1/$B$14</f>
        <v>2446089485.7978978</v>
      </c>
      <c r="AD112" s="63">
        <f>('Demographic-Economic'!E$22+'Demographic-Economic'!E$23+'Demographic-Economic'!E$24)*1000*(1+'Inflation-Interest'!$C$65)*(1+'Inflation-Interest'!$C$66)*(1+'Inflation-Interest'!$C$67)* ('Prediction Results (Transposed)'!L$3*($B$8/12)*$B$5+ 'Prediction Results (Transposed)'!L$4*($B$9/12)*$B$6+ 'Prediction Results (Transposed)'!L$5*($B$10/12)*$B$7)*AD17/AD55*(1+$B$15)^($C112-$C$99)*1/$B$14</f>
        <v>121480014.71106541</v>
      </c>
      <c r="AE112" s="63">
        <f>('Demographic-Economic'!F$22+'Demographic-Economic'!F$23+'Demographic-Economic'!F$24)*1000*(1+'Inflation-Interest'!$C$65)*(1+'Inflation-Interest'!$C$66)*(1+'Inflation-Interest'!$C$67)* ('Prediction Results (Transposed)'!M$3*($B$8/12)*$B$5+ 'Prediction Results (Transposed)'!M$4*($B$9/12)*$B$6+ 'Prediction Results (Transposed)'!M$5*($B$10/12)*$B$7)*AE17/AE55*(1+$B$15)^($C112-$C$99)*1/$B$14</f>
        <v>14397946.938882703</v>
      </c>
      <c r="AF112" s="63">
        <f>('Demographic-Economic'!G$22+'Demographic-Economic'!G$23+'Demographic-Economic'!G$24)*1000*(1+'Inflation-Interest'!$C$65)*(1+'Inflation-Interest'!$C$66)*(1+'Inflation-Interest'!$C$67)* ('Prediction Results (Transposed)'!N$3*($B$8/12)*$B$5+ 'Prediction Results (Transposed)'!N$4*($B$9/12)*$B$6+ 'Prediction Results (Transposed)'!N$5*($B$10/12)*$B$7)*AF17/AF55*(1+$B$15)^($C112-$C$99)*1/$B$14</f>
        <v>44127418.628539093</v>
      </c>
      <c r="AG112" s="63">
        <f>('Demographic-Economic'!H$22+'Demographic-Economic'!H$23+'Demographic-Economic'!H$24)*1000*(1+'Inflation-Interest'!$C$65)*(1+'Inflation-Interest'!$C$66)*(1+'Inflation-Interest'!$C$67)* ('Prediction Results (Transposed)'!O$3*($B$8/12)*$B$5+ 'Prediction Results (Transposed)'!O$4*($B$9/12)*$B$6+ 'Prediction Results (Transposed)'!O$5*($B$10/12)*$B$7)*AG17/AG55*(1+$B$15)^($C112-$C$99)*1/$B$14</f>
        <v>10996905.786547825</v>
      </c>
    </row>
    <row r="113" spans="1:33">
      <c r="A113" s="589"/>
      <c r="B113" s="590"/>
      <c r="C113" s="38">
        <v>2070</v>
      </c>
      <c r="D113" s="63">
        <f>('Demographic-Economic'!C$22+'Demographic-Economic'!C$23+'Demographic-Economic'!C$24)*1000*(1+'Inflation-Interest'!$C$65)*(1+'Inflation-Interest'!$C$66)*(1+'Inflation-Interest'!$C$67)* ('Prediction Results (Transposed)'!J$3*($B$8/12)*$B$5+ 'Prediction Results (Transposed)'!J$4*($B$9/12)*$B$6+ 'Prediction Results (Transposed)'!J$5*($B$10/12)*$B$7)*D18/D56*(1+$B$15)^($C113-$C$99)*1/$B$14</f>
        <v>778389209.0824306</v>
      </c>
      <c r="E113" s="63">
        <f>('Demographic-Economic'!D$22+'Demographic-Economic'!D$23+'Demographic-Economic'!D$24)*1000*(1+'Inflation-Interest'!$C$65)*(1+'Inflation-Interest'!$C$66)*(1+'Inflation-Interest'!$C$67)* ('Prediction Results (Transposed)'!K$3*($B$8/12)*$B$5+ 'Prediction Results (Transposed)'!K$4*($B$9/12)*$B$6+ 'Prediction Results (Transposed)'!K$5*($B$10/12)*$B$7)*E18/E56*(1+$B$15)^($C113-$C$99)*1/$B$14</f>
        <v>999967739.84589577</v>
      </c>
      <c r="F113" s="63">
        <f>('Demographic-Economic'!E$22+'Demographic-Economic'!E$23+'Demographic-Economic'!E$24)*1000*(1+'Inflation-Interest'!$C$65)*(1+'Inflation-Interest'!$C$66)*(1+'Inflation-Interest'!$C$67)* ('Prediction Results (Transposed)'!L$3*($B$8/12)*$B$5+ 'Prediction Results (Transposed)'!L$4*($B$9/12)*$B$6+ 'Prediction Results (Transposed)'!L$5*($B$10/12)*$B$7)*F18/F56*(1+$B$15)^($C113-$C$99)*1/$B$14</f>
        <v>49661345.773474671</v>
      </c>
      <c r="G113" s="63">
        <f>('Demographic-Economic'!F$22+'Demographic-Economic'!F$23+'Demographic-Economic'!F$24)*1000*(1+'Inflation-Interest'!$C$65)*(1+'Inflation-Interest'!$C$66)*(1+'Inflation-Interest'!$C$67)* ('Prediction Results (Transposed)'!M$3*($B$8/12)*$B$5+ 'Prediction Results (Transposed)'!M$4*($B$9/12)*$B$6+ 'Prediction Results (Transposed)'!M$5*($B$10/12)*$B$7)*G18/G56*(1+$B$15)^($C113-$C$99)*1/$B$14</f>
        <v>5885918.132794437</v>
      </c>
      <c r="H113" s="63">
        <f>('Demographic-Economic'!G$22+'Demographic-Economic'!G$23+'Demographic-Economic'!G$24)*1000*(1+'Inflation-Interest'!$C$65)*(1+'Inflation-Interest'!$C$66)*(1+'Inflation-Interest'!$C$67)* ('Prediction Results (Transposed)'!N$3*($B$8/12)*$B$5+ 'Prediction Results (Transposed)'!N$4*($B$9/12)*$B$6+ 'Prediction Results (Transposed)'!N$5*($B$10/12)*$B$7)*H18/H56*(1+$B$15)^($C113-$C$99)*1/$B$14</f>
        <v>18039403.434506945</v>
      </c>
      <c r="I113" s="63">
        <f>('Demographic-Economic'!H$22+'Demographic-Economic'!H$23+'Demographic-Economic'!H$24)*1000*(1+'Inflation-Interest'!$C$65)*(1+'Inflation-Interest'!$C$66)*(1+'Inflation-Interest'!$C$67)* ('Prediction Results (Transposed)'!O$3*($B$8/12)*$B$5+ 'Prediction Results (Transposed)'!O$4*($B$9/12)*$B$6+ 'Prediction Results (Transposed)'!O$5*($B$10/12)*$B$7)*I18/I56*(1+$B$15)^($C113-$C$99)*1/$B$14</f>
        <v>4495563.6694891732</v>
      </c>
      <c r="K113" s="38">
        <v>2070</v>
      </c>
      <c r="L113" s="63">
        <f>('Demographic-Economic'!C$22+'Demographic-Economic'!C$23+'Demographic-Economic'!C$24)*1000*(1+'Inflation-Interest'!$C$65)*(1+'Inflation-Interest'!$C$66)*(1+'Inflation-Interest'!$C$67)* ('Prediction Results (Transposed)'!J$3*($B$8/12)*$B$5+ 'Prediction Results (Transposed)'!J$4*($B$9/12)*$B$6+ 'Prediction Results (Transposed)'!J$5*($B$10/12)*$B$7)*L18/L56*(1+$B$15)^($C113-$C$99)*1/$B$14</f>
        <v>1119180491.6314037</v>
      </c>
      <c r="M113" s="63">
        <f>('Demographic-Economic'!D$22+'Demographic-Economic'!D$23+'Demographic-Economic'!D$24)*1000*(1+'Inflation-Interest'!$C$65)*(1+'Inflation-Interest'!$C$66)*(1+'Inflation-Interest'!$C$67)* ('Prediction Results (Transposed)'!K$3*($B$8/12)*$B$5+ 'Prediction Results (Transposed)'!K$4*($B$9/12)*$B$6+ 'Prediction Results (Transposed)'!K$5*($B$10/12)*$B$7)*M18/M56*(1+$B$15)^($C113-$C$99)*1/$B$14</f>
        <v>1437769657.6954436</v>
      </c>
      <c r="N113" s="63">
        <f>('Demographic-Economic'!E$22+'Demographic-Economic'!E$23+'Demographic-Economic'!E$24)*1000*(1+'Inflation-Interest'!$C$65)*(1+'Inflation-Interest'!$C$66)*(1+'Inflation-Interest'!$C$67)* ('Prediction Results (Transposed)'!L$3*($B$8/12)*$B$5+ 'Prediction Results (Transposed)'!L$4*($B$9/12)*$B$6+ 'Prediction Results (Transposed)'!L$5*($B$10/12)*$B$7)*N18/N56*(1+$B$15)^($C113-$C$99)*1/$B$14</f>
        <v>71403879.613583714</v>
      </c>
      <c r="O113" s="63">
        <f>('Demographic-Economic'!F$22+'Demographic-Economic'!F$23+'Demographic-Economic'!F$24)*1000*(1+'Inflation-Interest'!$C$65)*(1+'Inflation-Interest'!$C$66)*(1+'Inflation-Interest'!$C$67)* ('Prediction Results (Transposed)'!M$3*($B$8/12)*$B$5+ 'Prediction Results (Transposed)'!M$4*($B$9/12)*$B$6+ 'Prediction Results (Transposed)'!M$5*($B$10/12)*$B$7)*O18/O56*(1+$B$15)^($C113-$C$99)*1/$B$14</f>
        <v>8462867.512421377</v>
      </c>
      <c r="P113" s="63">
        <f>('Demographic-Economic'!G$22+'Demographic-Economic'!G$23+'Demographic-Economic'!G$24)*1000*(1+'Inflation-Interest'!$C$65)*(1+'Inflation-Interest'!$C$66)*(1+'Inflation-Interest'!$C$67)* ('Prediction Results (Transposed)'!N$3*($B$8/12)*$B$5+ 'Prediction Results (Transposed)'!N$4*($B$9/12)*$B$6+ 'Prediction Results (Transposed)'!N$5*($B$10/12)*$B$7)*P18/P56*(1+$B$15)^($C113-$C$99)*1/$B$14</f>
        <v>25937343.643764064</v>
      </c>
      <c r="Q113" s="63">
        <f>('Demographic-Economic'!H$22+'Demographic-Economic'!H$23+'Demographic-Economic'!H$24)*1000*(1+'Inflation-Interest'!$C$65)*(1+'Inflation-Interest'!$C$66)*(1+'Inflation-Interest'!$C$67)* ('Prediction Results (Transposed)'!O$3*($B$8/12)*$B$5+ 'Prediction Results (Transposed)'!O$4*($B$9/12)*$B$6+ 'Prediction Results (Transposed)'!O$5*($B$10/12)*$B$7)*Q18/Q56*(1+$B$15)^($C113-$C$99)*1/$B$14</f>
        <v>6463793.5612059031</v>
      </c>
      <c r="S113" s="38">
        <v>2070</v>
      </c>
      <c r="T113" s="63">
        <f>('Demographic-Economic'!C$22+'Demographic-Economic'!C$23+'Demographic-Economic'!C$24)*1000*(1+'Inflation-Interest'!$C$65)*(1+'Inflation-Interest'!$C$66)*(1+'Inflation-Interest'!$C$67)* ('Prediction Results (Transposed)'!J$3*($B$8/12)*$B$5+ 'Prediction Results (Transposed)'!J$4*($B$9/12)*$B$6+ 'Prediction Results (Transposed)'!J$5*($B$10/12)*$B$7)*T18/T56*(1+$B$15)^($C113-$C$99)*1/$B$14</f>
        <v>1825389810.0456946</v>
      </c>
      <c r="U113" s="63">
        <f>('Demographic-Economic'!D$22+'Demographic-Economic'!D$23+'Demographic-Economic'!D$24)*1000*(1+'Inflation-Interest'!$C$65)*(1+'Inflation-Interest'!$C$66)*(1+'Inflation-Interest'!$C$67)* ('Prediction Results (Transposed)'!K$3*($B$8/12)*$B$5+ 'Prediction Results (Transposed)'!K$4*($B$9/12)*$B$6+ 'Prediction Results (Transposed)'!K$5*($B$10/12)*$B$7)*U18/U56*(1+$B$15)^($C113-$C$99)*1/$B$14</f>
        <v>2345010569.7647491</v>
      </c>
      <c r="V113" s="63">
        <f>('Demographic-Economic'!E$22+'Demographic-Economic'!E$23+'Demographic-Economic'!E$24)*1000*(1+'Inflation-Interest'!$C$65)*(1+'Inflation-Interest'!$C$66)*(1+'Inflation-Interest'!$C$67)* ('Prediction Results (Transposed)'!L$3*($B$8/12)*$B$5+ 'Prediction Results (Transposed)'!L$4*($B$9/12)*$B$6+ 'Prediction Results (Transposed)'!L$5*($B$10/12)*$B$7)*V18/V56*(1+$B$15)^($C113-$C$99)*1/$B$14</f>
        <v>116460137.76953147</v>
      </c>
      <c r="W113" s="63">
        <f>('Demographic-Economic'!F$22+'Demographic-Economic'!F$23+'Demographic-Economic'!F$24)*1000*(1+'Inflation-Interest'!$C$65)*(1+'Inflation-Interest'!$C$66)*(1+'Inflation-Interest'!$C$67)* ('Prediction Results (Transposed)'!M$3*($B$8/12)*$B$5+ 'Prediction Results (Transposed)'!M$4*($B$9/12)*$B$6+ 'Prediction Results (Transposed)'!M$5*($B$10/12)*$B$7)*W18/W56*(1+$B$15)^($C113-$C$99)*1/$B$14</f>
        <v>13802985.520612942</v>
      </c>
      <c r="X113" s="63">
        <f>('Demographic-Economic'!G$22+'Demographic-Economic'!G$23+'Demographic-Economic'!G$24)*1000*(1+'Inflation-Interest'!$C$65)*(1+'Inflation-Interest'!$C$66)*(1+'Inflation-Interest'!$C$67)* ('Prediction Results (Transposed)'!N$3*($B$8/12)*$B$5+ 'Prediction Results (Transposed)'!N$4*($B$9/12)*$B$6+ 'Prediction Results (Transposed)'!N$5*($B$10/12)*$B$7)*X18/X56*(1+$B$15)^($C113-$C$99)*1/$B$14</f>
        <v>42303956.458323866</v>
      </c>
      <c r="Y113" s="63">
        <f>('Demographic-Economic'!H$22+'Demographic-Economic'!H$23+'Demographic-Economic'!H$24)*1000*(1+'Inflation-Interest'!$C$65)*(1+'Inflation-Interest'!$C$66)*(1+'Inflation-Interest'!$C$67)* ('Prediction Results (Transposed)'!O$3*($B$8/12)*$B$5+ 'Prediction Results (Transposed)'!O$4*($B$9/12)*$B$6+ 'Prediction Results (Transposed)'!O$5*($B$10/12)*$B$7)*Y18/Y56*(1+$B$15)^($C113-$C$99)*1/$B$14</f>
        <v>10542484.424174679</v>
      </c>
      <c r="AA113" s="38">
        <v>2070</v>
      </c>
      <c r="AB113" s="63">
        <f>('Demographic-Economic'!C$22+'Demographic-Economic'!C$23+'Demographic-Economic'!C$24)*1000*(1+'Inflation-Interest'!$C$65)*(1+'Inflation-Interest'!$C$66)*(1+'Inflation-Interest'!$C$67)* ('Prediction Results (Transposed)'!J$3*($B$8/12)*$B$5+ 'Prediction Results (Transposed)'!J$4*($B$9/12)*$B$6+ 'Prediction Results (Transposed)'!J$5*($B$10/12)*$B$7)*AB18/AB56*(1+$B$15)^($C113-$C$99)*1/$B$14</f>
        <v>4784511196.9340973</v>
      </c>
      <c r="AC113" s="63">
        <f>('Demographic-Economic'!D$22+'Demographic-Economic'!D$23+'Demographic-Economic'!D$24)*1000*(1+'Inflation-Interest'!$C$65)*(1+'Inflation-Interest'!$C$66)*(1+'Inflation-Interest'!$C$67)* ('Prediction Results (Transposed)'!K$3*($B$8/12)*$B$5+ 'Prediction Results (Transposed)'!K$4*($B$9/12)*$B$6+ 'Prediction Results (Transposed)'!K$5*($B$10/12)*$B$7)*AC18/AC56*(1+$B$15)^($C113-$C$99)*1/$B$14</f>
        <v>6146484036.5726519</v>
      </c>
      <c r="AD113" s="63">
        <f>('Demographic-Economic'!E$22+'Demographic-Economic'!E$23+'Demographic-Economic'!E$24)*1000*(1+'Inflation-Interest'!$C$65)*(1+'Inflation-Interest'!$C$66)*(1+'Inflation-Interest'!$C$67)* ('Prediction Results (Transposed)'!L$3*($B$8/12)*$B$5+ 'Prediction Results (Transposed)'!L$4*($B$9/12)*$B$6+ 'Prediction Results (Transposed)'!L$5*($B$10/12)*$B$7)*AD18/AD56*(1+$B$15)^($C113-$C$99)*1/$B$14</f>
        <v>305252516.52460068</v>
      </c>
      <c r="AE113" s="63">
        <f>('Demographic-Economic'!F$22+'Demographic-Economic'!F$23+'Demographic-Economic'!F$24)*1000*(1+'Inflation-Interest'!$C$65)*(1+'Inflation-Interest'!$C$66)*(1+'Inflation-Interest'!$C$67)* ('Prediction Results (Transposed)'!M$3*($B$8/12)*$B$5+ 'Prediction Results (Transposed)'!M$4*($B$9/12)*$B$6+ 'Prediction Results (Transposed)'!M$5*($B$10/12)*$B$7)*AE18/AE56*(1+$B$15)^($C113-$C$99)*1/$B$14</f>
        <v>36178868.979683124</v>
      </c>
      <c r="AF113" s="63">
        <f>('Demographic-Economic'!G$22+'Demographic-Economic'!G$23+'Demographic-Economic'!G$24)*1000*(1+'Inflation-Interest'!$C$65)*(1+'Inflation-Interest'!$C$66)*(1+'Inflation-Interest'!$C$67)* ('Prediction Results (Transposed)'!N$3*($B$8/12)*$B$5+ 'Prediction Results (Transposed)'!N$4*($B$9/12)*$B$6+ 'Prediction Results (Transposed)'!N$5*($B$10/12)*$B$7)*AF18/AF56*(1+$B$15)^($C113-$C$99)*1/$B$14</f>
        <v>110882482.32545811</v>
      </c>
      <c r="AG113" s="63">
        <f>('Demographic-Economic'!H$22+'Demographic-Economic'!H$23+'Demographic-Economic'!H$24)*1000*(1+'Inflation-Interest'!$C$65)*(1+'Inflation-Interest'!$C$66)*(1+'Inflation-Interest'!$C$67)* ('Prediction Results (Transposed)'!O$3*($B$8/12)*$B$5+ 'Prediction Results (Transposed)'!O$4*($B$9/12)*$B$6+ 'Prediction Results (Transposed)'!O$5*($B$10/12)*$B$7)*AG18/AG56*(1+$B$15)^($C113-$C$99)*1/$B$14</f>
        <v>27632801.768354569</v>
      </c>
    </row>
    <row r="114" spans="1:33">
      <c r="A114" s="589"/>
      <c r="B114" s="590"/>
      <c r="C114" s="38">
        <v>2080</v>
      </c>
      <c r="D114" s="63">
        <f>('Demographic-Economic'!C$22+'Demographic-Economic'!C$23+'Demographic-Economic'!C$24)*1000*(1+'Inflation-Interest'!$C$65)*(1+'Inflation-Interest'!$C$66)*(1+'Inflation-Interest'!$C$67)* ('Prediction Results (Transposed)'!J$3*($B$8/12)*$B$5+ 'Prediction Results (Transposed)'!J$4*($B$9/12)*$B$6+ 'Prediction Results (Transposed)'!J$5*($B$10/12)*$B$7)*D19/D57*(1+$B$15)^($C114-$C$99)*1/$B$14</f>
        <v>1060430902.2106684</v>
      </c>
      <c r="E114" s="63">
        <f>('Demographic-Economic'!D$22+'Demographic-Economic'!D$23+'Demographic-Economic'!D$24)*1000*(1+'Inflation-Interest'!$C$65)*(1+'Inflation-Interest'!$C$66)*(1+'Inflation-Interest'!$C$67)* ('Prediction Results (Transposed)'!K$3*($B$8/12)*$B$5+ 'Prediction Results (Transposed)'!K$4*($B$9/12)*$B$6+ 'Prediction Results (Transposed)'!K$5*($B$10/12)*$B$7)*E19/E57*(1+$B$15)^($C114-$C$99)*1/$B$14</f>
        <v>1362296239.687531</v>
      </c>
      <c r="F114" s="63">
        <f>('Demographic-Economic'!E$22+'Demographic-Economic'!E$23+'Demographic-Economic'!E$24)*1000*(1+'Inflation-Interest'!$C$65)*(1+'Inflation-Interest'!$C$66)*(1+'Inflation-Interest'!$C$67)* ('Prediction Results (Transposed)'!L$3*($B$8/12)*$B$5+ 'Prediction Results (Transposed)'!L$4*($B$9/12)*$B$6+ 'Prediction Results (Transposed)'!L$5*($B$10/12)*$B$7)*F19/F57*(1+$B$15)^($C114-$C$99)*1/$B$14</f>
        <v>67655647.186631054</v>
      </c>
      <c r="G114" s="63">
        <f>('Demographic-Economic'!F$22+'Demographic-Economic'!F$23+'Demographic-Economic'!F$24)*1000*(1+'Inflation-Interest'!$C$65)*(1+'Inflation-Interest'!$C$66)*(1+'Inflation-Interest'!$C$67)* ('Prediction Results (Transposed)'!M$3*($B$8/12)*$B$5+ 'Prediction Results (Transposed)'!M$4*($B$9/12)*$B$6+ 'Prediction Results (Transposed)'!M$5*($B$10/12)*$B$7)*G19/G57*(1+$B$15)^($C114-$C$99)*1/$B$14</f>
        <v>8018622.8214224381</v>
      </c>
      <c r="H114" s="63">
        <f>('Demographic-Economic'!G$22+'Demographic-Economic'!G$23+'Demographic-Economic'!G$24)*1000*(1+'Inflation-Interest'!$C$65)*(1+'Inflation-Interest'!$C$66)*(1+'Inflation-Interest'!$C$67)* ('Prediction Results (Transposed)'!N$3*($B$8/12)*$B$5+ 'Prediction Results (Transposed)'!N$4*($B$9/12)*$B$6+ 'Prediction Results (Transposed)'!N$5*($B$10/12)*$B$7)*H19/H57*(1+$B$15)^($C114-$C$99)*1/$B$14</f>
        <v>24575804.284268588</v>
      </c>
      <c r="I114" s="63">
        <f>('Demographic-Economic'!H$22+'Demographic-Economic'!H$23+'Demographic-Economic'!H$24)*1000*(1+'Inflation-Interest'!$C$65)*(1+'Inflation-Interest'!$C$66)*(1+'Inflation-Interest'!$C$67)* ('Prediction Results (Transposed)'!O$3*($B$8/12)*$B$5+ 'Prediction Results (Transposed)'!O$4*($B$9/12)*$B$6+ 'Prediction Results (Transposed)'!O$5*($B$10/12)*$B$7)*I19/I57*(1+$B$15)^($C114-$C$99)*1/$B$14</f>
        <v>6124487.0591173144</v>
      </c>
      <c r="K114" s="38">
        <v>2080</v>
      </c>
      <c r="L114" s="63">
        <f>('Demographic-Economic'!C$22+'Demographic-Economic'!C$23+'Demographic-Economic'!C$24)*1000*(1+'Inflation-Interest'!$C$65)*(1+'Inflation-Interest'!$C$66)*(1+'Inflation-Interest'!$C$67)* ('Prediction Results (Transposed)'!J$3*($B$8/12)*$B$5+ 'Prediction Results (Transposed)'!J$4*($B$9/12)*$B$6+ 'Prediction Results (Transposed)'!J$5*($B$10/12)*$B$7)*L19/L57*(1+$B$15)^($C114-$C$99)*1/$B$14</f>
        <v>1624307439.0584619</v>
      </c>
      <c r="M114" s="63">
        <f>('Demographic-Economic'!D$22+'Demographic-Economic'!D$23+'Demographic-Economic'!D$24)*1000*(1+'Inflation-Interest'!$C$65)*(1+'Inflation-Interest'!$C$66)*(1+'Inflation-Interest'!$C$67)* ('Prediction Results (Transposed)'!K$3*($B$8/12)*$B$5+ 'Prediction Results (Transposed)'!K$4*($B$9/12)*$B$6+ 'Prediction Results (Transposed)'!K$5*($B$10/12)*$B$7)*M19/M57*(1+$B$15)^($C114-$C$99)*1/$B$14</f>
        <v>2086687507.6092675</v>
      </c>
      <c r="N114" s="63">
        <f>('Demographic-Economic'!E$22+'Demographic-Economic'!E$23+'Demographic-Economic'!E$24)*1000*(1+'Inflation-Interest'!$C$65)*(1+'Inflation-Interest'!$C$66)*(1+'Inflation-Interest'!$C$67)* ('Prediction Results (Transposed)'!L$3*($B$8/12)*$B$5+ 'Prediction Results (Transposed)'!L$4*($B$9/12)*$B$6+ 'Prediction Results (Transposed)'!L$5*($B$10/12)*$B$7)*N19/N57*(1+$B$15)^($C114-$C$99)*1/$B$14</f>
        <v>103631052.99031332</v>
      </c>
      <c r="O114" s="63">
        <f>('Demographic-Economic'!F$22+'Demographic-Economic'!F$23+'Demographic-Economic'!F$24)*1000*(1+'Inflation-Interest'!$C$65)*(1+'Inflation-Interest'!$C$66)*(1+'Inflation-Interest'!$C$67)* ('Prediction Results (Transposed)'!M$3*($B$8/12)*$B$5+ 'Prediction Results (Transposed)'!M$4*($B$9/12)*$B$6+ 'Prediction Results (Transposed)'!M$5*($B$10/12)*$B$7)*O19/O57*(1+$B$15)^($C114-$C$99)*1/$B$14</f>
        <v>12282468.072825821</v>
      </c>
      <c r="P114" s="63">
        <f>('Demographic-Economic'!G$22+'Demographic-Economic'!G$23+'Demographic-Economic'!G$24)*1000*(1+'Inflation-Interest'!$C$65)*(1+'Inflation-Interest'!$C$66)*(1+'Inflation-Interest'!$C$67)* ('Prediction Results (Transposed)'!N$3*($B$8/12)*$B$5+ 'Prediction Results (Transposed)'!N$4*($B$9/12)*$B$6+ 'Prediction Results (Transposed)'!N$5*($B$10/12)*$B$7)*P19/P57*(1+$B$15)^($C114-$C$99)*1/$B$14</f>
        <v>37643812.18669156</v>
      </c>
      <c r="Q114" s="63">
        <f>('Demographic-Economic'!H$22+'Demographic-Economic'!H$23+'Demographic-Economic'!H$24)*1000*(1+'Inflation-Interest'!$C$65)*(1+'Inflation-Interest'!$C$66)*(1+'Inflation-Interest'!$C$67)* ('Prediction Results (Transposed)'!O$3*($B$8/12)*$B$5+ 'Prediction Results (Transposed)'!O$4*($B$9/12)*$B$6+ 'Prediction Results (Transposed)'!O$5*($B$10/12)*$B$7)*Q19/Q57*(1+$B$15)^($C114-$C$99)*1/$B$14</f>
        <v>9381139.1857809387</v>
      </c>
      <c r="S114" s="38">
        <v>2080</v>
      </c>
      <c r="T114" s="63">
        <f>('Demographic-Economic'!C$22+'Demographic-Economic'!C$23+'Demographic-Economic'!C$24)*1000*(1+'Inflation-Interest'!$C$65)*(1+'Inflation-Interest'!$C$66)*(1+'Inflation-Interest'!$C$67)* ('Prediction Results (Transposed)'!J$3*($B$8/12)*$B$5+ 'Prediction Results (Transposed)'!J$4*($B$9/12)*$B$6+ 'Prediction Results (Transposed)'!J$5*($B$10/12)*$B$7)*T19/T57*(1+$B$15)^($C114-$C$99)*1/$B$14</f>
        <v>3160104076.2957888</v>
      </c>
      <c r="U114" s="63">
        <f>('Demographic-Economic'!D$22+'Demographic-Economic'!D$23+'Demographic-Economic'!D$24)*1000*(1+'Inflation-Interest'!$C$65)*(1+'Inflation-Interest'!$C$66)*(1+'Inflation-Interest'!$C$67)* ('Prediction Results (Transposed)'!K$3*($B$8/12)*$B$5+ 'Prediction Results (Transposed)'!K$4*($B$9/12)*$B$6+ 'Prediction Results (Transposed)'!K$5*($B$10/12)*$B$7)*U19/U57*(1+$B$15)^($C114-$C$99)*1/$B$14</f>
        <v>4059668471.7357931</v>
      </c>
      <c r="V114" s="63">
        <f>('Demographic-Economic'!E$22+'Demographic-Economic'!E$23+'Demographic-Economic'!E$24)*1000*(1+'Inflation-Interest'!$C$65)*(1+'Inflation-Interest'!$C$66)*(1+'Inflation-Interest'!$C$67)* ('Prediction Results (Transposed)'!L$3*($B$8/12)*$B$5+ 'Prediction Results (Transposed)'!L$4*($B$9/12)*$B$6+ 'Prediction Results (Transposed)'!L$5*($B$10/12)*$B$7)*V19/V57*(1+$B$15)^($C114-$C$99)*1/$B$14</f>
        <v>201615103.83486411</v>
      </c>
      <c r="W114" s="63">
        <f>('Demographic-Economic'!F$22+'Demographic-Economic'!F$23+'Demographic-Economic'!F$24)*1000*(1+'Inflation-Interest'!$C$65)*(1+'Inflation-Interest'!$C$66)*(1+'Inflation-Interest'!$C$67)* ('Prediction Results (Transposed)'!M$3*($B$8/12)*$B$5+ 'Prediction Results (Transposed)'!M$4*($B$9/12)*$B$6+ 'Prediction Results (Transposed)'!M$5*($B$10/12)*$B$7)*W19/W57*(1+$B$15)^($C114-$C$99)*1/$B$14</f>
        <v>23895647.148182999</v>
      </c>
      <c r="X114" s="63">
        <f>('Demographic-Economic'!G$22+'Demographic-Economic'!G$23+'Demographic-Economic'!G$24)*1000*(1+'Inflation-Interest'!$C$65)*(1+'Inflation-Interest'!$C$66)*(1+'Inflation-Interest'!$C$67)* ('Prediction Results (Transposed)'!N$3*($B$8/12)*$B$5+ 'Prediction Results (Transposed)'!N$4*($B$9/12)*$B$6+ 'Prediction Results (Transposed)'!N$5*($B$10/12)*$B$7)*X19/X57*(1+$B$15)^($C114-$C$99)*1/$B$14</f>
        <v>73236359.988249466</v>
      </c>
      <c r="Y114" s="63">
        <f>('Demographic-Economic'!H$22+'Demographic-Economic'!H$23+'Demographic-Economic'!H$24)*1000*(1+'Inflation-Interest'!$C$65)*(1+'Inflation-Interest'!$C$66)*(1+'Inflation-Interest'!$C$67)* ('Prediction Results (Transposed)'!O$3*($B$8/12)*$B$5+ 'Prediction Results (Transposed)'!O$4*($B$9/12)*$B$6+ 'Prediction Results (Transposed)'!O$5*($B$10/12)*$B$7)*Y19/Y57*(1+$B$15)^($C114-$C$99)*1/$B$14</f>
        <v>18251086.87458121</v>
      </c>
      <c r="AA114" s="38">
        <v>2080</v>
      </c>
      <c r="AB114" s="63">
        <f>('Demographic-Economic'!C$22+'Demographic-Economic'!C$23+'Demographic-Economic'!C$24)*1000*(1+'Inflation-Interest'!$C$65)*(1+'Inflation-Interest'!$C$66)*(1+'Inflation-Interest'!$C$67)* ('Prediction Results (Transposed)'!J$3*($B$8/12)*$B$5+ 'Prediction Results (Transposed)'!J$4*($B$9/12)*$B$6+ 'Prediction Results (Transposed)'!J$5*($B$10/12)*$B$7)*AB19/AB57*(1+$B$15)^($C114-$C$99)*1/$B$14</f>
        <v>12211725925.4813</v>
      </c>
      <c r="AC114" s="63">
        <f>('Demographic-Economic'!D$22+'Demographic-Economic'!D$23+'Demographic-Economic'!D$24)*1000*(1+'Inflation-Interest'!$C$65)*(1+'Inflation-Interest'!$C$66)*(1+'Inflation-Interest'!$C$67)* ('Prediction Results (Transposed)'!K$3*($B$8/12)*$B$5+ 'Prediction Results (Transposed)'!K$4*($B$9/12)*$B$6+ 'Prediction Results (Transposed)'!K$5*($B$10/12)*$B$7)*AC19/AC57*(1+$B$15)^($C114-$C$99)*1/$B$14</f>
        <v>15687951259.904865</v>
      </c>
      <c r="AD114" s="63">
        <f>('Demographic-Economic'!E$22+'Demographic-Economic'!E$23+'Demographic-Economic'!E$24)*1000*(1+'Inflation-Interest'!$C$65)*(1+'Inflation-Interest'!$C$66)*(1+'Inflation-Interest'!$C$67)* ('Prediction Results (Transposed)'!L$3*($B$8/12)*$B$5+ 'Prediction Results (Transposed)'!L$4*($B$9/12)*$B$6+ 'Prediction Results (Transposed)'!L$5*($B$10/12)*$B$7)*AD19/AD57*(1+$B$15)^($C114-$C$99)*1/$B$14</f>
        <v>779109906.20119131</v>
      </c>
      <c r="AE114" s="63">
        <f>('Demographic-Economic'!F$22+'Demographic-Economic'!F$23+'Demographic-Economic'!F$24)*1000*(1+'Inflation-Interest'!$C$65)*(1+'Inflation-Interest'!$C$66)*(1+'Inflation-Interest'!$C$67)* ('Prediction Results (Transposed)'!M$3*($B$8/12)*$B$5+ 'Prediction Results (Transposed)'!M$4*($B$9/12)*$B$6+ 'Prediction Results (Transposed)'!M$5*($B$10/12)*$B$7)*AE19/AE57*(1+$B$15)^($C114-$C$99)*1/$B$14</f>
        <v>92340975.721176282</v>
      </c>
      <c r="AF114" s="63">
        <f>('Demographic-Economic'!G$22+'Demographic-Economic'!G$23+'Demographic-Economic'!G$24)*1000*(1+'Inflation-Interest'!$C$65)*(1+'Inflation-Interest'!$C$66)*(1+'Inflation-Interest'!$C$67)* ('Prediction Results (Transposed)'!N$3*($B$8/12)*$B$5+ 'Prediction Results (Transposed)'!N$4*($B$9/12)*$B$6+ 'Prediction Results (Transposed)'!N$5*($B$10/12)*$B$7)*AF19/AF57*(1+$B$15)^($C114-$C$99)*1/$B$14</f>
        <v>283010411.79780304</v>
      </c>
      <c r="AG114" s="63">
        <f>('Demographic-Economic'!H$22+'Demographic-Economic'!H$23+'Demographic-Economic'!H$24)*1000*(1+'Inflation-Interest'!$C$65)*(1+'Inflation-Interest'!$C$66)*(1+'Inflation-Interest'!$C$67)* ('Prediction Results (Transposed)'!O$3*($B$8/12)*$B$5+ 'Prediction Results (Transposed)'!O$4*($B$9/12)*$B$6+ 'Prediction Results (Transposed)'!O$5*($B$10/12)*$B$7)*AG19/AG57*(1+$B$15)^($C114-$C$99)*1/$B$14</f>
        <v>70528458.991701022</v>
      </c>
    </row>
    <row r="115" spans="1:33">
      <c r="A115" s="589"/>
      <c r="B115" s="590"/>
      <c r="C115" s="38">
        <v>2090</v>
      </c>
      <c r="D115" s="63">
        <f>('Demographic-Economic'!C$22+'Demographic-Economic'!C$23+'Demographic-Economic'!C$24)*1000*(1+'Inflation-Interest'!$C$65)*(1+'Inflation-Interest'!$C$66)*(1+'Inflation-Interest'!$C$67)* ('Prediction Results (Transposed)'!J$3*($B$8/12)*$B$5+ 'Prediction Results (Transposed)'!J$4*($B$9/12)*$B$6+ 'Prediction Results (Transposed)'!J$5*($B$10/12)*$B$7)*D20/D58*(1+$B$15)^($C115-$C$99)*1/$B$14</f>
        <v>1392544369.0740969</v>
      </c>
      <c r="E115" s="63">
        <f>('Demographic-Economic'!D$22+'Demographic-Economic'!D$23+'Demographic-Economic'!D$24)*1000*(1+'Inflation-Interest'!$C$65)*(1+'Inflation-Interest'!$C$66)*(1+'Inflation-Interest'!$C$67)* ('Prediction Results (Transposed)'!K$3*($B$8/12)*$B$5+ 'Prediction Results (Transposed)'!K$4*($B$9/12)*$B$6+ 'Prediction Results (Transposed)'!K$5*($B$10/12)*$B$7)*E20/E58*(1+$B$15)^($C115-$C$99)*1/$B$14</f>
        <v>1788950089.6596961</v>
      </c>
      <c r="F115" s="63">
        <f>('Demographic-Economic'!E$22+'Demographic-Economic'!E$23+'Demographic-Economic'!E$24)*1000*(1+'Inflation-Interest'!$C$65)*(1+'Inflation-Interest'!$C$66)*(1+'Inflation-Interest'!$C$67)* ('Prediction Results (Transposed)'!L$3*($B$8/12)*$B$5+ 'Prediction Results (Transposed)'!L$4*($B$9/12)*$B$6+ 'Prediction Results (Transposed)'!L$5*($B$10/12)*$B$7)*F20/F58*(1+$B$15)^($C115-$C$99)*1/$B$14</f>
        <v>88844535.112472713</v>
      </c>
      <c r="G115" s="63">
        <f>('Demographic-Economic'!F$22+'Demographic-Economic'!F$23+'Demographic-Economic'!F$24)*1000*(1+'Inflation-Interest'!$C$65)*(1+'Inflation-Interest'!$C$66)*(1+'Inflation-Interest'!$C$67)* ('Prediction Results (Transposed)'!M$3*($B$8/12)*$B$5+ 'Prediction Results (Transposed)'!M$4*($B$9/12)*$B$6+ 'Prediction Results (Transposed)'!M$5*($B$10/12)*$B$7)*G20/G58*(1+$B$15)^($C115-$C$99)*1/$B$14</f>
        <v>10529953.469313867</v>
      </c>
      <c r="H115" s="63">
        <f>('Demographic-Economic'!G$22+'Demographic-Economic'!G$23+'Demographic-Economic'!G$24)*1000*(1+'Inflation-Interest'!$C$65)*(1+'Inflation-Interest'!$C$66)*(1+'Inflation-Interest'!$C$67)* ('Prediction Results (Transposed)'!N$3*($B$8/12)*$B$5+ 'Prediction Results (Transposed)'!N$4*($B$9/12)*$B$6+ 'Prediction Results (Transposed)'!N$5*($B$10/12)*$B$7)*H20/H58*(1+$B$15)^($C115-$C$99)*1/$B$14</f>
        <v>32272633.511699069</v>
      </c>
      <c r="I115" s="63">
        <f>('Demographic-Economic'!H$22+'Demographic-Economic'!H$23+'Demographic-Economic'!H$24)*1000*(1+'Inflation-Interest'!$C$65)*(1+'Inflation-Interest'!$C$66)*(1+'Inflation-Interest'!$C$67)* ('Prediction Results (Transposed)'!O$3*($B$8/12)*$B$5+ 'Prediction Results (Transposed)'!O$4*($B$9/12)*$B$6+ 'Prediction Results (Transposed)'!O$5*($B$10/12)*$B$7)*I20/I58*(1+$B$15)^($C115-$C$99)*1/$B$14</f>
        <v>8042598.4850700554</v>
      </c>
      <c r="K115" s="38">
        <v>2090</v>
      </c>
      <c r="L115" s="63">
        <f>('Demographic-Economic'!C$22+'Demographic-Economic'!C$23+'Demographic-Economic'!C$24)*1000*(1+'Inflation-Interest'!$C$65)*(1+'Inflation-Interest'!$C$66)*(1+'Inflation-Interest'!$C$67)* ('Prediction Results (Transposed)'!J$3*($B$8/12)*$B$5+ 'Prediction Results (Transposed)'!J$4*($B$9/12)*$B$6+ 'Prediction Results (Transposed)'!J$5*($B$10/12)*$B$7)*L20/L58*(1+$B$15)^($C115-$C$99)*1/$B$14</f>
        <v>2273250559.1295848</v>
      </c>
      <c r="M115" s="63">
        <f>('Demographic-Economic'!D$22+'Demographic-Economic'!D$23+'Demographic-Economic'!D$24)*1000*(1+'Inflation-Interest'!$C$65)*(1+'Inflation-Interest'!$C$66)*(1+'Inflation-Interest'!$C$67)* ('Prediction Results (Transposed)'!K$3*($B$8/12)*$B$5+ 'Prediction Results (Transposed)'!K$4*($B$9/12)*$B$6+ 'Prediction Results (Transposed)'!K$5*($B$10/12)*$B$7)*M20/M58*(1+$B$15)^($C115-$C$99)*1/$B$14</f>
        <v>2920360659.1564445</v>
      </c>
      <c r="N115" s="63">
        <f>('Demographic-Economic'!E$22+'Demographic-Economic'!E$23+'Demographic-Economic'!E$24)*1000*(1+'Inflation-Interest'!$C$65)*(1+'Inflation-Interest'!$C$66)*(1+'Inflation-Interest'!$C$67)* ('Prediction Results (Transposed)'!L$3*($B$8/12)*$B$5+ 'Prediction Results (Transposed)'!L$4*($B$9/12)*$B$6+ 'Prediction Results (Transposed)'!L$5*($B$10/12)*$B$7)*N20/N58*(1+$B$15)^($C115-$C$99)*1/$B$14</f>
        <v>145033719.28775513</v>
      </c>
      <c r="O115" s="63">
        <f>('Demographic-Economic'!F$22+'Demographic-Economic'!F$23+'Demographic-Economic'!F$24)*1000*(1+'Inflation-Interest'!$C$65)*(1+'Inflation-Interest'!$C$66)*(1+'Inflation-Interest'!$C$67)* ('Prediction Results (Transposed)'!M$3*($B$8/12)*$B$5+ 'Prediction Results (Transposed)'!M$4*($B$9/12)*$B$6+ 'Prediction Results (Transposed)'!M$5*($B$10/12)*$B$7)*O20/O58*(1+$B$15)^($C115-$C$99)*1/$B$14</f>
        <v>17189558.295828033</v>
      </c>
      <c r="P115" s="63">
        <f>('Demographic-Economic'!G$22+'Demographic-Economic'!G$23+'Demographic-Economic'!G$24)*1000*(1+'Inflation-Interest'!$C$65)*(1+'Inflation-Interest'!$C$66)*(1+'Inflation-Interest'!$C$67)* ('Prediction Results (Transposed)'!N$3*($B$8/12)*$B$5+ 'Prediction Results (Transposed)'!N$4*($B$9/12)*$B$6+ 'Prediction Results (Transposed)'!N$5*($B$10/12)*$B$7)*P20/P58*(1+$B$15)^($C115-$C$99)*1/$B$14</f>
        <v>52683263.674990587</v>
      </c>
      <c r="Q115" s="63">
        <f>('Demographic-Economic'!H$22+'Demographic-Economic'!H$23+'Demographic-Economic'!H$24)*1000*(1+'Inflation-Interest'!$C$65)*(1+'Inflation-Interest'!$C$66)*(1+'Inflation-Interest'!$C$67)* ('Prediction Results (Transposed)'!O$3*($B$8/12)*$B$5+ 'Prediction Results (Transposed)'!O$4*($B$9/12)*$B$6+ 'Prediction Results (Transposed)'!O$5*($B$10/12)*$B$7)*Q20/Q58*(1+$B$15)^($C115-$C$99)*1/$B$14</f>
        <v>13129090.827602511</v>
      </c>
      <c r="S115" s="38">
        <v>2090</v>
      </c>
      <c r="T115" s="63">
        <f>('Demographic-Economic'!C$22+'Demographic-Economic'!C$23+'Demographic-Economic'!C$24)*1000*(1+'Inflation-Interest'!$C$65)*(1+'Inflation-Interest'!$C$66)*(1+'Inflation-Interest'!$C$67)* ('Prediction Results (Transposed)'!J$3*($B$8/12)*$B$5+ 'Prediction Results (Transposed)'!J$4*($B$9/12)*$B$6+ 'Prediction Results (Transposed)'!J$5*($B$10/12)*$B$7)*T20/T58*(1+$B$15)^($C115-$C$99)*1/$B$14</f>
        <v>5316523335.1138058</v>
      </c>
      <c r="U115" s="63">
        <f>('Demographic-Economic'!D$22+'Demographic-Economic'!D$23+'Demographic-Economic'!D$24)*1000*(1+'Inflation-Interest'!$C$65)*(1+'Inflation-Interest'!$C$66)*(1+'Inflation-Interest'!$C$67)* ('Prediction Results (Transposed)'!K$3*($B$8/12)*$B$5+ 'Prediction Results (Transposed)'!K$4*($B$9/12)*$B$6+ 'Prediction Results (Transposed)'!K$5*($B$10/12)*$B$7)*U20/U58*(1+$B$15)^($C115-$C$99)*1/$B$14</f>
        <v>6829940293.6464939</v>
      </c>
      <c r="V115" s="63">
        <f>('Demographic-Economic'!E$22+'Demographic-Economic'!E$23+'Demographic-Economic'!E$24)*1000*(1+'Inflation-Interest'!$C$65)*(1+'Inflation-Interest'!$C$66)*(1+'Inflation-Interest'!$C$67)* ('Prediction Results (Transposed)'!L$3*($B$8/12)*$B$5+ 'Prediction Results (Transposed)'!L$4*($B$9/12)*$B$6+ 'Prediction Results (Transposed)'!L$5*($B$10/12)*$B$7)*V20/V58*(1+$B$15)^($C115-$C$99)*1/$B$14</f>
        <v>339194969.01693743</v>
      </c>
      <c r="W115" s="63">
        <f>('Demographic-Economic'!F$22+'Demographic-Economic'!F$23+'Demographic-Economic'!F$24)*1000*(1+'Inflation-Interest'!$C$65)*(1+'Inflation-Interest'!$C$66)*(1+'Inflation-Interest'!$C$67)* ('Prediction Results (Transposed)'!M$3*($B$8/12)*$B$5+ 'Prediction Results (Transposed)'!M$4*($B$9/12)*$B$6+ 'Prediction Results (Transposed)'!M$5*($B$10/12)*$B$7)*W20/W58*(1+$B$15)^($C115-$C$99)*1/$B$14</f>
        <v>40201766.335454486</v>
      </c>
      <c r="X115" s="63">
        <f>('Demographic-Economic'!G$22+'Demographic-Economic'!G$23+'Demographic-Economic'!G$24)*1000*(1+'Inflation-Interest'!$C$65)*(1+'Inflation-Interest'!$C$66)*(1+'Inflation-Interest'!$C$67)* ('Prediction Results (Transposed)'!N$3*($B$8/12)*$B$5+ 'Prediction Results (Transposed)'!N$4*($B$9/12)*$B$6+ 'Prediction Results (Transposed)'!N$5*($B$10/12)*$B$7)*X20/X58*(1+$B$15)^($C115-$C$99)*1/$B$14</f>
        <v>123212023.22954077</v>
      </c>
      <c r="Y115" s="63">
        <f>('Demographic-Economic'!H$22+'Demographic-Economic'!H$23+'Demographic-Economic'!H$24)*1000*(1+'Inflation-Interest'!$C$65)*(1+'Inflation-Interest'!$C$66)*(1+'Inflation-Interest'!$C$67)* ('Prediction Results (Transposed)'!O$3*($B$8/12)*$B$5+ 'Prediction Results (Transposed)'!O$4*($B$9/12)*$B$6+ 'Prediction Results (Transposed)'!O$5*($B$10/12)*$B$7)*Y20/Y58*(1+$B$15)^($C115-$C$99)*1/$B$14</f>
        <v>30705422.010543283</v>
      </c>
      <c r="AA115" s="38">
        <v>2090</v>
      </c>
      <c r="AB115" s="63">
        <f>('Demographic-Economic'!C$22+'Demographic-Economic'!C$23+'Demographic-Economic'!C$24)*1000*(1+'Inflation-Interest'!$C$65)*(1+'Inflation-Interest'!$C$66)*(1+'Inflation-Interest'!$C$67)* ('Prediction Results (Transposed)'!J$3*($B$8/12)*$B$5+ 'Prediction Results (Transposed)'!J$4*($B$9/12)*$B$6+ 'Prediction Results (Transposed)'!J$5*($B$10/12)*$B$7)*AB20/AB58*(1+$B$15)^($C115-$C$99)*1/$B$14</f>
        <v>30379788129.804745</v>
      </c>
      <c r="AC115" s="63">
        <f>('Demographic-Economic'!D$22+'Demographic-Economic'!D$23+'Demographic-Economic'!D$24)*1000*(1+'Inflation-Interest'!$C$65)*(1+'Inflation-Interest'!$C$66)*(1+'Inflation-Interest'!$C$67)* ('Prediction Results (Transposed)'!K$3*($B$8/12)*$B$5+ 'Prediction Results (Transposed)'!K$4*($B$9/12)*$B$6+ 'Prediction Results (Transposed)'!K$5*($B$10/12)*$B$7)*AC20/AC58*(1+$B$15)^($C115-$C$99)*1/$B$14</f>
        <v>39027786766.171555</v>
      </c>
      <c r="AD115" s="63">
        <f>('Demographic-Economic'!E$22+'Demographic-Economic'!E$23+'Demographic-Economic'!E$24)*1000*(1+'Inflation-Interest'!$C$65)*(1+'Inflation-Interest'!$C$66)*(1+'Inflation-Interest'!$C$67)* ('Prediction Results (Transposed)'!L$3*($B$8/12)*$B$5+ 'Prediction Results (Transposed)'!L$4*($B$9/12)*$B$6+ 'Prediction Results (Transposed)'!L$5*($B$10/12)*$B$7)*AD20/AD58*(1+$B$15)^($C115-$C$99)*1/$B$14</f>
        <v>1938234941.1261754</v>
      </c>
      <c r="AE115" s="63">
        <f>('Demographic-Economic'!F$22+'Demographic-Economic'!F$23+'Demographic-Economic'!F$24)*1000*(1+'Inflation-Interest'!$C$65)*(1+'Inflation-Interest'!$C$66)*(1+'Inflation-Interest'!$C$67)* ('Prediction Results (Transposed)'!M$3*($B$8/12)*$B$5+ 'Prediction Results (Transposed)'!M$4*($B$9/12)*$B$6+ 'Prediction Results (Transposed)'!M$5*($B$10/12)*$B$7)*AE20/AE58*(1+$B$15)^($C115-$C$99)*1/$B$14</f>
        <v>229721768.66950232</v>
      </c>
      <c r="AF115" s="63">
        <f>('Demographic-Economic'!G$22+'Demographic-Economic'!G$23+'Demographic-Economic'!G$24)*1000*(1+'Inflation-Interest'!$C$65)*(1+'Inflation-Interest'!$C$66)*(1+'Inflation-Interest'!$C$67)* ('Prediction Results (Transposed)'!N$3*($B$8/12)*$B$5+ 'Prediction Results (Transposed)'!N$4*($B$9/12)*$B$6+ 'Prediction Results (Transposed)'!N$5*($B$10/12)*$B$7)*AF20/AF58*(1+$B$15)^($C115-$C$99)*1/$B$14</f>
        <v>704060703.73768115</v>
      </c>
      <c r="AG115" s="63">
        <f>('Demographic-Economic'!H$22+'Demographic-Economic'!H$23+'Demographic-Economic'!H$24)*1000*(1+'Inflation-Interest'!$C$65)*(1+'Inflation-Interest'!$C$66)*(1+'Inflation-Interest'!$C$67)* ('Prediction Results (Transposed)'!O$3*($B$8/12)*$B$5+ 'Prediction Results (Transposed)'!O$4*($B$9/12)*$B$6+ 'Prediction Results (Transposed)'!O$5*($B$10/12)*$B$7)*AG20/AG58*(1+$B$15)^($C115-$C$99)*1/$B$14</f>
        <v>175457560.57451412</v>
      </c>
    </row>
    <row r="116" spans="1:33">
      <c r="A116" s="589"/>
      <c r="B116" s="590"/>
      <c r="C116" s="38">
        <v>2100</v>
      </c>
      <c r="D116" s="63">
        <f>('Demographic-Economic'!C$22+'Demographic-Economic'!C$23+'Demographic-Economic'!C$24)*1000*(1+'Inflation-Interest'!$C$65)*(1+'Inflation-Interest'!$C$66)*(1+'Inflation-Interest'!$C$67)* ('Prediction Results (Transposed)'!J$3*($B$8/12)*$B$5+ 'Prediction Results (Transposed)'!J$4*($B$9/12)*$B$6+ 'Prediction Results (Transposed)'!J$5*($B$10/12)*$B$7)*D21/D59*(1+$B$15)^($C116-$C$99)*1/$B$14</f>
        <v>1821805866.5607488</v>
      </c>
      <c r="E116" s="63">
        <f>('Demographic-Economic'!D$22+'Demographic-Economic'!D$23+'Demographic-Economic'!D$24)*1000*(1+'Inflation-Interest'!$C$65)*(1+'Inflation-Interest'!$C$66)*(1+'Inflation-Interest'!$C$67)* ('Prediction Results (Transposed)'!K$3*($B$8/12)*$B$5+ 'Prediction Results (Transposed)'!K$4*($B$9/12)*$B$6+ 'Prediction Results (Transposed)'!K$5*($B$10/12)*$B$7)*E21/E59*(1+$B$15)^($C116-$C$99)*1/$B$14</f>
        <v>2340406410.5285215</v>
      </c>
      <c r="F116" s="63">
        <f>('Demographic-Economic'!E$22+'Demographic-Economic'!E$23+'Demographic-Economic'!E$24)*1000*(1+'Inflation-Interest'!$C$65)*(1+'Inflation-Interest'!$C$66)*(1+'Inflation-Interest'!$C$67)* ('Prediction Results (Transposed)'!L$3*($B$8/12)*$B$5+ 'Prediction Results (Transposed)'!L$4*($B$9/12)*$B$6+ 'Prediction Results (Transposed)'!L$5*($B$10/12)*$B$7)*F21/F59*(1+$B$15)^($C116-$C$99)*1/$B$14</f>
        <v>116231481.64922337</v>
      </c>
      <c r="G116" s="63">
        <f>('Demographic-Economic'!F$22+'Demographic-Economic'!F$23+'Demographic-Economic'!F$24)*1000*(1+'Inflation-Interest'!$C$65)*(1+'Inflation-Interest'!$C$66)*(1+'Inflation-Interest'!$C$67)* ('Prediction Results (Transposed)'!M$3*($B$8/12)*$B$5+ 'Prediction Results (Transposed)'!M$4*($B$9/12)*$B$6+ 'Prediction Results (Transposed)'!M$5*($B$10/12)*$B$7)*G21/G59*(1+$B$15)^($C116-$C$99)*1/$B$14</f>
        <v>13775884.942009311</v>
      </c>
      <c r="H116" s="63">
        <f>('Demographic-Economic'!G$22+'Demographic-Economic'!G$23+'Demographic-Economic'!G$24)*1000*(1+'Inflation-Interest'!$C$65)*(1+'Inflation-Interest'!$C$66)*(1+'Inflation-Interest'!$C$67)* ('Prediction Results (Transposed)'!N$3*($B$8/12)*$B$5+ 'Prediction Results (Transposed)'!N$4*($B$9/12)*$B$6+ 'Prediction Results (Transposed)'!N$5*($B$10/12)*$B$7)*H21/H59*(1+$B$15)^($C116-$C$99)*1/$B$14</f>
        <v>42220897.492889814</v>
      </c>
      <c r="I116" s="63">
        <f>('Demographic-Economic'!H$22+'Demographic-Economic'!H$23+'Demographic-Economic'!H$24)*1000*(1+'Inflation-Interest'!$C$65)*(1+'Inflation-Interest'!$C$66)*(1+'Inflation-Interest'!$C$67)* ('Prediction Results (Transposed)'!O$3*($B$8/12)*$B$5+ 'Prediction Results (Transposed)'!O$4*($B$9/12)*$B$6+ 'Prediction Results (Transposed)'!O$5*($B$10/12)*$B$7)*I21/I59*(1+$B$15)^($C116-$C$99)*1/$B$14</f>
        <v>10521785.465432148</v>
      </c>
      <c r="K116" s="38">
        <v>2100</v>
      </c>
      <c r="L116" s="63">
        <f>('Demographic-Economic'!C$22+'Demographic-Economic'!C$23+'Demographic-Economic'!C$24)*1000*(1+'Inflation-Interest'!$C$65)*(1+'Inflation-Interest'!$C$66)*(1+'Inflation-Interest'!$C$67)* ('Prediction Results (Transposed)'!J$3*($B$8/12)*$B$5+ 'Prediction Results (Transposed)'!J$4*($B$9/12)*$B$6+ 'Prediction Results (Transposed)'!J$5*($B$10/12)*$B$7)*L21/L59*(1+$B$15)^($C116-$C$99)*1/$B$14</f>
        <v>3117355510.6890621</v>
      </c>
      <c r="M116" s="63">
        <f>('Demographic-Economic'!D$22+'Demographic-Economic'!D$23+'Demographic-Economic'!D$24)*1000*(1+'Inflation-Interest'!$C$65)*(1+'Inflation-Interest'!$C$66)*(1+'Inflation-Interest'!$C$67)* ('Prediction Results (Transposed)'!K$3*($B$8/12)*$B$5+ 'Prediction Results (Transposed)'!K$4*($B$9/12)*$B$6+ 'Prediction Results (Transposed)'!K$5*($B$10/12)*$B$7)*M21/M59*(1+$B$15)^($C116-$C$99)*1/$B$14</f>
        <v>4004750975.4079542</v>
      </c>
      <c r="N116" s="63">
        <f>('Demographic-Economic'!E$22+'Demographic-Economic'!E$23+'Demographic-Economic'!E$24)*1000*(1+'Inflation-Interest'!$C$65)*(1+'Inflation-Interest'!$C$66)*(1+'Inflation-Interest'!$C$67)* ('Prediction Results (Transposed)'!L$3*($B$8/12)*$B$5+ 'Prediction Results (Transposed)'!L$4*($B$9/12)*$B$6+ 'Prediction Results (Transposed)'!L$5*($B$10/12)*$B$7)*N21/N59*(1+$B$15)^($C116-$C$99)*1/$B$14</f>
        <v>198887739.07550639</v>
      </c>
      <c r="O116" s="63">
        <f>('Demographic-Economic'!F$22+'Demographic-Economic'!F$23+'Demographic-Economic'!F$24)*1000*(1+'Inflation-Interest'!$C$65)*(1+'Inflation-Interest'!$C$66)*(1+'Inflation-Interest'!$C$67)* ('Prediction Results (Transposed)'!M$3*($B$8/12)*$B$5+ 'Prediction Results (Transposed)'!M$4*($B$9/12)*$B$6+ 'Prediction Results (Transposed)'!M$5*($B$10/12)*$B$7)*O21/O59*(1+$B$15)^($C116-$C$99)*1/$B$14</f>
        <v>23572396.832634307</v>
      </c>
      <c r="P116" s="63">
        <f>('Demographic-Economic'!G$22+'Demographic-Economic'!G$23+'Demographic-Economic'!G$24)*1000*(1+'Inflation-Interest'!$C$65)*(1+'Inflation-Interest'!$C$66)*(1+'Inflation-Interest'!$C$67)* ('Prediction Results (Transposed)'!N$3*($B$8/12)*$B$5+ 'Prediction Results (Transposed)'!N$4*($B$9/12)*$B$6+ 'Prediction Results (Transposed)'!N$5*($B$10/12)*$B$7)*P21/P59*(1+$B$15)^($C116-$C$99)*1/$B$14</f>
        <v>72245649.155894414</v>
      </c>
      <c r="Q116" s="63">
        <f>('Demographic-Economic'!H$22+'Demographic-Economic'!H$23+'Demographic-Economic'!H$24)*1000*(1+'Inflation-Interest'!$C$65)*(1+'Inflation-Interest'!$C$66)*(1+'Inflation-Interest'!$C$67)* ('Prediction Results (Transposed)'!O$3*($B$8/12)*$B$5+ 'Prediction Results (Transposed)'!O$4*($B$9/12)*$B$6+ 'Prediction Results (Transposed)'!O$5*($B$10/12)*$B$7)*Q21/Q59*(1+$B$15)^($C116-$C$99)*1/$B$14</f>
        <v>18004193.808462109</v>
      </c>
      <c r="S116" s="38">
        <v>2100</v>
      </c>
      <c r="T116" s="63">
        <f>('Demographic-Economic'!C$22+'Demographic-Economic'!C$23+'Demographic-Economic'!C$24)*1000*(1+'Inflation-Interest'!$C$65)*(1+'Inflation-Interest'!$C$66)*(1+'Inflation-Interest'!$C$67)* ('Prediction Results (Transposed)'!J$3*($B$8/12)*$B$5+ 'Prediction Results (Transposed)'!J$4*($B$9/12)*$B$6+ 'Prediction Results (Transposed)'!J$5*($B$10/12)*$B$7)*T21/T59*(1+$B$15)^($C116-$C$99)*1/$B$14</f>
        <v>8825935897.6927547</v>
      </c>
      <c r="U116" s="63">
        <f>('Demographic-Economic'!D$22+'Demographic-Economic'!D$23+'Demographic-Economic'!D$24)*1000*(1+'Inflation-Interest'!$C$65)*(1+'Inflation-Interest'!$C$66)*(1+'Inflation-Interest'!$C$67)* ('Prediction Results (Transposed)'!K$3*($B$8/12)*$B$5+ 'Prediction Results (Transposed)'!K$4*($B$9/12)*$B$6+ 'Prediction Results (Transposed)'!K$5*($B$10/12)*$B$7)*U21/U59*(1+$B$15)^($C116-$C$99)*1/$B$14</f>
        <v>11338352418.89377</v>
      </c>
      <c r="V116" s="63">
        <f>('Demographic-Economic'!E$22+'Demographic-Economic'!E$23+'Demographic-Economic'!E$24)*1000*(1+'Inflation-Interest'!$C$65)*(1+'Inflation-Interest'!$C$66)*(1+'Inflation-Interest'!$C$67)* ('Prediction Results (Transposed)'!L$3*($B$8/12)*$B$5+ 'Prediction Results (Transposed)'!L$4*($B$9/12)*$B$6+ 'Prediction Results (Transposed)'!L$5*($B$10/12)*$B$7)*V21/V59*(1+$B$15)^($C116-$C$99)*1/$B$14</f>
        <v>563096005.54011047</v>
      </c>
      <c r="W116" s="63">
        <f>('Demographic-Economic'!F$22+'Demographic-Economic'!F$23+'Demographic-Economic'!F$24)*1000*(1+'Inflation-Interest'!$C$65)*(1+'Inflation-Interest'!$C$66)*(1+'Inflation-Interest'!$C$67)* ('Prediction Results (Transposed)'!M$3*($B$8/12)*$B$5+ 'Prediction Results (Transposed)'!M$4*($B$9/12)*$B$6+ 'Prediction Results (Transposed)'!M$5*($B$10/12)*$B$7)*W21/W59*(1+$B$15)^($C116-$C$99)*1/$B$14</f>
        <v>66738767.101291887</v>
      </c>
      <c r="X116" s="63">
        <f>('Demographic-Economic'!G$22+'Demographic-Economic'!G$23+'Demographic-Economic'!G$24)*1000*(1+'Inflation-Interest'!$C$65)*(1+'Inflation-Interest'!$C$66)*(1+'Inflation-Interest'!$C$67)* ('Prediction Results (Transposed)'!N$3*($B$8/12)*$B$5+ 'Prediction Results (Transposed)'!N$4*($B$9/12)*$B$6+ 'Prediction Results (Transposed)'!N$5*($B$10/12)*$B$7)*X21/X59*(1+$B$15)^($C116-$C$99)*1/$B$14</f>
        <v>204543712.1787183</v>
      </c>
      <c r="Y116" s="63">
        <f>('Demographic-Economic'!H$22+'Demographic-Economic'!H$23+'Demographic-Economic'!H$24)*1000*(1+'Inflation-Interest'!$C$65)*(1+'Inflation-Interest'!$C$66)*(1+'Inflation-Interest'!$C$67)* ('Prediction Results (Transposed)'!O$3*($B$8/12)*$B$5+ 'Prediction Results (Transposed)'!O$4*($B$9/12)*$B$6+ 'Prediction Results (Transposed)'!O$5*($B$10/12)*$B$7)*Y21/Y59*(1+$B$15)^($C116-$C$99)*1/$B$14</f>
        <v>50973929.633068763</v>
      </c>
      <c r="AA116" s="38">
        <v>2100</v>
      </c>
      <c r="AB116" s="63">
        <f>('Demographic-Economic'!C$22+'Demographic-Economic'!C$23+'Demographic-Economic'!C$24)*1000*(1+'Inflation-Interest'!$C$65)*(1+'Inflation-Interest'!$C$66)*(1+'Inflation-Interest'!$C$67)* ('Prediction Results (Transposed)'!J$3*($B$8/12)*$B$5+ 'Prediction Results (Transposed)'!J$4*($B$9/12)*$B$6+ 'Prediction Results (Transposed)'!J$5*($B$10/12)*$B$7)*AB21/AB59*(1+$B$15)^($C116-$C$99)*1/$B$14</f>
        <v>71560392742.616272</v>
      </c>
      <c r="AC116" s="63">
        <f>('Demographic-Economic'!D$22+'Demographic-Economic'!D$23+'Demographic-Economic'!D$24)*1000*(1+'Inflation-Interest'!$C$65)*(1+'Inflation-Interest'!$C$66)*(1+'Inflation-Interest'!$C$67)* ('Prediction Results (Transposed)'!K$3*($B$8/12)*$B$5+ 'Prediction Results (Transposed)'!K$4*($B$9/12)*$B$6+ 'Prediction Results (Transposed)'!K$5*($B$10/12)*$B$7)*AC21/AC59*(1+$B$15)^($C116-$C$99)*1/$B$14</f>
        <v>91930981774.107178</v>
      </c>
      <c r="AD116" s="63">
        <f>('Demographic-Economic'!E$22+'Demographic-Economic'!E$23+'Demographic-Economic'!E$24)*1000*(1+'Inflation-Interest'!$C$65)*(1+'Inflation-Interest'!$C$66)*(1+'Inflation-Interest'!$C$67)* ('Prediction Results (Transposed)'!L$3*($B$8/12)*$B$5+ 'Prediction Results (Transposed)'!L$4*($B$9/12)*$B$6+ 'Prediction Results (Transposed)'!L$5*($B$10/12)*$B$7)*AD21/AD59*(1+$B$15)^($C116-$C$99)*1/$B$14</f>
        <v>4565563558.9629202</v>
      </c>
      <c r="AE116" s="63">
        <f>('Demographic-Economic'!F$22+'Demographic-Economic'!F$23+'Demographic-Economic'!F$24)*1000*(1+'Inflation-Interest'!$C$65)*(1+'Inflation-Interest'!$C$66)*(1+'Inflation-Interest'!$C$67)* ('Prediction Results (Transposed)'!M$3*($B$8/12)*$B$5+ 'Prediction Results (Transposed)'!M$4*($B$9/12)*$B$6+ 'Prediction Results (Transposed)'!M$5*($B$10/12)*$B$7)*AE21/AE59*(1+$B$15)^($C116-$C$99)*1/$B$14</f>
        <v>541115689.06532979</v>
      </c>
      <c r="AF116" s="63">
        <f>('Demographic-Economic'!G$22+'Demographic-Economic'!G$23+'Demographic-Economic'!G$24)*1000*(1+'Inflation-Interest'!$C$65)*(1+'Inflation-Interest'!$C$66)*(1+'Inflation-Interest'!$C$67)* ('Prediction Results (Transposed)'!N$3*($B$8/12)*$B$5+ 'Prediction Results (Transposed)'!N$4*($B$9/12)*$B$6+ 'Prediction Results (Transposed)'!N$5*($B$10/12)*$B$7)*AF21/AF59*(1+$B$15)^($C116-$C$99)*1/$B$14</f>
        <v>1658433569.6759541</v>
      </c>
      <c r="AG116" s="63">
        <f>('Demographic-Economic'!H$22+'Demographic-Economic'!H$23+'Demographic-Economic'!H$24)*1000*(1+'Inflation-Interest'!$C$65)*(1+'Inflation-Interest'!$C$66)*(1+'Inflation-Interest'!$C$67)* ('Prediction Results (Transposed)'!O$3*($B$8/12)*$B$5+ 'Prediction Results (Transposed)'!O$4*($B$9/12)*$B$6+ 'Prediction Results (Transposed)'!O$5*($B$10/12)*$B$7)*AG21/AG59*(1+$B$15)^($C116-$C$99)*1/$B$14</f>
        <v>413294914.72178704</v>
      </c>
    </row>
    <row r="117" spans="1:33">
      <c r="A117" s="383"/>
      <c r="B117" s="383"/>
      <c r="C117" s="376" t="s">
        <v>87</v>
      </c>
      <c r="D117" s="597" t="s">
        <v>270</v>
      </c>
      <c r="E117" s="597"/>
      <c r="F117" s="597"/>
      <c r="G117" s="597"/>
      <c r="H117" s="597"/>
      <c r="I117" s="598"/>
      <c r="K117" s="376" t="s">
        <v>87</v>
      </c>
      <c r="L117" s="597" t="s">
        <v>270</v>
      </c>
      <c r="M117" s="597"/>
      <c r="N117" s="597"/>
      <c r="O117" s="597"/>
      <c r="P117" s="597"/>
      <c r="Q117" s="598"/>
      <c r="S117" s="376" t="s">
        <v>87</v>
      </c>
      <c r="T117" s="601" t="s">
        <v>270</v>
      </c>
      <c r="U117" s="601"/>
      <c r="V117" s="601"/>
      <c r="W117" s="601"/>
      <c r="X117" s="601"/>
      <c r="Y117" s="601"/>
      <c r="AA117" s="376" t="s">
        <v>87</v>
      </c>
      <c r="AB117" s="601" t="s">
        <v>270</v>
      </c>
      <c r="AC117" s="601"/>
      <c r="AD117" s="601"/>
      <c r="AE117" s="601"/>
      <c r="AF117" s="601"/>
      <c r="AG117" s="601"/>
    </row>
    <row r="118" spans="1:33">
      <c r="A118" s="589"/>
      <c r="B118" s="590"/>
      <c r="C118" s="38">
        <v>2020</v>
      </c>
      <c r="D118" s="63">
        <f>($B$11*'Prediction Results (Transposed)'!J$3+$B$12*'Prediction Results (Transposed)'!J$4 + $B$13*'Prediction Results (Transposed)'!J$5)*D4</f>
        <v>18205944.8125</v>
      </c>
      <c r="E118" s="63">
        <f>($B$11*'Prediction Results (Transposed)'!K$3+$B$12*'Prediction Results (Transposed)'!K$4 + $B$13*'Prediction Results (Transposed)'!K$5)*E4</f>
        <v>26035304.582499996</v>
      </c>
      <c r="F118" s="63">
        <f>($B$11*'Prediction Results (Transposed)'!L$3+$B$12*'Prediction Results (Transposed)'!L$4 + $B$13*'Prediction Results (Transposed)'!L$5)*F4</f>
        <v>1196809.9924999999</v>
      </c>
      <c r="G118" s="63">
        <f>($B$11*'Prediction Results (Transposed)'!M$3+$B$12*'Prediction Results (Transposed)'!M$4 + $B$13*'Prediction Results (Transposed)'!M$5)*G4</f>
        <v>276962.38</v>
      </c>
      <c r="H118" s="63">
        <f>($B$11*'Prediction Results (Transposed)'!N$3+$B$12*'Prediction Results (Transposed)'!N$4 + $B$13*'Prediction Results (Transposed)'!N$5)*H4</f>
        <v>343966.495</v>
      </c>
      <c r="I118" s="63">
        <f>($B$11*'Prediction Results (Transposed)'!O$3+$B$12*'Prediction Results (Transposed)'!O$4 + $B$13*'Prediction Results (Transposed)'!O$5)*I4</f>
        <v>568369.1399999999</v>
      </c>
      <c r="K118" s="38">
        <v>2020</v>
      </c>
      <c r="L118" s="63">
        <f>($B$11*'Prediction Results (Transposed)'!J$3+$B$12*'Prediction Results (Transposed)'!J$4 + $B$13*'Prediction Results (Transposed)'!J$5)*L4</f>
        <v>18205944.8125</v>
      </c>
      <c r="M118" s="63">
        <f>($B$11*'Prediction Results (Transposed)'!K$3+$B$12*'Prediction Results (Transposed)'!K$4 + $B$13*'Prediction Results (Transposed)'!K$5)*M4</f>
        <v>26035304.582499996</v>
      </c>
      <c r="N118" s="63">
        <f>($B$11*'Prediction Results (Transposed)'!L$3+$B$12*'Prediction Results (Transposed)'!L$4 + $B$13*'Prediction Results (Transposed)'!L$5)*N4</f>
        <v>1196809.9924999999</v>
      </c>
      <c r="O118" s="63">
        <f>($B$11*'Prediction Results (Transposed)'!M$3+$B$12*'Prediction Results (Transposed)'!M$4 + $B$13*'Prediction Results (Transposed)'!M$5)*O4</f>
        <v>276962.38</v>
      </c>
      <c r="P118" s="63">
        <f>($B$11*'Prediction Results (Transposed)'!N$3+$B$12*'Prediction Results (Transposed)'!N$4 + $B$13*'Prediction Results (Transposed)'!N$5)*P4</f>
        <v>343966.495</v>
      </c>
      <c r="Q118" s="63">
        <f>($B$11*'Prediction Results (Transposed)'!O$3+$B$12*'Prediction Results (Transposed)'!O$4 + $B$13*'Prediction Results (Transposed)'!O$5)*Q4</f>
        <v>568369.1399999999</v>
      </c>
      <c r="S118" s="38">
        <v>2020</v>
      </c>
      <c r="T118" s="63">
        <f>($B$11*'Prediction Results (Transposed)'!J$3+$B$12*'Prediction Results (Transposed)'!J$4 + $B$13*'Prediction Results (Transposed)'!J$5)*T4</f>
        <v>18205944.8125</v>
      </c>
      <c r="U118" s="63">
        <f>($B$11*'Prediction Results (Transposed)'!K$3+$B$12*'Prediction Results (Transposed)'!K$4 + $B$13*'Prediction Results (Transposed)'!K$5)*U4</f>
        <v>26035304.582499996</v>
      </c>
      <c r="V118" s="63">
        <f>($B$11*'Prediction Results (Transposed)'!L$3+$B$12*'Prediction Results (Transposed)'!L$4 + $B$13*'Prediction Results (Transposed)'!L$5)*V4</f>
        <v>1196809.9924999999</v>
      </c>
      <c r="W118" s="63">
        <f>($B$11*'Prediction Results (Transposed)'!M$3+$B$12*'Prediction Results (Transposed)'!M$4 + $B$13*'Prediction Results (Transposed)'!M$5)*W4</f>
        <v>276962.38</v>
      </c>
      <c r="X118" s="63">
        <f>($B$11*'Prediction Results (Transposed)'!N$3+$B$12*'Prediction Results (Transposed)'!N$4 + $B$13*'Prediction Results (Transposed)'!N$5)*X4</f>
        <v>343966.495</v>
      </c>
      <c r="Y118" s="63">
        <f>($B$11*'Prediction Results (Transposed)'!O$3+$B$12*'Prediction Results (Transposed)'!O$4 + $B$13*'Prediction Results (Transposed)'!O$5)*Y4</f>
        <v>568369.1399999999</v>
      </c>
      <c r="AA118" s="38">
        <v>2020</v>
      </c>
      <c r="AB118" s="63">
        <f>($B$11*'Prediction Results (Transposed)'!J$3+$B$12*'Prediction Results (Transposed)'!J$4 + $B$13*'Prediction Results (Transposed)'!J$5)*AB4</f>
        <v>18205944.8125</v>
      </c>
      <c r="AC118" s="63">
        <f>($B$11*'Prediction Results (Transposed)'!K$3+$B$12*'Prediction Results (Transposed)'!K$4 + $B$13*'Prediction Results (Transposed)'!K$5)*AC4</f>
        <v>26035304.582499996</v>
      </c>
      <c r="AD118" s="63">
        <f>($B$11*'Prediction Results (Transposed)'!L$3+$B$12*'Prediction Results (Transposed)'!L$4 + $B$13*'Prediction Results (Transposed)'!L$5)*AD4</f>
        <v>1196809.9924999999</v>
      </c>
      <c r="AE118" s="63">
        <f>($B$11*'Prediction Results (Transposed)'!M$3+$B$12*'Prediction Results (Transposed)'!M$4 + $B$13*'Prediction Results (Transposed)'!M$5)*AE4</f>
        <v>276962.38</v>
      </c>
      <c r="AF118" s="63">
        <f>($B$11*'Prediction Results (Transposed)'!N$3+$B$12*'Prediction Results (Transposed)'!N$4 + $B$13*'Prediction Results (Transposed)'!N$5)*AF4</f>
        <v>343966.495</v>
      </c>
      <c r="AG118" s="63">
        <f>($B$11*'Prediction Results (Transposed)'!O$3+$B$12*'Prediction Results (Transposed)'!O$4 + $B$13*'Prediction Results (Transposed)'!O$5)*AG4</f>
        <v>568369.1399999999</v>
      </c>
    </row>
    <row r="119" spans="1:33">
      <c r="A119" s="589"/>
      <c r="B119" s="590"/>
      <c r="C119" s="38">
        <v>2021</v>
      </c>
      <c r="D119" s="63">
        <f>($B$11*'Prediction Results (Transposed)'!J$3+$B$12*'Prediction Results (Transposed)'!J$4 + $B$13*'Prediction Results (Transposed)'!J$5)*D5</f>
        <v>19293485.292004734</v>
      </c>
      <c r="E119" s="63">
        <f>($B$11*'Prediction Results (Transposed)'!K$3+$B$12*'Prediction Results (Transposed)'!K$4 + $B$13*'Prediction Results (Transposed)'!K$5)*E5</f>
        <v>27590535.465670832</v>
      </c>
      <c r="F119" s="63">
        <f>($B$11*'Prediction Results (Transposed)'!L$3+$B$12*'Prediction Results (Transposed)'!L$4 + $B$13*'Prediction Results (Transposed)'!L$5)*F5</f>
        <v>1268301.9873689427</v>
      </c>
      <c r="G119" s="63">
        <f>($B$11*'Prediction Results (Transposed)'!M$3+$B$12*'Prediction Results (Transposed)'!M$4 + $B$13*'Prediction Results (Transposed)'!M$5)*G5</f>
        <v>293506.85504109581</v>
      </c>
      <c r="H119" s="63">
        <f>($B$11*'Prediction Results (Transposed)'!N$3+$B$12*'Prediction Results (Transposed)'!N$4 + $B$13*'Prediction Results (Transposed)'!N$5)*H5</f>
        <v>364513.4916408459</v>
      </c>
      <c r="I119" s="63">
        <f>($B$11*'Prediction Results (Transposed)'!O$3+$B$12*'Prediction Results (Transposed)'!O$4 + $B$13*'Prediction Results (Transposed)'!O$5)*I5</f>
        <v>602320.93175907945</v>
      </c>
      <c r="K119" s="38">
        <v>2021</v>
      </c>
      <c r="L119" s="63">
        <f>($B$11*'Prediction Results (Transposed)'!J$3+$B$12*'Prediction Results (Transposed)'!J$4 + $B$13*'Prediction Results (Transposed)'!J$5)*L5</f>
        <v>19346210.669087365</v>
      </c>
      <c r="M119" s="63">
        <f>($B$11*'Prediction Results (Transposed)'!K$3+$B$12*'Prediction Results (Transposed)'!K$4 + $B$13*'Prediction Results (Transposed)'!K$5)*M5</f>
        <v>27665935.081879206</v>
      </c>
      <c r="N119" s="63">
        <f>($B$11*'Prediction Results (Transposed)'!L$3+$B$12*'Prediction Results (Transposed)'!L$4 + $B$13*'Prediction Results (Transposed)'!L$5)*N5</f>
        <v>1271768.0122745822</v>
      </c>
      <c r="O119" s="63">
        <f>($B$11*'Prediction Results (Transposed)'!M$3+$B$12*'Prediction Results (Transposed)'!M$4 + $B$13*'Prediction Results (Transposed)'!M$5)*O5</f>
        <v>294308.95271158725</v>
      </c>
      <c r="P119" s="63">
        <f>($B$11*'Prediction Results (Transposed)'!N$3+$B$12*'Prediction Results (Transposed)'!N$4 + $B$13*'Prediction Results (Transposed)'!N$5)*P5</f>
        <v>365509.63676483929</v>
      </c>
      <c r="Q119" s="63">
        <f>($B$11*'Prediction Results (Transposed)'!O$3+$B$12*'Prediction Results (Transposed)'!O$4 + $B$13*'Prediction Results (Transposed)'!O$5)*Q5</f>
        <v>603966.95878691343</v>
      </c>
      <c r="S119" s="38">
        <v>2021</v>
      </c>
      <c r="T119" s="63">
        <f>($B$11*'Prediction Results (Transposed)'!J$3+$B$12*'Prediction Results (Transposed)'!J$4 + $B$13*'Prediction Results (Transposed)'!J$5)*T5</f>
        <v>19466064.585564297</v>
      </c>
      <c r="U119" s="63">
        <f>($B$11*'Prediction Results (Transposed)'!K$3+$B$12*'Prediction Results (Transposed)'!K$4 + $B$13*'Prediction Results (Transposed)'!K$5)*U5</f>
        <v>27837331.472070396</v>
      </c>
      <c r="V119" s="63">
        <f>($B$11*'Prediction Results (Transposed)'!L$3+$B$12*'Prediction Results (Transposed)'!L$4 + $B$13*'Prediction Results (Transposed)'!L$5)*V5</f>
        <v>1279646.8873539665</v>
      </c>
      <c r="W119" s="63">
        <f>($B$11*'Prediction Results (Transposed)'!M$3+$B$12*'Prediction Results (Transposed)'!M$4 + $B$13*'Prediction Results (Transposed)'!M$5)*W5</f>
        <v>296132.25967541925</v>
      </c>
      <c r="X119" s="63">
        <f>($B$11*'Prediction Results (Transposed)'!N$3+$B$12*'Prediction Results (Transposed)'!N$4 + $B$13*'Prediction Results (Transposed)'!N$5)*X5</f>
        <v>367774.04720808571</v>
      </c>
      <c r="Y119" s="63">
        <f>($B$11*'Prediction Results (Transposed)'!O$3+$B$12*'Prediction Results (Transposed)'!O$4 + $B$13*'Prediction Results (Transposed)'!O$5)*Y5</f>
        <v>607708.66338588903</v>
      </c>
      <c r="AA119" s="38">
        <v>2021</v>
      </c>
      <c r="AB119" s="63">
        <f>($B$11*'Prediction Results (Transposed)'!J$3+$B$12*'Prediction Results (Transposed)'!J$4 + $B$13*'Prediction Results (Transposed)'!J$5)*AB5</f>
        <v>19540921.076655574</v>
      </c>
      <c r="AC119" s="63">
        <f>($B$11*'Prediction Results (Transposed)'!K$3+$B$12*'Prediction Results (Transposed)'!K$4 + $B$13*'Prediction Results (Transposed)'!K$5)*AC5</f>
        <v>27944379.558045067</v>
      </c>
      <c r="AD119" s="63">
        <f>($B$11*'Prediction Results (Transposed)'!L$3+$B$12*'Prediction Results (Transposed)'!L$4 + $B$13*'Prediction Results (Transposed)'!L$5)*AD5</f>
        <v>1284567.7523496693</v>
      </c>
      <c r="AE119" s="63">
        <f>($B$11*'Prediction Results (Transposed)'!M$3+$B$12*'Prediction Results (Transposed)'!M$4 + $B$13*'Prediction Results (Transposed)'!M$5)*AE5</f>
        <v>297271.03232054203</v>
      </c>
      <c r="AF119" s="63">
        <f>($B$11*'Prediction Results (Transposed)'!N$3+$B$12*'Prediction Results (Transposed)'!N$4 + $B$13*'Prediction Results (Transposed)'!N$5)*AF5</f>
        <v>369188.31738927332</v>
      </c>
      <c r="AG119" s="63">
        <f>($B$11*'Prediction Results (Transposed)'!O$3+$B$12*'Prediction Results (Transposed)'!O$4 + $B$13*'Prediction Results (Transposed)'!O$5)*AG5</f>
        <v>610045.59892552416</v>
      </c>
    </row>
    <row r="120" spans="1:33">
      <c r="A120" s="589"/>
      <c r="B120" s="590"/>
      <c r="C120" s="38">
        <v>2022</v>
      </c>
      <c r="D120" s="63">
        <f>($B$11*'Prediction Results (Transposed)'!J$3+$B$12*'Prediction Results (Transposed)'!J$4 + $B$13*'Prediction Results (Transposed)'!J$5)*D6</f>
        <v>20443459.952594552</v>
      </c>
      <c r="E120" s="63">
        <f>($B$11*'Prediction Results (Transposed)'!K$3+$B$12*'Prediction Results (Transposed)'!K$4 + $B$13*'Prediction Results (Transposed)'!K$5)*E6</f>
        <v>29235049.983261622</v>
      </c>
      <c r="F120" s="63">
        <f>($B$11*'Prediction Results (Transposed)'!L$3+$B$12*'Prediction Results (Transposed)'!L$4 + $B$13*'Prediction Results (Transposed)'!L$5)*F6</f>
        <v>1343898.2378843643</v>
      </c>
      <c r="G120" s="63">
        <f>($B$11*'Prediction Results (Transposed)'!M$3+$B$12*'Prediction Results (Transposed)'!M$4 + $B$13*'Prediction Results (Transposed)'!M$5)*G6</f>
        <v>311001.12530373927</v>
      </c>
      <c r="H120" s="63">
        <f>($B$11*'Prediction Results (Transposed)'!N$3+$B$12*'Prediction Results (Transposed)'!N$4 + $B$13*'Prediction Results (Transposed)'!N$5)*H6</f>
        <v>386240.06268209789</v>
      </c>
      <c r="I120" s="63">
        <f>($B$11*'Prediction Results (Transposed)'!O$3+$B$12*'Prediction Results (Transposed)'!O$4 + $B$13*'Prediction Results (Transposed)'!O$5)*I6</f>
        <v>638221.84849768586</v>
      </c>
      <c r="K120" s="38">
        <v>2022</v>
      </c>
      <c r="L120" s="63">
        <f>($B$11*'Prediction Results (Transposed)'!J$3+$B$12*'Prediction Results (Transposed)'!J$4 + $B$13*'Prediction Results (Transposed)'!J$5)*L6</f>
        <v>20555304.622812945</v>
      </c>
      <c r="M120" s="63">
        <f>($B$11*'Prediction Results (Transposed)'!K$3+$B$12*'Prediction Results (Transposed)'!K$4 + $B$13*'Prediction Results (Transposed)'!K$5)*M6</f>
        <v>29394992.797823258</v>
      </c>
      <c r="N120" s="63">
        <f>($B$11*'Prediction Results (Transposed)'!L$3+$B$12*'Prediction Results (Transposed)'!L$4 + $B$13*'Prediction Results (Transposed)'!L$5)*N6</f>
        <v>1351250.6065916086</v>
      </c>
      <c r="O120" s="63">
        <f>($B$11*'Prediction Results (Transposed)'!M$3+$B$12*'Prediction Results (Transposed)'!M$4 + $B$13*'Prediction Results (Transposed)'!M$5)*O6</f>
        <v>312702.58965360007</v>
      </c>
      <c r="P120" s="63">
        <f>($B$11*'Prediction Results (Transposed)'!N$3+$B$12*'Prediction Results (Transposed)'!N$4 + $B$13*'Prediction Results (Transposed)'!N$5)*P6</f>
        <v>388353.15374085127</v>
      </c>
      <c r="Q120" s="63">
        <f>($B$11*'Prediction Results (Transposed)'!O$3+$B$12*'Prediction Results (Transposed)'!O$4 + $B$13*'Prediction Results (Transposed)'!O$5)*Q6</f>
        <v>641713.51342803135</v>
      </c>
      <c r="S120" s="38">
        <v>2022</v>
      </c>
      <c r="T120" s="63">
        <f>($B$11*'Prediction Results (Transposed)'!J$3+$B$12*'Prediction Results (Transposed)'!J$4 + $B$13*'Prediction Results (Transposed)'!J$5)*T6</f>
        <v>20808979.449671544</v>
      </c>
      <c r="U120" s="63">
        <f>($B$11*'Prediction Results (Transposed)'!K$3+$B$12*'Prediction Results (Transposed)'!K$4 + $B$13*'Prediction Results (Transposed)'!K$5)*U6</f>
        <v>29757758.995908286</v>
      </c>
      <c r="V120" s="63">
        <f>($B$11*'Prediction Results (Transposed)'!L$3+$B$12*'Prediction Results (Transposed)'!L$4 + $B$13*'Prediction Results (Transposed)'!L$5)*V6</f>
        <v>1367926.5094770018</v>
      </c>
      <c r="W120" s="63">
        <f>($B$11*'Prediction Results (Transposed)'!M$3+$B$12*'Prediction Results (Transposed)'!M$4 + $B$13*'Prediction Results (Transposed)'!M$5)*W6</f>
        <v>316561.67988574266</v>
      </c>
      <c r="X120" s="63">
        <f>($B$11*'Prediction Results (Transposed)'!N$3+$B$12*'Prediction Results (Transposed)'!N$4 + $B$13*'Prediction Results (Transposed)'!N$5)*X6</f>
        <v>393145.85425504681</v>
      </c>
      <c r="Y120" s="63">
        <f>($B$11*'Prediction Results (Transposed)'!O$3+$B$12*'Prediction Results (Transposed)'!O$4 + $B$13*'Prediction Results (Transposed)'!O$5)*Y6</f>
        <v>649632.95648172428</v>
      </c>
      <c r="AA120" s="38">
        <v>2022</v>
      </c>
      <c r="AB120" s="63">
        <f>($B$11*'Prediction Results (Transposed)'!J$3+$B$12*'Prediction Results (Transposed)'!J$4 + $B$13*'Prediction Results (Transposed)'!J$5)*AB6</f>
        <v>20967606.726002969</v>
      </c>
      <c r="AC120" s="63">
        <f>($B$11*'Prediction Results (Transposed)'!K$3+$B$12*'Prediction Results (Transposed)'!K$4 + $B$13*'Prediction Results (Transposed)'!K$5)*AC6</f>
        <v>29984603.001913708</v>
      </c>
      <c r="AD120" s="63">
        <f>($B$11*'Prediction Results (Transposed)'!L$3+$B$12*'Prediction Results (Transposed)'!L$4 + $B$13*'Prediction Results (Transposed)'!L$5)*AD6</f>
        <v>1378354.2412619605</v>
      </c>
      <c r="AE120" s="63">
        <f>($B$11*'Prediction Results (Transposed)'!M$3+$B$12*'Prediction Results (Transposed)'!M$4 + $B$13*'Prediction Results (Transposed)'!M$5)*AE6</f>
        <v>318974.83605193644</v>
      </c>
      <c r="AF120" s="63">
        <f>($B$11*'Prediction Results (Transposed)'!N$3+$B$12*'Prediction Results (Transposed)'!N$4 + $B$13*'Prediction Results (Transposed)'!N$5)*AF6</f>
        <v>396142.8131502344</v>
      </c>
      <c r="AG120" s="63">
        <f>($B$11*'Prediction Results (Transposed)'!O$3+$B$12*'Prediction Results (Transposed)'!O$4 + $B$13*'Prediction Results (Transposed)'!O$5)*AG6</f>
        <v>654585.12180780689</v>
      </c>
    </row>
    <row r="121" spans="1:33">
      <c r="A121" s="589"/>
      <c r="B121" s="590"/>
      <c r="C121" s="38">
        <v>2023</v>
      </c>
      <c r="D121" s="63">
        <f>($B$11*'Prediction Results (Transposed)'!J$3+$B$12*'Prediction Results (Transposed)'!J$4 + $B$13*'Prediction Results (Transposed)'!J$5)*D7</f>
        <v>21659750.355573613</v>
      </c>
      <c r="E121" s="63">
        <f>($B$11*'Prediction Results (Transposed)'!K$3+$B$12*'Prediction Results (Transposed)'!K$4 + $B$13*'Prediction Results (Transposed)'!K$5)*E7</f>
        <v>30974398.939246021</v>
      </c>
      <c r="F121" s="63">
        <f>($B$11*'Prediction Results (Transposed)'!L$3+$B$12*'Prediction Results (Transposed)'!L$4 + $B$13*'Prediction Results (Transposed)'!L$5)*F7</f>
        <v>1423853.9074779437</v>
      </c>
      <c r="G121" s="63">
        <f>($B$11*'Prediction Results (Transposed)'!M$3+$B$12*'Prediction Results (Transposed)'!M$4 + $B$13*'Prediction Results (Transposed)'!M$5)*G7</f>
        <v>329504.2399868592</v>
      </c>
      <c r="H121" s="63">
        <f>($B$11*'Prediction Results (Transposed)'!N$3+$B$12*'Prediction Results (Transposed)'!N$4 + $B$13*'Prediction Results (Transposed)'!N$5)*H7</f>
        <v>409219.54279826308</v>
      </c>
      <c r="I121" s="63">
        <f>($B$11*'Prediction Results (Transposed)'!O$3+$B$12*'Prediction Results (Transposed)'!O$4 + $B$13*'Prediction Results (Transposed)'!O$5)*I7</f>
        <v>676193.06819823245</v>
      </c>
      <c r="K121" s="38">
        <v>2023</v>
      </c>
      <c r="L121" s="63">
        <f>($B$11*'Prediction Results (Transposed)'!J$3+$B$12*'Prediction Results (Transposed)'!J$4 + $B$13*'Prediction Results (Transposed)'!J$5)*L7</f>
        <v>21836817.118690398</v>
      </c>
      <c r="M121" s="63">
        <f>($B$11*'Prediction Results (Transposed)'!K$3+$B$12*'Prediction Results (Transposed)'!K$4 + $B$13*'Prediction Results (Transposed)'!K$5)*M7</f>
        <v>31227612.22516226</v>
      </c>
      <c r="N121" s="63">
        <f>($B$11*'Prediction Results (Transposed)'!L$3+$B$12*'Prediction Results (Transposed)'!L$4 + $B$13*'Prediction Results (Transposed)'!L$5)*N7</f>
        <v>1435493.8016784522</v>
      </c>
      <c r="O121" s="63">
        <f>($B$11*'Prediction Results (Transposed)'!M$3+$B$12*'Prediction Results (Transposed)'!M$4 + $B$13*'Prediction Results (Transposed)'!M$5)*O7</f>
        <v>332197.9113473288</v>
      </c>
      <c r="P121" s="63">
        <f>($B$11*'Prediction Results (Transposed)'!N$3+$B$12*'Prediction Results (Transposed)'!N$4 + $B$13*'Prediction Results (Transposed)'!N$5)*P7</f>
        <v>412564.88051720744</v>
      </c>
      <c r="Q121" s="63">
        <f>($B$11*'Prediction Results (Transposed)'!O$3+$B$12*'Prediction Results (Transposed)'!O$4 + $B$13*'Prediction Results (Transposed)'!O$5)*Q7</f>
        <v>681720.89358228876</v>
      </c>
      <c r="S121" s="38">
        <v>2023</v>
      </c>
      <c r="T121" s="63">
        <f>($B$11*'Prediction Results (Transposed)'!J$3+$B$12*'Prediction Results (Transposed)'!J$4 + $B$13*'Prediction Results (Transposed)'!J$5)*T7</f>
        <v>22239447.680940971</v>
      </c>
      <c r="U121" s="63">
        <f>($B$11*'Prediction Results (Transposed)'!K$3+$B$12*'Prediction Results (Transposed)'!K$4 + $B$13*'Prediction Results (Transposed)'!K$5)*U7</f>
        <v>31803391.698865794</v>
      </c>
      <c r="V121" s="63">
        <f>($B$11*'Prediction Results (Transposed)'!L$3+$B$12*'Prediction Results (Transposed)'!L$4 + $B$13*'Prediction Results (Transposed)'!L$5)*V7</f>
        <v>1461961.6551818054</v>
      </c>
      <c r="W121" s="63">
        <f>($B$11*'Prediction Results (Transposed)'!M$3+$B$12*'Prediction Results (Transposed)'!M$4 + $B$13*'Prediction Results (Transposed)'!M$5)*W7</f>
        <v>338323.02706805168</v>
      </c>
      <c r="X121" s="63">
        <f>($B$11*'Prediction Results (Transposed)'!N$3+$B$12*'Prediction Results (Transposed)'!N$4 + $B$13*'Prediction Results (Transposed)'!N$5)*X7</f>
        <v>420171.81466446031</v>
      </c>
      <c r="Y121" s="63">
        <f>($B$11*'Prediction Results (Transposed)'!O$3+$B$12*'Prediction Results (Transposed)'!O$4 + $B$13*'Prediction Results (Transposed)'!O$5)*Y7</f>
        <v>694290.56732132775</v>
      </c>
      <c r="AA121" s="38">
        <v>2023</v>
      </c>
      <c r="AB121" s="63">
        <f>($B$11*'Prediction Results (Transposed)'!J$3+$B$12*'Prediction Results (Transposed)'!J$4 + $B$13*'Prediction Results (Transposed)'!J$5)*AB7</f>
        <v>22492371.421872359</v>
      </c>
      <c r="AC121" s="63">
        <f>($B$11*'Prediction Results (Transposed)'!K$3+$B$12*'Prediction Results (Transposed)'!K$4 + $B$13*'Prediction Results (Transposed)'!K$5)*AC7</f>
        <v>32165083.810926516</v>
      </c>
      <c r="AD121" s="63">
        <f>($B$11*'Prediction Results (Transposed)'!L$3+$B$12*'Prediction Results (Transposed)'!L$4 + $B$13*'Prediction Results (Transposed)'!L$5)*AD7</f>
        <v>1478588.1836923901</v>
      </c>
      <c r="AE121" s="63">
        <f>($B$11*'Prediction Results (Transposed)'!M$3+$B$12*'Prediction Results (Transposed)'!M$4 + $B$13*'Prediction Results (Transposed)'!M$5)*AE7</f>
        <v>342170.69122216717</v>
      </c>
      <c r="AF121" s="63">
        <f>($B$11*'Prediction Results (Transposed)'!N$3+$B$12*'Prediction Results (Transposed)'!N$4 + $B$13*'Prediction Results (Transposed)'!N$5)*AF7</f>
        <v>424950.32484706433</v>
      </c>
      <c r="AG121" s="63">
        <f>($B$11*'Prediction Results (Transposed)'!O$3+$B$12*'Prediction Results (Transposed)'!O$4 + $B$13*'Prediction Results (Transposed)'!O$5)*AG7</f>
        <v>702186.5623163284</v>
      </c>
    </row>
    <row r="122" spans="1:33">
      <c r="A122" s="589"/>
      <c r="B122" s="590"/>
      <c r="C122" s="38">
        <v>2024</v>
      </c>
      <c r="D122" s="63">
        <f>($B$11*'Prediction Results (Transposed)'!J$3+$B$12*'Prediction Results (Transposed)'!J$4 + $B$13*'Prediction Results (Transposed)'!J$5)*D8</f>
        <v>22946065.48755097</v>
      </c>
      <c r="E122" s="63">
        <f>($B$11*'Prediction Results (Transposed)'!K$3+$B$12*'Prediction Results (Transposed)'!K$4 + $B$13*'Prediction Results (Transposed)'!K$5)*E8</f>
        <v>32813886.348167285</v>
      </c>
      <c r="F122" s="63">
        <f>($B$11*'Prediction Results (Transposed)'!L$3+$B$12*'Prediction Results (Transposed)'!L$4 + $B$13*'Prediction Results (Transposed)'!L$5)*F8</f>
        <v>1508412.814983665</v>
      </c>
      <c r="G122" s="63">
        <f>($B$11*'Prediction Results (Transposed)'!M$3+$B$12*'Prediction Results (Transposed)'!M$4 + $B$13*'Prediction Results (Transposed)'!M$5)*G8</f>
        <v>349072.6229547048</v>
      </c>
      <c r="H122" s="63">
        <f>($B$11*'Prediction Results (Transposed)'!N$3+$B$12*'Prediction Results (Transposed)'!N$4 + $B$13*'Prediction Results (Transposed)'!N$5)*H8</f>
        <v>433522.00619516039</v>
      </c>
      <c r="I122" s="63">
        <f>($B$11*'Prediction Results (Transposed)'!O$3+$B$12*'Prediction Results (Transposed)'!O$4 + $B$13*'Prediction Results (Transposed)'!O$5)*I8</f>
        <v>716350.38125506358</v>
      </c>
      <c r="K122" s="38">
        <v>2024</v>
      </c>
      <c r="L122" s="63">
        <f>($B$11*'Prediction Results (Transposed)'!J$3+$B$12*'Prediction Results (Transposed)'!J$4 + $B$13*'Prediction Results (Transposed)'!J$5)*L8</f>
        <v>23194481.048858542</v>
      </c>
      <c r="M122" s="63">
        <f>($B$11*'Prediction Results (Transposed)'!K$3+$B$12*'Prediction Results (Transposed)'!K$4 + $B$13*'Prediction Results (Transposed)'!K$5)*M8</f>
        <v>33169131.564402085</v>
      </c>
      <c r="N122" s="63">
        <f>($B$11*'Prediction Results (Transposed)'!L$3+$B$12*'Prediction Results (Transposed)'!L$4 + $B$13*'Prediction Results (Transposed)'!L$5)*N8</f>
        <v>1524742.9878545217</v>
      </c>
      <c r="O122" s="63">
        <f>($B$11*'Prediction Results (Transposed)'!M$3+$B$12*'Prediction Results (Transposed)'!M$4 + $B$13*'Prediction Results (Transposed)'!M$5)*O8</f>
        <v>352851.70532573038</v>
      </c>
      <c r="P122" s="63">
        <f>($B$11*'Prediction Results (Transposed)'!N$3+$B$12*'Prediction Results (Transposed)'!N$4 + $B$13*'Prediction Results (Transposed)'!N$5)*P8</f>
        <v>438215.34294897481</v>
      </c>
      <c r="Q122" s="63">
        <f>($B$11*'Prediction Results (Transposed)'!O$3+$B$12*'Prediction Results (Transposed)'!O$4 + $B$13*'Prediction Results (Transposed)'!O$5)*Q8</f>
        <v>724105.63594780909</v>
      </c>
      <c r="S122" s="38">
        <v>2024</v>
      </c>
      <c r="T122" s="63">
        <f>($B$11*'Prediction Results (Transposed)'!J$3+$B$12*'Prediction Results (Transposed)'!J$4 + $B$13*'Prediction Results (Transposed)'!J$5)*T8</f>
        <v>23762895.965186648</v>
      </c>
      <c r="U122" s="63">
        <f>($B$11*'Prediction Results (Transposed)'!K$3+$B$12*'Prediction Results (Transposed)'!K$4 + $B$13*'Prediction Results (Transposed)'!K$5)*U8</f>
        <v>33981989.981158227</v>
      </c>
      <c r="V122" s="63">
        <f>($B$11*'Prediction Results (Transposed)'!L$3+$B$12*'Prediction Results (Transposed)'!L$4 + $B$13*'Prediction Results (Transposed)'!L$5)*V8</f>
        <v>1562109.0602420671</v>
      </c>
      <c r="W122" s="63">
        <f>($B$11*'Prediction Results (Transposed)'!M$3+$B$12*'Prediction Results (Transposed)'!M$4 + $B$13*'Prediction Results (Transposed)'!M$5)*W8</f>
        <v>361498.85600508662</v>
      </c>
      <c r="X122" s="63">
        <f>($B$11*'Prediction Results (Transposed)'!N$3+$B$12*'Prediction Results (Transposed)'!N$4 + $B$13*'Prediction Results (Transposed)'!N$5)*X8</f>
        <v>448954.45528226375</v>
      </c>
      <c r="Y122" s="63">
        <f>($B$11*'Prediction Results (Transposed)'!O$3+$B$12*'Prediction Results (Transposed)'!O$4 + $B$13*'Prediction Results (Transposed)'!O$5)*Y8</f>
        <v>741850.91093813861</v>
      </c>
      <c r="AA122" s="38">
        <v>2024</v>
      </c>
      <c r="AB122" s="63">
        <f>($B$11*'Prediction Results (Transposed)'!J$3+$B$12*'Prediction Results (Transposed)'!J$4 + $B$13*'Prediction Results (Transposed)'!J$5)*AB8</f>
        <v>24121141.902977087</v>
      </c>
      <c r="AC122" s="63">
        <f>($B$11*'Prediction Results (Transposed)'!K$3+$B$12*'Prediction Results (Transposed)'!K$4 + $B$13*'Prediction Results (Transposed)'!K$5)*AC8</f>
        <v>34494297.483014077</v>
      </c>
      <c r="AD122" s="63">
        <f>($B$11*'Prediction Results (Transposed)'!L$3+$B$12*'Prediction Results (Transposed)'!L$4 + $B$13*'Prediction Results (Transposed)'!L$5)*AD8</f>
        <v>1585659.1875513485</v>
      </c>
      <c r="AE122" s="63">
        <f>($B$11*'Prediction Results (Transposed)'!M$3+$B$12*'Prediction Results (Transposed)'!M$4 + $B$13*'Prediction Results (Transposed)'!M$5)*AE8</f>
        <v>366948.75979078014</v>
      </c>
      <c r="AF122" s="63">
        <f>($B$11*'Prediction Results (Transposed)'!N$3+$B$12*'Prediction Results (Transposed)'!N$4 + $B$13*'Prediction Results (Transposed)'!N$5)*AF8</f>
        <v>455722.82686851395</v>
      </c>
      <c r="AG122" s="63">
        <f>($B$11*'Prediction Results (Transposed)'!O$3+$B$12*'Prediction Results (Transposed)'!O$4 + $B$13*'Prediction Results (Transposed)'!O$5)*AG8</f>
        <v>753034.94657416013</v>
      </c>
    </row>
    <row r="123" spans="1:33">
      <c r="A123" s="589"/>
      <c r="B123" s="590"/>
      <c r="C123" s="38">
        <v>2025</v>
      </c>
      <c r="D123" s="63">
        <f>($B$11*'Prediction Results (Transposed)'!J$3+$B$12*'Prediction Results (Transposed)'!J$4 + $B$13*'Prediction Results (Transposed)'!J$5)*D9</f>
        <v>24305854.725605238</v>
      </c>
      <c r="E123" s="63">
        <f>($B$11*'Prediction Results (Transposed)'!K$3+$B$12*'Prediction Results (Transposed)'!K$4 + $B$13*'Prediction Results (Transposed)'!K$5)*E9</f>
        <v>34758444.971482538</v>
      </c>
      <c r="F123" s="63">
        <f>($B$11*'Prediction Results (Transposed)'!L$3+$B$12*'Prediction Results (Transposed)'!L$4 + $B$13*'Prediction Results (Transposed)'!L$5)*F9</f>
        <v>1597801.7132011282</v>
      </c>
      <c r="G123" s="63">
        <f>($B$11*'Prediction Results (Transposed)'!M$3+$B$12*'Prediction Results (Transposed)'!M$4 + $B$13*'Prediction Results (Transposed)'!M$5)*G9</f>
        <v>369758.74869816646</v>
      </c>
      <c r="H123" s="63">
        <f>($B$11*'Prediction Results (Transposed)'!N$3+$B$12*'Prediction Results (Transposed)'!N$4 + $B$13*'Prediction Results (Transposed)'!N$5)*H9</f>
        <v>459212.62225322489</v>
      </c>
      <c r="I123" s="63">
        <f>($B$11*'Prediction Results (Transposed)'!O$3+$B$12*'Prediction Results (Transposed)'!O$4 + $B$13*'Prediction Results (Transposed)'!O$5)*I9</f>
        <v>758801.47334469378</v>
      </c>
      <c r="K123" s="38">
        <v>2025</v>
      </c>
      <c r="L123" s="63">
        <f>($B$11*'Prediction Results (Transposed)'!J$3+$B$12*'Prediction Results (Transposed)'!J$4 + $B$13*'Prediction Results (Transposed)'!J$5)*L9</f>
        <v>24633567.296119273</v>
      </c>
      <c r="M123" s="63">
        <f>($B$11*'Prediction Results (Transposed)'!K$3+$B$12*'Prediction Results (Transposed)'!K$4 + $B$13*'Prediction Results (Transposed)'!K$5)*M9</f>
        <v>35227088.410574414</v>
      </c>
      <c r="N123" s="63">
        <f>($B$11*'Prediction Results (Transposed)'!L$3+$B$12*'Prediction Results (Transposed)'!L$4 + $B$13*'Prediction Results (Transposed)'!L$5)*N9</f>
        <v>1619344.6588212736</v>
      </c>
      <c r="O123" s="63">
        <f>($B$11*'Prediction Results (Transposed)'!M$3+$B$12*'Prediction Results (Transposed)'!M$4 + $B$13*'Prediction Results (Transposed)'!M$5)*O9</f>
        <v>374744.15618018666</v>
      </c>
      <c r="P123" s="63">
        <f>($B$11*'Prediction Results (Transposed)'!N$3+$B$12*'Prediction Results (Transposed)'!N$4 + $B$13*'Prediction Results (Transposed)'!N$5)*P9</f>
        <v>465404.12428226316</v>
      </c>
      <c r="Q123" s="63">
        <f>($B$11*'Prediction Results (Transposed)'!O$3+$B$12*'Prediction Results (Transposed)'!O$4 + $B$13*'Prediction Results (Transposed)'!O$5)*Q9</f>
        <v>769032.29156305746</v>
      </c>
      <c r="S123" s="38">
        <v>2025</v>
      </c>
      <c r="T123" s="63">
        <f>($B$11*'Prediction Results (Transposed)'!J$3+$B$12*'Prediction Results (Transposed)'!J$4 + $B$13*'Prediction Results (Transposed)'!J$5)*T9</f>
        <v>25385544.112352248</v>
      </c>
      <c r="U123" s="63">
        <f>($B$11*'Prediction Results (Transposed)'!K$3+$B$12*'Prediction Results (Transposed)'!K$4 + $B$13*'Prediction Results (Transposed)'!K$5)*U9</f>
        <v>36302448.445509933</v>
      </c>
      <c r="V123" s="63">
        <f>($B$11*'Prediction Results (Transposed)'!L$3+$B$12*'Prediction Results (Transposed)'!L$4 + $B$13*'Prediction Results (Transposed)'!L$5)*V9</f>
        <v>1668777.5982849838</v>
      </c>
      <c r="W123" s="63">
        <f>($B$11*'Prediction Results (Transposed)'!M$3+$B$12*'Prediction Results (Transposed)'!M$4 + $B$13*'Prediction Results (Transposed)'!M$5)*W9</f>
        <v>386183.78707403142</v>
      </c>
      <c r="X123" s="63">
        <f>($B$11*'Prediction Results (Transposed)'!N$3+$B$12*'Prediction Results (Transposed)'!N$4 + $B$13*'Prediction Results (Transposed)'!N$5)*X9</f>
        <v>479611.28751739091</v>
      </c>
      <c r="Y123" s="63">
        <f>($B$11*'Prediction Results (Transposed)'!O$3+$B$12*'Prediction Results (Transposed)'!O$4 + $B$13*'Prediction Results (Transposed)'!O$5)*Y9</f>
        <v>792508.16280973004</v>
      </c>
      <c r="AA123" s="38">
        <v>2025</v>
      </c>
      <c r="AB123" s="63">
        <f>($B$11*'Prediction Results (Transposed)'!J$3+$B$12*'Prediction Results (Transposed)'!J$4 + $B$13*'Prediction Results (Transposed)'!J$5)*AB9</f>
        <v>25861092.35391476</v>
      </c>
      <c r="AC123" s="63">
        <f>($B$11*'Prediction Results (Transposed)'!K$3+$B$12*'Prediction Results (Transposed)'!K$4 + $B$13*'Prediction Results (Transposed)'!K$5)*AC9</f>
        <v>36982503.418776222</v>
      </c>
      <c r="AD123" s="63">
        <f>($B$11*'Prediction Results (Transposed)'!L$3+$B$12*'Prediction Results (Transposed)'!L$4 + $B$13*'Prediction Results (Transposed)'!L$5)*AD9</f>
        <v>1700038.8644966141</v>
      </c>
      <c r="AE123" s="63">
        <f>($B$11*'Prediction Results (Transposed)'!M$3+$B$12*'Prediction Results (Transposed)'!M$4 + $B$13*'Prediction Results (Transposed)'!M$5)*AE9</f>
        <v>393418.18079236994</v>
      </c>
      <c r="AF123" s="63">
        <f>($B$11*'Prediction Results (Transposed)'!N$3+$B$12*'Prediction Results (Transposed)'!N$4 + $B$13*'Prediction Results (Transposed)'!N$5)*AF9</f>
        <v>488595.86170666147</v>
      </c>
      <c r="AG123" s="63">
        <f>($B$11*'Prediction Results (Transposed)'!O$3+$B$12*'Prediction Results (Transposed)'!O$4 + $B$13*'Prediction Results (Transposed)'!O$5)*AG9</f>
        <v>807354.24456319225</v>
      </c>
    </row>
    <row r="124" spans="1:33">
      <c r="A124" s="589"/>
      <c r="B124" s="590"/>
      <c r="C124" s="38">
        <v>2026</v>
      </c>
      <c r="D124" s="63">
        <f>($B$11*'Prediction Results (Transposed)'!J$3+$B$12*'Prediction Results (Transposed)'!J$4 + $B$13*'Prediction Results (Transposed)'!J$5)*D10</f>
        <v>25743657.942080408</v>
      </c>
      <c r="E124" s="63">
        <f>($B$11*'Prediction Results (Transposed)'!K$3+$B$12*'Prediction Results (Transposed)'!K$4 + $B$13*'Prediction Results (Transposed)'!K$5)*E10</f>
        <v>36814567.027006276</v>
      </c>
      <c r="F124" s="63">
        <f>($B$11*'Prediction Results (Transposed)'!L$3+$B$12*'Prediction Results (Transposed)'!L$4 + $B$13*'Prediction Results (Transposed)'!L$5)*F10</f>
        <v>1692319.0411645009</v>
      </c>
      <c r="G124" s="63">
        <f>($B$11*'Prediction Results (Transposed)'!M$3+$B$12*'Prediction Results (Transposed)'!M$4 + $B$13*'Prediction Results (Transposed)'!M$5)*G10</f>
        <v>391631.68113357661</v>
      </c>
      <c r="H124" s="63">
        <f>($B$11*'Prediction Results (Transposed)'!N$3+$B$12*'Prediction Results (Transposed)'!N$4 + $B$13*'Prediction Results (Transposed)'!N$5)*H10</f>
        <v>486377.1631745582</v>
      </c>
      <c r="I124" s="63">
        <f>($B$11*'Prediction Results (Transposed)'!O$3+$B$12*'Prediction Results (Transposed)'!O$4 + $B$13*'Prediction Results (Transposed)'!O$5)*I10</f>
        <v>803688.07418049022</v>
      </c>
      <c r="K124" s="38">
        <v>2026</v>
      </c>
      <c r="L124" s="63">
        <f>($B$11*'Prediction Results (Transposed)'!J$3+$B$12*'Prediction Results (Transposed)'!J$4 + $B$13*'Prediction Results (Transposed)'!J$5)*L10</f>
        <v>26158795.181748431</v>
      </c>
      <c r="M124" s="63">
        <f>($B$11*'Prediction Results (Transposed)'!K$3+$B$12*'Prediction Results (Transposed)'!K$4 + $B$13*'Prediction Results (Transposed)'!K$5)*M10</f>
        <v>37408231.601386093</v>
      </c>
      <c r="N124" s="63">
        <f>($B$11*'Prediction Results (Transposed)'!L$3+$B$12*'Prediction Results (Transposed)'!L$4 + $B$13*'Prediction Results (Transposed)'!L$5)*N10</f>
        <v>1719609.0501044616</v>
      </c>
      <c r="O124" s="63">
        <f>($B$11*'Prediction Results (Transposed)'!M$3+$B$12*'Prediction Results (Transposed)'!M$4 + $B$13*'Prediction Results (Transposed)'!M$5)*O10</f>
        <v>397947.05773771438</v>
      </c>
      <c r="P124" s="63">
        <f>($B$11*'Prediction Results (Transposed)'!N$3+$B$12*'Prediction Results (Transposed)'!N$4 + $B$13*'Prediction Results (Transposed)'!N$5)*P10</f>
        <v>494220.38706341363</v>
      </c>
      <c r="Q124" s="63">
        <f>($B$11*'Prediction Results (Transposed)'!O$3+$B$12*'Prediction Results (Transposed)'!O$4 + $B$13*'Prediction Results (Transposed)'!O$5)*Q10</f>
        <v>816648.19233541761</v>
      </c>
      <c r="S124" s="38">
        <v>2026</v>
      </c>
      <c r="T124" s="63">
        <f>($B$11*'Prediction Results (Transposed)'!J$3+$B$12*'Prediction Results (Transposed)'!J$4 + $B$13*'Prediction Results (Transposed)'!J$5)*T10</f>
        <v>27113555.00088824</v>
      </c>
      <c r="U124" s="63">
        <f>($B$11*'Prediction Results (Transposed)'!K$3+$B$12*'Prediction Results (Transposed)'!K$4 + $B$13*'Prediction Results (Transposed)'!K$5)*U10</f>
        <v>38773580.28009738</v>
      </c>
      <c r="V124" s="63">
        <f>($B$11*'Prediction Results (Transposed)'!L$3+$B$12*'Prediction Results (Transposed)'!L$4 + $B$13*'Prediction Results (Transposed)'!L$5)*V10</f>
        <v>1782372.4004140522</v>
      </c>
      <c r="W124" s="63">
        <f>($B$11*'Prediction Results (Transposed)'!M$3+$B$12*'Prediction Results (Transposed)'!M$4 + $B$13*'Prediction Results (Transposed)'!M$5)*W10</f>
        <v>412471.574567831</v>
      </c>
      <c r="X124" s="63">
        <f>($B$11*'Prediction Results (Transposed)'!N$3+$B$12*'Prediction Results (Transposed)'!N$4 + $B$13*'Prediction Results (Transposed)'!N$5)*X10</f>
        <v>512258.74716713495</v>
      </c>
      <c r="Y124" s="63">
        <f>($B$11*'Prediction Results (Transposed)'!O$3+$B$12*'Prediction Results (Transposed)'!O$4 + $B$13*'Prediction Results (Transposed)'!O$5)*Y10</f>
        <v>846454.72107642901</v>
      </c>
      <c r="AA124" s="38">
        <v>2026</v>
      </c>
      <c r="AB124" s="63">
        <f>($B$11*'Prediction Results (Transposed)'!J$3+$B$12*'Prediction Results (Transposed)'!J$4 + $B$13*'Prediction Results (Transposed)'!J$5)*AB10</f>
        <v>27718907.259771951</v>
      </c>
      <c r="AC124" s="63">
        <f>($B$11*'Prediction Results (Transposed)'!K$3+$B$12*'Prediction Results (Transposed)'!K$4 + $B$13*'Prediction Results (Transposed)'!K$5)*AC10</f>
        <v>39639260.726899616</v>
      </c>
      <c r="AD124" s="63">
        <f>($B$11*'Prediction Results (Transposed)'!L$3+$B$12*'Prediction Results (Transposed)'!L$4 + $B$13*'Prediction Results (Transposed)'!L$5)*AD10</f>
        <v>1822166.634653247</v>
      </c>
      <c r="AE124" s="63">
        <f>($B$11*'Prediction Results (Transposed)'!M$3+$B$12*'Prediction Results (Transposed)'!M$4 + $B$13*'Prediction Results (Transposed)'!M$5)*AE10</f>
        <v>421680.64358817076</v>
      </c>
      <c r="AF124" s="63">
        <f>($B$11*'Prediction Results (Transposed)'!N$3+$B$12*'Prediction Results (Transposed)'!N$4 + $B$13*'Prediction Results (Transposed)'!N$5)*AF10</f>
        <v>523695.71991823328</v>
      </c>
      <c r="AG124" s="63">
        <f>($B$11*'Prediction Results (Transposed)'!O$3+$B$12*'Prediction Results (Transposed)'!O$4 + $B$13*'Prediction Results (Transposed)'!O$5)*AG10</f>
        <v>865353.1383968289</v>
      </c>
    </row>
    <row r="125" spans="1:33">
      <c r="A125" s="589"/>
      <c r="B125" s="590"/>
      <c r="C125" s="38">
        <v>2027</v>
      </c>
      <c r="D125" s="63">
        <f>($B$11*'Prediction Results (Transposed)'!J$3+$B$12*'Prediction Results (Transposed)'!J$4 + $B$13*'Prediction Results (Transposed)'!J$5)*D11</f>
        <v>27263311.826719888</v>
      </c>
      <c r="E125" s="63">
        <f>($B$11*'Prediction Results (Transposed)'!K$3+$B$12*'Prediction Results (Transposed)'!K$4 + $B$13*'Prediction Results (Transposed)'!K$5)*E11</f>
        <v>38987739.150399923</v>
      </c>
      <c r="F125" s="63">
        <f>($B$11*'Prediction Results (Transposed)'!L$3+$B$12*'Prediction Results (Transposed)'!L$4 + $B$13*'Prediction Results (Transposed)'!L$5)*F11</f>
        <v>1792217.0125693819</v>
      </c>
      <c r="G125" s="63">
        <f>($B$11*'Prediction Results (Transposed)'!M$3+$B$12*'Prediction Results (Transposed)'!M$4 + $B$13*'Prediction Results (Transposed)'!M$5)*G11</f>
        <v>414749.78684029164</v>
      </c>
      <c r="H125" s="63">
        <f>($B$11*'Prediction Results (Transposed)'!N$3+$B$12*'Prediction Results (Transposed)'!N$4 + $B$13*'Prediction Results (Transposed)'!N$5)*H11</f>
        <v>515088.11587137659</v>
      </c>
      <c r="I125" s="63">
        <f>($B$11*'Prediction Results (Transposed)'!O$3+$B$12*'Prediction Results (Transposed)'!O$4 + $B$13*'Prediction Results (Transposed)'!O$5)*I11</f>
        <v>851129.96090515924</v>
      </c>
      <c r="K125" s="38">
        <v>2027</v>
      </c>
      <c r="L125" s="63">
        <f>($B$11*'Prediction Results (Transposed)'!J$3+$B$12*'Prediction Results (Transposed)'!J$4 + $B$13*'Prediction Results (Transposed)'!J$5)*L11</f>
        <v>27774125.741026986</v>
      </c>
      <c r="M125" s="63">
        <f>($B$11*'Prediction Results (Transposed)'!K$3+$B$12*'Prediction Results (Transposed)'!K$4 + $B$13*'Prediction Results (Transposed)'!K$5)*M11</f>
        <v>39718225.59210512</v>
      </c>
      <c r="N125" s="63">
        <f>($B$11*'Prediction Results (Transposed)'!L$3+$B$12*'Prediction Results (Transposed)'!L$4 + $B$13*'Prediction Results (Transposed)'!L$5)*N11</f>
        <v>1825796.5495418895</v>
      </c>
      <c r="O125" s="63">
        <f>($B$11*'Prediction Results (Transposed)'!M$3+$B$12*'Prediction Results (Transposed)'!M$4 + $B$13*'Prediction Results (Transposed)'!M$5)*O11</f>
        <v>422520.66821451584</v>
      </c>
      <c r="P125" s="63">
        <f>($B$11*'Prediction Results (Transposed)'!N$3+$B$12*'Prediction Results (Transposed)'!N$4 + $B$13*'Prediction Results (Transposed)'!N$5)*P11</f>
        <v>524738.96747567272</v>
      </c>
      <c r="Q125" s="63">
        <f>($B$11*'Prediction Results (Transposed)'!O$3+$B$12*'Prediction Results (Transposed)'!O$4 + $B$13*'Prediction Results (Transposed)'!O$5)*Q11</f>
        <v>867076.99733555748</v>
      </c>
      <c r="S125" s="38">
        <v>2027</v>
      </c>
      <c r="T125" s="63">
        <f>($B$11*'Prediction Results (Transposed)'!J$3+$B$12*'Prediction Results (Transposed)'!J$4 + $B$13*'Prediction Results (Transposed)'!J$5)*T11</f>
        <v>28952413.602054022</v>
      </c>
      <c r="U125" s="63">
        <f>($B$11*'Prediction Results (Transposed)'!K$3+$B$12*'Prediction Results (Transposed)'!K$4 + $B$13*'Prediction Results (Transposed)'!K$5)*U11</f>
        <v>41403229.235895075</v>
      </c>
      <c r="V125" s="63">
        <f>($B$11*'Prediction Results (Transposed)'!L$3+$B$12*'Prediction Results (Transposed)'!L$4 + $B$13*'Prediction Results (Transposed)'!L$5)*V11</f>
        <v>1903254.0339318446</v>
      </c>
      <c r="W125" s="63">
        <f>($B$11*'Prediction Results (Transposed)'!M$3+$B$12*'Prediction Results (Transposed)'!M$4 + $B$13*'Prediction Results (Transposed)'!M$5)*W11</f>
        <v>440445.65995079168</v>
      </c>
      <c r="X125" s="63">
        <f>($B$11*'Prediction Results (Transposed)'!N$3+$B$12*'Prediction Results (Transposed)'!N$4 + $B$13*'Prediction Results (Transposed)'!N$5)*X11</f>
        <v>547000.46226940898</v>
      </c>
      <c r="Y125" s="63">
        <f>($B$11*'Prediction Results (Transposed)'!O$3+$B$12*'Prediction Results (Transposed)'!O$4 + $B$13*'Prediction Results (Transposed)'!O$5)*Y11</f>
        <v>903861.82037778513</v>
      </c>
      <c r="AA125" s="38">
        <v>2027</v>
      </c>
      <c r="AB125" s="63">
        <f>($B$11*'Prediction Results (Transposed)'!J$3+$B$12*'Prediction Results (Transposed)'!J$4 + $B$13*'Prediction Results (Transposed)'!J$5)*AB11</f>
        <v>29702662.300591286</v>
      </c>
      <c r="AC125" s="63">
        <f>($B$11*'Prediction Results (Transposed)'!K$3+$B$12*'Prediction Results (Transposed)'!K$4 + $B$13*'Prediction Results (Transposed)'!K$5)*AC11</f>
        <v>42476117.986257039</v>
      </c>
      <c r="AD125" s="63">
        <f>($B$11*'Prediction Results (Transposed)'!L$3+$B$12*'Prediction Results (Transposed)'!L$4 + $B$13*'Prediction Results (Transposed)'!L$5)*AD11</f>
        <v>1952573.3715722088</v>
      </c>
      <c r="AE125" s="63">
        <f>($B$11*'Prediction Results (Transposed)'!M$3+$B$12*'Prediction Results (Transposed)'!M$4 + $B$13*'Prediction Results (Transposed)'!M$5)*AE11</f>
        <v>451859.00143231254</v>
      </c>
      <c r="AF125" s="63">
        <f>($B$11*'Prediction Results (Transposed)'!N$3+$B$12*'Prediction Results (Transposed)'!N$4 + $B$13*'Prediction Results (Transposed)'!N$5)*AF11</f>
        <v>561174.97602696985</v>
      </c>
      <c r="AG125" s="63">
        <f>($B$11*'Prediction Results (Transposed)'!O$3+$B$12*'Prediction Results (Transposed)'!O$4 + $B$13*'Prediction Results (Transposed)'!O$5)*AG11</f>
        <v>927283.74173179106</v>
      </c>
    </row>
    <row r="126" spans="1:33">
      <c r="A126" s="589"/>
      <c r="B126" s="590"/>
      <c r="C126" s="38">
        <v>2028</v>
      </c>
      <c r="D126" s="63">
        <f>($B$11*'Prediction Results (Transposed)'!J$3+$B$12*'Prediction Results (Transposed)'!J$4 + $B$13*'Prediction Results (Transposed)'!J$5)*D12</f>
        <v>28869853.364363249</v>
      </c>
      <c r="E126" s="63">
        <f>($B$11*'Prediction Results (Transposed)'!K$3+$B$12*'Prediction Results (Transposed)'!K$4 + $B$13*'Prediction Results (Transposed)'!K$5)*E12</f>
        <v>41285164.452286206</v>
      </c>
      <c r="F126" s="63">
        <f>($B$11*'Prediction Results (Transposed)'!L$3+$B$12*'Prediction Results (Transposed)'!L$4 + $B$13*'Prediction Results (Transposed)'!L$5)*F12</f>
        <v>1897826.7452923863</v>
      </c>
      <c r="G126" s="63">
        <f>($B$11*'Prediction Results (Transposed)'!M$3+$B$12*'Prediction Results (Transposed)'!M$4 + $B$13*'Prediction Results (Transposed)'!M$5)*G12</f>
        <v>439189.69217984134</v>
      </c>
      <c r="H126" s="63">
        <f>($B$11*'Prediction Results (Transposed)'!N$3+$B$12*'Prediction Results (Transposed)'!N$4 + $B$13*'Prediction Results (Transposed)'!N$5)*H12</f>
        <v>545440.64453529357</v>
      </c>
      <c r="I126" s="63">
        <f>($B$11*'Prediction Results (Transposed)'!O$3+$B$12*'Prediction Results (Transposed)'!O$4 + $B$13*'Prediction Results (Transposed)'!O$5)*I12</f>
        <v>901284.38252560177</v>
      </c>
      <c r="K126" s="38">
        <v>2028</v>
      </c>
      <c r="L126" s="63">
        <f>($B$11*'Prediction Results (Transposed)'!J$3+$B$12*'Prediction Results (Transposed)'!J$4 + $B$13*'Prediction Results (Transposed)'!J$5)*L12</f>
        <v>29485744.752853658</v>
      </c>
      <c r="M126" s="63">
        <f>($B$11*'Prediction Results (Transposed)'!K$3+$B$12*'Prediction Results (Transposed)'!K$4 + $B$13*'Prediction Results (Transposed)'!K$5)*M12</f>
        <v>42165916.319559641</v>
      </c>
      <c r="N126" s="63">
        <f>($B$11*'Prediction Results (Transposed)'!L$3+$B$12*'Prediction Results (Transposed)'!L$4 + $B$13*'Prediction Results (Transposed)'!L$5)*N12</f>
        <v>1938313.7936511142</v>
      </c>
      <c r="O126" s="63">
        <f>($B$11*'Prediction Results (Transposed)'!M$3+$B$12*'Prediction Results (Transposed)'!M$4 + $B$13*'Prediction Results (Transposed)'!M$5)*O12</f>
        <v>448559.09028219583</v>
      </c>
      <c r="P126" s="63">
        <f>($B$11*'Prediction Results (Transposed)'!N$3+$B$12*'Prediction Results (Transposed)'!N$4 + $B$13*'Prediction Results (Transposed)'!N$5)*P12</f>
        <v>557076.73397648963</v>
      </c>
      <c r="Q126" s="63">
        <f>($B$11*'Prediction Results (Transposed)'!O$3+$B$12*'Prediction Results (Transposed)'!O$4 + $B$13*'Prediction Results (Transposed)'!O$5)*Q12</f>
        <v>920511.81963006651</v>
      </c>
      <c r="S126" s="38">
        <v>2028</v>
      </c>
      <c r="T126" s="63">
        <f>($B$11*'Prediction Results (Transposed)'!J$3+$B$12*'Prediction Results (Transposed)'!J$4 + $B$13*'Prediction Results (Transposed)'!J$5)*T12</f>
        <v>30909972.714294005</v>
      </c>
      <c r="U126" s="63">
        <f>($B$11*'Prediction Results (Transposed)'!K$3+$B$12*'Prediction Results (Transposed)'!K$4 + $B$13*'Prediction Results (Transposed)'!K$5)*U12</f>
        <v>44202625.161253691</v>
      </c>
      <c r="V126" s="63">
        <f>($B$11*'Prediction Results (Transposed)'!L$3+$B$12*'Prediction Results (Transposed)'!L$4 + $B$13*'Prediction Results (Transposed)'!L$5)*V12</f>
        <v>2031938.7207507174</v>
      </c>
      <c r="W126" s="63">
        <f>($B$11*'Prediction Results (Transposed)'!M$3+$B$12*'Prediction Results (Transposed)'!M$4 + $B$13*'Prediction Results (Transposed)'!M$5)*W12</f>
        <v>470225.50583631947</v>
      </c>
      <c r="X126" s="63">
        <f>($B$11*'Prediction Results (Transposed)'!N$3+$B$12*'Prediction Results (Transposed)'!N$4 + $B$13*'Prediction Results (Transposed)'!N$5)*X12</f>
        <v>583984.79642657912</v>
      </c>
      <c r="Y126" s="63">
        <f>($B$11*'Prediction Results (Transposed)'!O$3+$B$12*'Prediction Results (Transposed)'!O$4 + $B$13*'Prediction Results (Transposed)'!O$5)*Y12</f>
        <v>964974.61625746358</v>
      </c>
      <c r="AA126" s="38">
        <v>2028</v>
      </c>
      <c r="AB126" s="63">
        <f>($B$11*'Prediction Results (Transposed)'!J$3+$B$12*'Prediction Results (Transposed)'!J$4 + $B$13*'Prediction Results (Transposed)'!J$5)*AB12</f>
        <v>31819892.116223611</v>
      </c>
      <c r="AC126" s="63">
        <f>($B$11*'Prediction Results (Transposed)'!K$3+$B$12*'Prediction Results (Transposed)'!K$4 + $B$13*'Prediction Results (Transposed)'!K$5)*AC12</f>
        <v>45503850.064368755</v>
      </c>
      <c r="AD126" s="63">
        <f>($B$11*'Prediction Results (Transposed)'!L$3+$B$12*'Prediction Results (Transposed)'!L$4 + $B$13*'Prediction Results (Transposed)'!L$5)*AD12</f>
        <v>2091754.382273061</v>
      </c>
      <c r="AE126" s="63">
        <f>($B$11*'Prediction Results (Transposed)'!M$3+$B$12*'Prediction Results (Transposed)'!M$4 + $B$13*'Prediction Results (Transposed)'!M$5)*AE12</f>
        <v>484067.87687292561</v>
      </c>
      <c r="AF126" s="63">
        <f>($B$11*'Prediction Results (Transposed)'!N$3+$B$12*'Prediction Results (Transposed)'!N$4 + $B$13*'Prediction Results (Transposed)'!N$5)*AF12</f>
        <v>601175.98263732332</v>
      </c>
      <c r="AG126" s="63">
        <f>($B$11*'Prediction Results (Transposed)'!O$3+$B$12*'Prediction Results (Transposed)'!O$4 + $B$13*'Prediction Results (Transposed)'!O$5)*AG12</f>
        <v>993381.27755795047</v>
      </c>
    </row>
    <row r="127" spans="1:33">
      <c r="A127" s="589"/>
      <c r="B127" s="590"/>
      <c r="C127" s="38">
        <v>2029</v>
      </c>
      <c r="D127" s="63">
        <f>($B$11*'Prediction Results (Transposed)'!J$3+$B$12*'Prediction Results (Transposed)'!J$4 + $B$13*'Prediction Results (Transposed)'!J$5)*D13</f>
        <v>30568105.744111925</v>
      </c>
      <c r="E127" s="63">
        <f>($B$11*'Prediction Results (Transposed)'!K$3+$B$12*'Prediction Results (Transposed)'!K$4 + $B$13*'Prediction Results (Transposed)'!K$5)*E13</f>
        <v>43713740.305946656</v>
      </c>
      <c r="F127" s="63">
        <f>($B$11*'Prediction Results (Transposed)'!L$3+$B$12*'Prediction Results (Transposed)'!L$4 + $B$13*'Prediction Results (Transposed)'!L$5)*F13</f>
        <v>2009465.3028515985</v>
      </c>
      <c r="G127" s="63">
        <f>($B$11*'Prediction Results (Transposed)'!M$3+$B$12*'Prediction Results (Transposed)'!M$4 + $B$13*'Prediction Results (Transposed)'!M$5)*G13</f>
        <v>465024.77109389572</v>
      </c>
      <c r="H127" s="63">
        <f>($B$11*'Prediction Results (Transposed)'!N$3+$B$12*'Prediction Results (Transposed)'!N$4 + $B$13*'Prediction Results (Transposed)'!N$5)*H13</f>
        <v>577525.87409649137</v>
      </c>
      <c r="I127" s="63">
        <f>($B$11*'Prediction Results (Transposed)'!O$3+$B$12*'Prediction Results (Transposed)'!O$4 + $B$13*'Prediction Results (Transposed)'!O$5)*I13</f>
        <v>954301.91358600534</v>
      </c>
      <c r="K127" s="38">
        <v>2029</v>
      </c>
      <c r="L127" s="63">
        <f>($B$11*'Prediction Results (Transposed)'!J$3+$B$12*'Prediction Results (Transposed)'!J$4 + $B$13*'Prediction Results (Transposed)'!J$5)*L13</f>
        <v>31298639.884300727</v>
      </c>
      <c r="M127" s="63">
        <f>($B$11*'Prediction Results (Transposed)'!K$3+$B$12*'Prediction Results (Transposed)'!K$4 + $B$13*'Prediction Results (Transposed)'!K$5)*M13</f>
        <v>44758436.367788576</v>
      </c>
      <c r="N127" s="63">
        <f>($B$11*'Prediction Results (Transposed)'!L$3+$B$12*'Prediction Results (Transposed)'!L$4 + $B$13*'Prediction Results (Transposed)'!L$5)*N13</f>
        <v>2057488.6582909739</v>
      </c>
      <c r="O127" s="63">
        <f>($B$11*'Prediction Results (Transposed)'!M$3+$B$12*'Prediction Results (Transposed)'!M$4 + $B$13*'Prediction Results (Transposed)'!M$5)*O13</f>
        <v>476138.20004370919</v>
      </c>
      <c r="P127" s="63">
        <f>($B$11*'Prediction Results (Transposed)'!N$3+$B$12*'Prediction Results (Transposed)'!N$4 + $B$13*'Prediction Results (Transposed)'!N$5)*P13</f>
        <v>591327.91899262078</v>
      </c>
      <c r="Q127" s="63">
        <f>($B$11*'Prediction Results (Transposed)'!O$3+$B$12*'Prediction Results (Transposed)'!O$4 + $B$13*'Prediction Results (Transposed)'!O$5)*Q13</f>
        <v>977108.36858056637</v>
      </c>
      <c r="S127" s="38">
        <v>2029</v>
      </c>
      <c r="T127" s="63">
        <f>($B$11*'Prediction Results (Transposed)'!J$3+$B$12*'Prediction Results (Transposed)'!J$4 + $B$13*'Prediction Results (Transposed)'!J$5)*T13</f>
        <v>32993551.799743302</v>
      </c>
      <c r="U127" s="63">
        <f>($B$11*'Prediction Results (Transposed)'!K$3+$B$12*'Prediction Results (Transposed)'!K$4 + $B$13*'Prediction Results (Transposed)'!K$5)*U13</f>
        <v>47182235.210063361</v>
      </c>
      <c r="V127" s="63">
        <f>($B$11*'Prediction Results (Transposed)'!L$3+$B$12*'Prediction Results (Transposed)'!L$4 + $B$13*'Prediction Results (Transposed)'!L$5)*V13</f>
        <v>2168907.6226842012</v>
      </c>
      <c r="W127" s="63">
        <f>($B$11*'Prediction Results (Transposed)'!M$3+$B$12*'Prediction Results (Transposed)'!M$4 + $B$13*'Prediction Results (Transposed)'!M$5)*W13</f>
        <v>501922.46132901375</v>
      </c>
      <c r="X127" s="63">
        <f>($B$11*'Prediction Results (Transposed)'!N$3+$B$12*'Prediction Results (Transposed)'!N$4 + $B$13*'Prediction Results (Transposed)'!N$5)*X13</f>
        <v>623350.03687184479</v>
      </c>
      <c r="Y127" s="63">
        <f>($B$11*'Prediction Results (Transposed)'!O$3+$B$12*'Prediction Results (Transposed)'!O$4 + $B$13*'Prediction Results (Transposed)'!O$5)*Y13</f>
        <v>1030021.6140988343</v>
      </c>
      <c r="AA127" s="38">
        <v>2029</v>
      </c>
      <c r="AB127" s="63">
        <f>($B$11*'Prediction Results (Transposed)'!J$3+$B$12*'Prediction Results (Transposed)'!J$4 + $B$13*'Prediction Results (Transposed)'!J$5)*AB13</f>
        <v>34079682.082428388</v>
      </c>
      <c r="AC127" s="63">
        <f>($B$11*'Prediction Results (Transposed)'!K$3+$B$12*'Prediction Results (Transposed)'!K$4 + $B$13*'Prediction Results (Transposed)'!K$5)*AC13</f>
        <v>48735449.449544504</v>
      </c>
      <c r="AD127" s="63">
        <f>($B$11*'Prediction Results (Transposed)'!L$3+$B$12*'Prediction Results (Transposed)'!L$4 + $B$13*'Prediction Results (Transposed)'!L$5)*AD13</f>
        <v>2240306.9149956806</v>
      </c>
      <c r="AE127" s="63">
        <f>($B$11*'Prediction Results (Transposed)'!M$3+$B$12*'Prediction Results (Transposed)'!M$4 + $B$13*'Prediction Results (Transposed)'!M$5)*AE13</f>
        <v>518445.48340672516</v>
      </c>
      <c r="AF127" s="63">
        <f>($B$11*'Prediction Results (Transposed)'!N$3+$B$12*'Prediction Results (Transposed)'!N$4 + $B$13*'Prediction Results (Transposed)'!N$5)*AF13</f>
        <v>643870.39054181986</v>
      </c>
      <c r="AG127" s="63">
        <f>($B$11*'Prediction Results (Transposed)'!O$3+$B$12*'Prediction Results (Transposed)'!O$4 + $B$13*'Prediction Results (Transposed)'!O$5)*AG13</f>
        <v>1063929.381097767</v>
      </c>
    </row>
    <row r="128" spans="1:33">
      <c r="A128" s="589"/>
      <c r="B128" s="590"/>
      <c r="C128" s="38">
        <v>2030</v>
      </c>
      <c r="D128" s="63">
        <f>($B$11*'Prediction Results (Transposed)'!J$3+$B$12*'Prediction Results (Transposed)'!J$4 + $B$13*'Prediction Results (Transposed)'!J$5)*D14</f>
        <v>32362569.055688415</v>
      </c>
      <c r="E128" s="63">
        <f>($B$11*'Prediction Results (Transposed)'!K$3+$B$12*'Prediction Results (Transposed)'!K$4 + $B$13*'Prediction Results (Transposed)'!K$5)*E14</f>
        <v>46279902.038291268</v>
      </c>
      <c r="F128" s="63">
        <f>($B$11*'Prediction Results (Transposed)'!L$3+$B$12*'Prediction Results (Transposed)'!L$4 + $B$13*'Prediction Results (Transposed)'!L$5)*F14</f>
        <v>2127428.5090783271</v>
      </c>
      <c r="G128" s="63">
        <f>($B$11*'Prediction Results (Transposed)'!M$3+$B$12*'Prediction Results (Transposed)'!M$4 + $B$13*'Prediction Results (Transposed)'!M$5)*G14</f>
        <v>492323.48229594616</v>
      </c>
      <c r="H128" s="63">
        <f>($B$11*'Prediction Results (Transposed)'!N$3+$B$12*'Prediction Results (Transposed)'!N$4 + $B$13*'Prediction Results (Transposed)'!N$5)*H14</f>
        <v>611428.82514055201</v>
      </c>
      <c r="I128" s="63">
        <f>($B$11*'Prediction Results (Transposed)'!O$3+$B$12*'Prediction Results (Transposed)'!O$4 + $B$13*'Prediction Results (Transposed)'!O$5)*I14</f>
        <v>1010323.0418309955</v>
      </c>
      <c r="K128" s="38">
        <v>2030</v>
      </c>
      <c r="L128" s="63">
        <f>($B$11*'Prediction Results (Transposed)'!J$3+$B$12*'Prediction Results (Transposed)'!J$4 + $B$13*'Prediction Results (Transposed)'!J$5)*L14</f>
        <v>33217997.782000478</v>
      </c>
      <c r="M128" s="63">
        <f>($B$11*'Prediction Results (Transposed)'!K$3+$B$12*'Prediction Results (Transposed)'!K$4 + $B$13*'Prediction Results (Transposed)'!K$5)*M14</f>
        <v>47503202.870383397</v>
      </c>
      <c r="N128" s="63">
        <f>($B$11*'Prediction Results (Transposed)'!L$3+$B$12*'Prediction Results (Transposed)'!L$4 + $B$13*'Prediction Results (Transposed)'!L$5)*N14</f>
        <v>2183662.0997030172</v>
      </c>
      <c r="O128" s="63">
        <f>($B$11*'Prediction Results (Transposed)'!M$3+$B$12*'Prediction Results (Transposed)'!M$4 + $B$13*'Prediction Results (Transposed)'!M$5)*O14</f>
        <v>505336.90062714374</v>
      </c>
      <c r="P128" s="63">
        <f>($B$11*'Prediction Results (Transposed)'!N$3+$B$12*'Prediction Results (Transposed)'!N$4 + $B$13*'Prediction Results (Transposed)'!N$5)*P14</f>
        <v>627590.51428891497</v>
      </c>
      <c r="Q128" s="63">
        <f>($B$11*'Prediction Results (Transposed)'!O$3+$B$12*'Prediction Results (Transposed)'!O$4 + $B$13*'Prediction Results (Transposed)'!O$5)*Q14</f>
        <v>1037028.5654669598</v>
      </c>
      <c r="S128" s="38">
        <v>2030</v>
      </c>
      <c r="T128" s="63">
        <f>($B$11*'Prediction Results (Transposed)'!J$3+$B$12*'Prediction Results (Transposed)'!J$4 + $B$13*'Prediction Results (Transposed)'!J$5)*T14</f>
        <v>35209685.636042811</v>
      </c>
      <c r="U128" s="63">
        <f>($B$11*'Prediction Results (Transposed)'!K$3+$B$12*'Prediction Results (Transposed)'!K$4 + $B$13*'Prediction Results (Transposed)'!K$5)*U14</f>
        <v>50351404.402756244</v>
      </c>
      <c r="V128" s="63">
        <f>($B$11*'Prediction Results (Transposed)'!L$3+$B$12*'Prediction Results (Transposed)'!L$4 + $B$13*'Prediction Results (Transposed)'!L$5)*V14</f>
        <v>2314590.3184913192</v>
      </c>
      <c r="W128" s="63">
        <f>($B$11*'Prediction Results (Transposed)'!M$3+$B$12*'Prediction Results (Transposed)'!M$4 + $B$13*'Prediction Results (Transposed)'!M$5)*W14</f>
        <v>535635.93832904415</v>
      </c>
      <c r="X128" s="63">
        <f>($B$11*'Prediction Results (Transposed)'!N$3+$B$12*'Prediction Results (Transposed)'!N$4 + $B$13*'Prediction Results (Transposed)'!N$5)*X14</f>
        <v>665219.64572617214</v>
      </c>
      <c r="Y128" s="63">
        <f>($B$11*'Prediction Results (Transposed)'!O$3+$B$12*'Prediction Results (Transposed)'!O$4 + $B$13*'Prediction Results (Transposed)'!O$5)*Y14</f>
        <v>1099206.8223170664</v>
      </c>
      <c r="AA128" s="38">
        <v>2030</v>
      </c>
      <c r="AB128" s="63">
        <f>($B$11*'Prediction Results (Transposed)'!J$3+$B$12*'Prediction Results (Transposed)'!J$4 + $B$13*'Prediction Results (Transposed)'!J$5)*AB14</f>
        <v>36490520.216384657</v>
      </c>
      <c r="AC128" s="63">
        <f>($B$11*'Prediction Results (Transposed)'!K$3+$B$12*'Prediction Results (Transposed)'!K$4 + $B$13*'Prediction Results (Transposed)'!K$5)*AC14</f>
        <v>52183054.380960226</v>
      </c>
      <c r="AD128" s="63">
        <f>($B$11*'Prediction Results (Transposed)'!L$3+$B$12*'Prediction Results (Transposed)'!L$4 + $B$13*'Prediction Results (Transposed)'!L$5)*AD14</f>
        <v>2398788.9492286914</v>
      </c>
      <c r="AE128" s="63">
        <f>($B$11*'Prediction Results (Transposed)'!M$3+$B$12*'Prediction Results (Transposed)'!M$4 + $B$13*'Prediction Results (Transposed)'!M$5)*AE14</f>
        <v>555120.94706719101</v>
      </c>
      <c r="AF128" s="63">
        <f>($B$11*'Prediction Results (Transposed)'!N$3+$B$12*'Prediction Results (Transposed)'!N$4 + $B$13*'Prediction Results (Transposed)'!N$5)*AF14</f>
        <v>689418.56458549411</v>
      </c>
      <c r="AG128" s="63">
        <f>($B$11*'Prediction Results (Transposed)'!O$3+$B$12*'Prediction Results (Transposed)'!O$4 + $B$13*'Prediction Results (Transposed)'!O$5)*AG14</f>
        <v>1139193.0387100398</v>
      </c>
    </row>
    <row r="129" spans="1:33">
      <c r="A129" s="589"/>
      <c r="B129" s="590"/>
      <c r="C129" s="38">
        <v>2040</v>
      </c>
      <c r="D129" s="63">
        <f>($B$11*'Prediction Results (Transposed)'!J$3+$B$12*'Prediction Results (Transposed)'!J$4 + $B$13*'Prediction Results (Transposed)'!J$5)*D15</f>
        <v>53908825.981334142</v>
      </c>
      <c r="E129" s="63">
        <f>($B$11*'Prediction Results (Transposed)'!K$3+$B$12*'Prediction Results (Transposed)'!K$4 + $B$13*'Prediction Results (Transposed)'!K$5)*E15</f>
        <v>77092000.363824785</v>
      </c>
      <c r="F129" s="63">
        <f>($B$11*'Prediction Results (Transposed)'!L$3+$B$12*'Prediction Results (Transposed)'!L$4 + $B$13*'Prediction Results (Transposed)'!L$5)*F15</f>
        <v>3543821.662806896</v>
      </c>
      <c r="G129" s="63">
        <f>($B$11*'Prediction Results (Transposed)'!M$3+$B$12*'Prediction Results (Transposed)'!M$4 + $B$13*'Prediction Results (Transposed)'!M$5)*G15</f>
        <v>820101.1757733596</v>
      </c>
      <c r="H129" s="63">
        <f>($B$11*'Prediction Results (Transposed)'!N$3+$B$12*'Prediction Results (Transposed)'!N$4 + $B$13*'Prediction Results (Transposed)'!N$5)*H15</f>
        <v>1018504.1267198143</v>
      </c>
      <c r="I129" s="63">
        <f>($B$11*'Prediction Results (Transposed)'!O$3+$B$12*'Prediction Results (Transposed)'!O$4 + $B$13*'Prediction Results (Transposed)'!O$5)*I15</f>
        <v>1682972.9726733756</v>
      </c>
      <c r="K129" s="38">
        <v>2040</v>
      </c>
      <c r="L129" s="63">
        <f>($B$11*'Prediction Results (Transposed)'!J$3+$B$12*'Prediction Results (Transposed)'!J$4 + $B$13*'Prediction Results (Transposed)'!J$5)*L15</f>
        <v>59288299.992920935</v>
      </c>
      <c r="M129" s="63">
        <f>($B$11*'Prediction Results (Transposed)'!K$3+$B$12*'Prediction Results (Transposed)'!K$4 + $B$13*'Prediction Results (Transposed)'!K$5)*M15</f>
        <v>84784885.617939338</v>
      </c>
      <c r="N129" s="63">
        <f>($B$11*'Prediction Results (Transposed)'!L$3+$B$12*'Prediction Results (Transposed)'!L$4 + $B$13*'Prediction Results (Transposed)'!L$5)*N15</f>
        <v>3897453.8592002802</v>
      </c>
      <c r="O129" s="63">
        <f>($B$11*'Prediction Results (Transposed)'!M$3+$B$12*'Prediction Results (Transposed)'!M$4 + $B$13*'Prediction Results (Transposed)'!M$5)*O15</f>
        <v>901937.73744272499</v>
      </c>
      <c r="P129" s="63">
        <f>($B$11*'Prediction Results (Transposed)'!N$3+$B$12*'Prediction Results (Transposed)'!N$4 + $B$13*'Prediction Results (Transposed)'!N$5)*P15</f>
        <v>1120138.9959762923</v>
      </c>
      <c r="Q129" s="63">
        <f>($B$11*'Prediction Results (Transposed)'!O$3+$B$12*'Prediction Results (Transposed)'!O$4 + $B$13*'Prediction Results (Transposed)'!O$5)*Q15</f>
        <v>1850914.1066879455</v>
      </c>
      <c r="S129" s="38">
        <v>2040</v>
      </c>
      <c r="T129" s="63">
        <f>($B$11*'Prediction Results (Transposed)'!J$3+$B$12*'Prediction Results (Transposed)'!J$4 + $B$13*'Prediction Results (Transposed)'!J$5)*T15</f>
        <v>67098445.006867096</v>
      </c>
      <c r="U129" s="63">
        <f>($B$11*'Prediction Results (Transposed)'!K$3+$B$12*'Prediction Results (Transposed)'!K$4 + $B$13*'Prediction Results (Transposed)'!K$5)*U15</f>
        <v>95953737.680589333</v>
      </c>
      <c r="V129" s="63">
        <f>($B$11*'Prediction Results (Transposed)'!L$3+$B$12*'Prediction Results (Transposed)'!L$4 + $B$13*'Prediction Results (Transposed)'!L$5)*V15</f>
        <v>4410871.8494134052</v>
      </c>
      <c r="W129" s="63">
        <f>($B$11*'Prediction Results (Transposed)'!M$3+$B$12*'Prediction Results (Transposed)'!M$4 + $B$13*'Prediction Results (Transposed)'!M$5)*W15</f>
        <v>1020751.4751248524</v>
      </c>
      <c r="X129" s="63">
        <f>($B$11*'Prediction Results (Transposed)'!N$3+$B$12*'Prediction Results (Transposed)'!N$4 + $B$13*'Prediction Results (Transposed)'!N$5)*X15</f>
        <v>1267696.7433800038</v>
      </c>
      <c r="Y129" s="63">
        <f>($B$11*'Prediction Results (Transposed)'!O$3+$B$12*'Prediction Results (Transposed)'!O$4 + $B$13*'Prediction Results (Transposed)'!O$5)*Y15</f>
        <v>2094738.0581811999</v>
      </c>
      <c r="AA129" s="38">
        <v>2040</v>
      </c>
      <c r="AB129" s="63">
        <f>($B$11*'Prediction Results (Transposed)'!J$3+$B$12*'Prediction Results (Transposed)'!J$4 + $B$13*'Prediction Results (Transposed)'!J$5)*AB15</f>
        <v>78250356.077790961</v>
      </c>
      <c r="AC129" s="63">
        <f>($B$11*'Prediction Results (Transposed)'!K$3+$B$12*'Prediction Results (Transposed)'!K$4 + $B$13*'Prediction Results (Transposed)'!K$5)*AC15</f>
        <v>111901462.6901208</v>
      </c>
      <c r="AD129" s="63">
        <f>($B$11*'Prediction Results (Transposed)'!L$3+$B$12*'Prediction Results (Transposed)'!L$4 + $B$13*'Prediction Results (Transposed)'!L$5)*AD15</f>
        <v>5143968.5792238424</v>
      </c>
      <c r="AE129" s="63">
        <f>($B$11*'Prediction Results (Transposed)'!M$3+$B$12*'Prediction Results (Transposed)'!M$4 + $B$13*'Prediction Results (Transposed)'!M$5)*AE15</f>
        <v>1190402.6447598818</v>
      </c>
      <c r="AF129" s="63">
        <f>($B$11*'Prediction Results (Transposed)'!N$3+$B$12*'Prediction Results (Transposed)'!N$4 + $B$13*'Prediction Results (Transposed)'!N$5)*AF15</f>
        <v>1478390.7668499479</v>
      </c>
      <c r="AG129" s="63">
        <f>($B$11*'Prediction Results (Transposed)'!O$3+$B$12*'Prediction Results (Transposed)'!O$4 + $B$13*'Prediction Results (Transposed)'!O$5)*AG15</f>
        <v>2442888.1910095499</v>
      </c>
    </row>
    <row r="130" spans="1:33">
      <c r="A130" s="589"/>
      <c r="B130" s="590"/>
      <c r="C130" s="38">
        <v>2050</v>
      </c>
      <c r="D130" s="63">
        <f>($B$11*'Prediction Results (Transposed)'!J$3+$B$12*'Prediction Results (Transposed)'!J$4 + $B$13*'Prediction Results (Transposed)'!J$5)*D16</f>
        <v>83883222.81133616</v>
      </c>
      <c r="E130" s="63">
        <f>($B$11*'Prediction Results (Transposed)'!K$3+$B$12*'Prediction Results (Transposed)'!K$4 + $B$13*'Prediction Results (Transposed)'!K$5)*E16</f>
        <v>119956710.71986276</v>
      </c>
      <c r="F130" s="63">
        <f>($B$11*'Prediction Results (Transposed)'!L$3+$B$12*'Prediction Results (Transposed)'!L$4 + $B$13*'Prediction Results (Transposed)'!L$5)*F16</f>
        <v>5514258.1336829504</v>
      </c>
      <c r="G130" s="63">
        <f>($B$11*'Prediction Results (Transposed)'!M$3+$B$12*'Prediction Results (Transposed)'!M$4 + $B$13*'Prediction Results (Transposed)'!M$5)*G16</f>
        <v>1276094.0050717269</v>
      </c>
      <c r="H130" s="63">
        <f>($B$11*'Prediction Results (Transposed)'!N$3+$B$12*'Prediction Results (Transposed)'!N$4 + $B$13*'Prediction Results (Transposed)'!N$5)*H16</f>
        <v>1584813.0067882652</v>
      </c>
      <c r="I130" s="63">
        <f>($B$11*'Prediction Results (Transposed)'!O$3+$B$12*'Prediction Results (Transposed)'!O$4 + $B$13*'Prediction Results (Transposed)'!O$5)*I16</f>
        <v>2618739.9610798145</v>
      </c>
      <c r="K130" s="38">
        <v>2050</v>
      </c>
      <c r="L130" s="63">
        <f>($B$11*'Prediction Results (Transposed)'!J$3+$B$12*'Prediction Results (Transposed)'!J$4 + $B$13*'Prediction Results (Transposed)'!J$5)*L16</f>
        <v>101660296.41765022</v>
      </c>
      <c r="M130" s="63">
        <f>($B$11*'Prediction Results (Transposed)'!K$3+$B$12*'Prediction Results (Transposed)'!K$4 + $B$13*'Prediction Results (Transposed)'!K$5)*M16</f>
        <v>145378710.54972786</v>
      </c>
      <c r="N130" s="63">
        <f>($B$11*'Prediction Results (Transposed)'!L$3+$B$12*'Prediction Results (Transposed)'!L$4 + $B$13*'Prediction Results (Transposed)'!L$5)*N16</f>
        <v>6682875.2831119094</v>
      </c>
      <c r="O130" s="63">
        <f>($B$11*'Prediction Results (Transposed)'!M$3+$B$12*'Prediction Results (Transposed)'!M$4 + $B$13*'Prediction Results (Transposed)'!M$5)*O16</f>
        <v>1546532.0771491209</v>
      </c>
      <c r="P130" s="63">
        <f>($B$11*'Prediction Results (Transposed)'!N$3+$B$12*'Prediction Results (Transposed)'!N$4 + $B$13*'Prediction Results (Transposed)'!N$5)*P16</f>
        <v>1920676.8008783455</v>
      </c>
      <c r="Q130" s="63">
        <f>($B$11*'Prediction Results (Transposed)'!O$3+$B$12*'Prediction Results (Transposed)'!O$4 + $B$13*'Prediction Results (Transposed)'!O$5)*Q16</f>
        <v>3173720.2239223216</v>
      </c>
      <c r="S130" s="38">
        <v>2050</v>
      </c>
      <c r="T130" s="63">
        <f>($B$11*'Prediction Results (Transposed)'!J$3+$B$12*'Prediction Results (Transposed)'!J$4 + $B$13*'Prediction Results (Transposed)'!J$5)*T16</f>
        <v>124353803.28279811</v>
      </c>
      <c r="U130" s="63">
        <f>($B$11*'Prediction Results (Transposed)'!K$3+$B$12*'Prediction Results (Transposed)'!K$4 + $B$13*'Prediction Results (Transposed)'!K$5)*U16</f>
        <v>177831426.92144406</v>
      </c>
      <c r="V130" s="63">
        <f>($B$11*'Prediction Results (Transposed)'!L$3+$B$12*'Prediction Results (Transposed)'!L$4 + $B$13*'Prediction Results (Transposed)'!L$5)*V16</f>
        <v>8174685.5714979712</v>
      </c>
      <c r="W130" s="63">
        <f>($B$11*'Prediction Results (Transposed)'!M$3+$B$12*'Prediction Results (Transposed)'!M$4 + $B$13*'Prediction Results (Transposed)'!M$5)*W16</f>
        <v>1891762.5904044569</v>
      </c>
      <c r="X130" s="63">
        <f>($B$11*'Prediction Results (Transposed)'!N$3+$B$12*'Prediction Results (Transposed)'!N$4 + $B$13*'Prediction Results (Transposed)'!N$5)*X16</f>
        <v>2349427.1951069371</v>
      </c>
      <c r="Y130" s="63">
        <f>($B$11*'Prediction Results (Transposed)'!O$3+$B$12*'Prediction Results (Transposed)'!O$4 + $B$13*'Prediction Results (Transposed)'!O$5)*Y16</f>
        <v>3882186.0087725748</v>
      </c>
      <c r="AA130" s="38">
        <v>2050</v>
      </c>
      <c r="AB130" s="63">
        <f>($B$11*'Prediction Results (Transposed)'!J$3+$B$12*'Prediction Results (Transposed)'!J$4 + $B$13*'Prediction Results (Transposed)'!J$5)*AB16</f>
        <v>178055496.88930574</v>
      </c>
      <c r="AC130" s="63">
        <f>($B$11*'Prediction Results (Transposed)'!K$3+$B$12*'Prediction Results (Transposed)'!K$4 + $B$13*'Prediction Results (Transposed)'!K$5)*AC16</f>
        <v>254627218.84769285</v>
      </c>
      <c r="AD130" s="63">
        <f>($B$11*'Prediction Results (Transposed)'!L$3+$B$12*'Prediction Results (Transposed)'!L$4 + $B$13*'Prediction Results (Transposed)'!L$5)*AD16</f>
        <v>11704890.907411881</v>
      </c>
      <c r="AE130" s="63">
        <f>($B$11*'Prediction Results (Transposed)'!M$3+$B$12*'Prediction Results (Transposed)'!M$4 + $B$13*'Prediction Results (Transposed)'!M$5)*AE16</f>
        <v>2708712.7143594222</v>
      </c>
      <c r="AF130" s="63">
        <f>($B$11*'Prediction Results (Transposed)'!N$3+$B$12*'Prediction Results (Transposed)'!N$4 + $B$13*'Prediction Results (Transposed)'!N$5)*AF16</f>
        <v>3364017.9518971005</v>
      </c>
      <c r="AG130" s="63">
        <f>($B$11*'Prediction Results (Transposed)'!O$3+$B$12*'Prediction Results (Transposed)'!O$4 + $B$13*'Prediction Results (Transposed)'!O$5)*AG16</f>
        <v>5558692.5414474346</v>
      </c>
    </row>
    <row r="131" spans="1:33">
      <c r="A131" s="589"/>
      <c r="B131" s="590"/>
      <c r="C131" s="38">
        <v>2060</v>
      </c>
      <c r="D131" s="63">
        <f>($B$11*'Prediction Results (Transposed)'!J$3+$B$12*'Prediction Results (Transposed)'!J$4 + $B$13*'Prediction Results (Transposed)'!J$5)*D17</f>
        <v>123604869.00485121</v>
      </c>
      <c r="E131" s="63">
        <f>($B$11*'Prediction Results (Transposed)'!K$3+$B$12*'Prediction Results (Transposed)'!K$4 + $B$13*'Prediction Results (Transposed)'!K$5)*E17</f>
        <v>176760417.85053688</v>
      </c>
      <c r="F131" s="63">
        <f>($B$11*'Prediction Results (Transposed)'!L$3+$B$12*'Prediction Results (Transposed)'!L$4 + $B$13*'Prediction Results (Transposed)'!L$5)*F17</f>
        <v>8125452.640342582</v>
      </c>
      <c r="G131" s="63">
        <f>($B$11*'Prediction Results (Transposed)'!M$3+$B$12*'Prediction Results (Transposed)'!M$4 + $B$13*'Prediction Results (Transposed)'!M$5)*G17</f>
        <v>1880369.244867051</v>
      </c>
      <c r="H131" s="63">
        <f>($B$11*'Prediction Results (Transposed)'!N$3+$B$12*'Prediction Results (Transposed)'!N$4 + $B$13*'Prediction Results (Transposed)'!N$5)*H17</f>
        <v>2335277.5148116369</v>
      </c>
      <c r="I131" s="63">
        <f>($B$11*'Prediction Results (Transposed)'!O$3+$B$12*'Prediction Results (Transposed)'!O$4 + $B$13*'Prediction Results (Transposed)'!O$5)*I17</f>
        <v>3858805.1221524561</v>
      </c>
      <c r="K131" s="38">
        <v>2060</v>
      </c>
      <c r="L131" s="63">
        <f>($B$11*'Prediction Results (Transposed)'!J$3+$B$12*'Prediction Results (Transposed)'!J$4 + $B$13*'Prediction Results (Transposed)'!J$5)*L17</f>
        <v>165076412.40129742</v>
      </c>
      <c r="M131" s="63">
        <f>($B$11*'Prediction Results (Transposed)'!K$3+$B$12*'Prediction Results (Transposed)'!K$4 + $B$13*'Prediction Results (Transposed)'!K$5)*M17</f>
        <v>236066555.21131352</v>
      </c>
      <c r="N131" s="63">
        <f>($B$11*'Prediction Results (Transposed)'!L$3+$B$12*'Prediction Results (Transposed)'!L$4 + $B$13*'Prediction Results (Transposed)'!L$5)*N17</f>
        <v>10851680.696751188</v>
      </c>
      <c r="O131" s="63">
        <f>($B$11*'Prediction Results (Transposed)'!M$3+$B$12*'Prediction Results (Transposed)'!M$4 + $B$13*'Prediction Results (Transposed)'!M$5)*O17</f>
        <v>2511265.2230569236</v>
      </c>
      <c r="P131" s="63">
        <f>($B$11*'Prediction Results (Transposed)'!N$3+$B$12*'Prediction Results (Transposed)'!N$4 + $B$13*'Prediction Results (Transposed)'!N$5)*P17</f>
        <v>3118802.9825216094</v>
      </c>
      <c r="Q131" s="63">
        <f>($B$11*'Prediction Results (Transposed)'!O$3+$B$12*'Prediction Results (Transposed)'!O$4 + $B$13*'Prediction Results (Transposed)'!O$5)*Q17</f>
        <v>5153500.1076347325</v>
      </c>
      <c r="S131" s="38">
        <v>2060</v>
      </c>
      <c r="T131" s="63">
        <f>($B$11*'Prediction Results (Transposed)'!J$3+$B$12*'Prediction Results (Transposed)'!J$4 + $B$13*'Prediction Results (Transposed)'!J$5)*T17</f>
        <v>228346448.71727791</v>
      </c>
      <c r="U131" s="63">
        <f>($B$11*'Prediction Results (Transposed)'!K$3+$B$12*'Prediction Results (Transposed)'!K$4 + $B$13*'Prediction Results (Transposed)'!K$5)*U17</f>
        <v>326545499.50106007</v>
      </c>
      <c r="V131" s="63">
        <f>($B$11*'Prediction Results (Transposed)'!L$3+$B$12*'Prediction Results (Transposed)'!L$4 + $B$13*'Prediction Results (Transposed)'!L$5)*V17</f>
        <v>15010883.224752555</v>
      </c>
      <c r="W131" s="63">
        <f>($B$11*'Prediction Results (Transposed)'!M$3+$B$12*'Prediction Results (Transposed)'!M$4 + $B$13*'Prediction Results (Transposed)'!M$5)*W17</f>
        <v>3473776.09635854</v>
      </c>
      <c r="X131" s="63">
        <f>($B$11*'Prediction Results (Transposed)'!N$3+$B$12*'Prediction Results (Transposed)'!N$4 + $B$13*'Prediction Results (Transposed)'!N$5)*X17</f>
        <v>4314169.2683288939</v>
      </c>
      <c r="Y131" s="63">
        <f>($B$11*'Prediction Results (Transposed)'!O$3+$B$12*'Prediction Results (Transposed)'!O$4 + $B$13*'Prediction Results (Transposed)'!O$5)*Y17</f>
        <v>7128719.548264496</v>
      </c>
      <c r="AA131" s="38">
        <v>2060</v>
      </c>
      <c r="AB131" s="63">
        <f>($B$11*'Prediction Results (Transposed)'!J$3+$B$12*'Prediction Results (Transposed)'!J$4 + $B$13*'Prediction Results (Transposed)'!J$5)*AB17</f>
        <v>428609256.03286391</v>
      </c>
      <c r="AC131" s="63">
        <f>($B$11*'Prediction Results (Transposed)'!K$3+$B$12*'Prediction Results (Transposed)'!K$4 + $B$13*'Prediction Results (Transposed)'!K$5)*AC17</f>
        <v>612930152.35510921</v>
      </c>
      <c r="AD131" s="63">
        <f>($B$11*'Prediction Results (Transposed)'!L$3+$B$12*'Prediction Results (Transposed)'!L$4 + $B$13*'Prediction Results (Transposed)'!L$5)*AD17</f>
        <v>28175623.170401301</v>
      </c>
      <c r="AE131" s="63">
        <f>($B$11*'Prediction Results (Transposed)'!M$3+$B$12*'Prediction Results (Transposed)'!M$4 + $B$13*'Prediction Results (Transposed)'!M$5)*AE17</f>
        <v>6520322.9419539552</v>
      </c>
      <c r="AF131" s="63">
        <f>($B$11*'Prediction Results (Transposed)'!N$3+$B$12*'Prediction Results (Transposed)'!N$4 + $B$13*'Prediction Results (Transposed)'!N$5)*AF17</f>
        <v>8097751.862949728</v>
      </c>
      <c r="AG131" s="63">
        <f>($B$11*'Prediction Results (Transposed)'!O$3+$B$12*'Prediction Results (Transposed)'!O$4 + $B$13*'Prediction Results (Transposed)'!O$5)*AG17</f>
        <v>13380699.368053664</v>
      </c>
    </row>
    <row r="132" spans="1:33">
      <c r="A132" s="589"/>
      <c r="B132" s="590"/>
      <c r="C132" s="38">
        <v>2070</v>
      </c>
      <c r="D132" s="63">
        <f>($B$11*'Prediction Results (Transposed)'!J$3+$B$12*'Prediction Results (Transposed)'!J$4 + $B$13*'Prediction Results (Transposed)'!J$5)*D18</f>
        <v>175216577.93823883</v>
      </c>
      <c r="E132" s="63">
        <f>($B$11*'Prediction Results (Transposed)'!K$3+$B$12*'Prediction Results (Transposed)'!K$4 + $B$13*'Prediction Results (Transposed)'!K$5)*E18</f>
        <v>250567439.45490286</v>
      </c>
      <c r="F132" s="63">
        <f>($B$11*'Prediction Results (Transposed)'!L$3+$B$12*'Prediction Results (Transposed)'!L$4 + $B$13*'Prediction Results (Transposed)'!L$5)*F18</f>
        <v>11518267.9881662</v>
      </c>
      <c r="G132" s="63">
        <f>($B$11*'Prediction Results (Transposed)'!M$3+$B$12*'Prediction Results (Transposed)'!M$4 + $B$13*'Prediction Results (Transposed)'!M$5)*G18</f>
        <v>2665524.9667631127</v>
      </c>
      <c r="H132" s="63">
        <f>($B$11*'Prediction Results (Transposed)'!N$3+$B$12*'Prediction Results (Transposed)'!N$4 + $B$13*'Prediction Results (Transposed)'!N$5)*H18</f>
        <v>3310382.0098328847</v>
      </c>
      <c r="I132" s="63">
        <f>($B$11*'Prediction Results (Transposed)'!O$3+$B$12*'Prediction Results (Transposed)'!O$4 + $B$13*'Prediction Results (Transposed)'!O$5)*I18</f>
        <v>5470064.6817364814</v>
      </c>
      <c r="K132" s="38">
        <v>2070</v>
      </c>
      <c r="L132" s="63">
        <f>($B$11*'Prediction Results (Transposed)'!J$3+$B$12*'Prediction Results (Transposed)'!J$4 + $B$13*'Prediction Results (Transposed)'!J$5)*L18</f>
        <v>251929206.55985564</v>
      </c>
      <c r="M132" s="63">
        <f>($B$11*'Prediction Results (Transposed)'!K$3+$B$12*'Prediction Results (Transposed)'!K$4 + $B$13*'Prediction Results (Transposed)'!K$5)*M18</f>
        <v>360269884.01667702</v>
      </c>
      <c r="N132" s="63">
        <f>($B$11*'Prediction Results (Transposed)'!L$3+$B$12*'Prediction Results (Transposed)'!L$4 + $B$13*'Prediction Results (Transposed)'!L$5)*N18</f>
        <v>16561150.487856986</v>
      </c>
      <c r="O132" s="63">
        <f>($B$11*'Prediction Results (Transposed)'!M$3+$B$12*'Prediction Results (Transposed)'!M$4 + $B$13*'Prediction Results (Transposed)'!M$5)*O18</f>
        <v>3832534.5571970842</v>
      </c>
      <c r="P132" s="63">
        <f>($B$11*'Prediction Results (Transposed)'!N$3+$B$12*'Prediction Results (Transposed)'!N$4 + $B$13*'Prediction Results (Transposed)'!N$5)*P18</f>
        <v>4759720.3584308382</v>
      </c>
      <c r="Q132" s="63">
        <f>($B$11*'Prediction Results (Transposed)'!O$3+$B$12*'Prediction Results (Transposed)'!O$4 + $B$13*'Prediction Results (Transposed)'!O$5)*Q18</f>
        <v>7864946.7494263547</v>
      </c>
      <c r="S132" s="38">
        <v>2070</v>
      </c>
      <c r="T132" s="63">
        <f>($B$11*'Prediction Results (Transposed)'!J$3+$B$12*'Prediction Results (Transposed)'!J$4 + $B$13*'Prediction Results (Transposed)'!J$5)*T18</f>
        <v>410897982.89542824</v>
      </c>
      <c r="U132" s="63">
        <f>($B$11*'Prediction Results (Transposed)'!K$3+$B$12*'Prediction Results (Transposed)'!K$4 + $B$13*'Prediction Results (Transposed)'!K$5)*U18</f>
        <v>587602250.09977615</v>
      </c>
      <c r="V132" s="63">
        <f>($B$11*'Prediction Results (Transposed)'!L$3+$B$12*'Prediction Results (Transposed)'!L$4 + $B$13*'Prediction Results (Transposed)'!L$5)*V18</f>
        <v>27011331.567351606</v>
      </c>
      <c r="W132" s="63">
        <f>($B$11*'Prediction Results (Transposed)'!M$3+$B$12*'Prediction Results (Transposed)'!M$4 + $B$13*'Prediction Results (Transposed)'!M$5)*W18</f>
        <v>6250885.8755729627</v>
      </c>
      <c r="X132" s="63">
        <f>($B$11*'Prediction Results (Transposed)'!N$3+$B$12*'Prediction Results (Transposed)'!N$4 + $B$13*'Prediction Results (Transposed)'!N$5)*X18</f>
        <v>7763131.2428274127</v>
      </c>
      <c r="Y132" s="63">
        <f>($B$11*'Prediction Results (Transposed)'!O$3+$B$12*'Prediction Results (Transposed)'!O$4 + $B$13*'Prediction Results (Transposed)'!O$5)*Y18</f>
        <v>12827773.321913075</v>
      </c>
      <c r="AA132" s="38">
        <v>2070</v>
      </c>
      <c r="AB132" s="63">
        <f>($B$11*'Prediction Results (Transposed)'!J$3+$B$12*'Prediction Results (Transposed)'!J$4 + $B$13*'Prediction Results (Transposed)'!J$5)*AB18</f>
        <v>1077000643.447001</v>
      </c>
      <c r="AC132" s="63">
        <f>($B$11*'Prediction Results (Transposed)'!K$3+$B$12*'Prediction Results (Transposed)'!K$4 + $B$13*'Prediction Results (Transposed)'!K$5)*AC18</f>
        <v>1540158452.4434659</v>
      </c>
      <c r="AD132" s="63">
        <f>($B$11*'Prediction Results (Transposed)'!L$3+$B$12*'Prediction Results (Transposed)'!L$4 + $B$13*'Prediction Results (Transposed)'!L$5)*AD18</f>
        <v>70799134.309212625</v>
      </c>
      <c r="AE132" s="63">
        <f>($B$11*'Prediction Results (Transposed)'!M$3+$B$12*'Prediction Results (Transposed)'!M$4 + $B$13*'Prediction Results (Transposed)'!M$5)*AE18</f>
        <v>16384135.212022126</v>
      </c>
      <c r="AF132" s="63">
        <f>($B$11*'Prediction Results (Transposed)'!N$3+$B$12*'Prediction Results (Transposed)'!N$4 + $B$13*'Prediction Results (Transposed)'!N$5)*AF18</f>
        <v>20347866.603707451</v>
      </c>
      <c r="AG132" s="63">
        <f>($B$11*'Prediction Results (Transposed)'!O$3+$B$12*'Prediction Results (Transposed)'!O$4 + $B$13*'Prediction Results (Transposed)'!O$5)*AG18</f>
        <v>33622749.920406997</v>
      </c>
    </row>
    <row r="133" spans="1:33">
      <c r="A133" s="589"/>
      <c r="B133" s="590"/>
      <c r="C133" s="38">
        <v>2080</v>
      </c>
      <c r="D133" s="63">
        <f>($B$11*'Prediction Results (Transposed)'!J$3+$B$12*'Prediction Results (Transposed)'!J$4 + $B$13*'Prediction Results (Transposed)'!J$5)*D19</f>
        <v>238704585.90290651</v>
      </c>
      <c r="E133" s="63">
        <f>($B$11*'Prediction Results (Transposed)'!K$3+$B$12*'Prediction Results (Transposed)'!K$4 + $B$13*'Prediction Results (Transposed)'!K$5)*E19</f>
        <v>341358092.82222635</v>
      </c>
      <c r="F133" s="63">
        <f>($B$11*'Prediction Results (Transposed)'!L$3+$B$12*'Prediction Results (Transposed)'!L$4 + $B$13*'Prediction Results (Transposed)'!L$5)*F19</f>
        <v>15691799.387858499</v>
      </c>
      <c r="G133" s="63">
        <f>($B$11*'Prediction Results (Transposed)'!M$3+$B$12*'Prediction Results (Transposed)'!M$4 + $B$13*'Prediction Results (Transposed)'!M$5)*G19</f>
        <v>3631351.7869828735</v>
      </c>
      <c r="H133" s="63">
        <f>($B$11*'Prediction Results (Transposed)'!N$3+$B$12*'Prediction Results (Transposed)'!N$4 + $B$13*'Prediction Results (Transposed)'!N$5)*H19</f>
        <v>4509866.4529113499</v>
      </c>
      <c r="I133" s="63">
        <f>($B$11*'Prediction Results (Transposed)'!O$3+$B$12*'Prediction Results (Transposed)'!O$4 + $B$13*'Prediction Results (Transposed)'!O$5)*I19</f>
        <v>7452088.9523151778</v>
      </c>
      <c r="K133" s="38">
        <v>2080</v>
      </c>
      <c r="L133" s="63">
        <f>($B$11*'Prediction Results (Transposed)'!J$3+$B$12*'Prediction Results (Transposed)'!J$4 + $B$13*'Prediction Results (Transposed)'!J$5)*L19</f>
        <v>365634039.72023553</v>
      </c>
      <c r="M133" s="63">
        <f>($B$11*'Prediction Results (Transposed)'!K$3+$B$12*'Prediction Results (Transposed)'!K$4 + $B$13*'Prediction Results (Transposed)'!K$5)*M19</f>
        <v>522872813.68173349</v>
      </c>
      <c r="N133" s="63">
        <f>($B$11*'Prediction Results (Transposed)'!L$3+$B$12*'Prediction Results (Transposed)'!L$4 + $B$13*'Prediction Results (Transposed)'!L$5)*N19</f>
        <v>24035801.318856698</v>
      </c>
      <c r="O133" s="63">
        <f>($B$11*'Prediction Results (Transposed)'!M$3+$B$12*'Prediction Results (Transposed)'!M$4 + $B$13*'Prediction Results (Transposed)'!M$5)*O19</f>
        <v>5562297.0899264868</v>
      </c>
      <c r="P133" s="63">
        <f>($B$11*'Prediction Results (Transposed)'!N$3+$B$12*'Prediction Results (Transposed)'!N$4 + $B$13*'Prediction Results (Transposed)'!N$5)*P19</f>
        <v>6907955.6370461341</v>
      </c>
      <c r="Q133" s="63">
        <f>($B$11*'Prediction Results (Transposed)'!O$3+$B$12*'Prediction Results (Transposed)'!O$4 + $B$13*'Prediction Results (Transposed)'!O$5)*Q19</f>
        <v>11414683.876655089</v>
      </c>
      <c r="S133" s="38">
        <v>2080</v>
      </c>
      <c r="T133" s="63">
        <f>($B$11*'Prediction Results (Transposed)'!J$3+$B$12*'Prediction Results (Transposed)'!J$4 + $B$13*'Prediction Results (Transposed)'!J$5)*T19</f>
        <v>711344165.25369751</v>
      </c>
      <c r="U133" s="63">
        <f>($B$11*'Prediction Results (Transposed)'!K$3+$B$12*'Prediction Results (Transposed)'!K$4 + $B$13*'Prediction Results (Transposed)'!K$5)*U19</f>
        <v>1017253550.7549467</v>
      </c>
      <c r="V133" s="63">
        <f>($B$11*'Prediction Results (Transposed)'!L$3+$B$12*'Prediction Results (Transposed)'!L$4 + $B$13*'Prediction Results (Transposed)'!L$5)*V19</f>
        <v>46761857.945305496</v>
      </c>
      <c r="W133" s="63">
        <f>($B$11*'Prediction Results (Transposed)'!M$3+$B$12*'Prediction Results (Transposed)'!M$4 + $B$13*'Prediction Results (Transposed)'!M$5)*W19</f>
        <v>10821496.771346286</v>
      </c>
      <c r="X133" s="63">
        <f>($B$11*'Prediction Results (Transposed)'!N$3+$B$12*'Prediction Results (Transposed)'!N$4 + $B$13*'Prediction Results (Transposed)'!N$5)*X19</f>
        <v>13439487.034642747</v>
      </c>
      <c r="Y133" s="63">
        <f>($B$11*'Prediction Results (Transposed)'!O$3+$B$12*'Prediction Results (Transposed)'!O$4 + $B$13*'Prediction Results (Transposed)'!O$5)*Y19</f>
        <v>22207365.539835639</v>
      </c>
      <c r="AA133" s="38">
        <v>2080</v>
      </c>
      <c r="AB133" s="63">
        <f>($B$11*'Prediction Results (Transposed)'!J$3+$B$12*'Prediction Results (Transposed)'!J$4 + $B$13*'Prediction Results (Transposed)'!J$5)*AB19</f>
        <v>2748877813.8443007</v>
      </c>
      <c r="AC133" s="63">
        <f>($B$11*'Prediction Results (Transposed)'!K$3+$B$12*'Prediction Results (Transposed)'!K$4 + $B$13*'Prediction Results (Transposed)'!K$5)*AC19</f>
        <v>3931016592.6887455</v>
      </c>
      <c r="AD133" s="63">
        <f>($B$11*'Prediction Results (Transposed)'!L$3+$B$12*'Prediction Results (Transposed)'!L$4 + $B$13*'Prediction Results (Transposed)'!L$5)*AD19</f>
        <v>180703856.3311263</v>
      </c>
      <c r="AE133" s="63">
        <f>($B$11*'Prediction Results (Transposed)'!M$3+$B$12*'Prediction Results (Transposed)'!M$4 + $B$13*'Prediction Results (Transposed)'!M$5)*AE19</f>
        <v>41817974.814951107</v>
      </c>
      <c r="AF133" s="63">
        <f>($B$11*'Prediction Results (Transposed)'!N$3+$B$12*'Prediction Results (Transposed)'!N$4 + $B$13*'Prediction Results (Transposed)'!N$5)*AF19</f>
        <v>51934787.046157688</v>
      </c>
      <c r="AG133" s="63">
        <f>($B$11*'Prediction Results (Transposed)'!O$3+$B$12*'Prediction Results (Transposed)'!O$4 + $B$13*'Prediction Results (Transposed)'!O$5)*AG19</f>
        <v>85816876.581272185</v>
      </c>
    </row>
    <row r="134" spans="1:33">
      <c r="A134" s="589"/>
      <c r="B134" s="590"/>
      <c r="C134" s="38">
        <v>2090</v>
      </c>
      <c r="D134" s="63">
        <f>($B$11*'Prediction Results (Transposed)'!J$3+$B$12*'Prediction Results (Transposed)'!J$4 + $B$13*'Prediction Results (Transposed)'!J$5)*D20</f>
        <v>313463825.20378464</v>
      </c>
      <c r="E134" s="63">
        <f>($B$11*'Prediction Results (Transposed)'!K$3+$B$12*'Prediction Results (Transposed)'!K$4 + $B$13*'Prediction Results (Transposed)'!K$5)*E20</f>
        <v>448267104.44451821</v>
      </c>
      <c r="F134" s="63">
        <f>($B$11*'Prediction Results (Transposed)'!L$3+$B$12*'Prediction Results (Transposed)'!L$4 + $B$13*'Prediction Results (Transposed)'!L$5)*F20</f>
        <v>20606271.311642356</v>
      </c>
      <c r="G134" s="63">
        <f>($B$11*'Prediction Results (Transposed)'!M$3+$B$12*'Prediction Results (Transposed)'!M$4 + $B$13*'Prediction Results (Transposed)'!M$5)*G20</f>
        <v>4768644.9655024838</v>
      </c>
      <c r="H134" s="63">
        <f>($B$11*'Prediction Results (Transposed)'!N$3+$B$12*'Prediction Results (Transposed)'!N$4 + $B$13*'Prediction Results (Transposed)'!N$5)*H20</f>
        <v>5922299.247584763</v>
      </c>
      <c r="I134" s="63">
        <f>($B$11*'Prediction Results (Transposed)'!O$3+$B$12*'Prediction Results (Transposed)'!O$4 + $B$13*'Prediction Results (Transposed)'!O$5)*I20</f>
        <v>9785988.400330672</v>
      </c>
      <c r="K134" s="38">
        <v>2090</v>
      </c>
      <c r="L134" s="63">
        <f>($B$11*'Prediction Results (Transposed)'!J$3+$B$12*'Prediction Results (Transposed)'!J$4 + $B$13*'Prediction Results (Transposed)'!J$5)*L20</f>
        <v>511712108.9543435</v>
      </c>
      <c r="M134" s="63">
        <f>($B$11*'Prediction Results (Transposed)'!K$3+$B$12*'Prediction Results (Transposed)'!K$4 + $B$13*'Prediction Results (Transposed)'!K$5)*M20</f>
        <v>731770899.69165576</v>
      </c>
      <c r="N134" s="63">
        <f>($B$11*'Prediction Results (Transposed)'!L$3+$B$12*'Prediction Results (Transposed)'!L$4 + $B$13*'Prediction Results (Transposed)'!L$5)*N20</f>
        <v>33638581.880096912</v>
      </c>
      <c r="O134" s="63">
        <f>($B$11*'Prediction Results (Transposed)'!M$3+$B$12*'Prediction Results (Transposed)'!M$4 + $B$13*'Prediction Results (Transposed)'!M$5)*O20</f>
        <v>7784545.3795678588</v>
      </c>
      <c r="P134" s="63">
        <f>($B$11*'Prediction Results (Transposed)'!N$3+$B$12*'Prediction Results (Transposed)'!N$4 + $B$13*'Prediction Results (Transposed)'!N$5)*P20</f>
        <v>9667821.2736993395</v>
      </c>
      <c r="Q134" s="63">
        <f>($B$11*'Prediction Results (Transposed)'!O$3+$B$12*'Prediction Results (Transposed)'!O$4 + $B$13*'Prediction Results (Transposed)'!O$5)*Q20</f>
        <v>15975077.058032056</v>
      </c>
      <c r="S134" s="38">
        <v>2090</v>
      </c>
      <c r="T134" s="63">
        <f>($B$11*'Prediction Results (Transposed)'!J$3+$B$12*'Prediction Results (Transposed)'!J$4 + $B$13*'Prediction Results (Transposed)'!J$5)*T20</f>
        <v>1196757373.3525183</v>
      </c>
      <c r="U134" s="63">
        <f>($B$11*'Prediction Results (Transposed)'!K$3+$B$12*'Prediction Results (Transposed)'!K$4 + $B$13*'Prediction Results (Transposed)'!K$5)*U20</f>
        <v>1711415861.5482993</v>
      </c>
      <c r="V134" s="63">
        <f>($B$11*'Prediction Results (Transposed)'!L$3+$B$12*'Prediction Results (Transposed)'!L$4 + $B$13*'Prediction Results (Transposed)'!L$5)*V20</f>
        <v>78671620.603999168</v>
      </c>
      <c r="W134" s="63">
        <f>($B$11*'Prediction Results (Transposed)'!M$3+$B$12*'Prediction Results (Transposed)'!M$4 + $B$13*'Prediction Results (Transposed)'!M$5)*W20</f>
        <v>18205963.701410733</v>
      </c>
      <c r="X134" s="63">
        <f>($B$11*'Prediction Results (Transposed)'!N$3+$B$12*'Prediction Results (Transposed)'!N$4 + $B$13*'Prediction Results (Transposed)'!N$5)*X20</f>
        <v>22610440.892627642</v>
      </c>
      <c r="Y134" s="63">
        <f>($B$11*'Prediction Results (Transposed)'!O$3+$B$12*'Prediction Results (Transposed)'!O$4 + $B$13*'Prediction Results (Transposed)'!O$5)*Y20</f>
        <v>37361420.463826291</v>
      </c>
      <c r="AA134" s="38">
        <v>2090</v>
      </c>
      <c r="AB134" s="63">
        <f>($B$11*'Prediction Results (Transposed)'!J$3+$B$12*'Prediction Results (Transposed)'!J$4 + $B$13*'Prediction Results (Transposed)'!J$5)*AB20</f>
        <v>6838535853.8923569</v>
      </c>
      <c r="AC134" s="63">
        <f>($B$11*'Prediction Results (Transposed)'!K$3+$B$12*'Prediction Results (Transposed)'!K$4 + $B$13*'Prediction Results (Transposed)'!K$5)*AC20</f>
        <v>9779408082.8033504</v>
      </c>
      <c r="AD134" s="63">
        <f>($B$11*'Prediction Results (Transposed)'!L$3+$B$12*'Prediction Results (Transposed)'!L$4 + $B$13*'Prediction Results (Transposed)'!L$5)*AD20</f>
        <v>449547009.41357112</v>
      </c>
      <c r="AE134" s="63">
        <f>($B$11*'Prediction Results (Transposed)'!M$3+$B$12*'Prediction Results (Transposed)'!M$4 + $B$13*'Prediction Results (Transposed)'!M$5)*AE20</f>
        <v>104032896.13999867</v>
      </c>
      <c r="AF134" s="63">
        <f>($B$11*'Prediction Results (Transposed)'!N$3+$B$12*'Prediction Results (Transposed)'!N$4 + $B$13*'Prediction Results (Transposed)'!N$5)*AF20</f>
        <v>129201051.24015172</v>
      </c>
      <c r="AG134" s="63">
        <f>($B$11*'Prediction Results (Transposed)'!O$3+$B$12*'Prediction Results (Transposed)'!O$4 + $B$13*'Prediction Results (Transposed)'!O$5)*AG20</f>
        <v>213491405.26161116</v>
      </c>
    </row>
    <row r="135" spans="1:33">
      <c r="A135" s="589"/>
      <c r="B135" s="590"/>
      <c r="C135" s="39">
        <v>2100</v>
      </c>
      <c r="D135" s="63">
        <f>($B$11*'Prediction Results (Transposed)'!J$3+$B$12*'Prediction Results (Transposed)'!J$4 + $B$13*'Prediction Results (Transposed)'!J$5)*D21</f>
        <v>410091231.84386045</v>
      </c>
      <c r="E135" s="63">
        <f>($B$11*'Prediction Results (Transposed)'!K$3+$B$12*'Prediction Results (Transposed)'!K$4 + $B$13*'Prediction Results (Transposed)'!K$5)*E21</f>
        <v>586448560.49090743</v>
      </c>
      <c r="F135" s="63">
        <f>($B$11*'Prediction Results (Transposed)'!L$3+$B$12*'Prediction Results (Transposed)'!L$4 + $B$13*'Prediction Results (Transposed)'!L$5)*F21</f>
        <v>26958297.9165348</v>
      </c>
      <c r="G135" s="63">
        <f>($B$11*'Prediction Results (Transposed)'!M$3+$B$12*'Prediction Results (Transposed)'!M$4 + $B$13*'Prediction Results (Transposed)'!M$5)*G21</f>
        <v>6238612.9782522861</v>
      </c>
      <c r="H135" s="63">
        <f>($B$11*'Prediction Results (Transposed)'!N$3+$B$12*'Prediction Results (Transposed)'!N$4 + $B$13*'Prediction Results (Transposed)'!N$5)*H21</f>
        <v>7747889.2252115617</v>
      </c>
      <c r="I135" s="63">
        <f>($B$11*'Prediction Results (Transposed)'!O$3+$B$12*'Prediction Results (Transposed)'!O$4 + $B$13*'Prediction Results (Transposed)'!O$5)*I21</f>
        <v>12802587.460586129</v>
      </c>
      <c r="K135" s="38">
        <v>2100</v>
      </c>
      <c r="L135" s="63">
        <f>($B$11*'Prediction Results (Transposed)'!J$3+$B$12*'Prediction Results (Transposed)'!J$4 + $B$13*'Prediction Results (Transposed)'!J$5)*L21</f>
        <v>701721399.04627728</v>
      </c>
      <c r="M135" s="63">
        <f>($B$11*'Prediction Results (Transposed)'!K$3+$B$12*'Prediction Results (Transposed)'!K$4 + $B$13*'Prediction Results (Transposed)'!K$5)*M21</f>
        <v>1003492570.387459</v>
      </c>
      <c r="N135" s="63">
        <f>($B$11*'Prediction Results (Transposed)'!L$3+$B$12*'Prediction Results (Transposed)'!L$4 + $B$13*'Prediction Results (Transposed)'!L$5)*N21</f>
        <v>46129283.09840028</v>
      </c>
      <c r="O135" s="63">
        <f>($B$11*'Prediction Results (Transposed)'!M$3+$B$12*'Prediction Results (Transposed)'!M$4 + $B$13*'Prediction Results (Transposed)'!M$5)*O21</f>
        <v>10675108.091250934</v>
      </c>
      <c r="P135" s="63">
        <f>($B$11*'Prediction Results (Transposed)'!N$3+$B$12*'Prediction Results (Transposed)'!N$4 + $B$13*'Prediction Results (Transposed)'!N$5)*P21</f>
        <v>13257683.277756797</v>
      </c>
      <c r="Q135" s="63">
        <f>($B$11*'Prediction Results (Transposed)'!O$3+$B$12*'Prediction Results (Transposed)'!O$4 + $B$13*'Prediction Results (Transposed)'!O$5)*Q21</f>
        <v>21906953.591427591</v>
      </c>
      <c r="S135" s="39">
        <v>2100</v>
      </c>
      <c r="T135" s="63">
        <f>($B$11*'Prediction Results (Transposed)'!J$3+$B$12*'Prediction Results (Transposed)'!J$4 + $B$13*'Prediction Results (Transposed)'!J$5)*T21</f>
        <v>1986731402.5575287</v>
      </c>
      <c r="U135" s="63">
        <f>($B$11*'Prediction Results (Transposed)'!K$3+$B$12*'Prediction Results (Transposed)'!K$4 + $B$13*'Prediction Results (Transposed)'!K$5)*U21</f>
        <v>2841113588.0016928</v>
      </c>
      <c r="V135" s="63">
        <f>($B$11*'Prediction Results (Transposed)'!L$3+$B$12*'Prediction Results (Transposed)'!L$4 + $B$13*'Prediction Results (Transposed)'!L$5)*V21</f>
        <v>130602394.95847863</v>
      </c>
      <c r="W135" s="63">
        <f>($B$11*'Prediction Results (Transposed)'!M$3+$B$12*'Prediction Results (Transposed)'!M$4 + $B$13*'Prediction Results (Transposed)'!M$5)*W21</f>
        <v>30223636.473690499</v>
      </c>
      <c r="X135" s="63">
        <f>($B$11*'Prediction Results (Transposed)'!N$3+$B$12*'Prediction Results (Transposed)'!N$4 + $B$13*'Prediction Results (Transposed)'!N$5)*X21</f>
        <v>37535488.76930318</v>
      </c>
      <c r="Y135" s="63">
        <f>($B$11*'Prediction Results (Transposed)'!O$3+$B$12*'Prediction Results (Transposed)'!O$4 + $B$13*'Prediction Results (Transposed)'!O$5)*Y21</f>
        <v>62023522.004050143</v>
      </c>
      <c r="AA135" s="38">
        <v>2100</v>
      </c>
      <c r="AB135" s="63">
        <f>($B$11*'Prediction Results (Transposed)'!J$3+$B$12*'Prediction Results (Transposed)'!J$4 + $B$13*'Prediction Results (Transposed)'!J$5)*AB21</f>
        <v>16108351690.869579</v>
      </c>
      <c r="AC135" s="63">
        <f>($B$11*'Prediction Results (Transposed)'!K$3+$B$12*'Prediction Results (Transposed)'!K$4 + $B$13*'Prediction Results (Transposed)'!K$5)*AC21</f>
        <v>23035653843.456264</v>
      </c>
      <c r="AD135" s="63">
        <f>($B$11*'Prediction Results (Transposed)'!L$3+$B$12*'Prediction Results (Transposed)'!L$4 + $B$13*'Prediction Results (Transposed)'!L$5)*AD21</f>
        <v>1058919845.4067862</v>
      </c>
      <c r="AE135" s="63">
        <f>($B$11*'Prediction Results (Transposed)'!M$3+$B$12*'Prediction Results (Transposed)'!M$4 + $B$13*'Prediction Results (Transposed)'!M$5)*AE21</f>
        <v>245052232.56071335</v>
      </c>
      <c r="AF135" s="63">
        <f>($B$11*'Prediction Results (Transposed)'!N$3+$B$12*'Prediction Results (Transposed)'!N$4 + $B$13*'Prediction Results (Transposed)'!N$5)*AF21</f>
        <v>304336486.15322214</v>
      </c>
      <c r="AG135" s="63">
        <f>($B$11*'Prediction Results (Transposed)'!O$3+$B$12*'Prediction Results (Transposed)'!O$4 + $B$13*'Prediction Results (Transposed)'!O$5)*AG21</f>
        <v>502884639.69587719</v>
      </c>
    </row>
    <row r="136" spans="1:33">
      <c r="A136" s="383"/>
      <c r="B136" s="383"/>
      <c r="C136" s="379" t="s">
        <v>87</v>
      </c>
      <c r="D136" s="597" t="s">
        <v>271</v>
      </c>
      <c r="E136" s="597"/>
      <c r="F136" s="597"/>
      <c r="G136" s="597"/>
      <c r="H136" s="597"/>
      <c r="I136" s="598"/>
      <c r="K136" s="376" t="s">
        <v>87</v>
      </c>
      <c r="L136" s="597" t="s">
        <v>271</v>
      </c>
      <c r="M136" s="597"/>
      <c r="N136" s="597"/>
      <c r="O136" s="597"/>
      <c r="P136" s="597"/>
      <c r="Q136" s="598"/>
      <c r="S136" s="379" t="s">
        <v>87</v>
      </c>
      <c r="T136" s="597" t="s">
        <v>271</v>
      </c>
      <c r="U136" s="597"/>
      <c r="V136" s="597"/>
      <c r="W136" s="597"/>
      <c r="X136" s="597"/>
      <c r="Y136" s="598"/>
      <c r="AA136" s="376" t="s">
        <v>87</v>
      </c>
      <c r="AB136" s="601" t="s">
        <v>271</v>
      </c>
      <c r="AC136" s="601"/>
      <c r="AD136" s="601"/>
      <c r="AE136" s="601"/>
      <c r="AF136" s="601"/>
      <c r="AG136" s="601"/>
    </row>
    <row r="137" spans="1:33">
      <c r="A137" s="589"/>
      <c r="B137" s="590"/>
      <c r="C137" s="38">
        <v>2020</v>
      </c>
      <c r="D137" s="63">
        <f>'Demographic-Economic'!C38</f>
        <v>531771287</v>
      </c>
      <c r="E137" s="63">
        <f>'Demographic-Economic'!D38</f>
        <v>222153795</v>
      </c>
      <c r="F137" s="63">
        <f>'Demographic-Economic'!E38</f>
        <v>417708522</v>
      </c>
      <c r="G137" s="63">
        <f>'Demographic-Economic'!F38</f>
        <v>45815957</v>
      </c>
      <c r="H137" s="63">
        <f>'Demographic-Economic'!G38</f>
        <v>69643447</v>
      </c>
      <c r="I137" s="63">
        <f>'Demographic-Economic'!H38</f>
        <v>9845914</v>
      </c>
      <c r="K137" s="38">
        <v>2020</v>
      </c>
      <c r="L137" s="61">
        <f>'Demographic-Economic'!C38</f>
        <v>531771287</v>
      </c>
      <c r="M137" s="61">
        <f>'Demographic-Economic'!D38</f>
        <v>222153795</v>
      </c>
      <c r="N137" s="61">
        <f>'Demographic-Economic'!E38</f>
        <v>417708522</v>
      </c>
      <c r="O137" s="61">
        <f>'Demographic-Economic'!F38</f>
        <v>45815957</v>
      </c>
      <c r="P137" s="61">
        <f>'Demographic-Economic'!G38</f>
        <v>69643447</v>
      </c>
      <c r="Q137" s="61">
        <f>'Demographic-Economic'!H38</f>
        <v>9845914</v>
      </c>
      <c r="S137" s="38">
        <v>2020</v>
      </c>
      <c r="T137" s="61">
        <f>'Demographic-Economic'!C38</f>
        <v>531771287</v>
      </c>
      <c r="U137" s="61">
        <f>'Demographic-Economic'!D38</f>
        <v>222153795</v>
      </c>
      <c r="V137" s="61">
        <f>'Demographic-Economic'!E38</f>
        <v>417708522</v>
      </c>
      <c r="W137" s="61">
        <f>'Demographic-Economic'!F38</f>
        <v>45815957</v>
      </c>
      <c r="X137" s="61">
        <f>'Demographic-Economic'!G38</f>
        <v>69643447</v>
      </c>
      <c r="Y137" s="61">
        <f>'Demographic-Economic'!H38</f>
        <v>9845914</v>
      </c>
      <c r="AA137" s="38">
        <v>2020</v>
      </c>
      <c r="AB137" s="61">
        <f>'Demographic-Economic'!C38</f>
        <v>531771287</v>
      </c>
      <c r="AC137" s="61">
        <f>'Demographic-Economic'!D38</f>
        <v>222153795</v>
      </c>
      <c r="AD137" s="61">
        <f>'Demographic-Economic'!E38</f>
        <v>417708522</v>
      </c>
      <c r="AE137" s="61">
        <f>'Demographic-Economic'!F38</f>
        <v>45815957</v>
      </c>
      <c r="AF137" s="61">
        <f>'Demographic-Economic'!G38</f>
        <v>69643447</v>
      </c>
      <c r="AG137" s="61">
        <f>'Demographic-Economic'!H38</f>
        <v>9845914</v>
      </c>
    </row>
    <row r="138" spans="1:33">
      <c r="A138" s="589"/>
      <c r="B138" s="590"/>
      <c r="C138" s="38">
        <v>2021</v>
      </c>
      <c r="D138" s="63">
        <f>D$137*'Economic Projections'!$H4</f>
        <v>559989321.41034174</v>
      </c>
      <c r="E138" s="63">
        <f>E$137*'Economic Projections'!$H4</f>
        <v>233942215.29449028</v>
      </c>
      <c r="F138" s="63">
        <f>F$137*'Economic Projections'!$H4</f>
        <v>439873903.50035357</v>
      </c>
      <c r="G138" s="63">
        <f>G$137*'Economic Projections'!$H4</f>
        <v>48247145.525545083</v>
      </c>
      <c r="H138" s="63">
        <f>H$137*'Economic Projections'!$H4</f>
        <v>73339022.958956987</v>
      </c>
      <c r="I138" s="63">
        <f>I$137*'Economic Projections'!$H4</f>
        <v>10368379.85486152</v>
      </c>
      <c r="K138" s="38">
        <v>2021</v>
      </c>
      <c r="L138" s="63">
        <f>L$137*'Economic Projections'!$I4</f>
        <v>553707641.09896207</v>
      </c>
      <c r="M138" s="63">
        <f>M$137*'Economic Projections'!$I4</f>
        <v>231317968.45329183</v>
      </c>
      <c r="N138" s="63">
        <f>N$137*'Economic Projections'!$I4</f>
        <v>434939617.91049826</v>
      </c>
      <c r="O138" s="63">
        <f>O$137*'Economic Projections'!$I4</f>
        <v>47705933.162129305</v>
      </c>
      <c r="P138" s="63">
        <f>P$137*'Economic Projections'!$I4</f>
        <v>72516342.456020176</v>
      </c>
      <c r="Q138" s="381">
        <f>Q$137*'Economic Projections'!$I4</f>
        <v>10252072.552016608</v>
      </c>
      <c r="S138" s="38">
        <v>2021</v>
      </c>
      <c r="T138" s="63">
        <f>'Economic Projections'!$J4*T$137</f>
        <v>549695364.36366522</v>
      </c>
      <c r="U138" s="63">
        <f>'Economic Projections'!$J4*U$137</f>
        <v>229641792.01216632</v>
      </c>
      <c r="V138" s="63">
        <f>'Economic Projections'!$J4*V$137</f>
        <v>431787958.11628336</v>
      </c>
      <c r="W138" s="63">
        <f>'Economic Projections'!$J4*W$137</f>
        <v>47360246.392515399</v>
      </c>
      <c r="X138" s="63">
        <f>'Economic Projections'!$J4*X$137</f>
        <v>71990874.479476377</v>
      </c>
      <c r="Y138" s="381">
        <f>'Economic Projections'!$J4*Y$137</f>
        <v>10177783.975995893</v>
      </c>
      <c r="AA138" s="38">
        <v>2021</v>
      </c>
      <c r="AB138" s="63">
        <f>AB$137*'Economic Projections'!$K4</f>
        <v>565117886.84229636</v>
      </c>
      <c r="AC138" s="63">
        <f>AC$137*'Economic Projections'!$K4</f>
        <v>236084734.64720312</v>
      </c>
      <c r="AD138" s="63">
        <f>AD$137*'Economic Projections'!$K4</f>
        <v>443902412.63375854</v>
      </c>
      <c r="AE138" s="63">
        <f>AE$137*'Economic Projections'!$K4</f>
        <v>48689008.670559369</v>
      </c>
      <c r="AF138" s="63">
        <f>AF$137*'Economic Projections'!$K4</f>
        <v>74010685.727477908</v>
      </c>
      <c r="AG138" s="381">
        <f>AG$137*'Economic Projections'!$K4</f>
        <v>10463336.870068694</v>
      </c>
    </row>
    <row r="139" spans="1:33">
      <c r="A139" s="589"/>
      <c r="B139" s="590"/>
      <c r="C139" s="38">
        <v>2022</v>
      </c>
      <c r="D139" s="63">
        <f>D$137*'Economic Projections'!$H5</f>
        <v>588207355.8206836</v>
      </c>
      <c r="E139" s="63">
        <f>E$137*'Economic Projections'!$H5</f>
        <v>245730635.58898056</v>
      </c>
      <c r="F139" s="63">
        <f>F$137*'Economic Projections'!$H5</f>
        <v>462039285.00070715</v>
      </c>
      <c r="G139" s="63">
        <f>G$137*'Economic Projections'!$H5</f>
        <v>50678334.051090159</v>
      </c>
      <c r="H139" s="63">
        <f>H$137*'Economic Projections'!$H5</f>
        <v>77034598.917913973</v>
      </c>
      <c r="I139" s="63">
        <f>I$137*'Economic Projections'!$H5</f>
        <v>10890845.70972304</v>
      </c>
      <c r="K139" s="38">
        <v>2022</v>
      </c>
      <c r="L139" s="63">
        <f>L$137*'Economic Projections'!$I5</f>
        <v>575643995.19792414</v>
      </c>
      <c r="M139" s="63">
        <f>M$137*'Economic Projections'!$I5</f>
        <v>240482141.90658364</v>
      </c>
      <c r="N139" s="63">
        <f>N$137*'Economic Projections'!$I5</f>
        <v>452170713.82099646</v>
      </c>
      <c r="O139" s="63">
        <f>O$137*'Economic Projections'!$I5</f>
        <v>49595909.324258603</v>
      </c>
      <c r="P139" s="63">
        <f>P$137*'Economic Projections'!$I5</f>
        <v>75389237.912040338</v>
      </c>
      <c r="Q139" s="381">
        <f>Q$137*'Economic Projections'!$I5</f>
        <v>10658231.104033215</v>
      </c>
      <c r="S139" s="38">
        <v>2022</v>
      </c>
      <c r="T139" s="63">
        <f>'Economic Projections'!$J5*T$137</f>
        <v>567619441.72733057</v>
      </c>
      <c r="U139" s="63">
        <f>'Economic Projections'!$J5*U$137</f>
        <v>237129789.02433264</v>
      </c>
      <c r="V139" s="63">
        <f>'Economic Projections'!$J5*V$137</f>
        <v>445867394.23256671</v>
      </c>
      <c r="W139" s="63">
        <f>'Economic Projections'!$J5*W$137</f>
        <v>48904535.785030797</v>
      </c>
      <c r="X139" s="63">
        <f>'Economic Projections'!$J5*X$137</f>
        <v>74338301.95895277</v>
      </c>
      <c r="Y139" s="381">
        <f>'Economic Projections'!$J5*Y$137</f>
        <v>10509653.951991785</v>
      </c>
      <c r="AA139" s="38">
        <v>2022</v>
      </c>
      <c r="AB139" s="63">
        <f>AB$137*'Economic Projections'!$K5</f>
        <v>598464486.68459272</v>
      </c>
      <c r="AC139" s="63">
        <f>AC$137*'Economic Projections'!$K5</f>
        <v>250015674.29440629</v>
      </c>
      <c r="AD139" s="63">
        <f>AD$137*'Economic Projections'!$K5</f>
        <v>470096303.26751721</v>
      </c>
      <c r="AE139" s="63">
        <f>AE$137*'Economic Projections'!$K5</f>
        <v>51562060.341118746</v>
      </c>
      <c r="AF139" s="63">
        <f>AF$137*'Economic Projections'!$K5</f>
        <v>78377924.454955846</v>
      </c>
      <c r="AG139" s="381">
        <f>AG$137*'Economic Projections'!$K5</f>
        <v>11080759.740137389</v>
      </c>
    </row>
    <row r="140" spans="1:33">
      <c r="A140" s="589"/>
      <c r="B140" s="590"/>
      <c r="C140" s="38">
        <v>2023</v>
      </c>
      <c r="D140" s="63">
        <f>D$137*'Economic Projections'!$H6</f>
        <v>616425390.23102546</v>
      </c>
      <c r="E140" s="63">
        <f>E$137*'Economic Projections'!$H6</f>
        <v>257519055.88347089</v>
      </c>
      <c r="F140" s="63">
        <f>F$137*'Economic Projections'!$H6</f>
        <v>484204666.50106084</v>
      </c>
      <c r="G140" s="63">
        <f>G$137*'Economic Projections'!$H6</f>
        <v>53109522.576635249</v>
      </c>
      <c r="H140" s="63">
        <f>H$137*'Economic Projections'!$H6</f>
        <v>80730174.876870975</v>
      </c>
      <c r="I140" s="63">
        <f>I$137*'Economic Projections'!$H6</f>
        <v>11413311.564584564</v>
      </c>
      <c r="K140" s="38">
        <v>2023</v>
      </c>
      <c r="L140" s="63">
        <f>L$137*'Economic Projections'!$I6</f>
        <v>597580349.29688621</v>
      </c>
      <c r="M140" s="63">
        <f>M$137*'Economic Projections'!$I6</f>
        <v>249646315.35987547</v>
      </c>
      <c r="N140" s="63">
        <f>N$137*'Economic Projections'!$I6</f>
        <v>469401809.73149472</v>
      </c>
      <c r="O140" s="63">
        <f>O$137*'Economic Projections'!$I6</f>
        <v>51485885.486387908</v>
      </c>
      <c r="P140" s="63">
        <f>P$137*'Economic Projections'!$I6</f>
        <v>78262133.368060499</v>
      </c>
      <c r="Q140" s="381">
        <f>Q$137*'Economic Projections'!$I6</f>
        <v>11064389.656049823</v>
      </c>
      <c r="S140" s="38">
        <v>2023</v>
      </c>
      <c r="T140" s="63">
        <f>'Economic Projections'!$J6*T$137</f>
        <v>585543519.09099591</v>
      </c>
      <c r="U140" s="63">
        <f>'Economic Projections'!$J6*U$137</f>
        <v>244617786.03649899</v>
      </c>
      <c r="V140" s="63">
        <f>'Economic Projections'!$J6*V$137</f>
        <v>459946830.34885013</v>
      </c>
      <c r="W140" s="63">
        <f>'Economic Projections'!$J6*W$137</f>
        <v>50448825.177546203</v>
      </c>
      <c r="X140" s="63">
        <f>'Economic Projections'!$J6*X$137</f>
        <v>76685729.438429162</v>
      </c>
      <c r="Y140" s="381">
        <f>'Economic Projections'!$J6*Y$137</f>
        <v>10841523.92798768</v>
      </c>
      <c r="AA140" s="38">
        <v>2023</v>
      </c>
      <c r="AB140" s="63">
        <f>AB$137*'Economic Projections'!$K6</f>
        <v>631811086.52688909</v>
      </c>
      <c r="AC140" s="63">
        <f>AC$137*'Economic Projections'!$K6</f>
        <v>263946613.94160941</v>
      </c>
      <c r="AD140" s="63">
        <f>AD$137*'Economic Projections'!$K6</f>
        <v>496290193.90127575</v>
      </c>
      <c r="AE140" s="63">
        <f>AE$137*'Economic Projections'!$K6</f>
        <v>54435112.011678115</v>
      </c>
      <c r="AF140" s="63">
        <f>AF$137*'Economic Projections'!$K6</f>
        <v>82745163.182433754</v>
      </c>
      <c r="AG140" s="381">
        <f>AG$137*'Economic Projections'!$K6</f>
        <v>11698182.610206084</v>
      </c>
    </row>
    <row r="141" spans="1:33">
      <c r="A141" s="589"/>
      <c r="B141" s="590"/>
      <c r="C141" s="38">
        <v>2024</v>
      </c>
      <c r="D141" s="63">
        <f>D$137*'Economic Projections'!$H7</f>
        <v>644643424.64136732</v>
      </c>
      <c r="E141" s="63">
        <f>E$137*'Economic Projections'!$H7</f>
        <v>269307476.17796117</v>
      </c>
      <c r="F141" s="63">
        <f>F$137*'Economic Projections'!$H7</f>
        <v>506370048.00141436</v>
      </c>
      <c r="G141" s="63">
        <f>G$137*'Economic Projections'!$H7</f>
        <v>55540711.102180332</v>
      </c>
      <c r="H141" s="63">
        <f>H$137*'Economic Projections'!$H7</f>
        <v>84425750.835827947</v>
      </c>
      <c r="I141" s="63">
        <f>I$137*'Economic Projections'!$H7</f>
        <v>11935777.419446085</v>
      </c>
      <c r="K141" s="38">
        <v>2024</v>
      </c>
      <c r="L141" s="63">
        <f>L$137*'Economic Projections'!$I7</f>
        <v>619516703.39584816</v>
      </c>
      <c r="M141" s="63">
        <f>M$137*'Economic Projections'!$I7</f>
        <v>258810488.81316727</v>
      </c>
      <c r="N141" s="63">
        <f>N$137*'Economic Projections'!$I7</f>
        <v>486632905.64199287</v>
      </c>
      <c r="O141" s="63">
        <f>O$137*'Economic Projections'!$I7</f>
        <v>53375861.648517199</v>
      </c>
      <c r="P141" s="63">
        <f>P$137*'Economic Projections'!$I7</f>
        <v>81135028.824080661</v>
      </c>
      <c r="Q141" s="381">
        <f>Q$137*'Economic Projections'!$I7</f>
        <v>11470548.20806643</v>
      </c>
      <c r="S141" s="38">
        <v>2024</v>
      </c>
      <c r="T141" s="63">
        <f>'Economic Projections'!$J7*T$137</f>
        <v>603467596.45466125</v>
      </c>
      <c r="U141" s="63">
        <f>'Economic Projections'!$J7*U$137</f>
        <v>252105783.04866531</v>
      </c>
      <c r="V141" s="63">
        <f>'Economic Projections'!$J7*V$137</f>
        <v>474026266.46513349</v>
      </c>
      <c r="W141" s="63">
        <f>'Economic Projections'!$J7*W$137</f>
        <v>51993114.570061602</v>
      </c>
      <c r="X141" s="63">
        <f>'Economic Projections'!$J7*X$137</f>
        <v>79033156.917905554</v>
      </c>
      <c r="Y141" s="381">
        <f>'Economic Projections'!$J7*Y$137</f>
        <v>11173393.903983572</v>
      </c>
      <c r="AA141" s="38">
        <v>2024</v>
      </c>
      <c r="AB141" s="63">
        <f>AB$137*'Economic Projections'!$K7</f>
        <v>665157686.36918545</v>
      </c>
      <c r="AC141" s="63">
        <f>AC$137*'Economic Projections'!$K7</f>
        <v>277877553.58881259</v>
      </c>
      <c r="AD141" s="63">
        <f>AD$137*'Economic Projections'!$K7</f>
        <v>522484084.53503436</v>
      </c>
      <c r="AE141" s="63">
        <f>AE$137*'Economic Projections'!$K7</f>
        <v>57308163.682237491</v>
      </c>
      <c r="AF141" s="63">
        <f>AF$137*'Economic Projections'!$K7</f>
        <v>87112401.909911677</v>
      </c>
      <c r="AG141" s="381">
        <f>AG$137*'Economic Projections'!$K7</f>
        <v>12315605.48027478</v>
      </c>
    </row>
    <row r="142" spans="1:33">
      <c r="A142" s="589"/>
      <c r="B142" s="590"/>
      <c r="C142" s="38">
        <v>2025</v>
      </c>
      <c r="D142" s="63">
        <f>D$137*'Economic Projections'!$H8</f>
        <v>672861459.05170894</v>
      </c>
      <c r="E142" s="63">
        <f>E$137*'Economic Projections'!$H8</f>
        <v>281095896.47245139</v>
      </c>
      <c r="F142" s="63">
        <f>F$137*'Economic Projections'!$H8</f>
        <v>528535429.50176787</v>
      </c>
      <c r="G142" s="63">
        <f>G$137*'Economic Projections'!$H8</f>
        <v>57971899.6277254</v>
      </c>
      <c r="H142" s="63">
        <f>H$137*'Economic Projections'!$H8</f>
        <v>88121326.794784918</v>
      </c>
      <c r="I142" s="63">
        <f>I$137*'Economic Projections'!$H8</f>
        <v>12458243.274307603</v>
      </c>
      <c r="K142" s="38">
        <v>2025</v>
      </c>
      <c r="L142" s="63">
        <f>L$137*'Economic Projections'!$I8</f>
        <v>641453057.49481022</v>
      </c>
      <c r="M142" s="63">
        <f>M$137*'Economic Projections'!$I8</f>
        <v>267974662.26645911</v>
      </c>
      <c r="N142" s="63">
        <f>N$137*'Economic Projections'!$I8</f>
        <v>503864001.55249113</v>
      </c>
      <c r="O142" s="63">
        <f>O$137*'Economic Projections'!$I8</f>
        <v>55265837.810646504</v>
      </c>
      <c r="P142" s="63">
        <f>P$137*'Economic Projections'!$I8</f>
        <v>84007924.280100837</v>
      </c>
      <c r="Q142" s="381">
        <f>Q$137*'Economic Projections'!$I8</f>
        <v>11876706.760083038</v>
      </c>
      <c r="S142" s="38">
        <v>2025</v>
      </c>
      <c r="T142" s="63">
        <f>'Economic Projections'!$J8*T$137</f>
        <v>621391673.81832647</v>
      </c>
      <c r="U142" s="63">
        <f>'Economic Projections'!$J8*U$137</f>
        <v>259593780.06083164</v>
      </c>
      <c r="V142" s="63">
        <f>'Economic Projections'!$J8*V$137</f>
        <v>488105702.58141685</v>
      </c>
      <c r="W142" s="63">
        <f>'Economic Projections'!$J8*W$137</f>
        <v>53537403.962577</v>
      </c>
      <c r="X142" s="63">
        <f>'Economic Projections'!$J8*X$137</f>
        <v>81380584.397381932</v>
      </c>
      <c r="Y142" s="381">
        <f>'Economic Projections'!$J8*Y$137</f>
        <v>11505263.879979467</v>
      </c>
      <c r="AA142" s="38">
        <v>2025</v>
      </c>
      <c r="AB142" s="63">
        <f>AB$137*'Economic Projections'!$K8</f>
        <v>698504286.21148193</v>
      </c>
      <c r="AC142" s="63">
        <f>AC$137*'Economic Projections'!$K8</f>
        <v>291808493.23601574</v>
      </c>
      <c r="AD142" s="63">
        <f>AD$137*'Economic Projections'!$K8</f>
        <v>548677975.16879296</v>
      </c>
      <c r="AE142" s="63">
        <f>AE$137*'Economic Projections'!$K8</f>
        <v>60181215.352796867</v>
      </c>
      <c r="AF142" s="63">
        <f>AF$137*'Economic Projections'!$K8</f>
        <v>91479640.637389615</v>
      </c>
      <c r="AG142" s="381">
        <f>AG$137*'Economic Projections'!$K8</f>
        <v>12933028.350343475</v>
      </c>
    </row>
    <row r="143" spans="1:33">
      <c r="A143" s="589"/>
      <c r="B143" s="590"/>
      <c r="C143" s="38">
        <v>2026</v>
      </c>
      <c r="D143" s="63">
        <f>D$137*'Economic Projections'!$H9</f>
        <v>701079493.4620508</v>
      </c>
      <c r="E143" s="63">
        <f>E$137*'Economic Projections'!$H9</f>
        <v>292884316.76694167</v>
      </c>
      <c r="F143" s="63">
        <f>F$137*'Economic Projections'!$H9</f>
        <v>550700811.00212145</v>
      </c>
      <c r="G143" s="63">
        <f>G$137*'Economic Projections'!$H9</f>
        <v>60403088.153270483</v>
      </c>
      <c r="H143" s="63">
        <f>H$137*'Economic Projections'!$H9</f>
        <v>91816902.753741905</v>
      </c>
      <c r="I143" s="63">
        <f>I$137*'Economic Projections'!$H9</f>
        <v>12980709.129169123</v>
      </c>
      <c r="K143" s="38">
        <v>2026</v>
      </c>
      <c r="L143" s="63">
        <f>L$137*'Economic Projections'!$I9</f>
        <v>663389411.59377229</v>
      </c>
      <c r="M143" s="63">
        <f>M$137*'Economic Projections'!$I9</f>
        <v>277138835.71975088</v>
      </c>
      <c r="N143" s="63">
        <f>N$137*'Economic Projections'!$I9</f>
        <v>521095097.46298933</v>
      </c>
      <c r="O143" s="63">
        <f>O$137*'Economic Projections'!$I9</f>
        <v>57155813.972775802</v>
      </c>
      <c r="P143" s="63">
        <f>P$137*'Economic Projections'!$I9</f>
        <v>86880819.736120999</v>
      </c>
      <c r="Q143" s="381">
        <f>Q$137*'Economic Projections'!$I9</f>
        <v>12282865.312099645</v>
      </c>
      <c r="S143" s="38">
        <v>2026</v>
      </c>
      <c r="T143" s="63">
        <f>'Economic Projections'!$J9*T$137</f>
        <v>639315751.18199182</v>
      </c>
      <c r="U143" s="63">
        <f>'Economic Projections'!$J9*U$137</f>
        <v>267081777.07299793</v>
      </c>
      <c r="V143" s="63">
        <f>'Economic Projections'!$J9*V$137</f>
        <v>502185138.6977002</v>
      </c>
      <c r="W143" s="63">
        <f>'Economic Projections'!$J9*W$137</f>
        <v>55081693.355092399</v>
      </c>
      <c r="X143" s="63">
        <f>'Economic Projections'!$J9*X$137</f>
        <v>83728011.876858309</v>
      </c>
      <c r="Y143" s="381">
        <f>'Economic Projections'!$J9*Y$137</f>
        <v>11837133.85597536</v>
      </c>
      <c r="AA143" s="38">
        <v>2026</v>
      </c>
      <c r="AB143" s="63">
        <f>AB$137*'Economic Projections'!$K9</f>
        <v>731850886.05377829</v>
      </c>
      <c r="AC143" s="63">
        <f>AC$137*'Economic Projections'!$K9</f>
        <v>305739432.88321888</v>
      </c>
      <c r="AD143" s="63">
        <f>AD$137*'Economic Projections'!$K9</f>
        <v>574871865.80255151</v>
      </c>
      <c r="AE143" s="63">
        <f>AE$137*'Economic Projections'!$K9</f>
        <v>63054267.023356237</v>
      </c>
      <c r="AF143" s="63">
        <f>AF$137*'Economic Projections'!$K9</f>
        <v>95846879.364867523</v>
      </c>
      <c r="AG143" s="381">
        <f>AG$137*'Economic Projections'!$K9</f>
        <v>13550451.220412169</v>
      </c>
    </row>
    <row r="144" spans="1:33">
      <c r="A144" s="589"/>
      <c r="B144" s="590"/>
      <c r="C144" s="38">
        <v>2027</v>
      </c>
      <c r="D144" s="63">
        <f>D$137*'Economic Projections'!$H10</f>
        <v>729297527.87239242</v>
      </c>
      <c r="E144" s="63">
        <f>E$137*'Economic Projections'!$H10</f>
        <v>304672737.06143194</v>
      </c>
      <c r="F144" s="63">
        <f>F$137*'Economic Projections'!$H10</f>
        <v>572866192.5024749</v>
      </c>
      <c r="G144" s="63">
        <f>G$137*'Economic Projections'!$H10</f>
        <v>62834276.678815551</v>
      </c>
      <c r="H144" s="63">
        <f>H$137*'Economic Projections'!$H10</f>
        <v>95512478.712698877</v>
      </c>
      <c r="I144" s="63">
        <f>I$137*'Economic Projections'!$H10</f>
        <v>13503174.984030642</v>
      </c>
      <c r="K144" s="38">
        <v>2027</v>
      </c>
      <c r="L144" s="63">
        <f>L$137*'Economic Projections'!$I10</f>
        <v>685325765.69273436</v>
      </c>
      <c r="M144" s="63">
        <f>M$137*'Economic Projections'!$I10</f>
        <v>286303009.17304271</v>
      </c>
      <c r="N144" s="63">
        <f>N$137*'Economic Projections'!$I10</f>
        <v>538326193.37348759</v>
      </c>
      <c r="O144" s="63">
        <f>O$137*'Economic Projections'!$I10</f>
        <v>59045790.134905107</v>
      </c>
      <c r="P144" s="63">
        <f>P$137*'Economic Projections'!$I10</f>
        <v>89753715.192141175</v>
      </c>
      <c r="Q144" s="381">
        <f>Q$137*'Economic Projections'!$I10</f>
        <v>12689023.864116253</v>
      </c>
      <c r="S144" s="38">
        <v>2027</v>
      </c>
      <c r="T144" s="63">
        <f>'Economic Projections'!$J10*T$137</f>
        <v>657239828.54565716</v>
      </c>
      <c r="U144" s="63">
        <f>'Economic Projections'!$J10*U$137</f>
        <v>274569774.08516431</v>
      </c>
      <c r="V144" s="63">
        <f>'Economic Projections'!$J10*V$137</f>
        <v>516264574.81398362</v>
      </c>
      <c r="W144" s="63">
        <f>'Economic Projections'!$J10*W$137</f>
        <v>56625982.747607812</v>
      </c>
      <c r="X144" s="63">
        <f>'Economic Projections'!$J10*X$137</f>
        <v>86075439.356334716</v>
      </c>
      <c r="Y144" s="381">
        <f>'Economic Projections'!$J10*Y$137</f>
        <v>12169003.831971254</v>
      </c>
      <c r="AA144" s="38">
        <v>2027</v>
      </c>
      <c r="AB144" s="63">
        <f>AB$137*'Economic Projections'!$K10</f>
        <v>765197485.89607453</v>
      </c>
      <c r="AC144" s="63">
        <f>AC$137*'Economic Projections'!$K10</f>
        <v>319670372.53042197</v>
      </c>
      <c r="AD144" s="63">
        <f>AD$137*'Economic Projections'!$K10</f>
        <v>601065756.43631005</v>
      </c>
      <c r="AE144" s="63">
        <f>AE$137*'Economic Projections'!$K10</f>
        <v>65927318.693915598</v>
      </c>
      <c r="AF144" s="63">
        <f>AF$137*'Economic Projections'!$K10</f>
        <v>100214118.09234543</v>
      </c>
      <c r="AG144" s="381">
        <f>AG$137*'Economic Projections'!$K10</f>
        <v>14167874.090480864</v>
      </c>
    </row>
    <row r="145" spans="1:34">
      <c r="A145" s="589"/>
      <c r="B145" s="590"/>
      <c r="C145" s="38">
        <v>2028</v>
      </c>
      <c r="D145" s="63">
        <f>D$137*'Economic Projections'!$H11</f>
        <v>757515562.28273416</v>
      </c>
      <c r="E145" s="63">
        <f>E$137*'Economic Projections'!$H11</f>
        <v>316461157.35592222</v>
      </c>
      <c r="F145" s="63">
        <f>F$137*'Economic Projections'!$H11</f>
        <v>595031574.00282848</v>
      </c>
      <c r="G145" s="63">
        <f>G$137*'Economic Projections'!$H11</f>
        <v>65265465.204360634</v>
      </c>
      <c r="H145" s="63">
        <f>H$137*'Economic Projections'!$H11</f>
        <v>99208054.671655864</v>
      </c>
      <c r="I145" s="63">
        <f>I$137*'Economic Projections'!$H11</f>
        <v>14025640.838892162</v>
      </c>
      <c r="K145" s="38">
        <v>2028</v>
      </c>
      <c r="L145" s="63">
        <f>L$137*'Economic Projections'!$I11</f>
        <v>707262119.79169643</v>
      </c>
      <c r="M145" s="63">
        <f>M$137*'Economic Projections'!$I11</f>
        <v>295467182.62633455</v>
      </c>
      <c r="N145" s="63">
        <f>N$137*'Economic Projections'!$I11</f>
        <v>555557289.28398585</v>
      </c>
      <c r="O145" s="63">
        <f>O$137*'Economic Projections'!$I11</f>
        <v>60935766.297034413</v>
      </c>
      <c r="P145" s="63">
        <f>P$137*'Economic Projections'!$I11</f>
        <v>92626610.648161352</v>
      </c>
      <c r="Q145" s="381">
        <f>Q$137*'Economic Projections'!$I11</f>
        <v>13095182.416132862</v>
      </c>
      <c r="S145" s="38">
        <v>2028</v>
      </c>
      <c r="T145" s="63">
        <f>'Economic Projections'!$J11*T$137</f>
        <v>675163905.90932238</v>
      </c>
      <c r="U145" s="63">
        <f>'Economic Projections'!$J11*U$137</f>
        <v>282057771.09733063</v>
      </c>
      <c r="V145" s="63">
        <f>'Economic Projections'!$J11*V$137</f>
        <v>530344010.93026698</v>
      </c>
      <c r="W145" s="63">
        <f>'Economic Projections'!$J11*W$137</f>
        <v>58170272.140123211</v>
      </c>
      <c r="X145" s="63">
        <f>'Economic Projections'!$J11*X$137</f>
        <v>88422866.835811093</v>
      </c>
      <c r="Y145" s="381">
        <f>'Economic Projections'!$J11*Y$137</f>
        <v>12500873.807967147</v>
      </c>
      <c r="AA145" s="38">
        <v>2028</v>
      </c>
      <c r="AB145" s="63">
        <f>AB$137*'Economic Projections'!$K11</f>
        <v>798544085.73837078</v>
      </c>
      <c r="AC145" s="63">
        <f>AC$137*'Economic Projections'!$K11</f>
        <v>333601312.17762506</v>
      </c>
      <c r="AD145" s="63">
        <f>AD$137*'Economic Projections'!$K11</f>
        <v>627259647.0700686</v>
      </c>
      <c r="AE145" s="63">
        <f>AE$137*'Economic Projections'!$K11</f>
        <v>68800370.364474952</v>
      </c>
      <c r="AF145" s="63">
        <f>AF$137*'Economic Projections'!$K11</f>
        <v>104581356.81982332</v>
      </c>
      <c r="AG145" s="381">
        <f>AG$137*'Economic Projections'!$K11</f>
        <v>14785296.960549554</v>
      </c>
    </row>
    <row r="146" spans="1:34">
      <c r="A146" s="589"/>
      <c r="B146" s="590"/>
      <c r="C146" s="38">
        <v>2029</v>
      </c>
      <c r="D146" s="63">
        <f>D$137*'Economic Projections'!$H12</f>
        <v>785733596.6930759</v>
      </c>
      <c r="E146" s="63">
        <f>E$137*'Economic Projections'!$H12</f>
        <v>328249577.65041244</v>
      </c>
      <c r="F146" s="63">
        <f>F$137*'Economic Projections'!$H12</f>
        <v>617196955.50318193</v>
      </c>
      <c r="G146" s="63">
        <f>G$137*'Economic Projections'!$H12</f>
        <v>67696653.72990571</v>
      </c>
      <c r="H146" s="63">
        <f>H$137*'Economic Projections'!$H12</f>
        <v>102903630.63061284</v>
      </c>
      <c r="I146" s="63">
        <f>I$137*'Economic Projections'!$H12</f>
        <v>14548106.69375368</v>
      </c>
      <c r="K146" s="38">
        <v>2029</v>
      </c>
      <c r="L146" s="63">
        <f>L$137*'Economic Projections'!$I12</f>
        <v>729198473.89065838</v>
      </c>
      <c r="M146" s="63">
        <f>M$137*'Economic Projections'!$I12</f>
        <v>304631356.07962638</v>
      </c>
      <c r="N146" s="63">
        <f>N$137*'Economic Projections'!$I12</f>
        <v>572788385.194484</v>
      </c>
      <c r="O146" s="63">
        <f>O$137*'Economic Projections'!$I12</f>
        <v>62825742.45916371</v>
      </c>
      <c r="P146" s="63">
        <f>P$137*'Economic Projections'!$I12</f>
        <v>95499506.104181498</v>
      </c>
      <c r="Q146" s="381">
        <f>Q$137*'Economic Projections'!$I12</f>
        <v>13501340.968149468</v>
      </c>
      <c r="S146" s="38">
        <v>2029</v>
      </c>
      <c r="T146" s="63">
        <f>'Economic Projections'!$J12*T$137</f>
        <v>693087983.27298772</v>
      </c>
      <c r="U146" s="63">
        <f>'Economic Projections'!$J12*U$137</f>
        <v>289545768.10949695</v>
      </c>
      <c r="V146" s="63">
        <f>'Economic Projections'!$J12*V$137</f>
        <v>544423447.04655027</v>
      </c>
      <c r="W146" s="63">
        <f>'Economic Projections'!$J12*W$137</f>
        <v>59714561.532638609</v>
      </c>
      <c r="X146" s="63">
        <f>'Economic Projections'!$J12*X$137</f>
        <v>90770294.315287471</v>
      </c>
      <c r="Y146" s="381">
        <f>'Economic Projections'!$J12*Y$137</f>
        <v>12832743.78396304</v>
      </c>
      <c r="AA146" s="38">
        <v>2029</v>
      </c>
      <c r="AB146" s="63">
        <f>AB$137*'Economic Projections'!$K12</f>
        <v>831890685.58066702</v>
      </c>
      <c r="AC146" s="63">
        <f>AC$137*'Economic Projections'!$K12</f>
        <v>347532251.82482815</v>
      </c>
      <c r="AD146" s="63">
        <f>AD$137*'Economic Projections'!$K12</f>
        <v>653453537.70382714</v>
      </c>
      <c r="AE146" s="63">
        <f>AE$137*'Economic Projections'!$K12</f>
        <v>71673422.035034329</v>
      </c>
      <c r="AF146" s="63">
        <f>AF$137*'Economic Projections'!$K12</f>
        <v>108948595.54730125</v>
      </c>
      <c r="AG146" s="381">
        <f>AG$137*'Economic Projections'!$K12</f>
        <v>15402719.830618249</v>
      </c>
    </row>
    <row r="147" spans="1:34">
      <c r="A147" s="589"/>
      <c r="B147" s="590"/>
      <c r="C147" s="38">
        <v>2030</v>
      </c>
      <c r="D147" s="63">
        <f>D$137*'Economic Projections'!$H13</f>
        <v>813951631.10341775</v>
      </c>
      <c r="E147" s="63">
        <f>E$137*'Economic Projections'!$H13</f>
        <v>340037997.94490278</v>
      </c>
      <c r="F147" s="63">
        <f>F$137*'Economic Projections'!$H13</f>
        <v>639362337.00353563</v>
      </c>
      <c r="G147" s="63">
        <f>G$137*'Economic Projections'!$H13</f>
        <v>70127842.2554508</v>
      </c>
      <c r="H147" s="63">
        <f>H$137*'Economic Projections'!$H13</f>
        <v>106599206.58956982</v>
      </c>
      <c r="I147" s="63">
        <f>I$137*'Economic Projections'!$H13</f>
        <v>15070572.548615202</v>
      </c>
      <c r="K147" s="38">
        <v>2030</v>
      </c>
      <c r="L147" s="63">
        <f>L$137*'Economic Projections'!$I13</f>
        <v>751134827.98962033</v>
      </c>
      <c r="M147" s="63">
        <f>M$137*'Economic Projections'!$I13</f>
        <v>313795529.5329181</v>
      </c>
      <c r="N147" s="63">
        <f>N$137*'Economic Projections'!$I13</f>
        <v>590019481.10498214</v>
      </c>
      <c r="O147" s="63">
        <f>O$137*'Economic Projections'!$I13</f>
        <v>64715718.621292993</v>
      </c>
      <c r="P147" s="63">
        <f>P$137*'Economic Projections'!$I13</f>
        <v>98372401.560201645</v>
      </c>
      <c r="Q147" s="381">
        <f>Q$137*'Economic Projections'!$I13</f>
        <v>13907499.520166071</v>
      </c>
      <c r="S147" s="38">
        <v>2030</v>
      </c>
      <c r="T147" s="63">
        <f>'Economic Projections'!$J13*T$137</f>
        <v>711012060.63665283</v>
      </c>
      <c r="U147" s="63">
        <f>'Economic Projections'!$J13*U$137</f>
        <v>297033765.12166321</v>
      </c>
      <c r="V147" s="63">
        <f>'Economic Projections'!$J13*V$137</f>
        <v>558502883.16283357</v>
      </c>
      <c r="W147" s="63">
        <f>'Economic Projections'!$J13*W$137</f>
        <v>61258850.925153993</v>
      </c>
      <c r="X147" s="63">
        <f>'Economic Projections'!$J13*X$137</f>
        <v>93117721.794763848</v>
      </c>
      <c r="Y147" s="381">
        <f>'Economic Projections'!$J13*Y$137</f>
        <v>13164613.75995893</v>
      </c>
      <c r="AA147" s="38">
        <v>2030</v>
      </c>
      <c r="AB147" s="63">
        <f>AB$137*'Economic Projections'!$K13</f>
        <v>865237285.42296374</v>
      </c>
      <c r="AC147" s="63">
        <f>AC$137*'Economic Projections'!$K13</f>
        <v>361463191.47203141</v>
      </c>
      <c r="AD147" s="63">
        <f>AD$137*'Economic Projections'!$K13</f>
        <v>679647428.33758593</v>
      </c>
      <c r="AE147" s="63">
        <f>AE$137*'Economic Projections'!$K13</f>
        <v>74546473.70559372</v>
      </c>
      <c r="AF147" s="63">
        <f>AF$137*'Economic Projections'!$K13</f>
        <v>113315834.2747792</v>
      </c>
      <c r="AG147" s="381">
        <f>AG$137*'Economic Projections'!$K13</f>
        <v>16020142.700686948</v>
      </c>
    </row>
    <row r="148" spans="1:34">
      <c r="A148" s="589"/>
      <c r="B148" s="590"/>
      <c r="C148" s="38">
        <v>2040</v>
      </c>
      <c r="D148" s="63">
        <f>D$137*'Economic Projections'!$H14</f>
        <v>1165697812.39835</v>
      </c>
      <c r="E148" s="63">
        <f>E$137*'Economic Projections'!$H14</f>
        <v>486984158.75073659</v>
      </c>
      <c r="F148" s="63">
        <f>F$137*'Economic Projections'!$H14</f>
        <v>915660401.79139662</v>
      </c>
      <c r="G148" s="63">
        <f>G$137*'Economic Projections'!$H14</f>
        <v>100433329.42840306</v>
      </c>
      <c r="H148" s="63">
        <f>H$137*'Economic Projections'!$H14</f>
        <v>152665658.71538007</v>
      </c>
      <c r="I148" s="63">
        <f>I$137*'Economic Projections'!$H14</f>
        <v>21583264.631703004</v>
      </c>
      <c r="K148" s="38">
        <v>2040</v>
      </c>
      <c r="L148" s="63">
        <f>L$137*'Economic Projections'!$I14</f>
        <v>974546054.73438108</v>
      </c>
      <c r="M148" s="63">
        <f>M$137*'Economic Projections'!$I14</f>
        <v>407128233.047153</v>
      </c>
      <c r="N148" s="63">
        <f>N$137*'Economic Projections'!$I14</f>
        <v>765509913.93416369</v>
      </c>
      <c r="O148" s="63">
        <f>O$137*'Economic Projections'!$I14</f>
        <v>83964217.756326601</v>
      </c>
      <c r="P148" s="63">
        <f>P$137*'Economic Projections'!$I14</f>
        <v>127631461.44058916</v>
      </c>
      <c r="Q148" s="381">
        <f>Q$137*'Economic Projections'!$I14</f>
        <v>18044029.225583233</v>
      </c>
      <c r="S148" s="38">
        <v>2040</v>
      </c>
      <c r="T148" s="63">
        <f>'Economic Projections'!$J14*T$137</f>
        <v>837348688.78018475</v>
      </c>
      <c r="U148" s="63">
        <f>'Economic Projections'!$J14*U$137</f>
        <v>349812397.73254621</v>
      </c>
      <c r="V148" s="63">
        <f>'Economic Projections'!$J14*V$137</f>
        <v>657740821.55174541</v>
      </c>
      <c r="W148" s="63">
        <f>'Economic Projections'!$J14*W$137</f>
        <v>72143668.635420948</v>
      </c>
      <c r="X148" s="63">
        <f>'Economic Projections'!$J14*X$137</f>
        <v>109663403.14568788</v>
      </c>
      <c r="Y148" s="381">
        <f>'Economic Projections'!$J14*Y$137</f>
        <v>15503776.490554415</v>
      </c>
      <c r="AA148" s="38">
        <v>2040</v>
      </c>
      <c r="AB148" s="63">
        <f>AB$137*'Economic Projections'!$K14</f>
        <v>1357869370.7301276</v>
      </c>
      <c r="AC148" s="63">
        <f>AC$137*'Economic Projections'!$K14</f>
        <v>567266118.34151125</v>
      </c>
      <c r="AD148" s="63">
        <f>AD$137*'Economic Projections'!$K14</f>
        <v>1066611947.2463199</v>
      </c>
      <c r="AE148" s="63">
        <f>AE$137*'Economic Projections'!$K14</f>
        <v>116990304.33169773</v>
      </c>
      <c r="AF148" s="63">
        <f>AF$137*'Economic Projections'!$K14</f>
        <v>177833414.22374877</v>
      </c>
      <c r="AG148" s="381">
        <f>AG$137*'Economic Projections'!$K14</f>
        <v>25141381.97055937</v>
      </c>
    </row>
    <row r="149" spans="1:34">
      <c r="A149" s="589"/>
      <c r="B149" s="590"/>
      <c r="C149" s="38">
        <v>2050</v>
      </c>
      <c r="D149" s="63">
        <f>D$137*'Economic Projections'!$H15</f>
        <v>1521360989.0306425</v>
      </c>
      <c r="E149" s="63">
        <f>E$137*'Economic Projections'!$H15</f>
        <v>635566691.05774903</v>
      </c>
      <c r="F149" s="63">
        <f>F$137*'Economic Projections'!$H15</f>
        <v>1195035282.445492</v>
      </c>
      <c r="G149" s="63">
        <f>G$137*'Economic Projections'!$H15</f>
        <v>131076294.18680024</v>
      </c>
      <c r="H149" s="63">
        <f>H$137*'Economic Projections'!$H15</f>
        <v>199245100.28579849</v>
      </c>
      <c r="I149" s="63">
        <f>I$137*'Economic Projections'!$H15</f>
        <v>28168481.125515617</v>
      </c>
      <c r="K149" s="38">
        <v>2050</v>
      </c>
      <c r="L149" s="63">
        <f>L$137*'Economic Projections'!$I15</f>
        <v>1210047771.3970938</v>
      </c>
      <c r="M149" s="63">
        <f>M$137*'Economic Projections'!$I15</f>
        <v>505511882.8692171</v>
      </c>
      <c r="N149" s="63">
        <f>N$137*'Economic Projections'!$I15</f>
        <v>950497476.06939507</v>
      </c>
      <c r="O149" s="63">
        <f>O$137*'Economic Projections'!$I15</f>
        <v>104254400.37396204</v>
      </c>
      <c r="P149" s="63">
        <f>P$137*'Economic Projections'!$I15</f>
        <v>158473952.79685649</v>
      </c>
      <c r="Q149" s="381">
        <f>Q$137*'Economic Projections'!$I15</f>
        <v>22404418.185646504</v>
      </c>
      <c r="S149" s="38">
        <v>2050</v>
      </c>
      <c r="T149" s="63">
        <f>'Economic Projections'!$J15*T$137</f>
        <v>936332399.59445584</v>
      </c>
      <c r="U149" s="63">
        <f>'Economic Projections'!$J15*U$137</f>
        <v>391164023.02361393</v>
      </c>
      <c r="V149" s="63">
        <f>'Economic Projections'!$J15*V$137</f>
        <v>735492931.44763863</v>
      </c>
      <c r="W149" s="63">
        <f>'Economic Projections'!$J15*W$137</f>
        <v>80671833.937371656</v>
      </c>
      <c r="X149" s="63">
        <f>'Economic Projections'!$J15*X$137</f>
        <v>122626808.62936345</v>
      </c>
      <c r="Y149" s="381">
        <f>'Economic Projections'!$J15*Y$137</f>
        <v>17336491.283367556</v>
      </c>
      <c r="AA149" s="38">
        <v>2050</v>
      </c>
      <c r="AB149" s="63">
        <f>AB$137*'Economic Projections'!$K15</f>
        <v>1903208914.3169773</v>
      </c>
      <c r="AC149" s="63">
        <f>AC$137*'Economic Projections'!$K15</f>
        <v>795088214.29342484</v>
      </c>
      <c r="AD149" s="63">
        <f>AD$137*'Economic Projections'!$K15</f>
        <v>1494978390.3179586</v>
      </c>
      <c r="AE149" s="63">
        <f>AE$137*'Economic Projections'!$K15</f>
        <v>163975265.14131501</v>
      </c>
      <c r="AF149" s="63">
        <f>AF$137*'Economic Projections'!$K15</f>
        <v>249253828.46810597</v>
      </c>
      <c r="AG149" s="381">
        <f>AG$137*'Economic Projections'!$K15</f>
        <v>35238516.543670259</v>
      </c>
    </row>
    <row r="150" spans="1:34">
      <c r="A150" s="589"/>
      <c r="B150" s="590"/>
      <c r="C150" s="38">
        <v>2060</v>
      </c>
      <c r="D150" s="63">
        <f>D$137*'Economic Projections'!$H16</f>
        <v>1860781691.6640153</v>
      </c>
      <c r="E150" s="63">
        <f>E$137*'Economic Projections'!$H16</f>
        <v>777363736.20654106</v>
      </c>
      <c r="F150" s="63">
        <f>F$137*'Economic Projections'!$H16</f>
        <v>1461651633.3076019</v>
      </c>
      <c r="G150" s="63">
        <f>G$137*'Economic Projections'!$H16</f>
        <v>160319851.89088592</v>
      </c>
      <c r="H150" s="63">
        <f>H$137*'Economic Projections'!$H16</f>
        <v>243697345.62590852</v>
      </c>
      <c r="I150" s="63">
        <f>I$137*'Economic Projections'!$H16</f>
        <v>34452963.062856026</v>
      </c>
      <c r="K150" s="38">
        <v>2060</v>
      </c>
      <c r="L150" s="63">
        <f>L$137*'Economic Projections'!$I16</f>
        <v>1464631435.1911824</v>
      </c>
      <c r="M150" s="63">
        <f>M$137*'Economic Projections'!$I16</f>
        <v>611867243.60320282</v>
      </c>
      <c r="N150" s="63">
        <f>N$137*'Economic Projections'!$I16</f>
        <v>1150473985.7615659</v>
      </c>
      <c r="O150" s="63">
        <f>O$137*'Economic Projections'!$I16</f>
        <v>126188631.27066034</v>
      </c>
      <c r="P150" s="63">
        <f>P$137*'Economic Projections'!$I16</f>
        <v>191815512.09114274</v>
      </c>
      <c r="Q150" s="381">
        <f>Q$137*'Economic Projections'!$I16</f>
        <v>27118115.447607752</v>
      </c>
      <c r="S150" s="38">
        <v>2060</v>
      </c>
      <c r="T150" s="63">
        <f>'Economic Projections'!$J16*T$137</f>
        <v>1023195656.0233059</v>
      </c>
      <c r="U150" s="63">
        <f>'Economic Projections'!$J16*U$137</f>
        <v>427452183.99332643</v>
      </c>
      <c r="V150" s="63">
        <f>'Economic Projections'!$J16*V$137</f>
        <v>803724374.82566726</v>
      </c>
      <c r="W150" s="63">
        <f>'Economic Projections'!$J16*W$137</f>
        <v>88155734.100308001</v>
      </c>
      <c r="X150" s="63">
        <f>'Economic Projections'!$J16*X$137</f>
        <v>134002858.33952771</v>
      </c>
      <c r="Y150" s="381">
        <f>'Economic Projections'!$J16*Y$137</f>
        <v>18944792.019917861</v>
      </c>
      <c r="AA150" s="38">
        <v>2060</v>
      </c>
      <c r="AB150" s="63">
        <f>AB$137*'Economic Projections'!$K16</f>
        <v>2496037355.9578018</v>
      </c>
      <c r="AC150" s="63">
        <f>AC$137*'Economic Projections'!$K16</f>
        <v>1042749363.5770363</v>
      </c>
      <c r="AD150" s="63">
        <f>AD$137*'Economic Projections'!$K16</f>
        <v>1960647557.1403337</v>
      </c>
      <c r="AE150" s="63">
        <f>AE$137*'Economic Projections'!$K16</f>
        <v>215051739.28459272</v>
      </c>
      <c r="AF150" s="63">
        <f>AF$137*'Economic Projections'!$K16</f>
        <v>326893628.06771344</v>
      </c>
      <c r="AG150" s="381">
        <f>AG$137*'Economic Projections'!$K16</f>
        <v>46214923.12266928</v>
      </c>
    </row>
    <row r="151" spans="1:34">
      <c r="A151" s="589"/>
      <c r="B151" s="590"/>
      <c r="C151" s="38">
        <v>2070</v>
      </c>
      <c r="D151" s="63">
        <f>D$137*'Economic Projections'!$H17</f>
        <v>2189809300.0022593</v>
      </c>
      <c r="E151" s="63">
        <f>E$137*'Economic Projections'!$H17</f>
        <v>914818942.30553937</v>
      </c>
      <c r="F151" s="63">
        <f>F$137*'Economic Projections'!$H17</f>
        <v>1720104166.0713027</v>
      </c>
      <c r="G151" s="63">
        <f>G$137*'Economic Projections'!$H17</f>
        <v>188667969.06825775</v>
      </c>
      <c r="H151" s="63">
        <f>H$137*'Economic Projections'!$H17</f>
        <v>286788458.97299159</v>
      </c>
      <c r="I151" s="63">
        <f>I$137*'Economic Projections'!$H17</f>
        <v>40545013.563739941</v>
      </c>
      <c r="K151" s="38">
        <v>2070</v>
      </c>
      <c r="L151" s="63">
        <f>L$137*'Economic Projections'!$I17</f>
        <v>1756748185.0783908</v>
      </c>
      <c r="M151" s="63">
        <f>M$137*'Economic Projections'!$I17</f>
        <v>733902498.52758014</v>
      </c>
      <c r="N151" s="63">
        <f>N$137*'Economic Projections'!$I17</f>
        <v>1379932888.1690392</v>
      </c>
      <c r="O151" s="63">
        <f>O$137*'Economic Projections'!$I17</f>
        <v>151356610.0220443</v>
      </c>
      <c r="P151" s="63">
        <f>P$137*'Economic Projections'!$I17</f>
        <v>230072593.44533414</v>
      </c>
      <c r="Q151" s="381">
        <f>Q$137*'Economic Projections'!$I17</f>
        <v>32526749.700079087</v>
      </c>
      <c r="S151" s="38">
        <v>2070</v>
      </c>
      <c r="T151" s="63">
        <f>'Economic Projections'!$J17*T$137</f>
        <v>1114208257.1967146</v>
      </c>
      <c r="U151" s="63">
        <f>'Economic Projections'!$J17*U$137</f>
        <v>465473783.19917864</v>
      </c>
      <c r="V151" s="63">
        <f>'Economic Projections'!$J17*V$137</f>
        <v>875215145.48008204</v>
      </c>
      <c r="W151" s="63">
        <f>'Economic Projections'!$J17*W$137</f>
        <v>95997130.43696098</v>
      </c>
      <c r="X151" s="63">
        <f>'Economic Projections'!$J17*X$137</f>
        <v>145922327.14332649</v>
      </c>
      <c r="Y151" s="381">
        <f>'Economic Projections'!$J17*Y$137</f>
        <v>20629919.190143738</v>
      </c>
      <c r="AA151" s="38">
        <v>2070</v>
      </c>
      <c r="AB151" s="63">
        <f>AB$137*'Economic Projections'!$K17</f>
        <v>3161403784.7360153</v>
      </c>
      <c r="AC151" s="63">
        <f>AC$137*'Economic Projections'!$K17</f>
        <v>1320714121.7958782</v>
      </c>
      <c r="AD151" s="63">
        <f>AD$137*'Economic Projections'!$K17</f>
        <v>2483295609.6918545</v>
      </c>
      <c r="AE151" s="63">
        <f>AE$137*'Economic Projections'!$K17</f>
        <v>272377887.64082426</v>
      </c>
      <c r="AF151" s="63">
        <f>AF$137*'Economic Projections'!$K17</f>
        <v>414033367.93523055</v>
      </c>
      <c r="AG151" s="381">
        <f>AG$137*'Economic Projections'!$K17</f>
        <v>58534393.534838066</v>
      </c>
    </row>
    <row r="152" spans="1:34">
      <c r="A152" s="589"/>
      <c r="B152" s="590"/>
      <c r="C152" s="38">
        <v>2080</v>
      </c>
      <c r="D152" s="63">
        <f>D$137*'Economic Projections'!$H18</f>
        <v>2482957231.0502849</v>
      </c>
      <c r="E152" s="63">
        <f>E$137*'Economic Projections'!$H18</f>
        <v>1037284985.4537419</v>
      </c>
      <c r="F152" s="63">
        <f>F$137*'Economic Projections'!$H18</f>
        <v>1950373065.5002947</v>
      </c>
      <c r="G152" s="63">
        <f>G$137*'Economic Projections'!$H18</f>
        <v>213924791.56295425</v>
      </c>
      <c r="H152" s="63">
        <f>H$137*'Economic Projections'!$H18</f>
        <v>325180589.00746417</v>
      </c>
      <c r="I152" s="63">
        <f>I$137*'Economic Projections'!$H18</f>
        <v>45972740.462384604</v>
      </c>
      <c r="K152" s="38">
        <v>2080</v>
      </c>
      <c r="L152" s="63">
        <f>L$137*'Economic Projections'!$I18</f>
        <v>2073676722.9711349</v>
      </c>
      <c r="M152" s="63">
        <f>M$137*'Economic Projections'!$I18</f>
        <v>866303173.70106769</v>
      </c>
      <c r="N152" s="63">
        <f>N$137*'Economic Projections'!$I18</f>
        <v>1628881551.5871887</v>
      </c>
      <c r="O152" s="63">
        <f>O$137*'Economic Projections'!$I18</f>
        <v>178662304.44207197</v>
      </c>
      <c r="P152" s="63">
        <f>P$137*'Economic Projections'!$I18</f>
        <v>271579151.56741798</v>
      </c>
      <c r="Q152" s="381">
        <f>Q$137*'Economic Projections'!$I18</f>
        <v>38394782.075128511</v>
      </c>
      <c r="S152" s="38">
        <v>2080</v>
      </c>
      <c r="T152" s="63">
        <f>'Economic Projections'!$J18*T$137</f>
        <v>1208496656.8526695</v>
      </c>
      <c r="U152" s="63">
        <f>'Economic Projections'!$J18*U$137</f>
        <v>504863886.27566731</v>
      </c>
      <c r="V152" s="63">
        <f>'Economic Projections'!$J18*V$137</f>
        <v>949279069.24743319</v>
      </c>
      <c r="W152" s="63">
        <f>'Economic Projections'!$J18*W$137</f>
        <v>104120760.5949692</v>
      </c>
      <c r="X152" s="63">
        <f>'Economic Projections'!$J18*X$137</f>
        <v>158270811.02104723</v>
      </c>
      <c r="Y152" s="381">
        <f>'Economic Projections'!$J18*Y$137</f>
        <v>22375698.808008213</v>
      </c>
      <c r="AA152" s="38">
        <v>2080</v>
      </c>
      <c r="AB152" s="63">
        <f>AB$137*'Economic Projections'!$K18</f>
        <v>3864865703.1619234</v>
      </c>
      <c r="AC152" s="63">
        <f>AC$137*'Economic Projections'!$K18</f>
        <v>1614593724.9950931</v>
      </c>
      <c r="AD152" s="63">
        <f>AD$137*'Economic Projections'!$K18</f>
        <v>3035867825.2522078</v>
      </c>
      <c r="AE152" s="63">
        <f>AE$137*'Economic Projections'!$K18</f>
        <v>332986239.00098133</v>
      </c>
      <c r="AF152" s="63">
        <f>AF$137*'Economic Projections'!$K18</f>
        <v>506162285.06575072</v>
      </c>
      <c r="AG152" s="381">
        <f>AG$137*'Economic Projections'!$K18</f>
        <v>71559214.017664373</v>
      </c>
    </row>
    <row r="153" spans="1:34">
      <c r="A153" s="589"/>
      <c r="B153" s="590"/>
      <c r="C153" s="38">
        <v>2090</v>
      </c>
      <c r="D153" s="63">
        <f>D$137*'Economic Projections'!$H19</f>
        <v>2741270016.8980556</v>
      </c>
      <c r="E153" s="63">
        <f>E$137*'Economic Projections'!$H19</f>
        <v>1145198231.3847969</v>
      </c>
      <c r="F153" s="63">
        <f>F$137*'Economic Projections'!$H19</f>
        <v>2153278815.8255749</v>
      </c>
      <c r="G153" s="63">
        <f>G$137*'Economic Projections'!$H19</f>
        <v>236180313.39776078</v>
      </c>
      <c r="H153" s="63">
        <f>H$137*'Economic Projections'!$H19</f>
        <v>359010532.91455513</v>
      </c>
      <c r="I153" s="63">
        <f>I$137*'Economic Projections'!$H19</f>
        <v>50755483.601649977</v>
      </c>
      <c r="K153" s="38">
        <v>2090</v>
      </c>
      <c r="L153" s="63">
        <f>L$137*'Economic Projections'!$I19</f>
        <v>2417572310.1156583</v>
      </c>
      <c r="M153" s="63">
        <f>M$137*'Economic Projections'!$I19</f>
        <v>1009969655.2046263</v>
      </c>
      <c r="N153" s="63">
        <f>N$137*'Economic Projections'!$I19</f>
        <v>1899012942.5444839</v>
      </c>
      <c r="O153" s="63">
        <f>O$137*'Economic Projections'!$I19</f>
        <v>208291405.93416369</v>
      </c>
      <c r="P153" s="63">
        <f>P$137*'Economic Projections'!$I19</f>
        <v>316617450.32918149</v>
      </c>
      <c r="Q153" s="381">
        <f>Q$137*'Economic Projections'!$I19</f>
        <v>44762117.918149464</v>
      </c>
      <c r="S153" s="38">
        <v>2090</v>
      </c>
      <c r="T153" s="63">
        <f>'Economic Projections'!$J19*T$137</f>
        <v>1310810762.7908623</v>
      </c>
      <c r="U153" s="63">
        <f>'Economic Projections'!$J19*U$137</f>
        <v>547606823.83521557</v>
      </c>
      <c r="V153" s="63">
        <f>'Economic Projections'!$J19*V$137</f>
        <v>1029647218.1414784</v>
      </c>
      <c r="W153" s="63">
        <f>'Economic Projections'!$J19*W$137</f>
        <v>112935863.61529773</v>
      </c>
      <c r="X153" s="63">
        <f>'Economic Projections'!$J19*X$137</f>
        <v>171670381.82987681</v>
      </c>
      <c r="Y153" s="381">
        <f>'Economic Projections'!$J19*Y$137</f>
        <v>24270076.922587268</v>
      </c>
      <c r="AA153" s="38">
        <v>2090</v>
      </c>
      <c r="AB153" s="63">
        <f>AB$137*'Economic Projections'!$K19</f>
        <v>4604335687.1452398</v>
      </c>
      <c r="AC153" s="63">
        <f>AC$137*'Economic Projections'!$K19</f>
        <v>1923516126.8743865</v>
      </c>
      <c r="AD153" s="63">
        <f>AD$137*'Economic Projections'!$K19</f>
        <v>3616724523.6565256</v>
      </c>
      <c r="AE153" s="63">
        <f>AE$137*'Economic Projections'!$K19</f>
        <v>396696946.62512267</v>
      </c>
      <c r="AF153" s="63">
        <f>AF$137*'Economic Projections'!$K19</f>
        <v>603006999.88321877</v>
      </c>
      <c r="AG153" s="381">
        <f>AG$137*'Economic Projections'!$K19</f>
        <v>85250735.252208039</v>
      </c>
    </row>
    <row r="154" spans="1:34">
      <c r="A154" s="589"/>
      <c r="B154" s="590"/>
      <c r="C154" s="38">
        <v>2100</v>
      </c>
      <c r="D154" s="63">
        <f>D$137*'Economic Projections'!$H20</f>
        <v>2952839991.719996</v>
      </c>
      <c r="E154" s="63">
        <f>E$137*'Economic Projections'!$H20</f>
        <v>1233584110.7351208</v>
      </c>
      <c r="F154" s="63">
        <f>F$137*'Economic Projections'!$H20</f>
        <v>2319467896.8137889</v>
      </c>
      <c r="G154" s="63">
        <f>G$137*'Economic Projections'!$H20</f>
        <v>254408602.71292478</v>
      </c>
      <c r="H154" s="63">
        <f>H$137*'Economic Projections'!$H20</f>
        <v>386718802.78265566</v>
      </c>
      <c r="I154" s="63">
        <f>I$137*'Economic Projections'!$H20</f>
        <v>54672768.772932626</v>
      </c>
      <c r="K154" s="38">
        <v>2100</v>
      </c>
      <c r="L154" s="63">
        <f>L$137*'Economic Projections'!$I20</f>
        <v>2796214913.9374261</v>
      </c>
      <c r="M154" s="63">
        <f>M$137*'Economic Projections'!$I20</f>
        <v>1168152117.1841638</v>
      </c>
      <c r="N154" s="63">
        <f>N$137*'Economic Projections'!$I20</f>
        <v>2196438257.2900357</v>
      </c>
      <c r="O154" s="63">
        <f>O$137*'Economic Projections'!$I20</f>
        <v>240914215.17408067</v>
      </c>
      <c r="P154" s="63">
        <f>P$137*'Economic Projections'!$I20</f>
        <v>366206393.46293002</v>
      </c>
      <c r="Q154" s="381">
        <f>Q$137*'Economic Projections'!$I20</f>
        <v>51772805.79300119</v>
      </c>
      <c r="S154" s="39">
        <v>2100</v>
      </c>
      <c r="T154" s="384">
        <f>'Economic Projections'!$J20*T$137</f>
        <v>1427920558.5418892</v>
      </c>
      <c r="U154" s="384">
        <f>'Economic Projections'!$J20*U$137</f>
        <v>596530837.21047235</v>
      </c>
      <c r="V154" s="384">
        <f>'Economic Projections'!$J20*V$137</f>
        <v>1121637441.9289529</v>
      </c>
      <c r="W154" s="384">
        <f>'Economic Projections'!$J20*W$137</f>
        <v>123025722.72874744</v>
      </c>
      <c r="X154" s="384">
        <f>'Economic Projections'!$J20*X$137</f>
        <v>187007670.72258729</v>
      </c>
      <c r="Y154" s="385">
        <f>'Economic Projections'!$J20*Y$137</f>
        <v>26438401.925667353</v>
      </c>
      <c r="AA154" s="38">
        <v>2100</v>
      </c>
      <c r="AB154" s="63">
        <f>AB$137*'Economic Projections'!$K20</f>
        <v>5380335592.7085381</v>
      </c>
      <c r="AC154" s="63">
        <f>AC$137*'Economic Projections'!$K20</f>
        <v>2247699339.008832</v>
      </c>
      <c r="AD154" s="63">
        <f>AD$137*'Economic Projections'!$K20</f>
        <v>4226275624.9460254</v>
      </c>
      <c r="AE154" s="63">
        <f>AE$137*'Economic Projections'!$K20</f>
        <v>463554972.19823354</v>
      </c>
      <c r="AF154" s="63">
        <f>AF$137*'Economic Projections'!$K20</f>
        <v>704635857.28164864</v>
      </c>
      <c r="AG154" s="381">
        <f>AG$137*'Economic Projections'!$K20</f>
        <v>99618619.56820412</v>
      </c>
    </row>
    <row r="155" spans="1:34">
      <c r="A155" s="383"/>
      <c r="B155" s="383"/>
      <c r="C155" s="376" t="s">
        <v>87</v>
      </c>
      <c r="D155" s="597" t="s">
        <v>272</v>
      </c>
      <c r="E155" s="597"/>
      <c r="F155" s="597"/>
      <c r="G155" s="597"/>
      <c r="H155" s="597"/>
      <c r="I155" s="597"/>
      <c r="J155" s="386" t="s">
        <v>273</v>
      </c>
      <c r="K155" s="387" t="s">
        <v>87</v>
      </c>
      <c r="L155" s="604" t="s">
        <v>272</v>
      </c>
      <c r="M155" s="604"/>
      <c r="N155" s="604"/>
      <c r="O155" s="604"/>
      <c r="P155" s="604"/>
      <c r="Q155" s="604"/>
      <c r="R155" s="386" t="s">
        <v>273</v>
      </c>
      <c r="S155" s="379" t="s">
        <v>87</v>
      </c>
      <c r="T155" s="605" t="s">
        <v>272</v>
      </c>
      <c r="U155" s="605"/>
      <c r="V155" s="605"/>
      <c r="W155" s="605"/>
      <c r="X155" s="605"/>
      <c r="Y155" s="605"/>
      <c r="Z155" s="386" t="s">
        <v>273</v>
      </c>
      <c r="AA155" s="376" t="s">
        <v>87</v>
      </c>
      <c r="AB155" s="597" t="s">
        <v>272</v>
      </c>
      <c r="AC155" s="597"/>
      <c r="AD155" s="597"/>
      <c r="AE155" s="597"/>
      <c r="AF155" s="597"/>
      <c r="AG155" s="598"/>
      <c r="AH155" s="388" t="s">
        <v>273</v>
      </c>
    </row>
    <row r="156" spans="1:34">
      <c r="A156" s="589"/>
      <c r="B156" s="590"/>
      <c r="C156" s="38">
        <v>2020</v>
      </c>
      <c r="D156" s="63">
        <f>D4+D118+D80+D99</f>
        <v>253596677.72878584</v>
      </c>
      <c r="E156" s="63">
        <f t="shared" ref="E156:I156" si="51">E99+E80+E4+E118</f>
        <v>305855901.73355865</v>
      </c>
      <c r="F156" s="63">
        <f t="shared" si="51"/>
        <v>14810953.418947292</v>
      </c>
      <c r="G156" s="63">
        <f t="shared" si="51"/>
        <v>2420281.0841527674</v>
      </c>
      <c r="H156" s="63">
        <f t="shared" si="51"/>
        <v>5785678.7289674385</v>
      </c>
      <c r="I156" s="63">
        <f t="shared" si="51"/>
        <v>4617341.7925063036</v>
      </c>
      <c r="J156" s="389">
        <f t="shared" ref="J156:J173" si="52">SUM(D156:I156)/SUM(D137:I137)/1000</f>
        <v>4.5267115091401233E-4</v>
      </c>
      <c r="K156" s="390">
        <v>2020</v>
      </c>
      <c r="L156" s="391">
        <f>L99+L80+L4+L118</f>
        <v>253596677.72878587</v>
      </c>
      <c r="M156" s="391">
        <f t="shared" ref="M156:Q156" si="53">M99+M80+M4+M118</f>
        <v>305855901.73355865</v>
      </c>
      <c r="N156" s="391">
        <f t="shared" si="53"/>
        <v>14810953.418947292</v>
      </c>
      <c r="O156" s="391">
        <f t="shared" si="53"/>
        <v>2420281.0841527674</v>
      </c>
      <c r="P156" s="391">
        <f t="shared" si="53"/>
        <v>5785678.7289674385</v>
      </c>
      <c r="Q156" s="391">
        <f t="shared" si="53"/>
        <v>4617341.7925063036</v>
      </c>
      <c r="R156" s="389">
        <f t="shared" ref="R156:R173" si="54">SUM(L156:Q156)/SUM(L137:Q137)/1000</f>
        <v>4.5267115091401233E-4</v>
      </c>
      <c r="S156" s="38">
        <v>2020</v>
      </c>
      <c r="T156" s="63">
        <f>T99+T80+T4+T118</f>
        <v>253596677.72878587</v>
      </c>
      <c r="U156" s="63">
        <f t="shared" ref="U156:Y156" si="55">U99+U80+U4+U118</f>
        <v>305855901.73355865</v>
      </c>
      <c r="V156" s="63">
        <f t="shared" si="55"/>
        <v>14810953.418947292</v>
      </c>
      <c r="W156" s="63">
        <f t="shared" si="55"/>
        <v>2420281.0841527674</v>
      </c>
      <c r="X156" s="63">
        <f t="shared" si="55"/>
        <v>5785678.7289674385</v>
      </c>
      <c r="Y156" s="63">
        <f t="shared" si="55"/>
        <v>4617341.7925063036</v>
      </c>
      <c r="Z156" s="389">
        <f t="shared" ref="Z156:Z173" si="56">SUM(T156:Y156)/SUM(T137:Y137)/1000</f>
        <v>4.5267115091401233E-4</v>
      </c>
      <c r="AA156" s="38">
        <v>2020</v>
      </c>
      <c r="AB156" s="63">
        <f>AB99+AB80+AB4+AB118</f>
        <v>253596677.72878587</v>
      </c>
      <c r="AC156" s="63">
        <f t="shared" ref="AC156:AG156" si="57">AC99+AC80+AC4+AC118</f>
        <v>305855901.73355865</v>
      </c>
      <c r="AD156" s="63">
        <f t="shared" si="57"/>
        <v>14810953.418947292</v>
      </c>
      <c r="AE156" s="63">
        <f t="shared" si="57"/>
        <v>2420281.0841527674</v>
      </c>
      <c r="AF156" s="63">
        <f t="shared" si="57"/>
        <v>5785678.7289674385</v>
      </c>
      <c r="AG156" s="63">
        <f t="shared" si="57"/>
        <v>4617341.7925063036</v>
      </c>
      <c r="AH156" s="392">
        <f>SUM(AB156:AG156)/SUM(AB137:AG137)/1000</f>
        <v>4.5267115091401233E-4</v>
      </c>
    </row>
    <row r="157" spans="1:34">
      <c r="A157" s="602"/>
      <c r="B157" s="603"/>
      <c r="C157" s="38">
        <v>2021</v>
      </c>
      <c r="D157" s="63">
        <f t="shared" ref="D157:I172" si="58">D100+D81+D5+D119</f>
        <v>269435419.08345544</v>
      </c>
      <c r="E157" s="63">
        <f t="shared" si="58"/>
        <v>324686973.08891839</v>
      </c>
      <c r="F157" s="63">
        <f t="shared" si="58"/>
        <v>15750158.745872736</v>
      </c>
      <c r="G157" s="63">
        <f t="shared" si="58"/>
        <v>2576451.9672127361</v>
      </c>
      <c r="H157" s="63">
        <f t="shared" si="58"/>
        <v>6159172.0156194037</v>
      </c>
      <c r="I157" s="63">
        <f t="shared" si="58"/>
        <v>4919418.9222116172</v>
      </c>
      <c r="J157" s="389">
        <f t="shared" si="52"/>
        <v>4.565425836553943E-4</v>
      </c>
      <c r="K157" s="390">
        <v>2021</v>
      </c>
      <c r="L157" s="391">
        <f t="shared" ref="L157:Q173" si="59">L100+L81+L5+L119</f>
        <v>270472546.38356251</v>
      </c>
      <c r="M157" s="391">
        <f t="shared" si="59"/>
        <v>325898827.18060392</v>
      </c>
      <c r="N157" s="391">
        <f t="shared" si="59"/>
        <v>15807787.922568509</v>
      </c>
      <c r="O157" s="391">
        <f t="shared" si="59"/>
        <v>2585837.8090202319</v>
      </c>
      <c r="P157" s="391">
        <f t="shared" si="59"/>
        <v>6183077.2885455536</v>
      </c>
      <c r="Q157" s="391">
        <f t="shared" si="59"/>
        <v>4938979.6829131441</v>
      </c>
      <c r="R157" s="389">
        <f t="shared" si="54"/>
        <v>4.634691307634967E-4</v>
      </c>
      <c r="S157" s="38">
        <v>2021</v>
      </c>
      <c r="T157" s="63">
        <f t="shared" ref="T157:Y173" si="60">T100+T81+T5+T119</f>
        <v>272419225.53099453</v>
      </c>
      <c r="U157" s="63">
        <f t="shared" si="60"/>
        <v>328210270.1332106</v>
      </c>
      <c r="V157" s="63">
        <f t="shared" si="60"/>
        <v>15918864.047400579</v>
      </c>
      <c r="W157" s="63">
        <f t="shared" si="60"/>
        <v>2603970.4718949436</v>
      </c>
      <c r="X157" s="63">
        <f t="shared" si="60"/>
        <v>6227756.2302756673</v>
      </c>
      <c r="Y157" s="63">
        <f t="shared" si="60"/>
        <v>4975089.3236162718</v>
      </c>
      <c r="Z157" s="389">
        <f t="shared" si="56"/>
        <v>4.7018482520021552E-4</v>
      </c>
      <c r="AA157" s="38">
        <v>2021</v>
      </c>
      <c r="AB157" s="63">
        <f t="shared" ref="AB157:AG173" si="61">AB100+AB81+AB5+AB119</f>
        <v>272930782.29767126</v>
      </c>
      <c r="AC157" s="63">
        <f t="shared" si="61"/>
        <v>328894076.49982196</v>
      </c>
      <c r="AD157" s="63">
        <f t="shared" si="61"/>
        <v>15954086.695472695</v>
      </c>
      <c r="AE157" s="63">
        <f t="shared" si="61"/>
        <v>2609805.5557103204</v>
      </c>
      <c r="AF157" s="63">
        <f t="shared" si="61"/>
        <v>6239100.5708771069</v>
      </c>
      <c r="AG157" s="63">
        <f t="shared" si="61"/>
        <v>4983320.9814484185</v>
      </c>
      <c r="AH157" s="392">
        <f t="shared" ref="AH157:AH173" si="62">SUM(AB157:AG157)/SUM(AB138:AG138)/1000</f>
        <v>4.582643888086121E-4</v>
      </c>
    </row>
    <row r="158" spans="1:34">
      <c r="A158" s="602"/>
      <c r="B158" s="603"/>
      <c r="C158" s="38">
        <v>2022</v>
      </c>
      <c r="D158" s="63">
        <f t="shared" si="58"/>
        <v>286224031.13487351</v>
      </c>
      <c r="E158" s="63">
        <f t="shared" si="58"/>
        <v>344629813.79408544</v>
      </c>
      <c r="F158" s="63">
        <f t="shared" si="58"/>
        <v>16747580.92614078</v>
      </c>
      <c r="G158" s="63">
        <f t="shared" si="58"/>
        <v>2741899.1409832677</v>
      </c>
      <c r="H158" s="63">
        <f t="shared" si="58"/>
        <v>6555506.670823277</v>
      </c>
      <c r="I158" s="63">
        <f t="shared" si="58"/>
        <v>5240619.2966294596</v>
      </c>
      <c r="J158" s="389">
        <f t="shared" si="52"/>
        <v>4.6155597037520596E-4</v>
      </c>
      <c r="K158" s="390">
        <v>2022</v>
      </c>
      <c r="L158" s="391">
        <f t="shared" si="59"/>
        <v>288428367.39209813</v>
      </c>
      <c r="M158" s="391">
        <f t="shared" si="59"/>
        <v>347203195.32713109</v>
      </c>
      <c r="N158" s="391">
        <f t="shared" si="59"/>
        <v>16870216.681112941</v>
      </c>
      <c r="O158" s="391">
        <f t="shared" si="59"/>
        <v>2761940.7717350898</v>
      </c>
      <c r="P158" s="391">
        <f t="shared" si="59"/>
        <v>6606428.4605328133</v>
      </c>
      <c r="Q158" s="391">
        <f t="shared" si="59"/>
        <v>5282379.7219489776</v>
      </c>
      <c r="R158" s="389">
        <f t="shared" si="54"/>
        <v>4.752000935990228E-4</v>
      </c>
      <c r="S158" s="38">
        <v>2022</v>
      </c>
      <c r="T158" s="63">
        <f t="shared" si="60"/>
        <v>292566647.86162347</v>
      </c>
      <c r="U158" s="63">
        <f t="shared" si="60"/>
        <v>352111705.47934759</v>
      </c>
      <c r="V158" s="63">
        <f t="shared" si="60"/>
        <v>17106524.3643138</v>
      </c>
      <c r="W158" s="63">
        <f t="shared" si="60"/>
        <v>2800597.366211806</v>
      </c>
      <c r="X158" s="63">
        <f t="shared" si="60"/>
        <v>6701608.5704269344</v>
      </c>
      <c r="Y158" s="63">
        <f t="shared" si="60"/>
        <v>5359438.0557287456</v>
      </c>
      <c r="Z158" s="389">
        <f t="shared" si="56"/>
        <v>4.8877608836022616E-4</v>
      </c>
      <c r="AA158" s="38">
        <v>2022</v>
      </c>
      <c r="AB158" s="63">
        <f t="shared" si="61"/>
        <v>293648000.93732047</v>
      </c>
      <c r="AC158" s="63">
        <f t="shared" si="61"/>
        <v>353557872.53420216</v>
      </c>
      <c r="AD158" s="63">
        <f t="shared" si="61"/>
        <v>17181123.571733084</v>
      </c>
      <c r="AE158" s="63">
        <f t="shared" si="61"/>
        <v>2812873.3969725729</v>
      </c>
      <c r="AF158" s="63">
        <f t="shared" si="61"/>
        <v>6725599.18741492</v>
      </c>
      <c r="AG158" s="63">
        <f t="shared" si="61"/>
        <v>5376735.8986529354</v>
      </c>
      <c r="AH158" s="392">
        <f t="shared" si="62"/>
        <v>4.6540388090548558E-4</v>
      </c>
    </row>
    <row r="159" spans="1:34">
      <c r="A159" s="602"/>
      <c r="B159" s="603"/>
      <c r="C159" s="38">
        <v>2023</v>
      </c>
      <c r="D159" s="63">
        <f t="shared" si="58"/>
        <v>304023334.54136682</v>
      </c>
      <c r="E159" s="63">
        <f t="shared" si="58"/>
        <v>365754727.40627968</v>
      </c>
      <c r="F159" s="63">
        <f t="shared" si="58"/>
        <v>17807033.711583555</v>
      </c>
      <c r="G159" s="63">
        <f t="shared" si="58"/>
        <v>2917228.2920472003</v>
      </c>
      <c r="H159" s="63">
        <f t="shared" si="58"/>
        <v>6976181.4067135192</v>
      </c>
      <c r="I159" s="63">
        <f t="shared" si="58"/>
        <v>5582218.9283243362</v>
      </c>
      <c r="J159" s="389">
        <f t="shared" si="52"/>
        <v>4.676464893652972E-4</v>
      </c>
      <c r="K159" s="390">
        <v>2023</v>
      </c>
      <c r="L159" s="391">
        <f t="shared" si="59"/>
        <v>307524771.76863831</v>
      </c>
      <c r="M159" s="391">
        <f t="shared" si="59"/>
        <v>369838242.4632737</v>
      </c>
      <c r="N159" s="391">
        <f t="shared" si="59"/>
        <v>18002078.096139055</v>
      </c>
      <c r="O159" s="391">
        <f t="shared" si="59"/>
        <v>2949180.3039512825</v>
      </c>
      <c r="P159" s="391">
        <f t="shared" si="59"/>
        <v>7057230.4582432266</v>
      </c>
      <c r="Q159" s="391">
        <f t="shared" si="59"/>
        <v>5648854.6414141534</v>
      </c>
      <c r="R159" s="389">
        <f t="shared" si="54"/>
        <v>4.8785536763418274E-4</v>
      </c>
      <c r="S159" s="38">
        <v>2023</v>
      </c>
      <c r="T159" s="63">
        <f t="shared" si="60"/>
        <v>314121619.90087974</v>
      </c>
      <c r="U159" s="63">
        <f t="shared" si="60"/>
        <v>377654650.94344491</v>
      </c>
      <c r="V159" s="63">
        <f t="shared" si="60"/>
        <v>18379115.198825553</v>
      </c>
      <c r="W159" s="63">
        <f t="shared" si="60"/>
        <v>3010954.6027920912</v>
      </c>
      <c r="X159" s="63">
        <f t="shared" si="60"/>
        <v>7209255.843873837</v>
      </c>
      <c r="Y159" s="63">
        <f t="shared" si="60"/>
        <v>5772172.3169172751</v>
      </c>
      <c r="Z159" s="389">
        <f t="shared" si="56"/>
        <v>5.0847685429033617E-4</v>
      </c>
      <c r="AA159" s="38">
        <v>2023</v>
      </c>
      <c r="AB159" s="63">
        <f t="shared" si="61"/>
        <v>315847704.7635867</v>
      </c>
      <c r="AC159" s="63">
        <f t="shared" si="61"/>
        <v>379962582.7338028</v>
      </c>
      <c r="AD159" s="63">
        <f t="shared" si="61"/>
        <v>18498244.766268507</v>
      </c>
      <c r="AE159" s="63">
        <f t="shared" si="61"/>
        <v>3030464.9794435981</v>
      </c>
      <c r="AF159" s="63">
        <f t="shared" si="61"/>
        <v>7247601.2514317157</v>
      </c>
      <c r="AG159" s="63">
        <f t="shared" si="61"/>
        <v>5799644.5804524301</v>
      </c>
      <c r="AH159" s="392">
        <f t="shared" si="62"/>
        <v>4.7399166225204985E-4</v>
      </c>
    </row>
    <row r="160" spans="1:34">
      <c r="A160" s="602"/>
      <c r="B160" s="603"/>
      <c r="C160" s="38">
        <v>2024</v>
      </c>
      <c r="D160" s="63">
        <f t="shared" si="58"/>
        <v>322892235.51869845</v>
      </c>
      <c r="E160" s="63">
        <f t="shared" si="58"/>
        <v>388129472.29682791</v>
      </c>
      <c r="F160" s="63">
        <f t="shared" si="58"/>
        <v>18932243.669304013</v>
      </c>
      <c r="G160" s="63">
        <f t="shared" si="58"/>
        <v>3103027.3128283317</v>
      </c>
      <c r="H160" s="63">
        <f t="shared" si="58"/>
        <v>7422658.6636708537</v>
      </c>
      <c r="I160" s="63">
        <f t="shared" si="58"/>
        <v>5945472.671360963</v>
      </c>
      <c r="J160" s="389">
        <f t="shared" si="52"/>
        <v>4.7475772889318959E-4</v>
      </c>
      <c r="K160" s="390">
        <v>2024</v>
      </c>
      <c r="L160" s="391">
        <f t="shared" si="59"/>
        <v>327825078.71412575</v>
      </c>
      <c r="M160" s="391">
        <f t="shared" si="59"/>
        <v>393876161.74953616</v>
      </c>
      <c r="N160" s="391">
        <f t="shared" si="59"/>
        <v>19207393.285645053</v>
      </c>
      <c r="O160" s="391">
        <f t="shared" si="59"/>
        <v>3148173.0765571538</v>
      </c>
      <c r="P160" s="391">
        <f t="shared" si="59"/>
        <v>7537051.1873476105</v>
      </c>
      <c r="Q160" s="391">
        <f t="shared" si="59"/>
        <v>6039782.1614352968</v>
      </c>
      <c r="R160" s="389">
        <f t="shared" si="54"/>
        <v>5.0143147293029984E-4</v>
      </c>
      <c r="S160" s="38">
        <v>2024</v>
      </c>
      <c r="T160" s="63">
        <f t="shared" si="60"/>
        <v>337177448.31365132</v>
      </c>
      <c r="U160" s="63">
        <f t="shared" si="60"/>
        <v>404945911.81709754</v>
      </c>
      <c r="V160" s="63">
        <f t="shared" si="60"/>
        <v>19742474.774141546</v>
      </c>
      <c r="W160" s="63">
        <f t="shared" si="60"/>
        <v>3235936.4473048756</v>
      </c>
      <c r="X160" s="63">
        <f t="shared" si="60"/>
        <v>7752972.1573846433</v>
      </c>
      <c r="Y160" s="63">
        <f t="shared" si="60"/>
        <v>6215295.2285298612</v>
      </c>
      <c r="Z160" s="389">
        <f t="shared" si="56"/>
        <v>5.2933170488984741E-4</v>
      </c>
      <c r="AA160" s="38">
        <v>2024</v>
      </c>
      <c r="AB160" s="63">
        <f t="shared" si="61"/>
        <v>339623927.02576935</v>
      </c>
      <c r="AC160" s="63">
        <f t="shared" si="61"/>
        <v>408216678.15733278</v>
      </c>
      <c r="AD160" s="63">
        <f t="shared" si="61"/>
        <v>19911356.702959552</v>
      </c>
      <c r="AE160" s="63">
        <f t="shared" si="61"/>
        <v>3263511.1259091338</v>
      </c>
      <c r="AF160" s="63">
        <f t="shared" si="61"/>
        <v>7807424.0677996632</v>
      </c>
      <c r="AG160" s="63">
        <f t="shared" si="61"/>
        <v>6254029.7791673243</v>
      </c>
      <c r="AH160" s="392">
        <f t="shared" si="62"/>
        <v>4.8394160414620143E-4</v>
      </c>
    </row>
    <row r="161" spans="1:34">
      <c r="A161" s="602"/>
      <c r="B161" s="603"/>
      <c r="C161" s="38">
        <v>2025</v>
      </c>
      <c r="D161" s="63">
        <f t="shared" si="58"/>
        <v>342886463.75558096</v>
      </c>
      <c r="E161" s="63">
        <f t="shared" si="58"/>
        <v>411817755.67031837</v>
      </c>
      <c r="F161" s="63">
        <f t="shared" si="58"/>
        <v>20126776.145893108</v>
      </c>
      <c r="G161" s="63">
        <f t="shared" si="58"/>
        <v>3299853.9318560939</v>
      </c>
      <c r="H161" s="63">
        <f t="shared" si="58"/>
        <v>7896335.079841692</v>
      </c>
      <c r="I161" s="63">
        <f t="shared" si="58"/>
        <v>6331590.5279722335</v>
      </c>
      <c r="J161" s="389">
        <f t="shared" si="52"/>
        <v>4.8283815188477724E-4</v>
      </c>
      <c r="K161" s="390">
        <v>2025</v>
      </c>
      <c r="L161" s="391">
        <f t="shared" si="59"/>
        <v>349415122.08026361</v>
      </c>
      <c r="M161" s="391">
        <f t="shared" si="59"/>
        <v>419415886.78198427</v>
      </c>
      <c r="N161" s="391">
        <f t="shared" si="59"/>
        <v>20491530.500802707</v>
      </c>
      <c r="O161" s="391">
        <f t="shared" si="59"/>
        <v>3359752.747550379</v>
      </c>
      <c r="P161" s="391">
        <f t="shared" si="59"/>
        <v>8047985.3231277531</v>
      </c>
      <c r="Q161" s="391">
        <f t="shared" si="59"/>
        <v>6456972.2781989956</v>
      </c>
      <c r="R161" s="389">
        <f t="shared" si="54"/>
        <v>5.1595850251712129E-4</v>
      </c>
      <c r="S161" s="38">
        <v>2025</v>
      </c>
      <c r="T161" s="63">
        <f t="shared" si="60"/>
        <v>361840056.64306104</v>
      </c>
      <c r="U161" s="63">
        <f t="shared" si="60"/>
        <v>434106971.46484894</v>
      </c>
      <c r="V161" s="63">
        <f t="shared" si="60"/>
        <v>21203219.040908221</v>
      </c>
      <c r="W161" s="63">
        <f t="shared" si="60"/>
        <v>3476558.0575895761</v>
      </c>
      <c r="X161" s="63">
        <f t="shared" si="60"/>
        <v>8335333.4099482233</v>
      </c>
      <c r="Y161" s="63">
        <f t="shared" si="60"/>
        <v>6691068.7737115696</v>
      </c>
      <c r="Z161" s="389">
        <f t="shared" si="56"/>
        <v>5.5139905143270992E-4</v>
      </c>
      <c r="AA161" s="38">
        <v>2025</v>
      </c>
      <c r="AB161" s="63">
        <f t="shared" si="61"/>
        <v>365089137.27524328</v>
      </c>
      <c r="AC161" s="63">
        <f t="shared" si="61"/>
        <v>438450387.09229875</v>
      </c>
      <c r="AD161" s="63">
        <f t="shared" si="61"/>
        <v>21427486.540778529</v>
      </c>
      <c r="AE161" s="63">
        <f t="shared" si="61"/>
        <v>3513121.2225726773</v>
      </c>
      <c r="AF161" s="63">
        <f t="shared" si="61"/>
        <v>8407821.7387294583</v>
      </c>
      <c r="AG161" s="63">
        <f t="shared" si="61"/>
        <v>6742236.8209424494</v>
      </c>
      <c r="AH161" s="392">
        <f t="shared" si="62"/>
        <v>4.9520885044323766E-4</v>
      </c>
    </row>
    <row r="162" spans="1:34">
      <c r="A162" s="602"/>
      <c r="B162" s="603"/>
      <c r="C162" s="38">
        <v>2026</v>
      </c>
      <c r="D162" s="63">
        <f t="shared" si="58"/>
        <v>364077616.8183291</v>
      </c>
      <c r="E162" s="63">
        <f t="shared" si="58"/>
        <v>436902103.51654971</v>
      </c>
      <c r="F162" s="63">
        <f t="shared" si="58"/>
        <v>21395153.911117136</v>
      </c>
      <c r="G162" s="63">
        <f t="shared" si="58"/>
        <v>3508418.9858788322</v>
      </c>
      <c r="H162" s="63">
        <f t="shared" si="58"/>
        <v>8398980.15648848</v>
      </c>
      <c r="I162" s="63">
        <f t="shared" si="58"/>
        <v>6742089.5812547058</v>
      </c>
      <c r="J162" s="389">
        <f t="shared" si="52"/>
        <v>4.9186585195276004E-4</v>
      </c>
      <c r="K162" s="390">
        <v>2026</v>
      </c>
      <c r="L162" s="391">
        <f t="shared" si="59"/>
        <v>372373889.6143145</v>
      </c>
      <c r="M162" s="391">
        <f t="shared" si="59"/>
        <v>446547754.06688493</v>
      </c>
      <c r="N162" s="391">
        <f t="shared" si="59"/>
        <v>21859489.026212685</v>
      </c>
      <c r="O162" s="391">
        <f t="shared" si="59"/>
        <v>3584688.4373882944</v>
      </c>
      <c r="P162" s="391">
        <f t="shared" si="59"/>
        <v>8591981.3159335796</v>
      </c>
      <c r="Q162" s="391">
        <f t="shared" si="59"/>
        <v>6902129.5248221653</v>
      </c>
      <c r="R162" s="389">
        <f t="shared" si="54"/>
        <v>5.3145260061681786E-4</v>
      </c>
      <c r="S162" s="38">
        <v>2026</v>
      </c>
      <c r="T162" s="63">
        <f t="shared" si="60"/>
        <v>388216060.26215899</v>
      </c>
      <c r="U162" s="63">
        <f t="shared" si="60"/>
        <v>465259621.42883533</v>
      </c>
      <c r="V162" s="63">
        <f t="shared" si="60"/>
        <v>22768047.207675684</v>
      </c>
      <c r="W162" s="63">
        <f t="shared" si="60"/>
        <v>3733841.1770520508</v>
      </c>
      <c r="X162" s="63">
        <f t="shared" si="60"/>
        <v>8958944.446950106</v>
      </c>
      <c r="Y162" s="63">
        <f t="shared" si="60"/>
        <v>7201796.606539933</v>
      </c>
      <c r="Z162" s="389">
        <f t="shared" si="56"/>
        <v>5.7473149889575585E-4</v>
      </c>
      <c r="AA162" s="38">
        <v>2026</v>
      </c>
      <c r="AB162" s="63">
        <f t="shared" si="61"/>
        <v>392349879.29883289</v>
      </c>
      <c r="AC162" s="63">
        <f t="shared" si="61"/>
        <v>470786368.41198272</v>
      </c>
      <c r="AD162" s="63">
        <f t="shared" si="61"/>
        <v>23053357.931669589</v>
      </c>
      <c r="AE162" s="63">
        <f t="shared" si="61"/>
        <v>3780349.4624967757</v>
      </c>
      <c r="AF162" s="63">
        <f t="shared" si="61"/>
        <v>9051426.7051115539</v>
      </c>
      <c r="AG162" s="63">
        <f t="shared" si="61"/>
        <v>7266527.4928702228</v>
      </c>
      <c r="AH162" s="392">
        <f t="shared" si="62"/>
        <v>5.0774884381848159E-4</v>
      </c>
    </row>
    <row r="163" spans="1:34">
      <c r="A163" s="602"/>
      <c r="B163" s="603"/>
      <c r="C163" s="38">
        <v>2027</v>
      </c>
      <c r="D163" s="63">
        <f>D106+D87+D11+D125</f>
        <v>386527918.57107282</v>
      </c>
      <c r="E163" s="63">
        <f t="shared" si="58"/>
        <v>463453515.78291428</v>
      </c>
      <c r="F163" s="63">
        <f t="shared" si="58"/>
        <v>22741378.041309595</v>
      </c>
      <c r="G163" s="63">
        <f t="shared" si="58"/>
        <v>3729343.8210571287</v>
      </c>
      <c r="H163" s="63">
        <f t="shared" si="58"/>
        <v>8932156.0935773998</v>
      </c>
      <c r="I163" s="63">
        <f t="shared" si="58"/>
        <v>7178329.5194144212</v>
      </c>
      <c r="J163" s="389">
        <f t="shared" si="52"/>
        <v>5.0181001437098974E-4</v>
      </c>
      <c r="K163" s="390">
        <v>2027</v>
      </c>
      <c r="L163" s="391">
        <f t="shared" si="59"/>
        <v>396770423.48199743</v>
      </c>
      <c r="M163" s="391">
        <f t="shared" si="59"/>
        <v>475349829.59795427</v>
      </c>
      <c r="N163" s="391">
        <f t="shared" si="59"/>
        <v>23315716.487997659</v>
      </c>
      <c r="O163" s="391">
        <f t="shared" si="59"/>
        <v>3823654.2002714556</v>
      </c>
      <c r="P163" s="391">
        <f t="shared" si="59"/>
        <v>9170768.1028208956</v>
      </c>
      <c r="Q163" s="391">
        <f t="shared" si="59"/>
        <v>7376793.6677286895</v>
      </c>
      <c r="R163" s="389">
        <f t="shared" si="54"/>
        <v>5.4791393603593249E-4</v>
      </c>
      <c r="S163" s="38">
        <v>2027</v>
      </c>
      <c r="T163" s="63">
        <f t="shared" si="60"/>
        <v>416403806.58647323</v>
      </c>
      <c r="U163" s="63">
        <f t="shared" si="60"/>
        <v>498515232.24383926</v>
      </c>
      <c r="V163" s="63">
        <f t="shared" si="60"/>
        <v>24443218.047164164</v>
      </c>
      <c r="W163" s="63">
        <f t="shared" si="60"/>
        <v>4008727.612639931</v>
      </c>
      <c r="X163" s="63">
        <f t="shared" si="60"/>
        <v>9626231.7592766043</v>
      </c>
      <c r="Y163" s="63">
        <f t="shared" si="60"/>
        <v>7749657.8599975286</v>
      </c>
      <c r="Z163" s="389">
        <f t="shared" si="56"/>
        <v>5.9936374100708816E-4</v>
      </c>
      <c r="AA163" s="38">
        <v>2027</v>
      </c>
      <c r="AB163" s="63">
        <f t="shared" si="61"/>
        <v>421533366.02620667</v>
      </c>
      <c r="AC163" s="63">
        <f t="shared" si="61"/>
        <v>505371626.69416213</v>
      </c>
      <c r="AD163" s="63">
        <f t="shared" si="61"/>
        <v>24796954.922161251</v>
      </c>
      <c r="AE163" s="63">
        <f t="shared" si="61"/>
        <v>4066450.7694166801</v>
      </c>
      <c r="AF163" s="63">
        <f t="shared" si="61"/>
        <v>9741362.930110883</v>
      </c>
      <c r="AG163" s="63">
        <f t="shared" si="61"/>
        <v>7829572.6694239294</v>
      </c>
      <c r="AH163" s="392">
        <f t="shared" si="62"/>
        <v>5.2155018009017776E-4</v>
      </c>
    </row>
    <row r="164" spans="1:34">
      <c r="A164" s="602"/>
      <c r="B164" s="603"/>
      <c r="C164" s="38">
        <v>2028</v>
      </c>
      <c r="D164" s="63">
        <f t="shared" si="58"/>
        <v>410317144.98484564</v>
      </c>
      <c r="E164" s="63">
        <f t="shared" si="58"/>
        <v>491563771.20439863</v>
      </c>
      <c r="F164" s="63">
        <f t="shared" si="58"/>
        <v>24170511.441390205</v>
      </c>
      <c r="G164" s="63">
        <f t="shared" si="58"/>
        <v>3963419.7472967752</v>
      </c>
      <c r="H164" s="63">
        <f t="shared" si="58"/>
        <v>9497839.1445499137</v>
      </c>
      <c r="I164" s="63">
        <f t="shared" si="58"/>
        <v>7642011.7506455425</v>
      </c>
      <c r="J164" s="389">
        <f t="shared" si="52"/>
        <v>5.1266623906699314E-4</v>
      </c>
      <c r="K164" s="390">
        <v>2028</v>
      </c>
      <c r="L164" s="391">
        <f t="shared" si="59"/>
        <v>422706387.69220418</v>
      </c>
      <c r="M164" s="391">
        <f t="shared" si="59"/>
        <v>505938915.53901154</v>
      </c>
      <c r="N164" s="391">
        <f t="shared" si="59"/>
        <v>24866611.035208482</v>
      </c>
      <c r="O164" s="391">
        <f t="shared" si="59"/>
        <v>4077638.9831467285</v>
      </c>
      <c r="P164" s="391">
        <f t="shared" si="59"/>
        <v>9786838.5346682873</v>
      </c>
      <c r="Q164" s="391">
        <f t="shared" si="59"/>
        <v>7883130.9193810914</v>
      </c>
      <c r="R164" s="389">
        <f t="shared" si="54"/>
        <v>5.6538614430062535E-4</v>
      </c>
      <c r="S164" s="38">
        <v>2028</v>
      </c>
      <c r="T164" s="63">
        <f t="shared" si="60"/>
        <v>446537147.60246879</v>
      </c>
      <c r="U164" s="63">
        <f t="shared" si="60"/>
        <v>534027156.25941157</v>
      </c>
      <c r="V164" s="63">
        <f t="shared" si="60"/>
        <v>26237121.456227519</v>
      </c>
      <c r="W164" s="63">
        <f t="shared" si="60"/>
        <v>4302500.4101204164</v>
      </c>
      <c r="X164" s="63">
        <f t="shared" si="60"/>
        <v>10340455.236621937</v>
      </c>
      <c r="Y164" s="63">
        <f t="shared" si="60"/>
        <v>8337522.2576441439</v>
      </c>
      <c r="Z164" s="389">
        <f t="shared" si="56"/>
        <v>6.2537627098769081E-4</v>
      </c>
      <c r="AA164" s="38">
        <v>2028</v>
      </c>
      <c r="AB164" s="63">
        <f t="shared" si="61"/>
        <v>452760237.18357652</v>
      </c>
      <c r="AC164" s="63">
        <f t="shared" si="61"/>
        <v>542344774.02639592</v>
      </c>
      <c r="AD164" s="63">
        <f t="shared" si="61"/>
        <v>26665925.991853174</v>
      </c>
      <c r="AE164" s="63">
        <f t="shared" si="61"/>
        <v>4372618.6509202207</v>
      </c>
      <c r="AF164" s="63">
        <f t="shared" si="61"/>
        <v>10480619.168008067</v>
      </c>
      <c r="AG164" s="63">
        <f t="shared" si="61"/>
        <v>8433950.6108122338</v>
      </c>
      <c r="AH164" s="392">
        <f t="shared" si="62"/>
        <v>5.3659535490150788E-4</v>
      </c>
    </row>
    <row r="165" spans="1:34">
      <c r="A165" s="602"/>
      <c r="B165" s="603"/>
      <c r="C165" s="38">
        <v>2029</v>
      </c>
      <c r="D165" s="63">
        <f t="shared" si="58"/>
        <v>435522682.91233397</v>
      </c>
      <c r="E165" s="63">
        <f t="shared" si="58"/>
        <v>521321469.44639808</v>
      </c>
      <c r="F165" s="63">
        <f t="shared" si="58"/>
        <v>25687509.703703191</v>
      </c>
      <c r="G165" s="63">
        <f t="shared" si="58"/>
        <v>4211416.1050156821</v>
      </c>
      <c r="H165" s="63">
        <f t="shared" si="58"/>
        <v>10097960.610405162</v>
      </c>
      <c r="I165" s="63">
        <f t="shared" si="58"/>
        <v>8134811.7389737666</v>
      </c>
      <c r="J165" s="389">
        <f t="shared" si="52"/>
        <v>5.2442774793350696E-4</v>
      </c>
      <c r="K165" s="390">
        <v>2029</v>
      </c>
      <c r="L165" s="391">
        <f t="shared" si="59"/>
        <v>450267379.60364997</v>
      </c>
      <c r="M165" s="391">
        <f t="shared" si="59"/>
        <v>538412144.63992035</v>
      </c>
      <c r="N165" s="391">
        <f t="shared" si="59"/>
        <v>26517665.549421597</v>
      </c>
      <c r="O165" s="391">
        <f t="shared" si="59"/>
        <v>4347477.8845179593</v>
      </c>
      <c r="P165" s="391">
        <f t="shared" si="59"/>
        <v>10442326.447218142</v>
      </c>
      <c r="Q165" s="391">
        <f t="shared" si="59"/>
        <v>8423032.6635956857</v>
      </c>
      <c r="R165" s="389">
        <f t="shared" si="54"/>
        <v>5.8388656428708878E-4</v>
      </c>
      <c r="S165" s="38">
        <v>2029</v>
      </c>
      <c r="T165" s="63">
        <f t="shared" si="60"/>
        <v>478744090.20978993</v>
      </c>
      <c r="U165" s="63">
        <f t="shared" si="60"/>
        <v>571941106.38005495</v>
      </c>
      <c r="V165" s="63">
        <f t="shared" si="60"/>
        <v>28157858.488367654</v>
      </c>
      <c r="W165" s="63">
        <f t="shared" si="60"/>
        <v>4616386.33105011</v>
      </c>
      <c r="X165" s="63">
        <f t="shared" si="60"/>
        <v>11104755.763843942</v>
      </c>
      <c r="Y165" s="63">
        <f t="shared" si="60"/>
        <v>8968186.6205364987</v>
      </c>
      <c r="Z165" s="389">
        <f t="shared" si="56"/>
        <v>6.5283296051238816E-4</v>
      </c>
      <c r="AA165" s="38">
        <v>2029</v>
      </c>
      <c r="AB165" s="63">
        <f t="shared" si="61"/>
        <v>486174291.99841291</v>
      </c>
      <c r="AC165" s="63">
        <f t="shared" si="61"/>
        <v>581871649.40050983</v>
      </c>
      <c r="AD165" s="63">
        <f t="shared" si="61"/>
        <v>28669336.526749946</v>
      </c>
      <c r="AE165" s="63">
        <f t="shared" si="61"/>
        <v>4700272.043294129</v>
      </c>
      <c r="AF165" s="63">
        <f t="shared" si="61"/>
        <v>11272736.882144466</v>
      </c>
      <c r="AG165" s="63">
        <f t="shared" si="61"/>
        <v>9082700.9050275926</v>
      </c>
      <c r="AH165" s="392">
        <f t="shared" si="62"/>
        <v>5.5289581416415187E-4</v>
      </c>
    </row>
    <row r="166" spans="1:34">
      <c r="A166" s="602"/>
      <c r="B166" s="603"/>
      <c r="C166" s="38">
        <v>2030</v>
      </c>
      <c r="D166" s="63">
        <f t="shared" si="58"/>
        <v>462217926.86244357</v>
      </c>
      <c r="E166" s="63">
        <f t="shared" si="58"/>
        <v>552810125.97095239</v>
      </c>
      <c r="F166" s="63">
        <f t="shared" si="58"/>
        <v>27297126.35540951</v>
      </c>
      <c r="G166" s="63">
        <f t="shared" si="58"/>
        <v>4474064.5136651453</v>
      </c>
      <c r="H166" s="63">
        <f t="shared" si="58"/>
        <v>10734369.062678436</v>
      </c>
      <c r="I166" s="63">
        <f t="shared" si="58"/>
        <v>8658348.4709850587</v>
      </c>
      <c r="J166" s="389">
        <f t="shared" si="52"/>
        <v>5.3708393965822975E-4</v>
      </c>
      <c r="K166" s="390">
        <v>2030</v>
      </c>
      <c r="L166" s="391">
        <f t="shared" si="59"/>
        <v>479542790.46867406</v>
      </c>
      <c r="M166" s="391">
        <f t="shared" si="59"/>
        <v>572870798.66074252</v>
      </c>
      <c r="N166" s="391">
        <f t="shared" si="59"/>
        <v>28274634.767983269</v>
      </c>
      <c r="O166" s="391">
        <f t="shared" si="59"/>
        <v>4634043.1478058044</v>
      </c>
      <c r="P166" s="391">
        <f t="shared" si="59"/>
        <v>11139464.708410705</v>
      </c>
      <c r="Q166" s="391">
        <f t="shared" si="59"/>
        <v>8998483.7476192508</v>
      </c>
      <c r="R166" s="389">
        <f t="shared" si="54"/>
        <v>6.0343511346100116E-4</v>
      </c>
      <c r="S166" s="38">
        <v>2030</v>
      </c>
      <c r="T166" s="63">
        <f t="shared" si="60"/>
        <v>513142950.16943866</v>
      </c>
      <c r="U166" s="63">
        <f t="shared" si="60"/>
        <v>612390605.15515161</v>
      </c>
      <c r="V166" s="63">
        <f t="shared" si="60"/>
        <v>30213015.586976707</v>
      </c>
      <c r="W166" s="63">
        <f t="shared" si="60"/>
        <v>4951518.2005561637</v>
      </c>
      <c r="X166" s="63">
        <f t="shared" si="60"/>
        <v>11922064.396198774</v>
      </c>
      <c r="Y166" s="63">
        <f t="shared" si="60"/>
        <v>9644301.1951093264</v>
      </c>
      <c r="Z166" s="389">
        <f t="shared" si="56"/>
        <v>6.8177806573863943E-4</v>
      </c>
      <c r="AA166" s="38">
        <v>2030</v>
      </c>
      <c r="AB166" s="63">
        <f t="shared" si="61"/>
        <v>521912043.95836407</v>
      </c>
      <c r="AC166" s="63">
        <f t="shared" si="61"/>
        <v>624108793.68206286</v>
      </c>
      <c r="AD166" s="63">
        <f t="shared" si="61"/>
        <v>30815881.176104277</v>
      </c>
      <c r="AE166" s="63">
        <f t="shared" si="61"/>
        <v>5050761.6183847561</v>
      </c>
      <c r="AF166" s="63">
        <f t="shared" si="61"/>
        <v>12121107.415142411</v>
      </c>
      <c r="AG166" s="63">
        <f t="shared" si="61"/>
        <v>9778760.5568710715</v>
      </c>
      <c r="AH166" s="392">
        <f t="shared" si="62"/>
        <v>5.7045305268852515E-4</v>
      </c>
    </row>
    <row r="167" spans="1:34">
      <c r="A167" s="602"/>
      <c r="B167" s="603"/>
      <c r="C167" s="38">
        <v>2040</v>
      </c>
      <c r="D167" s="63">
        <f t="shared" si="58"/>
        <v>785768352.83981359</v>
      </c>
      <c r="E167" s="63">
        <f t="shared" si="58"/>
        <v>937177630.67489719</v>
      </c>
      <c r="F167" s="63">
        <f t="shared" si="58"/>
        <v>46342561.009019688</v>
      </c>
      <c r="G167" s="63">
        <f t="shared" si="58"/>
        <v>7591264.2840797212</v>
      </c>
      <c r="H167" s="63">
        <f t="shared" si="58"/>
        <v>18291560.833721418</v>
      </c>
      <c r="I167" s="63">
        <f t="shared" si="58"/>
        <v>14796111.688446481</v>
      </c>
      <c r="J167" s="389">
        <f t="shared" si="52"/>
        <v>6.366344719487499E-4</v>
      </c>
      <c r="K167" s="390">
        <v>2040</v>
      </c>
      <c r="L167" s="391">
        <f t="shared" si="59"/>
        <v>884043988.54755807</v>
      </c>
      <c r="M167" s="391">
        <f t="shared" si="59"/>
        <v>1051862828.2402699</v>
      </c>
      <c r="N167" s="391">
        <f t="shared" si="59"/>
        <v>51966758.061882213</v>
      </c>
      <c r="O167" s="391">
        <f t="shared" si="59"/>
        <v>8510576.7814128455</v>
      </c>
      <c r="P167" s="391">
        <f t="shared" si="59"/>
        <v>20593443.089776214</v>
      </c>
      <c r="Q167" s="391">
        <f t="shared" si="59"/>
        <v>16702036.86178745</v>
      </c>
      <c r="R167" s="389">
        <f t="shared" si="54"/>
        <v>8.5562906991475108E-4</v>
      </c>
      <c r="S167" s="38">
        <v>2040</v>
      </c>
      <c r="T167" s="63">
        <f t="shared" si="60"/>
        <v>1016355851.5619272</v>
      </c>
      <c r="U167" s="63">
        <f t="shared" si="60"/>
        <v>1200570823.8728929</v>
      </c>
      <c r="V167" s="63">
        <f t="shared" si="60"/>
        <v>60597222.344971478</v>
      </c>
      <c r="W167" s="63">
        <f t="shared" si="60"/>
        <v>9882112.8911773525</v>
      </c>
      <c r="X167" s="63">
        <f t="shared" si="60"/>
        <v>23998869.687124409</v>
      </c>
      <c r="Y167" s="63">
        <f t="shared" si="60"/>
        <v>19744819.428206239</v>
      </c>
      <c r="Z167" s="389">
        <f t="shared" si="56"/>
        <v>1.1414822929460746E-3</v>
      </c>
      <c r="AA167" s="38">
        <v>2040</v>
      </c>
      <c r="AB167" s="63">
        <f t="shared" si="61"/>
        <v>1136863296.976589</v>
      </c>
      <c r="AC167" s="63">
        <f t="shared" si="61"/>
        <v>1349114460.6014919</v>
      </c>
      <c r="AD167" s="63">
        <f t="shared" si="61"/>
        <v>68128829.256367058</v>
      </c>
      <c r="AE167" s="63">
        <f t="shared" si="61"/>
        <v>11125411.821737997</v>
      </c>
      <c r="AF167" s="63">
        <f t="shared" si="61"/>
        <v>26825620.253518268</v>
      </c>
      <c r="AG167" s="63">
        <f t="shared" si="61"/>
        <v>21907920.264764573</v>
      </c>
      <c r="AH167" s="392">
        <f t="shared" si="62"/>
        <v>7.8930931054346787E-4</v>
      </c>
    </row>
    <row r="168" spans="1:34">
      <c r="A168" s="602"/>
      <c r="B168" s="603"/>
      <c r="C168" s="38">
        <v>2050</v>
      </c>
      <c r="D168" s="63">
        <f t="shared" si="58"/>
        <v>1233441487.9862609</v>
      </c>
      <c r="E168" s="63">
        <f t="shared" si="58"/>
        <v>1469742558.7218876</v>
      </c>
      <c r="F168" s="63">
        <f t="shared" si="58"/>
        <v>72651376.885464147</v>
      </c>
      <c r="G168" s="63">
        <f t="shared" si="58"/>
        <v>11899636.594880098</v>
      </c>
      <c r="H168" s="63">
        <f t="shared" si="58"/>
        <v>28723279.414573532</v>
      </c>
      <c r="I168" s="63">
        <f t="shared" si="58"/>
        <v>23251947.095299736</v>
      </c>
      <c r="J168" s="389">
        <f t="shared" si="52"/>
        <v>7.653271475424546E-4</v>
      </c>
      <c r="K168" s="390">
        <v>2050</v>
      </c>
      <c r="L168" s="391">
        <f t="shared" si="59"/>
        <v>1551138644.3266006</v>
      </c>
      <c r="M168" s="391">
        <f t="shared" si="59"/>
        <v>1841204319.2778296</v>
      </c>
      <c r="N168" s="391">
        <f t="shared" si="59"/>
        <v>90880271.035242915</v>
      </c>
      <c r="O168" s="391">
        <f t="shared" si="59"/>
        <v>14879544.008984728</v>
      </c>
      <c r="P168" s="391">
        <f t="shared" si="59"/>
        <v>36166686.366319083</v>
      </c>
      <c r="Q168" s="391">
        <f t="shared" si="59"/>
        <v>29389134.974962153</v>
      </c>
      <c r="R168" s="389">
        <f t="shared" si="54"/>
        <v>1.2075327981932262E-3</v>
      </c>
      <c r="S168" s="38">
        <v>2050</v>
      </c>
      <c r="T168" s="63">
        <f t="shared" si="60"/>
        <v>1961317852.535207</v>
      </c>
      <c r="U168" s="63">
        <f t="shared" si="60"/>
        <v>2306866184.4684892</v>
      </c>
      <c r="V168" s="63">
        <f t="shared" si="60"/>
        <v>116349721.33983144</v>
      </c>
      <c r="W168" s="63">
        <f t="shared" si="60"/>
        <v>18962774.903824534</v>
      </c>
      <c r="X168" s="63">
        <f t="shared" si="60"/>
        <v>46404269.408448406</v>
      </c>
      <c r="Y168" s="63">
        <f t="shared" si="60"/>
        <v>38316545.993199147</v>
      </c>
      <c r="Z168" s="389">
        <f t="shared" si="56"/>
        <v>1.9653920214987922E-3</v>
      </c>
      <c r="AA168" s="38">
        <v>2050</v>
      </c>
      <c r="AB168" s="63">
        <f t="shared" si="61"/>
        <v>2616063403.5667095</v>
      </c>
      <c r="AC168" s="63">
        <f t="shared" si="61"/>
        <v>3100587624.3126864</v>
      </c>
      <c r="AD168" s="63">
        <f t="shared" si="61"/>
        <v>156542199.76699167</v>
      </c>
      <c r="AE168" s="63">
        <f t="shared" si="61"/>
        <v>25559061.205064934</v>
      </c>
      <c r="AF168" s="63">
        <f t="shared" si="61"/>
        <v>61766120.130923957</v>
      </c>
      <c r="AG168" s="63">
        <f t="shared" si="61"/>
        <v>50495540.634449214</v>
      </c>
      <c r="AH168" s="392">
        <f t="shared" si="62"/>
        <v>1.2949906495162596E-3</v>
      </c>
    </row>
    <row r="169" spans="1:34">
      <c r="A169" s="602"/>
      <c r="B169" s="603"/>
      <c r="C169" s="38">
        <v>2060</v>
      </c>
      <c r="D169" s="63">
        <f>D112+D93+D17+D131</f>
        <v>1812984967.3058956</v>
      </c>
      <c r="E169" s="63">
        <f t="shared" si="58"/>
        <v>2160885992.2283792</v>
      </c>
      <c r="F169" s="63">
        <f t="shared" si="58"/>
        <v>106826409.0831634</v>
      </c>
      <c r="G169" s="63">
        <f t="shared" si="58"/>
        <v>17497703.371357441</v>
      </c>
      <c r="H169" s="63">
        <f t="shared" si="58"/>
        <v>42214773.897040851</v>
      </c>
      <c r="I169" s="63">
        <f t="shared" si="58"/>
        <v>34166190.591757692</v>
      </c>
      <c r="J169" s="389">
        <f t="shared" si="52"/>
        <v>9.1986122290539218E-4</v>
      </c>
      <c r="K169" s="390">
        <v>2060</v>
      </c>
      <c r="L169" s="391">
        <f t="shared" si="59"/>
        <v>2550412130.221694</v>
      </c>
      <c r="M169" s="391">
        <f t="shared" si="59"/>
        <v>3023495375.7926483</v>
      </c>
      <c r="N169" s="391">
        <f t="shared" si="59"/>
        <v>149163738.59119257</v>
      </c>
      <c r="O169" s="391">
        <f t="shared" si="59"/>
        <v>24418697.102757789</v>
      </c>
      <c r="P169" s="391">
        <f t="shared" si="59"/>
        <v>59495382.844505429</v>
      </c>
      <c r="Q169" s="391">
        <f t="shared" si="59"/>
        <v>48395702.177628897</v>
      </c>
      <c r="R169" s="389">
        <f t="shared" si="54"/>
        <v>1.6392008477798014E-3</v>
      </c>
      <c r="S169" s="38">
        <v>2060</v>
      </c>
      <c r="T169" s="63">
        <f t="shared" si="60"/>
        <v>3725834097.0182524</v>
      </c>
      <c r="U169" s="63">
        <f t="shared" si="60"/>
        <v>4366980115.0592718</v>
      </c>
      <c r="V169" s="63">
        <f t="shared" si="60"/>
        <v>220120993.23840964</v>
      </c>
      <c r="W169" s="63">
        <f t="shared" si="60"/>
        <v>35857926.718668364</v>
      </c>
      <c r="X169" s="63">
        <f t="shared" si="60"/>
        <v>88294153.420415148</v>
      </c>
      <c r="Y169" s="63">
        <f t="shared" si="60"/>
        <v>73117038.997507066</v>
      </c>
      <c r="Z169" s="389">
        <f t="shared" si="56"/>
        <v>3.4102534710548564E-3</v>
      </c>
      <c r="AA169" s="38">
        <v>2060</v>
      </c>
      <c r="AB169" s="63">
        <f t="shared" si="61"/>
        <v>6301202532.4794769</v>
      </c>
      <c r="AC169" s="63">
        <f t="shared" si="61"/>
        <v>7467741082.1705532</v>
      </c>
      <c r="AD169" s="63">
        <f t="shared" si="61"/>
        <v>377026145.37034458</v>
      </c>
      <c r="AE169" s="63">
        <f t="shared" si="61"/>
        <v>61557502.36256738</v>
      </c>
      <c r="AF169" s="63">
        <f t="shared" si="61"/>
        <v>148778369.29605961</v>
      </c>
      <c r="AG169" s="63">
        <f t="shared" si="61"/>
        <v>121637433.52965015</v>
      </c>
      <c r="AH169" s="392">
        <f t="shared" si="62"/>
        <v>2.3782699234496441E-3</v>
      </c>
    </row>
    <row r="170" spans="1:34">
      <c r="A170" s="602"/>
      <c r="B170" s="603"/>
      <c r="C170" s="38">
        <v>2070</v>
      </c>
      <c r="D170" s="63">
        <f t="shared" si="58"/>
        <v>2539472951.0641556</v>
      </c>
      <c r="E170" s="63">
        <f t="shared" si="58"/>
        <v>3030642401.9856119</v>
      </c>
      <c r="F170" s="63">
        <f t="shared" si="58"/>
        <v>149897389.27276313</v>
      </c>
      <c r="G170" s="63">
        <f t="shared" si="58"/>
        <v>24555960.982199807</v>
      </c>
      <c r="H170" s="63">
        <f t="shared" si="58"/>
        <v>59101150.44853957</v>
      </c>
      <c r="I170" s="63">
        <f t="shared" si="58"/>
        <v>47783534.947061397</v>
      </c>
      <c r="J170" s="389">
        <f t="shared" si="52"/>
        <v>1.0956272214758958E-3</v>
      </c>
      <c r="K170" s="390">
        <v>2070</v>
      </c>
      <c r="L170" s="391">
        <f t="shared" si="59"/>
        <v>3910688682.911788</v>
      </c>
      <c r="M170" s="391">
        <f t="shared" si="59"/>
        <v>4633883929.283843</v>
      </c>
      <c r="N170" s="391">
        <f t="shared" si="59"/>
        <v>228569839.56604606</v>
      </c>
      <c r="O170" s="391">
        <f t="shared" si="59"/>
        <v>37415825.764832549</v>
      </c>
      <c r="P170" s="391">
        <f t="shared" si="59"/>
        <v>91244468.557580039</v>
      </c>
      <c r="Q170" s="391">
        <f t="shared" si="59"/>
        <v>74250032.141373783</v>
      </c>
      <c r="R170" s="389">
        <f t="shared" si="54"/>
        <v>2.0949865734628732E-3</v>
      </c>
      <c r="S170" s="38">
        <v>2070</v>
      </c>
      <c r="T170" s="63">
        <f t="shared" si="60"/>
        <v>6906181398.6655912</v>
      </c>
      <c r="U170" s="63">
        <f t="shared" si="60"/>
        <v>8070645061.090414</v>
      </c>
      <c r="V170" s="63">
        <f t="shared" si="60"/>
        <v>406597466.12003493</v>
      </c>
      <c r="W170" s="63">
        <f t="shared" si="60"/>
        <v>66207448.723770298</v>
      </c>
      <c r="X170" s="63">
        <f t="shared" si="60"/>
        <v>163883984.54102612</v>
      </c>
      <c r="Y170" s="63">
        <f t="shared" si="60"/>
        <v>136044743.15948045</v>
      </c>
      <c r="Z170" s="389">
        <f t="shared" si="56"/>
        <v>5.7957202613627412E-3</v>
      </c>
      <c r="AA170" s="38">
        <v>2070</v>
      </c>
      <c r="AB170" s="63">
        <f t="shared" si="61"/>
        <v>15706073154.060108</v>
      </c>
      <c r="AC170" s="63">
        <f t="shared" si="61"/>
        <v>18630533040.660122</v>
      </c>
      <c r="AD170" s="63">
        <f t="shared" si="61"/>
        <v>940753045.98654962</v>
      </c>
      <c r="AE170" s="63">
        <f t="shared" si="61"/>
        <v>153616104.39660889</v>
      </c>
      <c r="AF170" s="63">
        <f t="shared" si="61"/>
        <v>370677865.71165079</v>
      </c>
      <c r="AG170" s="63">
        <f t="shared" si="61"/>
        <v>302830570.34965295</v>
      </c>
      <c r="AH170" s="392">
        <f t="shared" si="62"/>
        <v>4.6825942873697122E-3</v>
      </c>
    </row>
    <row r="171" spans="1:34">
      <c r="A171" s="602"/>
      <c r="B171" s="603"/>
      <c r="C171" s="38">
        <v>2080</v>
      </c>
      <c r="D171" s="63">
        <f t="shared" si="58"/>
        <v>3387384144.8737588</v>
      </c>
      <c r="E171" s="63">
        <f t="shared" si="58"/>
        <v>4051793953.0623846</v>
      </c>
      <c r="F171" s="63">
        <f t="shared" si="58"/>
        <v>200579603.56412011</v>
      </c>
      <c r="G171" s="63">
        <f t="shared" si="58"/>
        <v>32866812.98073633</v>
      </c>
      <c r="H171" s="63">
        <f t="shared" si="58"/>
        <v>78763554.20379211</v>
      </c>
      <c r="I171" s="63">
        <f t="shared" si="58"/>
        <v>63562056.530990362</v>
      </c>
      <c r="J171" s="389">
        <f t="shared" si="52"/>
        <v>1.2905128455308415E-3</v>
      </c>
      <c r="K171" s="390">
        <v>2080</v>
      </c>
      <c r="L171" s="391">
        <f t="shared" si="59"/>
        <v>5659025049.8963671</v>
      </c>
      <c r="M171" s="391">
        <f t="shared" si="59"/>
        <v>6707531231.050705</v>
      </c>
      <c r="N171" s="391">
        <f t="shared" si="59"/>
        <v>330892184.49846798</v>
      </c>
      <c r="O171" s="391">
        <f t="shared" si="59"/>
        <v>54167296.38756422</v>
      </c>
      <c r="P171" s="391">
        <f t="shared" si="59"/>
        <v>132021528.48288676</v>
      </c>
      <c r="Q171" s="391">
        <f t="shared" si="59"/>
        <v>107406595.42314573</v>
      </c>
      <c r="R171" s="389">
        <f t="shared" si="54"/>
        <v>2.5686702577871405E-3</v>
      </c>
      <c r="S171" s="38">
        <v>2080</v>
      </c>
      <c r="T171" s="63">
        <f t="shared" si="60"/>
        <v>12279775148.368479</v>
      </c>
      <c r="U171" s="63">
        <f t="shared" si="60"/>
        <v>14312950341.530952</v>
      </c>
      <c r="V171" s="63">
        <f t="shared" si="60"/>
        <v>720755919.96647429</v>
      </c>
      <c r="W171" s="63">
        <f t="shared" si="60"/>
        <v>117319498.4785354</v>
      </c>
      <c r="X171" s="63">
        <f t="shared" si="60"/>
        <v>291746382.90271223</v>
      </c>
      <c r="Y171" s="63">
        <f t="shared" si="60"/>
        <v>242702399.40749463</v>
      </c>
      <c r="Z171" s="389">
        <f t="shared" si="56"/>
        <v>9.4880859014924834E-3</v>
      </c>
      <c r="AA171" s="38">
        <v>2080</v>
      </c>
      <c r="AB171" s="63">
        <f t="shared" si="61"/>
        <v>39436678430.054985</v>
      </c>
      <c r="AC171" s="63">
        <f t="shared" si="61"/>
        <v>46866226742.194679</v>
      </c>
      <c r="AD171" s="63">
        <f t="shared" si="61"/>
        <v>2367279680.4082298</v>
      </c>
      <c r="AE171" s="63">
        <f t="shared" si="61"/>
        <v>386648261.99370039</v>
      </c>
      <c r="AF171" s="63">
        <f t="shared" si="61"/>
        <v>929919185.5206387</v>
      </c>
      <c r="AG171" s="63">
        <f t="shared" si="61"/>
        <v>758545769.91268802</v>
      </c>
      <c r="AH171" s="392">
        <f t="shared" si="62"/>
        <v>9.6270911525340851E-3</v>
      </c>
    </row>
    <row r="172" spans="1:34">
      <c r="A172" s="602"/>
      <c r="B172" s="603"/>
      <c r="C172" s="38">
        <v>2090</v>
      </c>
      <c r="D172" s="63">
        <f t="shared" si="58"/>
        <v>4316030684.8395729</v>
      </c>
      <c r="E172" s="63">
        <f t="shared" si="58"/>
        <v>5179866774.1138048</v>
      </c>
      <c r="F172" s="63">
        <f t="shared" si="58"/>
        <v>256750864.66719306</v>
      </c>
      <c r="G172" s="63">
        <f t="shared" si="58"/>
        <v>42086215.25984624</v>
      </c>
      <c r="H172" s="63">
        <f t="shared" si="58"/>
        <v>100223672.60048074</v>
      </c>
      <c r="I172" s="63">
        <f t="shared" si="58"/>
        <v>80658377.415974125</v>
      </c>
      <c r="J172" s="389">
        <f t="shared" si="52"/>
        <v>1.4920840668248355E-3</v>
      </c>
      <c r="K172" s="390">
        <v>2090</v>
      </c>
      <c r="L172" s="391">
        <f t="shared" si="59"/>
        <v>7845127869.1946402</v>
      </c>
      <c r="M172" s="391">
        <f t="shared" si="59"/>
        <v>9307636193.0141048</v>
      </c>
      <c r="N172" s="391">
        <f t="shared" si="59"/>
        <v>459330277.42374653</v>
      </c>
      <c r="O172" s="391">
        <f t="shared" si="59"/>
        <v>75200681.197934464</v>
      </c>
      <c r="P172" s="391">
        <f t="shared" si="59"/>
        <v>182953449.48343194</v>
      </c>
      <c r="Q172" s="391">
        <f t="shared" si="59"/>
        <v>148726994.23847207</v>
      </c>
      <c r="R172" s="389">
        <f t="shared" si="54"/>
        <v>3.0560185150672872E-3</v>
      </c>
      <c r="S172" s="38">
        <v>2090</v>
      </c>
      <c r="T172" s="63">
        <f t="shared" si="60"/>
        <v>21193487797.140381</v>
      </c>
      <c r="U172" s="63">
        <f t="shared" si="60"/>
        <v>24642551621.744762</v>
      </c>
      <c r="V172" s="63">
        <f t="shared" si="60"/>
        <v>1240395193.7820473</v>
      </c>
      <c r="W172" s="63">
        <f t="shared" si="60"/>
        <v>201832940.88730916</v>
      </c>
      <c r="X172" s="63">
        <f t="shared" si="60"/>
        <v>504077801.45695579</v>
      </c>
      <c r="Y172" s="63">
        <f t="shared" si="60"/>
        <v>420166660.01211578</v>
      </c>
      <c r="Z172" s="389">
        <f t="shared" si="56"/>
        <v>1.507769774234672E-2</v>
      </c>
      <c r="AA172" s="38">
        <v>2090</v>
      </c>
      <c r="AB172" s="63">
        <f t="shared" si="61"/>
        <v>95805346149.434143</v>
      </c>
      <c r="AC172" s="63">
        <f t="shared" si="61"/>
        <v>114165455404.55963</v>
      </c>
      <c r="AD172" s="63">
        <f t="shared" si="61"/>
        <v>5769384927.4450064</v>
      </c>
      <c r="AE172" s="63">
        <f t="shared" si="61"/>
        <v>942651634.3521713</v>
      </c>
      <c r="AF172" s="63">
        <f t="shared" si="61"/>
        <v>2256134201.9418802</v>
      </c>
      <c r="AG172" s="63">
        <f t="shared" si="61"/>
        <v>1836158527.9664314</v>
      </c>
      <c r="AH172" s="392">
        <f t="shared" si="62"/>
        <v>1.9660227169199615E-2</v>
      </c>
    </row>
    <row r="173" spans="1:34">
      <c r="A173" s="602"/>
      <c r="B173" s="603"/>
      <c r="C173" s="39">
        <v>2100</v>
      </c>
      <c r="D173" s="384">
        <f t="shared" ref="D173:I173" si="63">D116+D97+D21+D135</f>
        <v>5439626147.9581652</v>
      </c>
      <c r="E173" s="384">
        <f t="shared" si="63"/>
        <v>6556202053.7988367</v>
      </c>
      <c r="F173" s="384">
        <f t="shared" si="63"/>
        <v>325497609.79973894</v>
      </c>
      <c r="G173" s="384">
        <f t="shared" si="63"/>
        <v>53379509.281415664</v>
      </c>
      <c r="H173" s="384">
        <f t="shared" si="63"/>
        <v>126100885.91264142</v>
      </c>
      <c r="I173" s="384">
        <f t="shared" si="63"/>
        <v>101125632.53128329</v>
      </c>
      <c r="J173" s="393">
        <f t="shared" si="52"/>
        <v>1.7498570524282909E-3</v>
      </c>
      <c r="K173" s="394">
        <v>2100</v>
      </c>
      <c r="L173" s="391">
        <f t="shared" si="59"/>
        <v>10617164232.716753</v>
      </c>
      <c r="M173" s="391">
        <f t="shared" si="59"/>
        <v>12613498671.168709</v>
      </c>
      <c r="N173" s="391">
        <f t="shared" si="59"/>
        <v>622799543.62454724</v>
      </c>
      <c r="O173" s="391">
        <f t="shared" si="59"/>
        <v>101978716.99975806</v>
      </c>
      <c r="P173" s="391">
        <f t="shared" si="59"/>
        <v>247468743.67656511</v>
      </c>
      <c r="Q173" s="391">
        <f t="shared" si="59"/>
        <v>200953086.91720793</v>
      </c>
      <c r="R173" s="393">
        <f t="shared" si="54"/>
        <v>3.5784371214134312E-3</v>
      </c>
      <c r="S173" s="39">
        <v>2100</v>
      </c>
      <c r="T173" s="63">
        <f t="shared" si="60"/>
        <v>36052189054.512154</v>
      </c>
      <c r="U173" s="63">
        <f t="shared" si="60"/>
        <v>41824286379.0802</v>
      </c>
      <c r="V173" s="63">
        <f t="shared" si="60"/>
        <v>2104407828.0015919</v>
      </c>
      <c r="W173" s="63">
        <f t="shared" si="60"/>
        <v>342311282.24455893</v>
      </c>
      <c r="X173" s="63">
        <f t="shared" si="60"/>
        <v>858368675.50580633</v>
      </c>
      <c r="Y173" s="63">
        <f t="shared" si="60"/>
        <v>716790364.77511883</v>
      </c>
      <c r="Z173" s="393">
        <f t="shared" si="56"/>
        <v>2.3516705727014978E-2</v>
      </c>
      <c r="AA173" s="39">
        <v>2100</v>
      </c>
      <c r="AB173" s="63">
        <f t="shared" si="61"/>
        <v>219072981859.67102</v>
      </c>
      <c r="AC173" s="63">
        <f t="shared" si="61"/>
        <v>261968930533.16565</v>
      </c>
      <c r="AD173" s="63">
        <f t="shared" si="61"/>
        <v>13246651466.581465</v>
      </c>
      <c r="AE173" s="63">
        <f t="shared" si="61"/>
        <v>2165336671.3041525</v>
      </c>
      <c r="AF173" s="63">
        <f t="shared" si="61"/>
        <v>5150293819.9197912</v>
      </c>
      <c r="AG173" s="63">
        <f t="shared" si="61"/>
        <v>4179248861.9100666</v>
      </c>
      <c r="AH173" s="395">
        <f t="shared" si="62"/>
        <v>3.8544339100115448E-2</v>
      </c>
    </row>
  </sheetData>
  <mergeCells count="51">
    <mergeCell ref="A156:B173"/>
    <mergeCell ref="D136:I136"/>
    <mergeCell ref="L136:Q136"/>
    <mergeCell ref="T136:Y136"/>
    <mergeCell ref="AB136:AG136"/>
    <mergeCell ref="A137:B154"/>
    <mergeCell ref="D155:I155"/>
    <mergeCell ref="L155:Q155"/>
    <mergeCell ref="T155:Y155"/>
    <mergeCell ref="AB155:AG155"/>
    <mergeCell ref="A118:B135"/>
    <mergeCell ref="D79:I79"/>
    <mergeCell ref="L79:Q79"/>
    <mergeCell ref="T79:Y79"/>
    <mergeCell ref="AB79:AG79"/>
    <mergeCell ref="A80:B97"/>
    <mergeCell ref="D98:I98"/>
    <mergeCell ref="L98:Q98"/>
    <mergeCell ref="T98:Y98"/>
    <mergeCell ref="AB98:AG98"/>
    <mergeCell ref="A99:B116"/>
    <mergeCell ref="D117:I117"/>
    <mergeCell ref="L117:Q117"/>
    <mergeCell ref="T117:Y117"/>
    <mergeCell ref="AB117:AG117"/>
    <mergeCell ref="A61:B78"/>
    <mergeCell ref="AB22:AG22"/>
    <mergeCell ref="A23:B40"/>
    <mergeCell ref="D41:I41"/>
    <mergeCell ref="L41:Q41"/>
    <mergeCell ref="T41:Y41"/>
    <mergeCell ref="AB41:AG41"/>
    <mergeCell ref="T22:Y22"/>
    <mergeCell ref="A42:B59"/>
    <mergeCell ref="D60:I60"/>
    <mergeCell ref="L60:Q60"/>
    <mergeCell ref="T60:Y60"/>
    <mergeCell ref="AB60:AG60"/>
    <mergeCell ref="A16:B21"/>
    <mergeCell ref="A22:B22"/>
    <mergeCell ref="D22:I22"/>
    <mergeCell ref="L22:Q22"/>
    <mergeCell ref="C1:I1"/>
    <mergeCell ref="K1:Q1"/>
    <mergeCell ref="S1:Y1"/>
    <mergeCell ref="AA1:AG1"/>
    <mergeCell ref="A3:B3"/>
    <mergeCell ref="D3:I3"/>
    <mergeCell ref="L3:Q3"/>
    <mergeCell ref="T3:Y3"/>
    <mergeCell ref="AB3:AG3"/>
  </mergeCells>
  <conditionalFormatting sqref="J156:J173">
    <cfRule type="cellIs" dxfId="87" priority="7" operator="greaterThanOrEqual">
      <formula>0.1</formula>
    </cfRule>
    <cfRule type="cellIs" dxfId="86" priority="8" operator="lessThan">
      <formula>0.1</formula>
    </cfRule>
  </conditionalFormatting>
  <conditionalFormatting sqref="R156:R173">
    <cfRule type="cellIs" dxfId="85" priority="5" operator="greaterThanOrEqual">
      <formula>0.1</formula>
    </cfRule>
    <cfRule type="cellIs" dxfId="84" priority="6" operator="lessThan">
      <formula>0.1</formula>
    </cfRule>
  </conditionalFormatting>
  <conditionalFormatting sqref="Z156:Z173">
    <cfRule type="cellIs" dxfId="83" priority="3" operator="greaterThanOrEqual">
      <formula>0.1</formula>
    </cfRule>
    <cfRule type="cellIs" dxfId="82" priority="4" operator="lessThan">
      <formula>0.1</formula>
    </cfRule>
  </conditionalFormatting>
  <conditionalFormatting sqref="AH156:AH173">
    <cfRule type="cellIs" dxfId="81" priority="1" operator="greaterThanOrEqual">
      <formula>0.1</formula>
    </cfRule>
    <cfRule type="cellIs" dxfId="80" priority="2" operator="lessThan">
      <formula>0.1</formula>
    </cfRule>
  </conditionalFormatting>
  <dataValidations count="1">
    <dataValidation type="list" showInputMessage="1" showErrorMessage="1" promptTitle="Severity Level" prompt="Please enter a severity level" sqref="B4" xr:uid="{525EB818-7A00-4E5D-BA90-F0F97287BED7}">
      <formula1>"lower, upper, average"</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6AA1A-B5D1-4432-95AE-0F9C0A3297DB}">
  <sheetPr>
    <tabColor theme="9" tint="0.79998168889431442"/>
  </sheetPr>
  <dimension ref="B1:AQ421"/>
  <sheetViews>
    <sheetView topLeftCell="B1" zoomScale="90" zoomScaleNormal="90" workbookViewId="0">
      <pane ySplit="11" topLeftCell="A12" activePane="bottomLeft" state="frozen"/>
      <selection pane="bottomLeft" activeCell="C3" sqref="C3"/>
      <selection activeCell="B1" sqref="B1"/>
    </sheetView>
  </sheetViews>
  <sheetFormatPr defaultColWidth="8.7109375" defaultRowHeight="15"/>
  <cols>
    <col min="1" max="1" width="1.7109375" customWidth="1"/>
    <col min="2" max="2" width="43.7109375" bestFit="1" customWidth="1"/>
    <col min="3" max="3" width="9.140625" bestFit="1" customWidth="1"/>
    <col min="4" max="4" width="3.7109375" customWidth="1"/>
    <col min="5" max="5" width="5.42578125" bestFit="1" customWidth="1"/>
    <col min="6" max="11" width="19.7109375" customWidth="1"/>
    <col min="12" max="12" width="9.7109375" bestFit="1" customWidth="1"/>
    <col min="13" max="13" width="9.42578125" customWidth="1"/>
    <col min="14" max="14" width="5.42578125" bestFit="1" customWidth="1"/>
    <col min="15" max="20" width="19.7109375" customWidth="1"/>
    <col min="21" max="21" width="12.140625" bestFit="1" customWidth="1"/>
    <col min="22" max="22" width="9.140625" bestFit="1" customWidth="1"/>
    <col min="23" max="23" width="5.42578125" bestFit="1" customWidth="1"/>
    <col min="24" max="25" width="15.7109375" customWidth="1"/>
    <col min="26" max="26" width="17.7109375" bestFit="1" customWidth="1"/>
    <col min="27" max="29" width="15.7109375" customWidth="1"/>
    <col min="30" max="30" width="12.140625" bestFit="1" customWidth="1"/>
    <col min="31" max="33" width="9.140625" bestFit="1" customWidth="1"/>
    <col min="34" max="39" width="15.7109375" customWidth="1"/>
    <col min="40" max="40" width="12.140625" bestFit="1" customWidth="1"/>
  </cols>
  <sheetData>
    <row r="1" spans="2:39" ht="7.35" customHeight="1"/>
    <row r="2" spans="2:39">
      <c r="B2" s="582" t="s">
        <v>228</v>
      </c>
      <c r="C2" s="582"/>
      <c r="D2" s="321"/>
      <c r="F2" s="582" t="s">
        <v>201</v>
      </c>
      <c r="G2" s="582"/>
      <c r="H2" s="582"/>
      <c r="I2" s="582"/>
      <c r="J2" s="582"/>
      <c r="K2" s="582"/>
      <c r="O2" s="582" t="s">
        <v>202</v>
      </c>
      <c r="P2" s="582"/>
      <c r="Q2" s="582"/>
      <c r="R2" s="582"/>
      <c r="S2" s="582"/>
      <c r="T2" s="582"/>
      <c r="X2" s="582" t="s">
        <v>203</v>
      </c>
      <c r="Y2" s="582"/>
      <c r="Z2" s="582"/>
      <c r="AA2" s="582"/>
      <c r="AB2" s="582"/>
      <c r="AC2" s="582"/>
      <c r="AH2" s="582" t="s">
        <v>204</v>
      </c>
      <c r="AI2" s="582"/>
      <c r="AJ2" s="582"/>
      <c r="AK2" s="582"/>
      <c r="AL2" s="582"/>
      <c r="AM2" s="582"/>
    </row>
    <row r="3" spans="2:39">
      <c r="B3" t="s">
        <v>274</v>
      </c>
      <c r="C3" s="195">
        <f>0.005</f>
        <v>5.0000000000000001E-3</v>
      </c>
      <c r="F3" s="1" t="s">
        <v>230</v>
      </c>
      <c r="G3" s="1" t="s">
        <v>3</v>
      </c>
      <c r="H3" s="1" t="s">
        <v>231</v>
      </c>
      <c r="I3" s="1" t="s">
        <v>5</v>
      </c>
      <c r="J3" s="1" t="s">
        <v>232</v>
      </c>
      <c r="K3" s="1" t="s">
        <v>233</v>
      </c>
      <c r="O3" t="s">
        <v>230</v>
      </c>
      <c r="P3" t="s">
        <v>3</v>
      </c>
      <c r="Q3" t="s">
        <v>231</v>
      </c>
      <c r="R3" t="s">
        <v>5</v>
      </c>
      <c r="S3" t="s">
        <v>232</v>
      </c>
      <c r="T3" t="s">
        <v>233</v>
      </c>
      <c r="X3" t="s">
        <v>230</v>
      </c>
      <c r="Y3" t="s">
        <v>3</v>
      </c>
      <c r="Z3" t="s">
        <v>231</v>
      </c>
      <c r="AA3" t="s">
        <v>5</v>
      </c>
      <c r="AB3" t="s">
        <v>232</v>
      </c>
      <c r="AC3" t="s">
        <v>233</v>
      </c>
      <c r="AH3" t="s">
        <v>230</v>
      </c>
      <c r="AI3" t="s">
        <v>3</v>
      </c>
      <c r="AJ3" t="s">
        <v>231</v>
      </c>
      <c r="AK3" t="s">
        <v>5</v>
      </c>
      <c r="AL3" t="s">
        <v>232</v>
      </c>
      <c r="AM3" t="s">
        <v>233</v>
      </c>
    </row>
    <row r="4" spans="2:39">
      <c r="B4" t="s">
        <v>275</v>
      </c>
      <c r="C4" s="195">
        <f>C3/2</f>
        <v>2.5000000000000001E-3</v>
      </c>
      <c r="F4" s="581" t="s">
        <v>235</v>
      </c>
      <c r="G4" s="581"/>
      <c r="H4" s="581"/>
      <c r="I4" s="581"/>
      <c r="J4" s="581"/>
      <c r="K4" s="581"/>
      <c r="O4" s="581" t="s">
        <v>235</v>
      </c>
      <c r="P4" s="581"/>
      <c r="Q4" s="581"/>
      <c r="R4" s="581"/>
      <c r="S4" s="581"/>
      <c r="T4" s="581"/>
      <c r="X4" s="581" t="s">
        <v>235</v>
      </c>
      <c r="Y4" s="581"/>
      <c r="Z4" s="581"/>
      <c r="AA4" s="581"/>
      <c r="AB4" s="581"/>
      <c r="AC4" s="581"/>
      <c r="AH4" s="581" t="s">
        <v>235</v>
      </c>
      <c r="AI4" s="581"/>
      <c r="AJ4" s="581"/>
      <c r="AK4" s="581"/>
      <c r="AL4" s="581"/>
      <c r="AM4" s="581"/>
    </row>
    <row r="5" spans="2:39">
      <c r="B5" t="s">
        <v>276</v>
      </c>
      <c r="C5" s="184">
        <v>0.1</v>
      </c>
      <c r="E5">
        <v>2020</v>
      </c>
      <c r="F5" s="61">
        <f>'Demographic-Economic'!C10</f>
        <v>6306408</v>
      </c>
      <c r="G5" s="61">
        <f>'Demographic-Economic'!D10</f>
        <v>4212348</v>
      </c>
      <c r="H5" s="61">
        <f>'Demographic-Economic'!E10</f>
        <v>4993764</v>
      </c>
      <c r="I5" s="61">
        <f>'Demographic-Economic'!F10</f>
        <v>1010676</v>
      </c>
      <c r="J5" s="61">
        <f>'Demographic-Economic'!G10</f>
        <v>1266672</v>
      </c>
      <c r="K5" s="61">
        <f>'Demographic-Economic'!H10</f>
        <v>307884</v>
      </c>
      <c r="N5">
        <v>2020</v>
      </c>
      <c r="O5" s="61">
        <f>'Demographic-Economic'!C10</f>
        <v>6306408</v>
      </c>
      <c r="P5" s="61">
        <f>'Demographic-Economic'!D10</f>
        <v>4212348</v>
      </c>
      <c r="Q5" s="61">
        <f>'Demographic-Economic'!E10</f>
        <v>4993764</v>
      </c>
      <c r="R5" s="61">
        <f>'Demographic-Economic'!F10</f>
        <v>1010676</v>
      </c>
      <c r="S5" s="61">
        <f>'Demographic-Economic'!G10</f>
        <v>1266672</v>
      </c>
      <c r="T5" s="61">
        <f>'Demographic-Economic'!H10</f>
        <v>307884</v>
      </c>
      <c r="W5">
        <v>2020</v>
      </c>
      <c r="X5" s="61">
        <f>'Demographic-Economic'!C10</f>
        <v>6306408</v>
      </c>
      <c r="Y5" s="61">
        <f>'Demographic-Economic'!D10</f>
        <v>4212348</v>
      </c>
      <c r="Z5" s="61">
        <f>'Demographic-Economic'!E10</f>
        <v>4993764</v>
      </c>
      <c r="AA5" s="61">
        <f>'Demographic-Economic'!F10</f>
        <v>1010676</v>
      </c>
      <c r="AB5" s="61">
        <f>'Demographic-Economic'!G10</f>
        <v>1266672</v>
      </c>
      <c r="AC5" s="61">
        <f>'Demographic-Economic'!H10</f>
        <v>307884</v>
      </c>
      <c r="AG5">
        <v>2020</v>
      </c>
      <c r="AH5" s="61">
        <f>'Demographic-Economic'!C10</f>
        <v>6306408</v>
      </c>
      <c r="AI5" s="61">
        <f>'Demographic-Economic'!D10</f>
        <v>4212348</v>
      </c>
      <c r="AJ5" s="61">
        <f>'Demographic-Economic'!E10</f>
        <v>4993764</v>
      </c>
      <c r="AK5" s="61">
        <f>'Demographic-Economic'!F10</f>
        <v>1010676</v>
      </c>
      <c r="AL5" s="61">
        <f>'Demographic-Economic'!G10</f>
        <v>1266672</v>
      </c>
      <c r="AM5" s="61">
        <f>'Demographic-Economic'!H10</f>
        <v>307884</v>
      </c>
    </row>
    <row r="6" spans="2:39">
      <c r="B6" t="s">
        <v>237</v>
      </c>
      <c r="C6" s="180">
        <f>'Inflation-Interest'!$C$70</f>
        <v>3.7539166666666658E-2</v>
      </c>
      <c r="E6">
        <v>2021</v>
      </c>
      <c r="F6" s="61">
        <f>(F5+0.5*F119)*('Economic Projections'!$B4/'Economic Projections'!$B3)</f>
        <v>6338410.1086701853</v>
      </c>
      <c r="G6" s="61">
        <f>(G5+0.5*G119)*('Economic Projections'!$B4/'Economic Projections'!$B3)</f>
        <v>4228424.9429604225</v>
      </c>
      <c r="H6" s="61">
        <f>(H5+0.5*H119)*('Economic Projections'!$B4/'Economic Projections'!$B3)</f>
        <v>5035909.3597461246</v>
      </c>
      <c r="I6" s="61">
        <f>(I5+0.5*I119)*('Economic Projections'!$B4/'Economic Projections'!$B3)</f>
        <v>1022165.9709853934</v>
      </c>
      <c r="J6" s="61">
        <f>(J5+0.5*J119)*('Economic Projections'!$B4/'Economic Projections'!$B3)</f>
        <v>1277998.427392493</v>
      </c>
      <c r="K6" s="61">
        <f>(K5+0.5*K119)*('Economic Projections'!$B4/'Economic Projections'!$B3)</f>
        <v>309446.3691372032</v>
      </c>
      <c r="N6">
        <v>2021</v>
      </c>
      <c r="O6" s="61">
        <f>(O5+0.5*O119)*'Economic Projections'!$C4/'Economic Projections'!$C3</f>
        <v>6352323.1666557165</v>
      </c>
      <c r="P6" s="61">
        <f>(P5+0.5*P119)*'Economic Projections'!$C4/'Economic Projections'!$C3</f>
        <v>4237706.5010183966</v>
      </c>
      <c r="Q6" s="61">
        <f>(Q5+0.5*Q119)*'Economic Projections'!$C4/'Economic Projections'!$C3</f>
        <v>5046197.232759187</v>
      </c>
      <c r="R6" s="61">
        <f>(R5+0.5*R119)*'Economic Projections'!$C4/'Economic Projections'!$C3</f>
        <v>1024039.0707649941</v>
      </c>
      <c r="S6" s="61">
        <f>(S5+0.5*S119)*'Economic Projections'!$C4/'Economic Projections'!$C3</f>
        <v>1280563.0273668575</v>
      </c>
      <c r="T6" s="61">
        <f>(T5+0.5*T119)*'Economic Projections'!$C4/'Economic Projections'!$C3</f>
        <v>311503.01194733242</v>
      </c>
      <c r="W6">
        <v>2021</v>
      </c>
      <c r="X6" s="61">
        <f>(X5+0.5*X119)*'Economic Projections'!$D4/'Economic Projections'!$D3</f>
        <v>6364782.2009337666</v>
      </c>
      <c r="Y6" s="61">
        <f>(Y5+0.5*Y119)*'Economic Projections'!$D4/'Economic Projections'!$D3</f>
        <v>4246018.0634454545</v>
      </c>
      <c r="Z6" s="61">
        <f>(Z5+0.5*Z119)*'Economic Projections'!$D4/'Economic Projections'!$D3</f>
        <v>5056094.5164217632</v>
      </c>
      <c r="AA6" s="61">
        <f>(AA5+0.5*AA119)*'Economic Projections'!$D4/'Economic Projections'!$D3</f>
        <v>1026047.5545196771</v>
      </c>
      <c r="AB6" s="61">
        <f>(AB5+0.5*AB119)*'Economic Projections'!$D4/'Economic Projections'!$D3</f>
        <v>1283074.6405569604</v>
      </c>
      <c r="AC6" s="61">
        <f>(AC5+0.5*AC119)*'Economic Projections'!$D4/'Economic Projections'!$D3</f>
        <v>312113.97373276862</v>
      </c>
      <c r="AG6">
        <v>2021</v>
      </c>
      <c r="AH6" s="61">
        <f>(AH5+0.5*AH119)*'Economic Projections'!$E4/'Economic Projections'!$E3</f>
        <v>6340237.0760264909</v>
      </c>
      <c r="AI6" s="61">
        <f>(AI5+0.5*AI119)*'Economic Projections'!$E4/'Economic Projections'!$E3</f>
        <v>4229643.7335099336</v>
      </c>
      <c r="AJ6" s="61">
        <f>(AJ5+0.5*AJ119)*'Economic Projections'!$E4/'Economic Projections'!$E3</f>
        <v>5037360.8975689905</v>
      </c>
      <c r="AK6" s="61">
        <f>(AK5+0.5*AK119)*'Economic Projections'!$E4/'Economic Projections'!$E3</f>
        <v>1022460.5975289112</v>
      </c>
      <c r="AL6" s="61">
        <f>(AL5+0.5*AL119)*'Economic Projections'!$E4/'Economic Projections'!$E3</f>
        <v>1278366.7944385225</v>
      </c>
      <c r="AM6" s="61">
        <f>(AM5+0.5*AM119)*'Economic Projections'!$E4/'Economic Projections'!$E3</f>
        <v>309535.56317880796</v>
      </c>
    </row>
    <row r="7" spans="2:39">
      <c r="B7" t="s">
        <v>277</v>
      </c>
      <c r="C7" s="417">
        <v>0.1</v>
      </c>
      <c r="E7">
        <v>2022</v>
      </c>
      <c r="F7" s="61">
        <f>(F6+0.5*F120)*('Economic Projections'!$B5/'Economic Projections'!$B4)</f>
        <v>6370322.3583061956</v>
      </c>
      <c r="G7" s="61">
        <f>(G6+0.5*G120)*('Economic Projections'!$B5/'Economic Projections'!$B4)</f>
        <v>4244395.1740310425</v>
      </c>
      <c r="H7" s="61">
        <f>(H6+0.5*H120)*('Economic Projections'!$B5/'Economic Projections'!$B4)</f>
        <v>5078780.6195261721</v>
      </c>
      <c r="I7" s="61">
        <f>(I6+0.5*I120)*('Economic Projections'!$B5/'Economic Projections'!$B4)</f>
        <v>1033260.9602121455</v>
      </c>
      <c r="J7" s="61">
        <f>(J6+0.5*J120)*('Economic Projections'!$B5/'Economic Projections'!$B4)</f>
        <v>1289194.8944252757</v>
      </c>
      <c r="K7" s="61">
        <f>(K6+0.5*K120)*('Economic Projections'!$B5/'Economic Projections'!$B4)</f>
        <v>311004.35128281341</v>
      </c>
      <c r="N7">
        <v>2022</v>
      </c>
      <c r="O7" s="61">
        <f>(O6+0.5*O120)*'Economic Projections'!$C5/'Economic Projections'!$C4</f>
        <v>6398113.6916322932</v>
      </c>
      <c r="P7" s="61">
        <f>(P6+0.5*P120)*'Economic Projections'!$C5/'Economic Projections'!$C4</f>
        <v>4262911.8823567014</v>
      </c>
      <c r="Q7" s="61">
        <f>(Q6+0.5*Q120)*'Economic Projections'!$C5/'Economic Projections'!$C4</f>
        <v>5099308.6911082612</v>
      </c>
      <c r="R7" s="61">
        <f>(R6+0.5*R120)*'Economic Projections'!$C5/'Economic Projections'!$C4</f>
        <v>1037087.0616690813</v>
      </c>
      <c r="S7" s="61">
        <f>(S6+0.5*S120)*'Economic Projections'!$C5/'Economic Projections'!$C4</f>
        <v>1294342.3786048125</v>
      </c>
      <c r="T7" s="61">
        <f>(T6+0.5*T120)*'Economic Projections'!$C5/'Economic Projections'!$C4</f>
        <v>315148.31565381843</v>
      </c>
      <c r="W7">
        <v>2022</v>
      </c>
      <c r="X7" s="61">
        <f>(X6+0.5*X120)*'Economic Projections'!$D5/'Economic Projections'!$D4</f>
        <v>6423000.6126026968</v>
      </c>
      <c r="Y7" s="61">
        <f>(Y6+0.5*Y120)*'Economic Projections'!$D5/'Economic Projections'!$D4</f>
        <v>4279493.4493986815</v>
      </c>
      <c r="Z7" s="61">
        <f>(Z6+0.5*Z120)*'Economic Projections'!$D5/'Economic Projections'!$D4</f>
        <v>5119110.5765183847</v>
      </c>
      <c r="AA7" s="61">
        <f>(AA6+0.5*AA120)*'Economic Projections'!$D5/'Economic Projections'!$D4</f>
        <v>1041152.0776659516</v>
      </c>
      <c r="AB7" s="61">
        <f>(AB6+0.5*AB120)*'Economic Projections'!$D5/'Economic Projections'!$D4</f>
        <v>1299374.1972526126</v>
      </c>
      <c r="AC7" s="61">
        <f>(AC6+0.5*AC120)*'Economic Projections'!$D5/'Economic Projections'!$D4</f>
        <v>316378.98578244977</v>
      </c>
      <c r="AG7">
        <v>2022</v>
      </c>
      <c r="AH7" s="61">
        <f>(AH6+0.5*AH120)*'Economic Projections'!$E5/'Economic Projections'!$E4</f>
        <v>6373971.725600414</v>
      </c>
      <c r="AI7" s="61">
        <f>(AI6+0.5*AI120)*'Economic Projections'!$E5/'Economic Projections'!$E4</f>
        <v>4246826.6611773167</v>
      </c>
      <c r="AJ7" s="61">
        <f>(AJ6+0.5*AJ120)*'Economic Projections'!$E5/'Economic Projections'!$E4</f>
        <v>5081685.5851342119</v>
      </c>
      <c r="AK7" s="61">
        <f>(AK6+0.5*AK120)*'Economic Projections'!$E5/'Economic Projections'!$E4</f>
        <v>1033857.7032678269</v>
      </c>
      <c r="AL7" s="61">
        <f>(AL6+0.5*AL120)*'Economic Projections'!$E5/'Economic Projections'!$E4</f>
        <v>1289933.13294262</v>
      </c>
      <c r="AM7" s="61">
        <f>(AM6+0.5*AM120)*'Economic Projections'!$E5/'Economic Projections'!$E4</f>
        <v>311182.51638091885</v>
      </c>
    </row>
    <row r="8" spans="2:39">
      <c r="B8" s="432" t="s">
        <v>278</v>
      </c>
      <c r="C8" s="418">
        <v>0</v>
      </c>
      <c r="E8">
        <v>2023</v>
      </c>
      <c r="F8" s="61">
        <f>(F7+0.5*F121)*('Economic Projections'!$B6/'Economic Projections'!$B5)</f>
        <v>6402144.9235523185</v>
      </c>
      <c r="G8" s="61">
        <f>(G7+0.5*G121)*('Economic Projections'!$B6/'Economic Projections'!$B5)</f>
        <v>4260259.1262904154</v>
      </c>
      <c r="H8" s="61">
        <f>(H7+0.5*H121)*('Economic Projections'!$B6/'Economic Projections'!$B5)</f>
        <v>5122325.7860861784</v>
      </c>
      <c r="I8" s="61">
        <f>(I7+0.5*I121)*('Economic Projections'!$B6/'Economic Projections'!$B5)</f>
        <v>1043999.2263663012</v>
      </c>
      <c r="J8" s="61">
        <f>(J7+0.5*J121)*('Economic Projections'!$B6/'Economic Projections'!$B5)</f>
        <v>1300274.5194171402</v>
      </c>
      <c r="K8" s="61">
        <f>(K7+0.5*K121)*('Economic Projections'!$B6/'Economic Projections'!$B5)</f>
        <v>312557.95496310771</v>
      </c>
      <c r="N8">
        <v>2023</v>
      </c>
      <c r="O8" s="61">
        <f>(O7+0.5*O121)*'Economic Projections'!$C6/'Economic Projections'!$C5</f>
        <v>6443779.8147914791</v>
      </c>
      <c r="P8" s="61">
        <f>(P7+0.5*P121)*'Economic Projections'!$C6/'Economic Projections'!$C5</f>
        <v>4287964.7511226833</v>
      </c>
      <c r="Q8" s="61">
        <f>(Q7+0.5*Q121)*'Economic Projections'!$C6/'Economic Projections'!$C5</f>
        <v>5153073.1877313079</v>
      </c>
      <c r="R8" s="61">
        <f>(R7+0.5*R121)*'Economic Projections'!$C6/'Economic Projections'!$C5</f>
        <v>1049838.2695428936</v>
      </c>
      <c r="S8" s="61">
        <f>(S7+0.5*S121)*'Economic Projections'!$C6/'Economic Projections'!$C5</f>
        <v>1308016.9948806257</v>
      </c>
      <c r="T8" s="61">
        <f>(T7+0.5*T121)*'Economic Projections'!$C6/'Economic Projections'!$C5</f>
        <v>318819.01346845936</v>
      </c>
      <c r="W8">
        <v>2023</v>
      </c>
      <c r="X8" s="61">
        <f>(X7+0.5*X121)*'Economic Projections'!$D6/'Economic Projections'!$D5</f>
        <v>6481063.5332702678</v>
      </c>
      <c r="Y8" s="61">
        <f>(Y7+0.5*Y121)*'Economic Projections'!$D6/'Economic Projections'!$D5</f>
        <v>4312774.9208092466</v>
      </c>
      <c r="Z8" s="61">
        <f>(Z7+0.5*Z121)*'Economic Projections'!$D6/'Economic Projections'!$D5</f>
        <v>5182807.0838979911</v>
      </c>
      <c r="AA8" s="61">
        <f>(AA7+0.5*AA121)*'Economic Projections'!$D6/'Economic Projections'!$D5</f>
        <v>1055992.9087791531</v>
      </c>
      <c r="AB8" s="61">
        <f>(AB7+0.5*AB121)*'Economic Projections'!$D6/'Economic Projections'!$D5</f>
        <v>1315572.0480083907</v>
      </c>
      <c r="AC8" s="61">
        <f>(AC7+0.5*AC121)*'Economic Projections'!$D6/'Economic Projections'!$D5</f>
        <v>320678.35406611883</v>
      </c>
      <c r="AG8">
        <v>2023</v>
      </c>
      <c r="AH8" s="61">
        <f>(AH7+0.5*AH121)*'Economic Projections'!$E6/'Economic Projections'!$E5</f>
        <v>6407612.1319299722</v>
      </c>
      <c r="AI8" s="61">
        <f>(AI7+0.5*AI121)*'Economic Projections'!$E6/'Economic Projections'!$E5</f>
        <v>4263897.2389330287</v>
      </c>
      <c r="AJ8" s="61">
        <f>(AJ7+0.5*AJ121)*'Economic Projections'!$E6/'Economic Projections'!$E5</f>
        <v>5126689.4966250667</v>
      </c>
      <c r="AK8" s="61">
        <f>(AK7+0.5*AK121)*'Economic Projections'!$E6/'Economic Projections'!$E5</f>
        <v>1044902.8965812523</v>
      </c>
      <c r="AL8" s="61">
        <f>(AL7+0.5*AL121)*'Economic Projections'!$E6/'Economic Projections'!$E5</f>
        <v>1301383.3541349364</v>
      </c>
      <c r="AM8" s="61">
        <f>(AM7+0.5*AM121)*'Economic Projections'!$E6/'Economic Projections'!$E5</f>
        <v>312824.86855070706</v>
      </c>
    </row>
    <row r="9" spans="2:39">
      <c r="B9" s="432" t="s">
        <v>279</v>
      </c>
      <c r="C9" s="180">
        <v>0</v>
      </c>
      <c r="E9">
        <v>2024</v>
      </c>
      <c r="F9" s="61">
        <f>(F8+0.5*F122)*('Economic Projections'!$B7/'Economic Projections'!$B6)</f>
        <v>6433877.9787566429</v>
      </c>
      <c r="G9" s="61">
        <f>(G8+0.5*G122)*('Economic Projections'!$B7/'Economic Projections'!$B6)</f>
        <v>4276017.2313186545</v>
      </c>
      <c r="H9" s="61">
        <f>(H8+0.5*H122)*('Economic Projections'!$B7/'Economic Projections'!$B6)</f>
        <v>5166498.9717363808</v>
      </c>
      <c r="I9" s="61">
        <f>(I8+0.5*I122)*('Economic Projections'!$B7/'Economic Projections'!$B6)</f>
        <v>1054414.4890823937</v>
      </c>
      <c r="J9" s="61">
        <f>(J8+0.5*J122)*('Economic Projections'!$B7/'Economic Projections'!$B6)</f>
        <v>1311248.8559833078</v>
      </c>
      <c r="K9" s="61">
        <f>(K8+0.5*K122)*('Economic Projections'!$B7/'Economic Projections'!$B6)</f>
        <v>314107.18868990248</v>
      </c>
      <c r="N9">
        <v>2024</v>
      </c>
      <c r="O9" s="61">
        <f>(O8+0.5*O122)*'Economic Projections'!$C7/'Economic Projections'!$C6</f>
        <v>6489321.7755901255</v>
      </c>
      <c r="P9" s="61">
        <f>(P8+0.5*P122)*'Economic Projections'!$C7/'Economic Projections'!$C6</f>
        <v>4312865.7123455713</v>
      </c>
      <c r="Q9" s="61">
        <f>(Q8+0.5*Q122)*'Economic Projections'!$C7/'Economic Projections'!$C6</f>
        <v>5207466.5543226153</v>
      </c>
      <c r="R9" s="61">
        <f>(R8+0.5*R122)*'Economic Projections'!$C7/'Economic Projections'!$C6</f>
        <v>1062310.21717248</v>
      </c>
      <c r="S9" s="61">
        <f>(S8+0.5*S122)*'Economic Projections'!$C7/'Economic Projections'!$C6</f>
        <v>1321593.5273818269</v>
      </c>
      <c r="T9" s="61">
        <f>(T8+0.5*T122)*'Economic Projections'!$C7/'Economic Projections'!$C6</f>
        <v>322514.25523731502</v>
      </c>
      <c r="W9">
        <v>2024</v>
      </c>
      <c r="X9" s="61">
        <f>(X8+0.5*X122)*'Economic Projections'!$D7/'Economic Projections'!$D6</f>
        <v>6538971.2606977113</v>
      </c>
      <c r="Y9" s="61">
        <f>(Y8+0.5*Y122)*'Economic Projections'!$D7/'Economic Projections'!$D6</f>
        <v>4345863.2380286995</v>
      </c>
      <c r="Z9" s="61">
        <f>(Z8+0.5*Z122)*'Economic Projections'!$D7/'Economic Projections'!$D6</f>
        <v>5247177.3092370499</v>
      </c>
      <c r="AA9" s="61">
        <f>(AA8+0.5*AA122)*'Economic Projections'!$D7/'Economic Projections'!$D6</f>
        <v>1070574.5486571689</v>
      </c>
      <c r="AB9" s="61">
        <f>(AB8+0.5*AB122)*'Economic Projections'!$D7/'Economic Projections'!$D6</f>
        <v>1331670.0826711624</v>
      </c>
      <c r="AC9" s="61">
        <f>(AC8+0.5*AC122)*'Economic Projections'!$D7/'Economic Projections'!$D6</f>
        <v>325011.35914976377</v>
      </c>
      <c r="AG9">
        <v>2024</v>
      </c>
      <c r="AH9" s="61">
        <f>(AH8+0.5*AH122)*'Economic Projections'!$E7/'Economic Projections'!$E6</f>
        <v>6441158.4779128842</v>
      </c>
      <c r="AI9" s="61">
        <f>(AI8+0.5*AI122)*'Economic Projections'!$E7/'Economic Projections'!$E6</f>
        <v>4280855.921133331</v>
      </c>
      <c r="AJ9" s="61">
        <f>(AJ8+0.5*AJ122)*'Economic Projections'!$E7/'Economic Projections'!$E6</f>
        <v>5172329.356443868</v>
      </c>
      <c r="AK9" s="61">
        <f>(AK8+0.5*AK122)*'Economic Projections'!$E7/'Economic Projections'!$E6</f>
        <v>1055627.8353434703</v>
      </c>
      <c r="AL9" s="61">
        <f>(AL8+0.5*AL122)*'Economic Projections'!$E7/'Economic Projections'!$E6</f>
        <v>1312728.4295556769</v>
      </c>
      <c r="AM9" s="61">
        <f>(AM8+0.5*AM122)*'Economic Projections'!$E7/'Economic Projections'!$E6</f>
        <v>314462.62861738895</v>
      </c>
    </row>
    <row r="10" spans="2:39">
      <c r="B10" s="60" t="s">
        <v>280</v>
      </c>
      <c r="C10" s="433">
        <v>0</v>
      </c>
      <c r="E10">
        <v>2025</v>
      </c>
      <c r="F10" s="61">
        <f>(F9+0.5*F123)*('Economic Projections'!$B8/'Economic Projections'!$B7)</f>
        <v>6465521.6979715144</v>
      </c>
      <c r="G10" s="61">
        <f>(G9+0.5*G123)*('Economic Projections'!$B8/'Economic Projections'!$B7)</f>
        <v>4291669.9192022132</v>
      </c>
      <c r="H10" s="61">
        <f>(H9+0.5*H123)*('Economic Projections'!$B8/'Economic Projections'!$B7)</f>
        <v>5211259.5352842687</v>
      </c>
      <c r="I10" s="61">
        <f>(I9+0.5*I123)*('Economic Projections'!$B8/'Economic Projections'!$B7)</f>
        <v>1064536.5677663453</v>
      </c>
      <c r="J10" s="61">
        <f>(J9+0.5*J123)*('Economic Projections'!$B8/'Economic Projections'!$B7)</f>
        <v>1322128.1132741887</v>
      </c>
      <c r="K10" s="61">
        <f>(K9+0.5*K123)*('Economic Projections'!$B8/'Economic Projections'!$B7)</f>
        <v>315652.06096057565</v>
      </c>
      <c r="N10">
        <v>2025</v>
      </c>
      <c r="O10" s="61">
        <f>(O9+0.5*O123)*'Economic Projections'!$C8/'Economic Projections'!$C7</f>
        <v>6534739.8130808137</v>
      </c>
      <c r="P10" s="61">
        <f>(P9+0.5*P123)*'Economic Projections'!$C8/'Economic Projections'!$C7</f>
        <v>4337615.3689826494</v>
      </c>
      <c r="Q10" s="61">
        <f>(Q9+0.5*Q123)*'Economic Projections'!$C8/'Economic Projections'!$C7</f>
        <v>5262465.6790257795</v>
      </c>
      <c r="R10" s="61">
        <f>(R9+0.5*R123)*'Economic Projections'!$C8/'Economic Projections'!$C7</f>
        <v>1074519.6275496806</v>
      </c>
      <c r="S10" s="61">
        <f>(S9+0.5*S123)*'Economic Projections'!$C8/'Economic Projections'!$C7</f>
        <v>1335078.3260936127</v>
      </c>
      <c r="T10" s="61">
        <f>(T9+0.5*T123)*'Economic Projections'!$C8/'Economic Projections'!$C7</f>
        <v>326233.23782987928</v>
      </c>
      <c r="W10">
        <v>2025</v>
      </c>
      <c r="X10" s="61">
        <f>(X9+0.5*X123)*'Economic Projections'!$D8/'Economic Projections'!$D7</f>
        <v>6596724.0921448162</v>
      </c>
      <c r="Y10" s="61">
        <f>(Y9+0.5*Y123)*'Economic Projections'!$D8/'Economic Projections'!$D7</f>
        <v>4378759.1588187991</v>
      </c>
      <c r="Z10" s="61">
        <f>(Z9+0.5*Z123)*'Economic Projections'!$D8/'Economic Projections'!$D7</f>
        <v>5312213.0937521122</v>
      </c>
      <c r="AA10" s="61">
        <f>(AA9+0.5*AA123)*'Economic Projections'!$D8/'Economic Projections'!$D7</f>
        <v>1084902.5122166961</v>
      </c>
      <c r="AB10" s="61">
        <f>(AB9+0.5*AB123)*'Economic Projections'!$D8/'Economic Projections'!$D7</f>
        <v>1347670.6376052704</v>
      </c>
      <c r="AC10" s="61">
        <f>(AC9+0.5*AC123)*'Economic Projections'!$D8/'Economic Projections'!$D7</f>
        <v>329377.25351424899</v>
      </c>
      <c r="AG10">
        <v>2025</v>
      </c>
      <c r="AH10" s="61">
        <f>(AH9+0.5*AH123)*'Economic Projections'!$E8/'Economic Projections'!$E7</f>
        <v>6474610.9461368835</v>
      </c>
      <c r="AI10" s="61">
        <f>(AI9+0.5*AI123)*'Economic Projections'!$E8/'Economic Projections'!$E7</f>
        <v>4297703.1605648883</v>
      </c>
      <c r="AJ10" s="61">
        <f>(AJ9+0.5*AJ123)*'Economic Projections'!$E8/'Economic Projections'!$E7</f>
        <v>5218566.4988554651</v>
      </c>
      <c r="AK10" s="61">
        <f>(AK9+0.5*AK123)*'Economic Projections'!$E8/'Economic Projections'!$E7</f>
        <v>1066060.7606613741</v>
      </c>
      <c r="AL10" s="61">
        <f>(AL9+0.5*AL123)*'Economic Projections'!$E8/'Economic Projections'!$E7</f>
        <v>1323978.1395446179</v>
      </c>
      <c r="AM10" s="61">
        <f>(AM9+0.5*AM123)*'Economic Projections'!$E8/'Economic Projections'!$E7</f>
        <v>316095.80549504701</v>
      </c>
    </row>
    <row r="11" spans="2:39">
      <c r="B11" s="60" t="s">
        <v>281</v>
      </c>
      <c r="C11" s="433">
        <v>0</v>
      </c>
      <c r="E11">
        <v>2026</v>
      </c>
      <c r="F11" s="61">
        <f>(F10+0.5*F124)*('Economic Projections'!$B9/'Economic Projections'!$B8)</f>
        <v>6497076.2549540065</v>
      </c>
      <c r="G11" s="61">
        <f>(G10+0.5*G124)*('Economic Projections'!$B9/'Economic Projections'!$B8)</f>
        <v>4307217.6185386581</v>
      </c>
      <c r="H11" s="61">
        <f>(H10+0.5*H124)*('Economic Projections'!$B9/'Economic Projections'!$B8)</f>
        <v>5256571.3621082213</v>
      </c>
      <c r="I11" s="61">
        <f>(I10+0.5*I124)*('Economic Projections'!$B9/'Economic Projections'!$B8)</f>
        <v>1074391.9169594424</v>
      </c>
      <c r="J11" s="61">
        <f>(J10+0.5*J124)*('Economic Projections'!$B9/'Economic Projections'!$B8)</f>
        <v>1332921.3405325096</v>
      </c>
      <c r="K11" s="61">
        <f>(K10+0.5*K124)*('Economic Projections'!$B9/'Economic Projections'!$B8)</f>
        <v>317192.58025808976</v>
      </c>
      <c r="N11">
        <v>2026</v>
      </c>
      <c r="O11" s="61">
        <f>(O10+0.5*O124)*'Economic Projections'!$C9/'Economic Projections'!$C8</f>
        <v>6580034.1659125015</v>
      </c>
      <c r="P11" s="61">
        <f>(P10+0.5*P124)*'Economic Projections'!$C9/'Economic Projections'!$C8</f>
        <v>4362214.3219258403</v>
      </c>
      <c r="Q11" s="61">
        <f>(Q10+0.5*Q124)*'Economic Projections'!$C9/'Economic Projections'!$C8</f>
        <v>5318048.5253749657</v>
      </c>
      <c r="R11" s="61">
        <f>(R10+0.5*R124)*'Economic Projections'!$C9/'Economic Projections'!$C8</f>
        <v>1086482.4117090444</v>
      </c>
      <c r="S11" s="61">
        <f>(S10+0.5*S124)*'Economic Projections'!$C9/'Economic Projections'!$C8</f>
        <v>1348477.4339539248</v>
      </c>
      <c r="T11" s="61">
        <f>(T10+0.5*T124)*'Economic Projections'!$C9/'Economic Projections'!$C8</f>
        <v>329975.2041986222</v>
      </c>
      <c r="W11">
        <v>2026</v>
      </c>
      <c r="X11" s="61">
        <f>(X10+0.5*X124)*'Economic Projections'!$D9/'Economic Projections'!$D8</f>
        <v>6654322.3243707092</v>
      </c>
      <c r="Y11" s="61">
        <f>(Y10+0.5*Y124)*'Economic Projections'!$D9/'Economic Projections'!$D8</f>
        <v>4411463.4383597113</v>
      </c>
      <c r="Z11" s="61">
        <f>(Z10+0.5*Z124)*'Economic Projections'!$D9/'Economic Projections'!$D8</f>
        <v>5377905.051392585</v>
      </c>
      <c r="AA11" s="61">
        <f>(AA10+0.5*AA124)*'Economic Projections'!$D9/'Economic Projections'!$D8</f>
        <v>1098983.1823822032</v>
      </c>
      <c r="AB11" s="61">
        <f>(AB10+0.5*AB124)*'Economic Projections'!$D9/'Economic Projections'!$D8</f>
        <v>1363576.4308936642</v>
      </c>
      <c r="AC11" s="61">
        <f>(AC10+0.5*AC124)*'Economic Projections'!$D9/'Economic Projections'!$D8</f>
        <v>333775.27026346058</v>
      </c>
      <c r="AG11">
        <v>2026</v>
      </c>
      <c r="AH11" s="61">
        <f>(AH10+0.5*AH124)*'Economic Projections'!$E9/'Economic Projections'!$E8</f>
        <v>6507969.7188801998</v>
      </c>
      <c r="AI11" s="61">
        <f>(AI10+0.5*AI124)*'Economic Projections'!$E9/'Economic Projections'!$E8</f>
        <v>4314439.4084497793</v>
      </c>
      <c r="AJ11" s="61">
        <f>(AJ10+0.5*AJ124)*'Economic Projections'!$E9/'Economic Projections'!$E8</f>
        <v>5265366.2868743073</v>
      </c>
      <c r="AK11" s="61">
        <f>(AK10+0.5*AK124)*'Economic Projections'!$E9/'Economic Projections'!$E8</f>
        <v>1076226.9278138406</v>
      </c>
      <c r="AL11" s="61">
        <f>(AL10+0.5*AL124)*'Economic Projections'!$E9/'Economic Projections'!$E8</f>
        <v>1335141.223409147</v>
      </c>
      <c r="AM11" s="61">
        <f>(AM10+0.5*AM124)*'Economic Projections'!$E9/'Economic Projections'!$E8</f>
        <v>317724.40808265365</v>
      </c>
    </row>
    <row r="12" spans="2:39">
      <c r="E12">
        <v>2027</v>
      </c>
      <c r="F12" s="61">
        <f>(F11+0.5*F125)*('Economic Projections'!$B10/'Economic Projections'!$B9)</f>
        <v>6528541.823166389</v>
      </c>
      <c r="G12" s="61">
        <f>(G11+0.5*G125)*('Economic Projections'!$B10/'Economic Projections'!$B9)</f>
        <v>4322660.7564414255</v>
      </c>
      <c r="H12" s="61">
        <f>(H11+0.5*H125)*('Economic Projections'!$B10/'Economic Projections'!$B9)</f>
        <v>5302402.2580151455</v>
      </c>
      <c r="I12" s="61">
        <f>(I11+0.5*I125)*('Economic Projections'!$B10/'Economic Projections'!$B9)</f>
        <v>1084004.0770944858</v>
      </c>
      <c r="J12" s="61">
        <f>(J11+0.5*J125)*('Economic Projections'!$B10/'Economic Projections'!$B9)</f>
        <v>1343636.5824742883</v>
      </c>
      <c r="K12" s="61">
        <f>(K11+0.5*K125)*('Economic Projections'!$B10/'Economic Projections'!$B9)</f>
        <v>318728.75505101483</v>
      </c>
      <c r="N12">
        <v>2027</v>
      </c>
      <c r="O12" s="61">
        <f>(O11+0.5*O125)*'Economic Projections'!$C10/'Economic Projections'!$C9</f>
        <v>6625205.072331151</v>
      </c>
      <c r="P12" s="61">
        <f>(P11+0.5*P125)*'Economic Projections'!$C10/'Economic Projections'!$C9</f>
        <v>4386663.170008258</v>
      </c>
      <c r="Q12" s="61">
        <f>(Q11+0.5*Q125)*'Economic Projections'!$C10/'Economic Projections'!$C9</f>
        <v>5374194.1359103769</v>
      </c>
      <c r="R12" s="61">
        <f>(R11+0.5*R125)*'Economic Projections'!$C10/'Economic Projections'!$C9</f>
        <v>1098213.667793398</v>
      </c>
      <c r="S12" s="61">
        <f>(S11+0.5*S125)*'Economic Projections'!$C10/'Economic Projections'!$C9</f>
        <v>1361796.5854699761</v>
      </c>
      <c r="T12" s="61">
        <f>(T11+0.5*T125)*'Economic Projections'!$C10/'Economic Projections'!$C9</f>
        <v>333739.44207421865</v>
      </c>
      <c r="W12">
        <v>2027</v>
      </c>
      <c r="X12" s="61">
        <f>(X11+0.5*X125)*'Economic Projections'!$D10/'Economic Projections'!$D9</f>
        <v>6711766.2536346419</v>
      </c>
      <c r="Y12" s="61">
        <f>(Y11+0.5*Y125)*'Economic Projections'!$D10/'Economic Projections'!$D9</f>
        <v>4443976.8292581765</v>
      </c>
      <c r="Z12" s="61">
        <f>(Z11+0.5*Z125)*'Economic Projections'!$D10/'Economic Projections'!$D9</f>
        <v>5444242.765843221</v>
      </c>
      <c r="AA12" s="61">
        <f>(AA11+0.5*AA125)*'Economic Projections'!$D10/'Economic Projections'!$D9</f>
        <v>1112823.6679932282</v>
      </c>
      <c r="AB12" s="61">
        <f>(AB11+0.5*AB125)*'Economic Projections'!$D10/'Economic Projections'!$D9</f>
        <v>1379390.4993781284</v>
      </c>
      <c r="AC12" s="61">
        <f>(AC11+0.5*AC125)*'Economic Projections'!$D10/'Economic Projections'!$D9</f>
        <v>338204.63116532419</v>
      </c>
      <c r="AG12">
        <v>2027</v>
      </c>
      <c r="AH12" s="61">
        <f>(AH11+0.5*AH125)*'Economic Projections'!$E10/'Economic Projections'!$E9</f>
        <v>6541234.978112055</v>
      </c>
      <c r="AI12" s="61">
        <f>(AI11+0.5*AI125)*'Economic Projections'!$E10/'Economic Projections'!$E9</f>
        <v>4331065.1144504929</v>
      </c>
      <c r="AJ12" s="61">
        <f>(AJ11+0.5*AJ125)*'Economic Projections'!$E10/'Economic Projections'!$E9</f>
        <v>5312697.6144617815</v>
      </c>
      <c r="AK12" s="61">
        <f>(AK11+0.5*AK125)*'Economic Projections'!$E10/'Economic Projections'!$E9</f>
        <v>1086148.9754096784</v>
      </c>
      <c r="AL12" s="61">
        <f>(AL11+0.5*AL125)*'Economic Projections'!$E10/'Economic Projections'!$E9</f>
        <v>1346225.5080634798</v>
      </c>
      <c r="AM12" s="61">
        <f>(AM11+0.5*AM125)*'Economic Projections'!$E10/'Economic Projections'!$E9</f>
        <v>319348.44526409521</v>
      </c>
    </row>
    <row r="13" spans="2:39">
      <c r="E13">
        <v>2028</v>
      </c>
      <c r="F13" s="61">
        <f>(F12+0.5*F126)*('Economic Projections'!$B11/'Economic Projections'!$B10)</f>
        <v>6559918.5757765919</v>
      </c>
      <c r="G13" s="61">
        <f>(G12+0.5*G126)*('Economic Projections'!$B11/'Economic Projections'!$B10)</f>
        <v>4337999.7585445633</v>
      </c>
      <c r="H13" s="61">
        <f>(H12+0.5*H126)*('Economic Projections'!$B11/'Economic Projections'!$B10)</f>
        <v>5348723.436637952</v>
      </c>
      <c r="I13" s="61">
        <f>(I12+0.5*I126)*('Economic Projections'!$B11/'Economic Projections'!$B10)</f>
        <v>1093394.0556950916</v>
      </c>
      <c r="J13" s="61">
        <f>(J12+0.5*J126)*('Economic Projections'!$B11/'Economic Projections'!$B10)</f>
        <v>1354281.0106868204</v>
      </c>
      <c r="K13" s="61">
        <f>(K12+0.5*K126)*('Economic Projections'!$B11/'Economic Projections'!$B10)</f>
        <v>320260.59379355097</v>
      </c>
      <c r="N13">
        <v>2028</v>
      </c>
      <c r="O13" s="61">
        <f>(O12+0.5*O126)*'Economic Projections'!$C11/'Economic Projections'!$C10</f>
        <v>6670252.7701803707</v>
      </c>
      <c r="P13" s="61">
        <f>(P12+0.5*P126)*'Economic Projections'!$C11/'Economic Projections'!$C10</f>
        <v>4410962.5100107528</v>
      </c>
      <c r="Q13" s="61">
        <f>(Q12+0.5*Q126)*'Economic Projections'!$C11/'Economic Projections'!$C10</f>
        <v>5430882.6233051866</v>
      </c>
      <c r="R13" s="61">
        <f>(R12+0.5*R126)*'Economic Projections'!$C11/'Economic Projections'!$C10</f>
        <v>1109727.6892425471</v>
      </c>
      <c r="S13" s="61">
        <f>(S12+0.5*S126)*'Economic Projections'!$C11/'Economic Projections'!$C10</f>
        <v>1375041.2089755733</v>
      </c>
      <c r="T13" s="61">
        <f>(T12+0.5*T126)*'Economic Projections'!$C11/'Economic Projections'!$C10</f>
        <v>337525.28238543216</v>
      </c>
      <c r="W13">
        <v>2028</v>
      </c>
      <c r="X13" s="61">
        <f>(X12+0.5*X126)*'Economic Projections'!$D11/'Economic Projections'!$D10</f>
        <v>6769056.1756967846</v>
      </c>
      <c r="Y13" s="61">
        <f>(Y12+0.5*Y126)*'Economic Projections'!$D11/'Economic Projections'!$D10</f>
        <v>4476300.081555659</v>
      </c>
      <c r="Z13" s="61">
        <f>(Z12+0.5*Z126)*'Economic Projections'!$D11/'Economic Projections'!$D10</f>
        <v>5511214.9790920634</v>
      </c>
      <c r="AA13" s="61">
        <f>(AA12+0.5*AA126)*'Economic Projections'!$D11/'Economic Projections'!$D10</f>
        <v>1126431.6680362823</v>
      </c>
      <c r="AB13" s="61">
        <f>(AB12+0.5*AB126)*'Economic Projections'!$D11/'Economic Projections'!$D10</f>
        <v>1395116.1385532175</v>
      </c>
      <c r="AC13" s="61">
        <f>(AC12+0.5*AC126)*'Economic Projections'!$D11/'Economic Projections'!$D10</f>
        <v>342664.55394910311</v>
      </c>
      <c r="AG13">
        <v>2028</v>
      </c>
      <c r="AH13" s="61">
        <f>(AH12+0.5*AH126)*'Economic Projections'!$E11/'Economic Projections'!$E10</f>
        <v>6574406.9054931458</v>
      </c>
      <c r="AI13" s="61">
        <f>(AI12+0.5*AI126)*'Economic Projections'!$E11/'Economic Projections'!$E10</f>
        <v>4347580.7266749013</v>
      </c>
      <c r="AJ13" s="61">
        <f>(AJ12+0.5*AJ126)*'Economic Projections'!$E11/'Economic Projections'!$E10</f>
        <v>5360532.4787334055</v>
      </c>
      <c r="AK13" s="61">
        <f>(AK12+0.5*AK126)*'Economic Projections'!$E11/'Economic Projections'!$E10</f>
        <v>1095847.242626223</v>
      </c>
      <c r="AL13" s="61">
        <f>(AL12+0.5*AL126)*'Economic Projections'!$E11/'Economic Projections'!$E10</f>
        <v>1357238.0185773685</v>
      </c>
      <c r="AM13" s="61">
        <f>(AM12+0.5*AM126)*'Economic Projections'!$E11/'Economic Projections'!$E10</f>
        <v>320967.92590819555</v>
      </c>
    </row>
    <row r="14" spans="2:39">
      <c r="E14">
        <v>2029</v>
      </c>
      <c r="F14" s="61">
        <f>(F13+0.5*F127)*('Economic Projections'!$B12/'Economic Projections'!$B11)</f>
        <v>6591206.68565867</v>
      </c>
      <c r="G14" s="61">
        <f>(G13+0.5*G127)*('Economic Projections'!$B12/'Economic Projections'!$B11)</f>
        <v>4353235.0490074577</v>
      </c>
      <c r="H14" s="61">
        <f>(H13+0.5*H127)*('Economic Projections'!$B12/'Economic Projections'!$B11)</f>
        <v>5395509.0841153674</v>
      </c>
      <c r="I14" s="61">
        <f>(I13+0.5*I127)*('Economic Projections'!$B12/'Economic Projections'!$B11)</f>
        <v>1102580.65110567</v>
      </c>
      <c r="J14" s="61">
        <f>(J13+0.5*J127)*('Economic Projections'!$B12/'Economic Projections'!$B11)</f>
        <v>1364861.0352136728</v>
      </c>
      <c r="K14" s="61">
        <f>(K13+0.5*K127)*('Economic Projections'!$B12/'Economic Projections'!$B11)</f>
        <v>321788.10492555099</v>
      </c>
      <c r="N14">
        <v>2029</v>
      </c>
      <c r="O14" s="61">
        <f>(O13+0.5*O127)*'Economic Projections'!$C12/'Economic Projections'!$C11</f>
        <v>6715177.4969020411</v>
      </c>
      <c r="P14" s="61">
        <f>(P13+0.5*P127)*'Economic Projections'!$C12/'Economic Projections'!$C11</f>
        <v>4435112.9366684221</v>
      </c>
      <c r="Q14" s="61">
        <f>(Q13+0.5*Q127)*'Economic Projections'!$C12/'Economic Projections'!$C11</f>
        <v>5488095.1515051574</v>
      </c>
      <c r="R14" s="61">
        <f>(R13+0.5*R127)*'Economic Projections'!$C12/'Economic Projections'!$C11</f>
        <v>1121037.9802518671</v>
      </c>
      <c r="S14" s="61">
        <f>(S13+0.5*S127)*'Economic Projections'!$C12/'Economic Projections'!$C11</f>
        <v>1388216.4318051215</v>
      </c>
      <c r="T14" s="61">
        <f>(T13+0.5*T127)*'Economic Projections'!$C12/'Economic Projections'!$C11</f>
        <v>341332.09747973375</v>
      </c>
      <c r="W14">
        <v>2029</v>
      </c>
      <c r="X14" s="61">
        <f>(X13+0.5*X127)*'Economic Projections'!$D12/'Economic Projections'!$D11</f>
        <v>6826192.3858189993</v>
      </c>
      <c r="Y14" s="61">
        <f>(Y13+0.5*Y127)*'Economic Projections'!$D12/'Economic Projections'!$D11</f>
        <v>4508433.942736472</v>
      </c>
      <c r="Z14" s="61">
        <f>(Z13+0.5*Z127)*'Economic Projections'!$D12/'Economic Projections'!$D11</f>
        <v>5578809.7690012464</v>
      </c>
      <c r="AA14" s="61">
        <f>(AA13+0.5*AA127)*'Economic Projections'!$D12/'Economic Projections'!$D11</f>
        <v>1139815.3440143247</v>
      </c>
      <c r="AB14" s="61">
        <f>(AB13+0.5*AB127)*'Economic Projections'!$D12/'Economic Projections'!$D11</f>
        <v>1410756.8461095293</v>
      </c>
      <c r="AC14" s="61">
        <f>(AC13+0.5*AC127)*'Economic Projections'!$D12/'Economic Projections'!$D11</f>
        <v>347154.25881292654</v>
      </c>
      <c r="AG14">
        <v>2029</v>
      </c>
      <c r="AH14" s="61">
        <f>(AH13+0.5*AH127)*'Economic Projections'!$E12/'Economic Projections'!$E11</f>
        <v>6607485.6823761305</v>
      </c>
      <c r="AI14" s="61">
        <f>(AI13+0.5*AI127)*'Economic Projections'!$E12/'Economic Projections'!$E11</f>
        <v>4363986.6916812221</v>
      </c>
      <c r="AJ14" s="61">
        <f>(AJ13+0.5*AJ127)*'Economic Projections'!$E12/'Economic Projections'!$E11</f>
        <v>5408845.6112042731</v>
      </c>
      <c r="AK14" s="61">
        <f>(AK13+0.5*AK127)*'Economic Projections'!$E12/'Economic Projections'!$E11</f>
        <v>1105340.0426642455</v>
      </c>
      <c r="AL14" s="61">
        <f>(AL13+0.5*AL127)*'Economic Projections'!$E12/'Economic Projections'!$E11</f>
        <v>1368185.0734702852</v>
      </c>
      <c r="AM14" s="61">
        <f>(AM13+0.5*AM127)*'Economic Projections'!$E12/'Economic Projections'!$E11</f>
        <v>322582.85886873998</v>
      </c>
    </row>
    <row r="15" spans="2:39">
      <c r="E15">
        <v>2030</v>
      </c>
      <c r="F15" s="61">
        <f>(F14+0.5*F128)*('Economic Projections'!$B13/'Economic Projections'!$B12)</f>
        <v>6622406.3253932698</v>
      </c>
      <c r="G15" s="61">
        <f>(G14+0.5*G128)*('Economic Projections'!$B13/'Economic Projections'!$B12)</f>
        <v>4368367.0505195474</v>
      </c>
      <c r="H15" s="61">
        <f>(H14+0.5*H128)*('Economic Projections'!$B13/'Economic Projections'!$B12)</f>
        <v>5442735.9879254084</v>
      </c>
      <c r="I15" s="61">
        <f>(I14+0.5*I128)*('Economic Projections'!$B13/'Economic Projections'!$B12)</f>
        <v>1111580.7285136858</v>
      </c>
      <c r="J15" s="61">
        <f>(J14+0.5*J128)*('Economic Projections'!$B13/'Economic Projections'!$B12)</f>
        <v>1375382.399693758</v>
      </c>
      <c r="K15" s="61">
        <f>(K14+0.5*K128)*('Economic Projections'!$B13/'Economic Projections'!$B12)</f>
        <v>323311.29687254323</v>
      </c>
      <c r="N15">
        <v>2030</v>
      </c>
      <c r="O15" s="61">
        <f>(O14+0.5*O128)*'Economic Projections'!$C13/'Economic Projections'!$C12</f>
        <v>6759979.4895369578</v>
      </c>
      <c r="P15" s="61">
        <f>(P14+0.5*P128)*'Economic Projections'!$C13/'Economic Projections'!$C12</f>
        <v>4459115.0426771175</v>
      </c>
      <c r="Q15" s="61">
        <f>(Q14+0.5*Q128)*'Economic Projections'!$C13/'Economic Projections'!$C12</f>
        <v>5545813.9090571469</v>
      </c>
      <c r="R15" s="61">
        <f>(R14+0.5*R128)*'Economic Projections'!$C13/'Economic Projections'!$C12</f>
        <v>1132157.2768910192</v>
      </c>
      <c r="S15" s="61">
        <f>(S14+0.5*S128)*'Economic Projections'!$C13/'Economic Projections'!$C12</f>
        <v>1401327.0877538021</v>
      </c>
      <c r="T15" s="61">
        <f>(T14+0.5*T128)*'Economic Projections'!$C13/'Economic Projections'!$C12</f>
        <v>345159.29920879228</v>
      </c>
      <c r="W15">
        <v>2030</v>
      </c>
      <c r="X15" s="61">
        <f>(X14+0.5*X128)*'Economic Projections'!$D13/'Economic Projections'!$D12</f>
        <v>6883175.1787656369</v>
      </c>
      <c r="Y15" s="61">
        <f>(Y14+0.5*Y128)*'Economic Projections'!$D13/'Economic Projections'!$D12</f>
        <v>4540379.157735873</v>
      </c>
      <c r="Z15" s="61">
        <f>(Z14+0.5*Z128)*'Economic Projections'!$D13/'Economic Projections'!$D12</f>
        <v>5647014.7139816144</v>
      </c>
      <c r="AA15" s="61">
        <f>(AA14+0.5*AA128)*'Economic Projections'!$D13/'Economic Projections'!$D12</f>
        <v>1152983.2017881002</v>
      </c>
      <c r="AB15" s="61">
        <f>(AB14+0.5*AB128)*'Economic Projections'!$D13/'Economic Projections'!$D12</f>
        <v>1426316.269709795</v>
      </c>
      <c r="AC15" s="61">
        <f>(AC14+0.5*AC128)*'Economic Projections'!$D13/'Economic Projections'!$D12</f>
        <v>351672.97412287461</v>
      </c>
      <c r="AG15">
        <v>2030</v>
      </c>
      <c r="AH15" s="61">
        <f>(AH14+0.5*AH128)*'Economic Projections'!$E13/'Economic Projections'!$E12</f>
        <v>6640471.4898061184</v>
      </c>
      <c r="AI15" s="61">
        <f>(AI14+0.5*AI128)*'Economic Projections'!$E13/'Economic Projections'!$E12</f>
        <v>4380283.4544829698</v>
      </c>
      <c r="AJ15" s="61">
        <f>(AJ14+0.5*AJ128)*'Economic Projections'!$E13/'Economic Projections'!$E12</f>
        <v>5457614.158987755</v>
      </c>
      <c r="AK15" s="61">
        <f>(AK14+0.5*AK128)*'Economic Projections'!$E13/'Economic Projections'!$E12</f>
        <v>1114643.8991560969</v>
      </c>
      <c r="AL15" s="61">
        <f>(AL14+0.5*AL128)*'Economic Projections'!$E13/'Economic Projections'!$E12</f>
        <v>1379072.3670991161</v>
      </c>
      <c r="AM15" s="61">
        <f>(AM14+0.5*AM128)*'Economic Projections'!$E13/'Economic Projections'!$E12</f>
        <v>324193.25298449886</v>
      </c>
    </row>
    <row r="16" spans="2:39">
      <c r="B16" s="180"/>
      <c r="E16">
        <v>2040</v>
      </c>
      <c r="F16" s="61">
        <f>(F15+5*F129)*('Economic Projections'!$B14/'Economic Projections'!$B13)</f>
        <v>6807377.6931357216</v>
      </c>
      <c r="G16" s="61">
        <f>(G15+5*G129)*('Economic Projections'!$B14/'Economic Projections'!$B13)</f>
        <v>4433540.2686119759</v>
      </c>
      <c r="H16" s="61">
        <f>(H15+5*H129)*('Economic Projections'!$B14/'Economic Projections'!$B13)</f>
        <v>5823215.1145011093</v>
      </c>
      <c r="I16" s="61">
        <f>(I15+5*I129)*('Economic Projections'!$B14/'Economic Projections'!$B13)</f>
        <v>1179949.2819106877</v>
      </c>
      <c r="J16" s="61">
        <f>(J15+5*J129)*('Economic Projections'!$B14/'Economic Projections'!$B13)</f>
        <v>1455256.5352056012</v>
      </c>
      <c r="K16" s="61">
        <f>(K15+5*K129)*('Economic Projections'!$B14/'Economic Projections'!$B13)</f>
        <v>332341.75043438334</v>
      </c>
      <c r="N16">
        <v>2040</v>
      </c>
      <c r="O16" s="61">
        <f>(O15+5*O129)*('Economic Projections'!$C14/'Economic Projections'!$C13)</f>
        <v>7103809.5601231214</v>
      </c>
      <c r="P16" s="61">
        <f>(P15+5*P129)*('Economic Projections'!$C14/'Economic Projections'!$C13)</f>
        <v>4626601.7789955884</v>
      </c>
      <c r="Q16" s="61">
        <f>(Q15+5*Q129)*('Economic Projections'!$C14/'Economic Projections'!$C13)</f>
        <v>6055463.2550545894</v>
      </c>
      <c r="R16" s="61">
        <f>(R15+5*R129)*('Economic Projections'!$C14/'Economic Projections'!$C13)</f>
        <v>1226246.8977387561</v>
      </c>
      <c r="S16" s="61">
        <f>(S15+5*S129)*('Economic Projections'!$C14/'Economic Projections'!$C13)</f>
        <v>1512605.3117318219</v>
      </c>
      <c r="T16" s="61">
        <f>(T15+5*T129)*('Economic Projections'!$C14/'Economic Projections'!$C13)</f>
        <v>379246.92565966846</v>
      </c>
      <c r="W16">
        <v>2040</v>
      </c>
      <c r="X16" s="61">
        <f>(X15+5*X129)*('Economic Projections'!$D14/'Economic Projections'!$D13)</f>
        <v>7396177.9821889158</v>
      </c>
      <c r="Y16" s="61">
        <f>(Y15+5*Y129)*('Economic Projections'!$D14/'Economic Projections'!$D13)</f>
        <v>4817016.830272425</v>
      </c>
      <c r="Z16" s="61">
        <f>(Z15+5*Z129)*('Economic Projections'!$D14/'Economic Projections'!$D13)</f>
        <v>6306945.5424010037</v>
      </c>
      <c r="AA16" s="61">
        <f>(AA15+5*AA129)*('Economic Projections'!$D14/'Economic Projections'!$D13)</f>
        <v>1276008.7658002232</v>
      </c>
      <c r="AB16" s="61">
        <f>(AB15+5*AB129)*('Economic Projections'!$D14/'Economic Projections'!$D13)</f>
        <v>1572563.05359984</v>
      </c>
      <c r="AC16" s="61">
        <f>(AC15+5*AC129)*('Economic Projections'!$D14/'Economic Projections'!$D13)</f>
        <v>395597.37378953933</v>
      </c>
      <c r="AG16">
        <v>2040</v>
      </c>
      <c r="AH16" s="61">
        <f>(AH15+5*AH129)*('Economic Projections'!$E14/'Economic Projections'!$E13)</f>
        <v>6842572.7960176086</v>
      </c>
      <c r="AI16" s="61">
        <f>(AI15+5*AI129)*('Economic Projections'!$E14/'Economic Projections'!$E13)</f>
        <v>4456462.2971696304</v>
      </c>
      <c r="AJ16" s="61">
        <f>(AJ15+5*AJ129)*('Economic Projections'!$E14/'Economic Projections'!$E13)</f>
        <v>5853620.5070240991</v>
      </c>
      <c r="AK16" s="61">
        <f>(AK15+5*AK129)*('Economic Projections'!$E14/'Economic Projections'!$E13)</f>
        <v>1185989.9152554437</v>
      </c>
      <c r="AL16" s="61">
        <f>(AL15+5*AL129)*('Economic Projections'!$E14/'Economic Projections'!$E13)</f>
        <v>1462541.7386490735</v>
      </c>
      <c r="AM16" s="61">
        <f>(AM15+5*AM129)*('Economic Projections'!$E14/'Economic Projections'!$E13)</f>
        <v>334060.00416228792</v>
      </c>
    </row>
    <row r="17" spans="5:39">
      <c r="E17">
        <v>2050</v>
      </c>
      <c r="F17" s="61">
        <f>(F16+5*F130)*('Economic Projections'!$B15/'Economic Projections'!$B14)</f>
        <v>6920969.2160247546</v>
      </c>
      <c r="G17" s="61">
        <f>(G16+5*G130)*('Economic Projections'!$B15/'Economic Projections'!$B14)</f>
        <v>4507520.6783385156</v>
      </c>
      <c r="H17" s="61">
        <f>(H16+5*H130)*('Economic Projections'!$B15/'Economic Projections'!$B14)</f>
        <v>5920384.3774367645</v>
      </c>
      <c r="I17" s="61">
        <f>(I16+5*I130)*('Economic Projections'!$B15/'Economic Projections'!$B14)</f>
        <v>1199638.5428722485</v>
      </c>
      <c r="J17" s="61">
        <f>(J16+5*J130)*('Economic Projections'!$B15/'Economic Projections'!$B14)</f>
        <v>1479539.7193449077</v>
      </c>
      <c r="K17" s="61">
        <f>(K16+5*K130)*('Economic Projections'!$B15/'Economic Projections'!$B14)</f>
        <v>337887.38155009405</v>
      </c>
      <c r="N17">
        <v>2050</v>
      </c>
      <c r="O17" s="61">
        <f>(O16+5*O130)*('Economic Projections'!$C15/'Economic Projections'!$C14)</f>
        <v>7318277.5307735968</v>
      </c>
      <c r="P17" s="61">
        <f>(P16+5*P130)*('Economic Projections'!$C15/'Economic Projections'!$C14)</f>
        <v>4705948.7890278511</v>
      </c>
      <c r="Q17" s="61">
        <f>(Q16+5*Q130)*('Economic Projections'!$C15/'Economic Projections'!$C14)</f>
        <v>6495078.9423017306</v>
      </c>
      <c r="R17" s="61">
        <f>(R16+5*R130)*('Economic Projections'!$C15/'Economic Projections'!$C14)</f>
        <v>1286492.7685233001</v>
      </c>
      <c r="S17" s="61">
        <f>(S16+5*S130)*('Economic Projections'!$C15/'Economic Projections'!$C14)</f>
        <v>1594037.1152295703</v>
      </c>
      <c r="T17" s="61">
        <f>(T16+5*T130)*('Economic Projections'!$C15/'Economic Projections'!$C14)</f>
        <v>407837.10644355684</v>
      </c>
      <c r="W17">
        <v>2050</v>
      </c>
      <c r="X17" s="61">
        <f>(X16+5*X130)*('Economic Projections'!$D15/'Economic Projections'!$D14)</f>
        <v>7855843.2552720401</v>
      </c>
      <c r="Y17" s="61">
        <f>(Y16+5*Y130)*('Economic Projections'!$D15/'Economic Projections'!$D14)</f>
        <v>5051625.3173623681</v>
      </c>
      <c r="Z17" s="61">
        <f>(Z16+5*Z130)*('Economic Projections'!$D15/'Economic Projections'!$D14)</f>
        <v>6982999.742187961</v>
      </c>
      <c r="AA17" s="61">
        <f>(AA16+5*AA130)*('Economic Projections'!$D15/'Economic Projections'!$D14)</f>
        <v>1375240.6820656424</v>
      </c>
      <c r="AB17" s="61">
        <f>(AB16+5*AB130)*('Economic Projections'!$D15/'Economic Projections'!$D14)</f>
        <v>1704407.5678638597</v>
      </c>
      <c r="AC17" s="61">
        <f>(AC16+5*AC130)*('Economic Projections'!$D15/'Economic Projections'!$D14)</f>
        <v>439443.16511826077</v>
      </c>
      <c r="AG17">
        <v>2050</v>
      </c>
      <c r="AH17" s="61">
        <f>(AH16+5*AH130)*('Economic Projections'!$E15/'Economic Projections'!$E14)</f>
        <v>6989199.3559322711</v>
      </c>
      <c r="AI17" s="61">
        <f>(AI16+5*AI130)*('Economic Projections'!$E15/'Economic Projections'!$E14)</f>
        <v>4551957.9178232653</v>
      </c>
      <c r="AJ17" s="61">
        <f>(AJ16+5*AJ130)*('Economic Projections'!$E15/'Economic Projections'!$E14)</f>
        <v>5979055.2321746154</v>
      </c>
      <c r="AK17" s="61">
        <f>(AK16+5*AK130)*('Economic Projections'!$E15/'Economic Projections'!$E14)</f>
        <v>1211403.9848680603</v>
      </c>
      <c r="AL17" s="61">
        <f>(AL16+5*AL130)*('Economic Projections'!$E15/'Economic Projections'!$E14)</f>
        <v>1493881.9187629821</v>
      </c>
      <c r="AM17" s="61">
        <f>(AM16+5*AM130)*('Economic Projections'!$E15/'Economic Projections'!$E14)</f>
        <v>341218.43282290833</v>
      </c>
    </row>
    <row r="18" spans="5:39">
      <c r="E18">
        <v>2060</v>
      </c>
      <c r="F18" s="61">
        <f>(F17+5*F131)*('Economic Projections'!$B16/'Economic Projections'!$B15)</f>
        <v>6888514.4951993171</v>
      </c>
      <c r="G18" s="61">
        <f>(G17+5*G131)*('Economic Projections'!$B16/'Economic Projections'!$B15)</f>
        <v>4486383.4184166472</v>
      </c>
      <c r="H18" s="61">
        <f>(H17+5*H131)*('Economic Projections'!$B16/'Economic Projections'!$B15)</f>
        <v>5892621.7308837213</v>
      </c>
      <c r="I18" s="61">
        <f>(I17+5*I131)*('Economic Projections'!$B16/'Economic Projections'!$B15)</f>
        <v>1194013.0397403741</v>
      </c>
      <c r="J18" s="61">
        <f>(J17+5*J131)*('Economic Projections'!$B16/'Economic Projections'!$B15)</f>
        <v>1472601.6667336775</v>
      </c>
      <c r="K18" s="61">
        <f>(K17+5*K131)*('Economic Projections'!$B16/'Economic Projections'!$B15)</f>
        <v>336302.91551703389</v>
      </c>
      <c r="N18">
        <v>2060</v>
      </c>
      <c r="O18" s="61">
        <f>(O17+5*O131)*('Economic Projections'!$C16/'Economic Projections'!$C15)</f>
        <v>7485871.6726997113</v>
      </c>
      <c r="P18" s="61">
        <f>(P17+5*P131)*('Economic Projections'!$C16/'Economic Projections'!$C15)</f>
        <v>4813718.6086239098</v>
      </c>
      <c r="Q18" s="61">
        <f>(Q17+5*Q131)*('Economic Projections'!$C16/'Economic Projections'!$C15)</f>
        <v>6643821.2081559701</v>
      </c>
      <c r="R18" s="61">
        <f>(R17+5*R131)*('Economic Projections'!$C16/'Economic Projections'!$C15)</f>
        <v>1315954.4349780323</v>
      </c>
      <c r="S18" s="61">
        <f>(S17+5*S131)*('Economic Projections'!$C16/'Economic Projections'!$C15)</f>
        <v>1630541.781990553</v>
      </c>
      <c r="T18" s="61">
        <f>(T17+5*T131)*('Economic Projections'!$C16/'Economic Projections'!$C15)</f>
        <v>417176.88750714983</v>
      </c>
      <c r="W18">
        <v>2060</v>
      </c>
      <c r="X18" s="61">
        <f>(X17+5*X131)*('Economic Projections'!$D16/'Economic Projections'!$D15)</f>
        <v>8336974.2176933205</v>
      </c>
      <c r="Y18" s="61">
        <f>(Y17+5*Y131)*('Economic Projections'!$D16/'Economic Projections'!$D15)</f>
        <v>5361012.0084859673</v>
      </c>
      <c r="Z18" s="61">
        <f>(Z17+5*Z131)*('Economic Projections'!$D16/'Economic Projections'!$D15)</f>
        <v>7410673.4211773854</v>
      </c>
      <c r="AA18" s="61">
        <f>(AA17+5*AA131)*('Economic Projections'!$D16/'Economic Projections'!$D15)</f>
        <v>1459467.2700234782</v>
      </c>
      <c r="AB18" s="61">
        <f>(AB17+5*AB131)*('Economic Projections'!$D16/'Economic Projections'!$D15)</f>
        <v>1808793.9751326304</v>
      </c>
      <c r="AC18" s="61">
        <f>(AC17+5*AC131)*('Economic Projections'!$D16/'Economic Projections'!$D15)</f>
        <v>466356.85294176877</v>
      </c>
      <c r="AG18">
        <v>2060</v>
      </c>
      <c r="AH18" s="61">
        <f>(AH17+5*AH131)*('Economic Projections'!$E16/'Economic Projections'!$E15)</f>
        <v>6997345.2759275306</v>
      </c>
      <c r="AI18" s="61">
        <f>(AI17+5*AI131)*('Economic Projections'!$E16/'Economic Projections'!$E15)</f>
        <v>4557263.2300818004</v>
      </c>
      <c r="AJ18" s="61">
        <f>(AJ17+5*AJ131)*('Economic Projections'!$E16/'Economic Projections'!$E15)</f>
        <v>5986023.8280163109</v>
      </c>
      <c r="AK18" s="61">
        <f>(AK17+5*AK131)*('Economic Projections'!$E16/'Economic Projections'!$E15)</f>
        <v>1212815.8776243168</v>
      </c>
      <c r="AL18" s="61">
        <f>(AL17+5*AL131)*('Economic Projections'!$E16/'Economic Projections'!$E15)</f>
        <v>1495623.0398804215</v>
      </c>
      <c r="AM18" s="61">
        <f>(AM17+5*AM131)*('Economic Projections'!$E16/'Economic Projections'!$E15)</f>
        <v>341616.12330405391</v>
      </c>
    </row>
    <row r="19" spans="5:39">
      <c r="E19">
        <v>2070</v>
      </c>
      <c r="F19" s="61">
        <f>(F18+5*F132)*('Economic Projections'!$B17/'Economic Projections'!$B16)</f>
        <v>6734354.5712784845</v>
      </c>
      <c r="G19" s="61">
        <f>(G18+5*G132)*('Economic Projections'!$B17/'Economic Projections'!$B16)</f>
        <v>4385981.4337877706</v>
      </c>
      <c r="H19" s="61">
        <f>(H18+5*H132)*('Economic Projections'!$B17/'Economic Projections'!$B16)</f>
        <v>5760749.1597567601</v>
      </c>
      <c r="I19" s="61">
        <f>(I18+5*I132)*('Economic Projections'!$B17/'Economic Projections'!$B16)</f>
        <v>1167291.89986397</v>
      </c>
      <c r="J19" s="61">
        <f>(J18+5*J132)*('Economic Projections'!$B17/'Economic Projections'!$B16)</f>
        <v>1439645.9168303327</v>
      </c>
      <c r="K19" s="61">
        <f>(K18+5*K132)*('Economic Projections'!$B17/'Economic Projections'!$B16)</f>
        <v>328776.70185999782</v>
      </c>
      <c r="N19">
        <v>2070</v>
      </c>
      <c r="O19" s="61">
        <f>(O18+5*O132)*('Economic Projections'!$C17/'Economic Projections'!$C16)</f>
        <v>7549717.0601001354</v>
      </c>
      <c r="P19" s="61">
        <f>(P18+5*P132)*('Economic Projections'!$C17/'Economic Projections'!$C16)</f>
        <v>4854773.7779938364</v>
      </c>
      <c r="Q19" s="61">
        <f>(Q18+5*Q132)*('Economic Projections'!$C17/'Economic Projections'!$C16)</f>
        <v>6700484.9284813944</v>
      </c>
      <c r="R19" s="61">
        <f>(R18+5*R132)*('Economic Projections'!$C17/'Economic Projections'!$C16)</f>
        <v>1327177.9269607873</v>
      </c>
      <c r="S19" s="61">
        <f>(S18+5*S132)*('Economic Projections'!$C17/'Economic Projections'!$C16)</f>
        <v>1644448.3217090226</v>
      </c>
      <c r="T19" s="61">
        <f>(T18+5*T132)*('Economic Projections'!$C17/'Economic Projections'!$C16)</f>
        <v>420734.89934089949</v>
      </c>
      <c r="W19">
        <v>2070</v>
      </c>
      <c r="X19" s="61">
        <f>(X18+5*X132)*('Economic Projections'!$D17/'Economic Projections'!$D16)</f>
        <v>8770780.8231551293</v>
      </c>
      <c r="Y19" s="61">
        <f>(Y18+5*Y132)*('Economic Projections'!$D17/'Economic Projections'!$D16)</f>
        <v>5639967.2217941293</v>
      </c>
      <c r="Z19" s="61">
        <f>(Z18+5*Z132)*('Economic Projections'!$D17/'Economic Projections'!$D16)</f>
        <v>7796280.8366596512</v>
      </c>
      <c r="AA19" s="61">
        <f>(AA18+5*AA132)*('Economic Projections'!$D17/'Economic Projections'!$D16)</f>
        <v>1535409.2755592314</v>
      </c>
      <c r="AB19" s="61">
        <f>(AB18+5*AB132)*('Economic Projections'!$D17/'Economic Projections'!$D16)</f>
        <v>1902912.8669323414</v>
      </c>
      <c r="AC19" s="61">
        <f>(AC18+5*AC132)*('Economic Projections'!$D17/'Economic Projections'!$D16)</f>
        <v>490623.29278263653</v>
      </c>
      <c r="AG19">
        <v>2070</v>
      </c>
      <c r="AH19" s="61">
        <f>(AH18+5*AH132)*('Economic Projections'!$E17/'Economic Projections'!$E16)</f>
        <v>6891448.3159891637</v>
      </c>
      <c r="AI19" s="61">
        <f>(AI18+5*AI132)*('Economic Projections'!$E17/'Economic Projections'!$E16)</f>
        <v>4488294.1707208427</v>
      </c>
      <c r="AJ19" s="61">
        <f>(AJ18+5*AJ132)*('Economic Projections'!$E17/'Economic Projections'!$E16)</f>
        <v>5895432.0820742724</v>
      </c>
      <c r="AK19" s="61">
        <f>(AK18+5*AK132)*('Economic Projections'!$E17/'Economic Projections'!$E16)</f>
        <v>1194461.2717929827</v>
      </c>
      <c r="AL19" s="61">
        <f>(AL18+5*AL132)*('Economic Projections'!$E17/'Economic Projections'!$E16)</f>
        <v>1472988.4653537099</v>
      </c>
      <c r="AM19" s="61">
        <f>(AM18+5*AM132)*('Economic Projections'!$E17/'Economic Projections'!$E16)</f>
        <v>336446.14704916143</v>
      </c>
    </row>
    <row r="20" spans="5:39">
      <c r="E20">
        <v>2080</v>
      </c>
      <c r="F20" s="61">
        <f>(F19+5*F133)*('Economic Projections'!$B18/'Economic Projections'!$B17)</f>
        <v>6466603.1244686162</v>
      </c>
      <c r="G20" s="61">
        <f>(G19+5*G133)*('Economic Projections'!$B18/'Economic Projections'!$B17)</f>
        <v>4211599.0394323524</v>
      </c>
      <c r="H20" s="61">
        <f>(H19+5*H133)*('Economic Projections'!$B18/'Economic Projections'!$B17)</f>
        <v>5531707.325694141</v>
      </c>
      <c r="I20" s="61">
        <f>(I19+5*I133)*('Economic Projections'!$B18/'Economic Projections'!$B17)</f>
        <v>1120881.4990260047</v>
      </c>
      <c r="J20" s="61">
        <f>(J19+5*J133)*('Economic Projections'!$B18/'Economic Projections'!$B17)</f>
        <v>1382406.9827876808</v>
      </c>
      <c r="K20" s="61">
        <f>(K19+5*K133)*('Economic Projections'!$B18/'Economic Projections'!$B17)</f>
        <v>315704.85708725086</v>
      </c>
      <c r="N20">
        <v>2080</v>
      </c>
      <c r="O20" s="61">
        <f>(O19+5*O133)*('Economic Projections'!$C18/'Economic Projections'!$C17)</f>
        <v>7509813.692974871</v>
      </c>
      <c r="P20" s="61">
        <f>(P19+5*P133)*('Economic Projections'!$C18/'Economic Projections'!$C17)</f>
        <v>4829114.297137632</v>
      </c>
      <c r="Q20" s="61">
        <f>(Q19+5*Q133)*('Economic Projections'!$C18/'Economic Projections'!$C17)</f>
        <v>6665070.1032780046</v>
      </c>
      <c r="R20" s="61">
        <f>(R19+5*R133)*('Economic Projections'!$C18/'Economic Projections'!$C17)</f>
        <v>1320163.2444715654</v>
      </c>
      <c r="S20" s="61">
        <f>(S19+5*S133)*('Economic Projections'!$C18/'Economic Projections'!$C17)</f>
        <v>1635756.7343849794</v>
      </c>
      <c r="T20" s="61">
        <f>(T19+5*T133)*('Economic Projections'!$C18/'Economic Projections'!$C17)</f>
        <v>418511.14194480598</v>
      </c>
      <c r="W20">
        <v>2080</v>
      </c>
      <c r="X20" s="61">
        <f>(X19+5*X133)*('Economic Projections'!$D18/'Economic Projections'!$D17)</f>
        <v>9173037.8573106267</v>
      </c>
      <c r="Y20" s="61">
        <f>(Y19+5*Y133)*('Economic Projections'!$D18/'Economic Projections'!$D17)</f>
        <v>5898634.7832253352</v>
      </c>
      <c r="Z20" s="61">
        <f>(Z19+5*Z133)*('Economic Projections'!$D18/'Economic Projections'!$D17)</f>
        <v>8153844.0764704812</v>
      </c>
      <c r="AA20" s="61">
        <f>(AA19+5*AA133)*('Economic Projections'!$D18/'Economic Projections'!$D17)</f>
        <v>1605828.2261469301</v>
      </c>
      <c r="AB20" s="61">
        <f>(AB19+5*AB133)*('Economic Projections'!$D18/'Economic Projections'!$D17)</f>
        <v>1990186.7484193463</v>
      </c>
      <c r="AC20" s="61">
        <f>(AC19+5*AC133)*('Economic Projections'!$D18/'Economic Projections'!$D17)</f>
        <v>513124.90063507762</v>
      </c>
      <c r="AG20">
        <v>2080</v>
      </c>
      <c r="AH20" s="61">
        <f>(AH19+5*AH133)*('Economic Projections'!$E18/'Economic Projections'!$E17)</f>
        <v>6679654.3961124271</v>
      </c>
      <c r="AI20" s="61">
        <f>(AI19+5*AI133)*('Economic Projections'!$E18/'Economic Projections'!$E17)</f>
        <v>4350356.0519989245</v>
      </c>
      <c r="AJ20" s="61">
        <f>(AJ19+5*AJ133)*('Economic Projections'!$E18/'Economic Projections'!$E17)</f>
        <v>5714248.5901901927</v>
      </c>
      <c r="AK20" s="61">
        <f>(AK19+5*AK133)*('Economic Projections'!$E18/'Economic Projections'!$E17)</f>
        <v>1157752.060130314</v>
      </c>
      <c r="AL20" s="61">
        <f>(AL19+5*AL133)*('Economic Projections'!$E18/'Economic Projections'!$E17)</f>
        <v>1427719.316300286</v>
      </c>
      <c r="AM20" s="61">
        <f>(AM19+5*AM133)*('Economic Projections'!$E18/'Economic Projections'!$E17)</f>
        <v>326106.1945393763</v>
      </c>
    </row>
    <row r="21" spans="5:39">
      <c r="E21">
        <v>2090</v>
      </c>
      <c r="F21" s="61">
        <f>(F20+5*F134)*('Economic Projections'!$B19/'Economic Projections'!$B18)</f>
        <v>6093373.8349760734</v>
      </c>
      <c r="G21" s="61">
        <f>(G20+5*G134)*('Economic Projections'!$B19/'Economic Projections'!$B18)</f>
        <v>3968520.5503308615</v>
      </c>
      <c r="H21" s="61">
        <f>(H20+5*H134)*('Economic Projections'!$B19/'Economic Projections'!$B18)</f>
        <v>5212436.8903341275</v>
      </c>
      <c r="I21" s="61">
        <f>(I20+5*I134)*('Economic Projections'!$B19/'Economic Projections'!$B18)</f>
        <v>1056188.2130094473</v>
      </c>
      <c r="J21" s="61">
        <f>(J20+5*J134)*('Economic Projections'!$B19/'Economic Projections'!$B18)</f>
        <v>1302619.3777585297</v>
      </c>
      <c r="K21" s="61">
        <f>(K20+5*K134)*('Economic Projections'!$B19/'Economic Projections'!$B18)</f>
        <v>297483.49770705821</v>
      </c>
      <c r="N21">
        <v>2090</v>
      </c>
      <c r="O21" s="61">
        <f>(O20+5*O134)*('Economic Projections'!$C19/'Economic Projections'!$C18)</f>
        <v>7382122.9181740237</v>
      </c>
      <c r="P21" s="61">
        <f>(P20+5*P134)*('Economic Projections'!$C19/'Economic Projections'!$C18)</f>
        <v>4747003.9583977787</v>
      </c>
      <c r="Q21" s="61">
        <f>(Q20+5*Q134)*('Economic Projections'!$C19/'Economic Projections'!$C18)</f>
        <v>6551742.6626271568</v>
      </c>
      <c r="R21" s="61">
        <f>(R20+5*R134)*('Economic Projections'!$C19/'Economic Projections'!$C18)</f>
        <v>1297716.2605060553</v>
      </c>
      <c r="S21" s="61">
        <f>(S20+5*S134)*('Economic Projections'!$C19/'Economic Projections'!$C18)</f>
        <v>1607943.6549480404</v>
      </c>
      <c r="T21" s="61">
        <f>(T20+5*T134)*('Economic Projections'!$C19/'Economic Projections'!$C18)</f>
        <v>411395.11827730667</v>
      </c>
      <c r="W21">
        <v>2090</v>
      </c>
      <c r="X21" s="61">
        <f>(X20+5*X134)*('Economic Projections'!$D19/'Economic Projections'!$D18)</f>
        <v>9567407.4986395463</v>
      </c>
      <c r="Y21" s="61">
        <f>(Y20+5*Y134)*('Economic Projections'!$D19/'Economic Projections'!$D18)</f>
        <v>6152230.431687302</v>
      </c>
      <c r="Z21" s="61">
        <f>(Z20+5*Z134)*('Economic Projections'!$D19/'Economic Projections'!$D18)</f>
        <v>8504396.2723634522</v>
      </c>
      <c r="AA21" s="61">
        <f>(AA20+5*AA134)*('Economic Projections'!$D19/'Economic Projections'!$D18)</f>
        <v>1674866.4129976153</v>
      </c>
      <c r="AB21" s="61">
        <f>(AB20+5*AB134)*('Economic Projections'!$D19/'Economic Projections'!$D18)</f>
        <v>2075749.3773281749</v>
      </c>
      <c r="AC21" s="61">
        <f>(AC20+5*AC134)*('Economic Projections'!$D19/'Economic Projections'!$D18)</f>
        <v>535185.30049041205</v>
      </c>
      <c r="AG21">
        <v>2090</v>
      </c>
      <c r="AH21" s="61">
        <f>(AH20+5*AH134)*('Economic Projections'!$E19/'Economic Projections'!$E18)</f>
        <v>6378255.3562878426</v>
      </c>
      <c r="AI21" s="61">
        <f>(AI20+5*AI134)*('Economic Projections'!$E19/'Economic Projections'!$E18)</f>
        <v>4154059.4984331196</v>
      </c>
      <c r="AJ21" s="61">
        <f>(AJ20+5*AJ134)*('Economic Projections'!$E19/'Economic Projections'!$E18)</f>
        <v>5456410.5440474646</v>
      </c>
      <c r="AK21" s="61">
        <f>(AK20+5*AK134)*('Economic Projections'!$E19/'Economic Projections'!$E18)</f>
        <v>1105512.0281488243</v>
      </c>
      <c r="AL21" s="61">
        <f>(AL20+5*AL134)*('Economic Projections'!$E19/'Economic Projections'!$E18)</f>
        <v>1363297.8349550292</v>
      </c>
      <c r="AM21" s="61">
        <f>(AM20+5*AM134)*('Economic Projections'!$E19/'Economic Projections'!$E18)</f>
        <v>311391.64673698985</v>
      </c>
    </row>
    <row r="22" spans="5:39">
      <c r="E22">
        <v>2100</v>
      </c>
      <c r="F22" s="61">
        <f>(F21+5*F135)*('Economic Projections'!$B20/'Economic Projections'!$B19)</f>
        <v>5647121.4236262944</v>
      </c>
      <c r="G22" s="61">
        <f>(G21+5*G135)*('Economic Projections'!$B20/'Economic Projections'!$B19)</f>
        <v>3677883.2264051661</v>
      </c>
      <c r="H22" s="61">
        <f>(H21+5*H135)*('Economic Projections'!$B20/'Economic Projections'!$B19)</f>
        <v>4830700.5002297638</v>
      </c>
      <c r="I22" s="61">
        <f>(I21+5*I135)*('Economic Projections'!$B20/'Economic Projections'!$B19)</f>
        <v>978837.54494617227</v>
      </c>
      <c r="J22" s="61">
        <f>(J21+5*J135)*('Economic Projections'!$B20/'Economic Projections'!$B19)</f>
        <v>1207221.1543541101</v>
      </c>
      <c r="K22" s="61">
        <f>(K21+5*K135)*('Economic Projections'!$B20/'Economic Projections'!$B19)</f>
        <v>275697.08975248004</v>
      </c>
      <c r="N22">
        <v>2100</v>
      </c>
      <c r="O22" s="61">
        <f>(O21+5*O135)*('Economic Projections'!$C20/'Economic Projections'!$C19)</f>
        <v>7206548.102822857</v>
      </c>
      <c r="P22" s="61">
        <f>(P21+5*P135)*('Economic Projections'!$C20/'Economic Projections'!$C19)</f>
        <v>4634102.2426304799</v>
      </c>
      <c r="Q22" s="61">
        <f>(Q21+5*Q135)*('Economic Projections'!$C20/'Economic Projections'!$C19)</f>
        <v>6395917.4317322401</v>
      </c>
      <c r="R22" s="61">
        <f>(R21+5*R135)*('Economic Projections'!$C20/'Economic Projections'!$C19)</f>
        <v>1266851.6575534788</v>
      </c>
      <c r="S22" s="61">
        <f>(S21+5*S135)*('Economic Projections'!$C20/'Economic Projections'!$C19)</f>
        <v>1569700.670722249</v>
      </c>
      <c r="T22" s="61">
        <f>(T21+5*T135)*('Economic Projections'!$C20/'Economic Projections'!$C19)</f>
        <v>401610.58573449502</v>
      </c>
      <c r="W22">
        <v>2100</v>
      </c>
      <c r="X22" s="61">
        <f>(X21+5*X135)*('Economic Projections'!$D20/'Economic Projections'!$D19)</f>
        <v>9953889.7471418828</v>
      </c>
      <c r="Y22" s="61">
        <f>(Y21+5*Y135)*('Economic Projections'!$D20/'Economic Projections'!$D19)</f>
        <v>6400754.1671800269</v>
      </c>
      <c r="Z22" s="61">
        <f>(Z21+5*Z135)*('Economic Projections'!$D20/'Economic Projections'!$D19)</f>
        <v>8847937.4243385606</v>
      </c>
      <c r="AA22" s="61">
        <f>(AA21+5*AA135)*('Economic Projections'!$D20/'Economic Projections'!$D19)</f>
        <v>1742523.836111286</v>
      </c>
      <c r="AB22" s="61">
        <f>(AB21+5*AB135)*('Economic Projections'!$D20/'Economic Projections'!$D19)</f>
        <v>2159600.753658826</v>
      </c>
      <c r="AC22" s="61">
        <f>(AC21+5*AC135)*('Economic Projections'!$D20/'Economic Projections'!$D19)</f>
        <v>556804.49234863953</v>
      </c>
      <c r="AG22">
        <v>2100</v>
      </c>
      <c r="AH22" s="61">
        <f>(AH21+5*AH135)*('Economic Projections'!$E20/'Economic Projections'!$E19)</f>
        <v>6011688.956501185</v>
      </c>
      <c r="AI22" s="61">
        <f>(AI21+5*AI135)*('Economic Projections'!$E20/'Economic Projections'!$E19)</f>
        <v>3915320.4467990319</v>
      </c>
      <c r="AJ22" s="61">
        <f>(AJ21+5*AJ135)*('Economic Projections'!$E20/'Economic Projections'!$E19)</f>
        <v>5142823.731171173</v>
      </c>
      <c r="AK22" s="61">
        <f>(AK21+5*AK135)*('Economic Projections'!$E20/'Economic Projections'!$E19)</f>
        <v>1041976.8541172827</v>
      </c>
      <c r="AL22" s="61">
        <f>(AL21+5*AL135)*('Economic Projections'!$E20/'Economic Projections'!$E19)</f>
        <v>1284947.3846702573</v>
      </c>
      <c r="AM22" s="61">
        <f>(AM21+5*AM135)*('Economic Projections'!$E20/'Economic Projections'!$E19)</f>
        <v>293495.57508543867</v>
      </c>
    </row>
    <row r="23" spans="5:39">
      <c r="F23" s="581" t="s">
        <v>282</v>
      </c>
      <c r="G23" s="581"/>
      <c r="H23" s="581"/>
      <c r="I23" s="581"/>
      <c r="J23" s="581"/>
      <c r="K23" s="581"/>
      <c r="O23" s="581" t="s">
        <v>282</v>
      </c>
      <c r="P23" s="581"/>
      <c r="Q23" s="581"/>
      <c r="R23" s="581"/>
      <c r="S23" s="581"/>
      <c r="T23" s="581"/>
      <c r="X23" s="581" t="s">
        <v>282</v>
      </c>
      <c r="Y23" s="581"/>
      <c r="Z23" s="581"/>
      <c r="AA23" s="581"/>
      <c r="AB23" s="581"/>
      <c r="AC23" s="581"/>
      <c r="AH23" s="581" t="s">
        <v>282</v>
      </c>
      <c r="AI23" s="581"/>
      <c r="AJ23" s="581"/>
      <c r="AK23" s="581"/>
      <c r="AL23" s="581"/>
      <c r="AM23" s="581"/>
    </row>
    <row r="24" spans="5:39">
      <c r="E24">
        <v>2020</v>
      </c>
      <c r="F24" s="61">
        <f>F5*('Demographic-Economic'!$C$12)</f>
        <v>4868546.9759999998</v>
      </c>
      <c r="G24" s="61">
        <f>G5*('Demographic-Economic'!$D$12)</f>
        <v>3483611.7959999996</v>
      </c>
      <c r="H24" s="61">
        <f>H5*('Demographic-Economic'!$E$12)</f>
        <v>3920104.74</v>
      </c>
      <c r="I24" s="61">
        <f>I5*('Demographic-Economic'!$F$12)</f>
        <v>789337.95600000001</v>
      </c>
      <c r="J24" s="61">
        <f>J5*('Demographic-Economic'!$G$12)</f>
        <v>962670.72</v>
      </c>
      <c r="K24" s="61">
        <f>K5*('Demographic-Economic'!$H$12)</f>
        <v>254620.068</v>
      </c>
      <c r="N24">
        <v>2020</v>
      </c>
      <c r="O24" s="61">
        <f>O5*('Demographic-Economic'!$C$12)</f>
        <v>4868546.9759999998</v>
      </c>
      <c r="P24" s="61">
        <f>P5*('Demographic-Economic'!$D$12)</f>
        <v>3483611.7959999996</v>
      </c>
      <c r="Q24" s="61">
        <f>Q5*('Demographic-Economic'!$E$12)</f>
        <v>3920104.74</v>
      </c>
      <c r="R24" s="61">
        <f>R5*('Demographic-Economic'!$F$12)</f>
        <v>789337.95600000001</v>
      </c>
      <c r="S24" s="61">
        <f>S5*('Demographic-Economic'!$G$12)</f>
        <v>962670.72</v>
      </c>
      <c r="T24" s="61">
        <f>T5*('Demographic-Economic'!$H$12)</f>
        <v>254620.068</v>
      </c>
      <c r="W24">
        <v>2020</v>
      </c>
      <c r="X24" s="61">
        <f>X5*('Demographic-Economic'!C$12)</f>
        <v>4868546.9759999998</v>
      </c>
      <c r="Y24" s="61">
        <f>Y5*('Demographic-Economic'!D$12)</f>
        <v>3483611.7959999996</v>
      </c>
      <c r="Z24" s="61">
        <f>Z5*('Demographic-Economic'!E$12)</f>
        <v>3920104.74</v>
      </c>
      <c r="AA24" s="61">
        <f>AA5*('Demographic-Economic'!F$12)</f>
        <v>789337.95600000001</v>
      </c>
      <c r="AB24" s="61">
        <f>AB5*('Demographic-Economic'!G$12)</f>
        <v>962670.72</v>
      </c>
      <c r="AC24" s="61">
        <f>AC5*('Demographic-Economic'!H$12)</f>
        <v>254620.068</v>
      </c>
      <c r="AG24">
        <v>2020</v>
      </c>
      <c r="AH24" s="61">
        <f>AH5*('Demographic-Economic'!C$12)</f>
        <v>4868546.9759999998</v>
      </c>
      <c r="AI24" s="61">
        <f>AI5*('Demographic-Economic'!D$12)</f>
        <v>3483611.7959999996</v>
      </c>
      <c r="AJ24" s="61">
        <f>AJ5*('Demographic-Economic'!E$12)</f>
        <v>3920104.74</v>
      </c>
      <c r="AK24" s="61">
        <f>AK5*('Demographic-Economic'!F$12)</f>
        <v>789337.95600000001</v>
      </c>
      <c r="AL24" s="61">
        <f>AL5*('Demographic-Economic'!G$12)</f>
        <v>962670.72</v>
      </c>
      <c r="AM24" s="61">
        <f>AM5*('Demographic-Economic'!H$12)</f>
        <v>254620.068</v>
      </c>
    </row>
    <row r="25" spans="5:39">
      <c r="E25">
        <v>2021</v>
      </c>
      <c r="F25" s="61">
        <f>F6*('Demographic-Economic'!$C$12)</f>
        <v>4893252.6038933834</v>
      </c>
      <c r="G25" s="61">
        <f>G6*('Demographic-Economic'!$D$12)</f>
        <v>3496907.4278282691</v>
      </c>
      <c r="H25" s="61">
        <f>H6*('Demographic-Economic'!$E$12)</f>
        <v>3953188.8474007081</v>
      </c>
      <c r="I25" s="61">
        <f>I6*('Demographic-Economic'!$F$12)</f>
        <v>798311.62333959225</v>
      </c>
      <c r="J25" s="61">
        <f>J6*('Demographic-Economic'!$G$12)</f>
        <v>971278.80481829471</v>
      </c>
      <c r="K25" s="61">
        <f>K6*('Demographic-Economic'!$H$12)</f>
        <v>255912.14727646703</v>
      </c>
      <c r="N25">
        <v>2021</v>
      </c>
      <c r="O25" s="61">
        <f>O6*('Demographic-Economic'!$C$12)</f>
        <v>4903993.4846582133</v>
      </c>
      <c r="P25" s="61">
        <f>P6*('Demographic-Economic'!$D$12)</f>
        <v>3504583.2763422136</v>
      </c>
      <c r="Q25" s="61">
        <f>Q6*('Demographic-Economic'!$E$12)</f>
        <v>3961264.8277159617</v>
      </c>
      <c r="R25" s="61">
        <f>R6*('Demographic-Economic'!$F$12)</f>
        <v>799774.51426746044</v>
      </c>
      <c r="S25" s="61">
        <f>S6*('Demographic-Economic'!$G$12)</f>
        <v>973227.90079881169</v>
      </c>
      <c r="T25" s="61">
        <f>T6*('Demographic-Economic'!$H$12)</f>
        <v>257612.99088044389</v>
      </c>
      <c r="W25">
        <v>2021</v>
      </c>
      <c r="X25" s="61">
        <f>X6*('Demographic-Economic'!C$12)</f>
        <v>4913611.8591208681</v>
      </c>
      <c r="Y25" s="61">
        <f>Y6*('Demographic-Economic'!D$12)</f>
        <v>3511456.9384693909</v>
      </c>
      <c r="Z25" s="61">
        <f>Z6*('Demographic-Economic'!E$12)</f>
        <v>3969034.1953910841</v>
      </c>
      <c r="AA25" s="61">
        <f>AA6*('Demographic-Economic'!F$12)</f>
        <v>801343.14007986779</v>
      </c>
      <c r="AB25" s="61">
        <f>AB6*('Demographic-Economic'!G$12)</f>
        <v>975136.72682328988</v>
      </c>
      <c r="AC25" s="61">
        <f>AC6*('Demographic-Economic'!H$12)</f>
        <v>258118.25627699963</v>
      </c>
      <c r="AG25">
        <v>2021</v>
      </c>
      <c r="AH25" s="61">
        <f>AH6*('Demographic-Economic'!C$12)</f>
        <v>4894663.0226924513</v>
      </c>
      <c r="AI25" s="61">
        <f>AI6*('Demographic-Economic'!D$12)</f>
        <v>3497915.3676127149</v>
      </c>
      <c r="AJ25" s="61">
        <f>AJ6*('Demographic-Economic'!E$12)</f>
        <v>3954328.3045916576</v>
      </c>
      <c r="AK25" s="61">
        <f>AK6*('Demographic-Economic'!F$12)</f>
        <v>798541.72667007963</v>
      </c>
      <c r="AL25" s="61">
        <f>AL6*('Demographic-Economic'!G$12)</f>
        <v>971558.76377327717</v>
      </c>
      <c r="AM25" s="61">
        <f>AM6*('Demographic-Economic'!H$12)</f>
        <v>255985.91074887416</v>
      </c>
    </row>
    <row r="26" spans="5:39">
      <c r="E26">
        <v>2022</v>
      </c>
      <c r="F26" s="61">
        <f>F7*('Demographic-Economic'!$C$12)</f>
        <v>4917888.8606123831</v>
      </c>
      <c r="G26" s="61">
        <f>G7*('Demographic-Economic'!$D$12)</f>
        <v>3510114.808923672</v>
      </c>
      <c r="H26" s="61">
        <f>H7*('Demographic-Economic'!$E$12)</f>
        <v>3986842.7863280452</v>
      </c>
      <c r="I26" s="61">
        <f>I7*('Demographic-Economic'!$F$12)</f>
        <v>806976.80992568564</v>
      </c>
      <c r="J26" s="61">
        <f>J7*('Demographic-Economic'!$G$12)</f>
        <v>979788.1197632096</v>
      </c>
      <c r="K26" s="61">
        <f>K7*('Demographic-Economic'!$H$12)</f>
        <v>257200.59851088669</v>
      </c>
      <c r="N26">
        <v>2022</v>
      </c>
      <c r="O26" s="61">
        <f>O7*('Demographic-Economic'!$C$12)</f>
        <v>4939343.7699401304</v>
      </c>
      <c r="P26" s="61">
        <f>P7*('Demographic-Economic'!$D$12)</f>
        <v>3525428.1267089918</v>
      </c>
      <c r="Q26" s="61">
        <f>Q7*('Demographic-Economic'!$E$12)</f>
        <v>4002957.322519985</v>
      </c>
      <c r="R26" s="61">
        <f>R7*('Demographic-Economic'!$F$12)</f>
        <v>809964.99516355258</v>
      </c>
      <c r="S26" s="61">
        <f>S7*('Demographic-Economic'!$G$12)</f>
        <v>983700.20773965749</v>
      </c>
      <c r="T26" s="61">
        <f>T7*('Demographic-Economic'!$H$12)</f>
        <v>260627.65704570783</v>
      </c>
      <c r="W26">
        <v>2022</v>
      </c>
      <c r="X26" s="61">
        <f>X7*('Demographic-Economic'!C$12)</f>
        <v>4958556.4729292821</v>
      </c>
      <c r="Y26" s="61">
        <f>Y7*('Demographic-Economic'!D$12)</f>
        <v>3539141.0826527094</v>
      </c>
      <c r="Z26" s="61">
        <f>Z7*('Demographic-Economic'!E$12)</f>
        <v>4018501.802566932</v>
      </c>
      <c r="AA26" s="61">
        <f>AA7*('Demographic-Economic'!F$12)</f>
        <v>813139.77265710826</v>
      </c>
      <c r="AB26" s="61">
        <f>AB7*('Demographic-Economic'!G$12)</f>
        <v>987524.38991198561</v>
      </c>
      <c r="AC26" s="61">
        <f>AC7*('Demographic-Economic'!H$12)</f>
        <v>261645.42124208595</v>
      </c>
      <c r="AG26">
        <v>2022</v>
      </c>
      <c r="AH26" s="61">
        <f>AH7*('Demographic-Economic'!C$12)</f>
        <v>4920706.17216352</v>
      </c>
      <c r="AI26" s="61">
        <f>AI7*('Demographic-Economic'!D$12)</f>
        <v>3512125.6487936405</v>
      </c>
      <c r="AJ26" s="61">
        <f>AJ7*('Demographic-Economic'!E$12)</f>
        <v>3989123.1843303563</v>
      </c>
      <c r="AK26" s="61">
        <f>AK7*('Demographic-Economic'!F$12)</f>
        <v>807442.86625217285</v>
      </c>
      <c r="AL26" s="61">
        <f>AL7*('Demographic-Economic'!G$12)</f>
        <v>980349.18103639118</v>
      </c>
      <c r="AM26" s="61">
        <f>AM7*('Demographic-Economic'!H$12)</f>
        <v>257347.94104701988</v>
      </c>
    </row>
    <row r="27" spans="5:39">
      <c r="E27">
        <v>2023</v>
      </c>
      <c r="F27" s="61">
        <f>F8*('Demographic-Economic'!$C$12)</f>
        <v>4942455.8809823897</v>
      </c>
      <c r="G27" s="61">
        <f>G8*('Demographic-Economic'!$D$12)</f>
        <v>3523234.2974421736</v>
      </c>
      <c r="H27" s="61">
        <f>H8*('Demographic-Economic'!$E$12)</f>
        <v>4021025.74207765</v>
      </c>
      <c r="I27" s="61">
        <f>I8*('Demographic-Economic'!$F$12)</f>
        <v>815363.39579208125</v>
      </c>
      <c r="J27" s="61">
        <f>J8*('Demographic-Economic'!$G$12)</f>
        <v>988208.63475702656</v>
      </c>
      <c r="K27" s="61">
        <f>K8*('Demographic-Economic'!$H$12)</f>
        <v>258485.42875449007</v>
      </c>
      <c r="N27">
        <v>2023</v>
      </c>
      <c r="O27" s="61">
        <f>O8*('Demographic-Economic'!$C$12)</f>
        <v>4974598.0170190223</v>
      </c>
      <c r="P27" s="61">
        <f>P8*('Demographic-Economic'!$D$12)</f>
        <v>3546146.849178459</v>
      </c>
      <c r="Q27" s="61">
        <f>Q8*('Demographic-Economic'!$E$12)</f>
        <v>4045162.4523690767</v>
      </c>
      <c r="R27" s="61">
        <f>R8*('Demographic-Economic'!$F$12)</f>
        <v>819923.68851299991</v>
      </c>
      <c r="S27" s="61">
        <f>S8*('Demographic-Economic'!$G$12)</f>
        <v>994092.91610927554</v>
      </c>
      <c r="T27" s="61">
        <f>T8*('Demographic-Economic'!$H$12)</f>
        <v>263663.32413841586</v>
      </c>
      <c r="W27">
        <v>2023</v>
      </c>
      <c r="X27" s="61">
        <f>X8*('Demographic-Economic'!C$12)</f>
        <v>5003381.0476846471</v>
      </c>
      <c r="Y27" s="61">
        <f>Y8*('Demographic-Economic'!D$12)</f>
        <v>3566664.8595092469</v>
      </c>
      <c r="Z27" s="61">
        <f>Z8*('Demographic-Economic'!E$12)</f>
        <v>4068503.5608599233</v>
      </c>
      <c r="AA27" s="61">
        <f>AA8*('Demographic-Economic'!F$12)</f>
        <v>824730.46175651858</v>
      </c>
      <c r="AB27" s="61">
        <f>AB8*('Demographic-Economic'!G$12)</f>
        <v>999834.75648637698</v>
      </c>
      <c r="AC27" s="61">
        <f>AC8*('Demographic-Economic'!H$12)</f>
        <v>265200.99881268025</v>
      </c>
      <c r="AG27">
        <v>2023</v>
      </c>
      <c r="AH27" s="61">
        <f>AH8*('Demographic-Economic'!C$12)</f>
        <v>4946676.5658499384</v>
      </c>
      <c r="AI27" s="61">
        <f>AI8*('Demographic-Economic'!D$12)</f>
        <v>3526243.0165976146</v>
      </c>
      <c r="AJ27" s="61">
        <f>AJ8*('Demographic-Economic'!E$12)</f>
        <v>4024451.2548506777</v>
      </c>
      <c r="AK27" s="61">
        <f>AK8*('Demographic-Economic'!F$12)</f>
        <v>816069.16222995811</v>
      </c>
      <c r="AL27" s="61">
        <f>AL8*('Demographic-Economic'!G$12)</f>
        <v>989051.34914255165</v>
      </c>
      <c r="AM27" s="61">
        <f>AM8*('Demographic-Economic'!H$12)</f>
        <v>258706.16629143473</v>
      </c>
    </row>
    <row r="28" spans="5:39">
      <c r="E28">
        <v>2024</v>
      </c>
      <c r="F28" s="61">
        <f>F9*('Demographic-Economic'!$C$12)</f>
        <v>4966953.7996001281</v>
      </c>
      <c r="G28" s="61">
        <f>G9*('Demographic-Economic'!$D$12)</f>
        <v>3536266.2503005271</v>
      </c>
      <c r="H28" s="61">
        <f>H9*('Demographic-Economic'!$E$12)</f>
        <v>4055701.6928130593</v>
      </c>
      <c r="I28" s="61">
        <f>I9*('Demographic-Economic'!$F$12)</f>
        <v>823497.71597334952</v>
      </c>
      <c r="J28" s="61">
        <f>J9*('Demographic-Economic'!$G$12)</f>
        <v>996549.13054731395</v>
      </c>
      <c r="K28" s="61">
        <f>K9*('Demographic-Economic'!$H$12)</f>
        <v>259766.64504654935</v>
      </c>
      <c r="N28">
        <v>2024</v>
      </c>
      <c r="O28" s="61">
        <f>O9*('Demographic-Economic'!$C$12)</f>
        <v>5009756.4107555766</v>
      </c>
      <c r="P28" s="61">
        <f>P9*('Demographic-Economic'!$D$12)</f>
        <v>3566739.9441097872</v>
      </c>
      <c r="Q28" s="61">
        <f>Q9*('Demographic-Economic'!$E$12)</f>
        <v>4087861.2451432534</v>
      </c>
      <c r="R28" s="61">
        <f>R9*('Demographic-Economic'!$F$12)</f>
        <v>829664.27961170685</v>
      </c>
      <c r="S28" s="61">
        <f>S9*('Demographic-Economic'!$G$12)</f>
        <v>1004411.0808101884</v>
      </c>
      <c r="T28" s="61">
        <f>T9*('Demographic-Economic'!$H$12)</f>
        <v>266719.28908125951</v>
      </c>
      <c r="W28">
        <v>2024</v>
      </c>
      <c r="X28" s="61">
        <f>X9*('Demographic-Economic'!C$12)</f>
        <v>5048085.813258633</v>
      </c>
      <c r="Y28" s="61">
        <f>Y9*('Demographic-Economic'!D$12)</f>
        <v>3594028.8978497344</v>
      </c>
      <c r="Z28" s="61">
        <f>Z9*('Demographic-Economic'!E$12)</f>
        <v>4119034.1877510841</v>
      </c>
      <c r="AA28" s="61">
        <f>AA9*('Demographic-Economic'!F$12)</f>
        <v>836118.72250124894</v>
      </c>
      <c r="AB28" s="61">
        <f>AB9*('Demographic-Economic'!G$12)</f>
        <v>1012069.2628300835</v>
      </c>
      <c r="AC28" s="61">
        <f>AC9*('Demographic-Economic'!H$12)</f>
        <v>268784.39401685464</v>
      </c>
      <c r="AG28">
        <v>2024</v>
      </c>
      <c r="AH28" s="61">
        <f>AH9*('Demographic-Economic'!C$12)</f>
        <v>4972574.3449487472</v>
      </c>
      <c r="AI28" s="61">
        <f>AI9*('Demographic-Economic'!D$12)</f>
        <v>3540267.8467772645</v>
      </c>
      <c r="AJ28" s="61">
        <f>AJ9*('Demographic-Economic'!E$12)</f>
        <v>4060278.5448084367</v>
      </c>
      <c r="AK28" s="61">
        <f>AK9*('Demographic-Economic'!F$12)</f>
        <v>824445.33940325037</v>
      </c>
      <c r="AL28" s="61">
        <f>AL9*('Demographic-Economic'!G$12)</f>
        <v>997673.60646231449</v>
      </c>
      <c r="AM28" s="61">
        <f>AM9*('Demographic-Economic'!H$12)</f>
        <v>260060.59386658066</v>
      </c>
    </row>
    <row r="29" spans="5:39">
      <c r="E29">
        <v>2025</v>
      </c>
      <c r="F29" s="61">
        <f>F10*('Demographic-Economic'!$C$12)</f>
        <v>4991382.7508340096</v>
      </c>
      <c r="G29" s="61">
        <f>G10*('Demographic-Economic'!$D$12)</f>
        <v>3549211.0231802301</v>
      </c>
      <c r="H29" s="61">
        <f>H10*('Demographic-Economic'!$E$12)</f>
        <v>4090838.7351981509</v>
      </c>
      <c r="I29" s="61">
        <f>I10*('Demographic-Economic'!$F$12)</f>
        <v>831403.0594255157</v>
      </c>
      <c r="J29" s="61">
        <f>J10*('Demographic-Economic'!$G$12)</f>
        <v>1004817.3660883835</v>
      </c>
      <c r="K29" s="61">
        <f>K10*('Demographic-Economic'!$H$12)</f>
        <v>261044.25441439604</v>
      </c>
      <c r="N29">
        <v>2025</v>
      </c>
      <c r="O29" s="61">
        <f>O10*('Demographic-Economic'!$C$12)</f>
        <v>5044819.1356983883</v>
      </c>
      <c r="P29" s="61">
        <f>P10*('Demographic-Economic'!$D$12)</f>
        <v>3587207.9101486509</v>
      </c>
      <c r="Q29" s="61">
        <f>Q10*('Demographic-Economic'!$E$12)</f>
        <v>4131035.5580352372</v>
      </c>
      <c r="R29" s="61">
        <f>R10*('Demographic-Economic'!$F$12)</f>
        <v>839199.82911630056</v>
      </c>
      <c r="S29" s="61">
        <f>S10*('Demographic-Economic'!$G$12)</f>
        <v>1014659.5278311457</v>
      </c>
      <c r="T29" s="61">
        <f>T10*('Demographic-Economic'!$H$12)</f>
        <v>269794.88768531015</v>
      </c>
      <c r="W29">
        <v>2025</v>
      </c>
      <c r="X29" s="61">
        <f>X10*('Demographic-Economic'!C$12)</f>
        <v>5092670.9991357978</v>
      </c>
      <c r="Y29" s="61">
        <f>Y10*('Demographic-Economic'!D$12)</f>
        <v>3621233.8243431468</v>
      </c>
      <c r="Z29" s="61">
        <f>Z10*('Demographic-Economic'!E$12)</f>
        <v>4170087.2785954084</v>
      </c>
      <c r="AA29" s="61">
        <f>AA10*('Demographic-Economic'!F$12)</f>
        <v>847308.86204123963</v>
      </c>
      <c r="AB29" s="61">
        <f>AB10*('Demographic-Economic'!G$12)</f>
        <v>1024229.6845800055</v>
      </c>
      <c r="AC29" s="61">
        <f>AC10*('Demographic-Economic'!H$12)</f>
        <v>272394.98865628388</v>
      </c>
      <c r="AG29">
        <v>2025</v>
      </c>
      <c r="AH29" s="61">
        <f>AH10*('Demographic-Economic'!C$12)</f>
        <v>4998399.6504176743</v>
      </c>
      <c r="AI29" s="61">
        <f>AI10*('Demographic-Economic'!D$12)</f>
        <v>3554200.5137871625</v>
      </c>
      <c r="AJ29" s="61">
        <f>AJ10*('Demographic-Economic'!E$12)</f>
        <v>4096574.7016015402</v>
      </c>
      <c r="AK29" s="61">
        <f>AK10*('Demographic-Economic'!F$12)</f>
        <v>832593.45407653321</v>
      </c>
      <c r="AL29" s="61">
        <f>AL10*('Demographic-Economic'!G$12)</f>
        <v>1006223.3860539095</v>
      </c>
      <c r="AM29" s="61">
        <f>AM10*('Demographic-Economic'!H$12)</f>
        <v>261411.23114440386</v>
      </c>
    </row>
    <row r="30" spans="5:39">
      <c r="E30">
        <v>2026</v>
      </c>
      <c r="F30" s="61">
        <f>F11*('Demographic-Economic'!$C$12)</f>
        <v>5015742.8688244931</v>
      </c>
      <c r="G30" s="61">
        <f>G11*('Demographic-Economic'!$D$12)</f>
        <v>3562068.9705314701</v>
      </c>
      <c r="H30" s="61">
        <f>H11*('Demographic-Economic'!$E$12)</f>
        <v>4126408.5192549541</v>
      </c>
      <c r="I30" s="61">
        <f>I11*('Demographic-Economic'!$F$12)</f>
        <v>839100.08714532456</v>
      </c>
      <c r="J30" s="61">
        <f>J11*('Demographic-Economic'!$G$12)</f>
        <v>1013020.2188047073</v>
      </c>
      <c r="K30" s="61">
        <f>K11*('Demographic-Economic'!$H$12)</f>
        <v>262318.26387344021</v>
      </c>
      <c r="N30">
        <v>2026</v>
      </c>
      <c r="O30" s="61">
        <f>O11*('Demographic-Economic'!$C$12)</f>
        <v>5079786.3760844516</v>
      </c>
      <c r="P30" s="61">
        <f>P11*('Demographic-Economic'!$D$12)</f>
        <v>3607551.2442326699</v>
      </c>
      <c r="Q30" s="61">
        <f>Q11*('Demographic-Economic'!$E$12)</f>
        <v>4174668.0924193482</v>
      </c>
      <c r="R30" s="61">
        <f>R11*('Demographic-Economic'!$F$12)</f>
        <v>848542.76354476367</v>
      </c>
      <c r="S30" s="61">
        <f>S11*('Demographic-Economic'!$G$12)</f>
        <v>1024842.8498049829</v>
      </c>
      <c r="T30" s="61">
        <f>T11*('Demographic-Economic'!$H$12)</f>
        <v>272889.49387226056</v>
      </c>
      <c r="W30">
        <v>2026</v>
      </c>
      <c r="X30" s="61">
        <f>X11*('Demographic-Economic'!C$12)</f>
        <v>5137136.8344141878</v>
      </c>
      <c r="Y30" s="61">
        <f>Y11*('Demographic-Economic'!D$12)</f>
        <v>3648280.2635234809</v>
      </c>
      <c r="Z30" s="61">
        <f>Z11*('Demographic-Economic'!E$12)</f>
        <v>4221655.4653431792</v>
      </c>
      <c r="AA30" s="61">
        <f>AA11*('Demographic-Economic'!F$12)</f>
        <v>858305.86544050067</v>
      </c>
      <c r="AB30" s="61">
        <f>AB11*('Demographic-Economic'!G$12)</f>
        <v>1036318.0874791848</v>
      </c>
      <c r="AC30" s="61">
        <f>AC11*('Demographic-Economic'!H$12)</f>
        <v>276032.14850788191</v>
      </c>
      <c r="AG30">
        <v>2026</v>
      </c>
      <c r="AH30" s="61">
        <f>AH11*('Demographic-Economic'!C$12)</f>
        <v>5024152.6229755143</v>
      </c>
      <c r="AI30" s="61">
        <f>AI11*('Demographic-Economic'!D$12)</f>
        <v>3568041.3907879675</v>
      </c>
      <c r="AJ30" s="61">
        <f>AJ11*('Demographic-Economic'!E$12)</f>
        <v>4133312.5351963313</v>
      </c>
      <c r="AK30" s="61">
        <f>AK11*('Demographic-Economic'!F$12)</f>
        <v>840533.2306226095</v>
      </c>
      <c r="AL30" s="61">
        <f>AL11*('Demographic-Economic'!G$12)</f>
        <v>1014707.3297909517</v>
      </c>
      <c r="AM30" s="61">
        <f>AM11*('Demographic-Economic'!H$12)</f>
        <v>262758.08548435458</v>
      </c>
    </row>
    <row r="31" spans="5:39">
      <c r="E31">
        <v>2027</v>
      </c>
      <c r="F31" s="61">
        <f>F12*('Demographic-Economic'!$C$12)</f>
        <v>5040034.2874844521</v>
      </c>
      <c r="G31" s="61">
        <f>G12*('Demographic-Economic'!$D$12)</f>
        <v>3574840.4455770589</v>
      </c>
      <c r="H31" s="61">
        <f>H12*('Demographic-Economic'!$E$12)</f>
        <v>4162385.7725418895</v>
      </c>
      <c r="I31" s="61">
        <f>I12*('Demographic-Economic'!$F$12)</f>
        <v>846607.18421079335</v>
      </c>
      <c r="J31" s="61">
        <f>J12*('Demographic-Economic'!$G$12)</f>
        <v>1021163.8026804591</v>
      </c>
      <c r="K31" s="61">
        <f>K12*('Demographic-Economic'!$H$12)</f>
        <v>263588.68042718928</v>
      </c>
      <c r="N31">
        <v>2027</v>
      </c>
      <c r="O31" s="61">
        <f>O12*('Demographic-Economic'!$C$12)</f>
        <v>5114658.3158396482</v>
      </c>
      <c r="P31" s="61">
        <f>P12*('Demographic-Economic'!$D$12)</f>
        <v>3627770.4415968293</v>
      </c>
      <c r="Q31" s="61">
        <f>Q12*('Demographic-Economic'!$E$12)</f>
        <v>4218742.3966896459</v>
      </c>
      <c r="R31" s="61">
        <f>R12*('Demographic-Economic'!$F$12)</f>
        <v>857704.87454664393</v>
      </c>
      <c r="S31" s="61">
        <f>S12*('Demographic-Economic'!$G$12)</f>
        <v>1034965.4049571818</v>
      </c>
      <c r="T31" s="61">
        <f>T12*('Demographic-Economic'!$H$12)</f>
        <v>276002.51859537879</v>
      </c>
      <c r="W31">
        <v>2027</v>
      </c>
      <c r="X31" s="61">
        <f>X12*('Demographic-Economic'!C$12)</f>
        <v>5181483.5478059435</v>
      </c>
      <c r="Y31" s="61">
        <f>Y12*('Demographic-Economic'!D$12)</f>
        <v>3675168.8377965116</v>
      </c>
      <c r="Z31" s="61">
        <f>Z12*('Demographic-Economic'!E$12)</f>
        <v>4273730.571186929</v>
      </c>
      <c r="AA31" s="61">
        <f>AA12*('Demographic-Economic'!F$12)</f>
        <v>869115.28470271127</v>
      </c>
      <c r="AB31" s="61">
        <f>AB12*('Demographic-Economic'!G$12)</f>
        <v>1048336.7795273777</v>
      </c>
      <c r="AC31" s="61">
        <f>AC12*('Demographic-Economic'!H$12)</f>
        <v>279695.22997372306</v>
      </c>
      <c r="AG31">
        <v>2027</v>
      </c>
      <c r="AH31" s="61">
        <f>AH12*('Demographic-Economic'!C$12)</f>
        <v>5049833.4031025069</v>
      </c>
      <c r="AI31" s="61">
        <f>AI12*('Demographic-Economic'!D$12)</f>
        <v>3581790.8496505576</v>
      </c>
      <c r="AJ31" s="61">
        <f>AJ12*('Demographic-Economic'!E$12)</f>
        <v>4170467.6273524985</v>
      </c>
      <c r="AK31" s="61">
        <f>AK12*('Demographic-Economic'!F$12)</f>
        <v>848282.34979495883</v>
      </c>
      <c r="AL31" s="61">
        <f>AL12*('Demographic-Economic'!G$12)</f>
        <v>1023131.3861282447</v>
      </c>
      <c r="AM31" s="61">
        <f>AM12*('Demographic-Economic'!H$12)</f>
        <v>264101.16423340671</v>
      </c>
    </row>
    <row r="32" spans="5:39">
      <c r="E32">
        <v>2028</v>
      </c>
      <c r="F32" s="61">
        <f>F13*('Demographic-Economic'!$C$12)</f>
        <v>5064257.1404995294</v>
      </c>
      <c r="G32" s="61">
        <f>G13*('Demographic-Economic'!$D$12)</f>
        <v>3587525.8003163538</v>
      </c>
      <c r="H32" s="61">
        <f>H13*('Demographic-Economic'!$E$12)</f>
        <v>4198747.8977607926</v>
      </c>
      <c r="I32" s="61">
        <f>I13*('Demographic-Economic'!$F$12)</f>
        <v>853940.75749786652</v>
      </c>
      <c r="J32" s="61">
        <f>J13*('Demographic-Economic'!$G$12)</f>
        <v>1029253.5681219836</v>
      </c>
      <c r="K32" s="61">
        <f>K13*('Demographic-Economic'!$H$12)</f>
        <v>264855.51106726663</v>
      </c>
      <c r="N32">
        <v>2028</v>
      </c>
      <c r="O32" s="61">
        <f>O13*('Demographic-Economic'!$C$12)</f>
        <v>5149435.1385792466</v>
      </c>
      <c r="P32" s="61">
        <f>P13*('Demographic-Economic'!$D$12)</f>
        <v>3647865.9957788922</v>
      </c>
      <c r="Q32" s="61">
        <f>Q13*('Demographic-Economic'!$E$12)</f>
        <v>4263242.8592945719</v>
      </c>
      <c r="R32" s="61">
        <f>R13*('Demographic-Economic'!$F$12)</f>
        <v>866697.32529842935</v>
      </c>
      <c r="S32" s="61">
        <f>S13*('Demographic-Economic'!$G$12)</f>
        <v>1045031.3188214357</v>
      </c>
      <c r="T32" s="61">
        <f>T13*('Demographic-Economic'!$H$12)</f>
        <v>279133.40853275236</v>
      </c>
      <c r="W32">
        <v>2028</v>
      </c>
      <c r="X32" s="61">
        <f>X13*('Demographic-Economic'!C$12)</f>
        <v>5225711.3676379183</v>
      </c>
      <c r="Y32" s="61">
        <f>Y13*('Demographic-Economic'!D$12)</f>
        <v>3701900.16744653</v>
      </c>
      <c r="Z32" s="61">
        <f>Z13*('Demographic-Economic'!E$12)</f>
        <v>4326303.75858727</v>
      </c>
      <c r="AA32" s="61">
        <f>AA13*('Demographic-Economic'!F$12)</f>
        <v>879743.13273633656</v>
      </c>
      <c r="AB32" s="61">
        <f>AB13*('Demographic-Economic'!G$12)</f>
        <v>1060288.2653004453</v>
      </c>
      <c r="AC32" s="61">
        <f>AC13*('Demographic-Economic'!H$12)</f>
        <v>283383.58611590829</v>
      </c>
      <c r="AG32">
        <v>2028</v>
      </c>
      <c r="AH32" s="61">
        <f>AH13*('Demographic-Economic'!C$12)</f>
        <v>5075442.1310407091</v>
      </c>
      <c r="AI32" s="61">
        <f>AI13*('Demographic-Economic'!D$12)</f>
        <v>3595449.2609601431</v>
      </c>
      <c r="AJ32" s="61">
        <f>AJ13*('Demographic-Economic'!E$12)</f>
        <v>4208017.9958057236</v>
      </c>
      <c r="AK32" s="61">
        <f>AK13*('Demographic-Economic'!F$12)</f>
        <v>855856.69649108022</v>
      </c>
      <c r="AL32" s="61">
        <f>AL13*('Demographic-Economic'!G$12)</f>
        <v>1031500.8941188001</v>
      </c>
      <c r="AM32" s="61">
        <f>AM13*('Demographic-Economic'!H$12)</f>
        <v>265440.47472607769</v>
      </c>
    </row>
    <row r="33" spans="5:39">
      <c r="E33">
        <v>2029</v>
      </c>
      <c r="F33" s="61">
        <f>F14*('Demographic-Economic'!$C$12)</f>
        <v>5088411.5613284931</v>
      </c>
      <c r="G33" s="61">
        <f>G14*('Demographic-Economic'!$D$12)</f>
        <v>3600125.3855291675</v>
      </c>
      <c r="H33" s="61">
        <f>H14*('Demographic-Economic'!$E$12)</f>
        <v>4235474.6310305633</v>
      </c>
      <c r="I33" s="61">
        <f>I14*('Demographic-Economic'!$F$12)</f>
        <v>861115.48851352837</v>
      </c>
      <c r="J33" s="61">
        <f>J14*('Demographic-Economic'!$G$12)</f>
        <v>1037294.3867623913</v>
      </c>
      <c r="K33" s="61">
        <f>K14*('Demographic-Economic'!$H$12)</f>
        <v>266118.76277343067</v>
      </c>
      <c r="N33">
        <v>2029</v>
      </c>
      <c r="O33" s="61">
        <f>O14*('Demographic-Economic'!$C$12)</f>
        <v>5184117.027608376</v>
      </c>
      <c r="P33" s="61">
        <f>P14*('Demographic-Economic'!$D$12)</f>
        <v>3667838.3986247848</v>
      </c>
      <c r="Q33" s="61">
        <f>Q14*('Demographic-Economic'!$E$12)</f>
        <v>4308154.6939315489</v>
      </c>
      <c r="R33" s="61">
        <f>R14*('Demographic-Economic'!$F$12)</f>
        <v>875530.66257670824</v>
      </c>
      <c r="S33" s="61">
        <f>S14*('Demographic-Economic'!$G$12)</f>
        <v>1055044.4881718922</v>
      </c>
      <c r="T33" s="61">
        <f>T14*('Demographic-Economic'!$H$12)</f>
        <v>282281.64461573982</v>
      </c>
      <c r="W33">
        <v>2029</v>
      </c>
      <c r="X33" s="61">
        <f>X14*('Demographic-Economic'!C$12)</f>
        <v>5269820.5218522679</v>
      </c>
      <c r="Y33" s="61">
        <f>Y14*('Demographic-Economic'!D$12)</f>
        <v>3728474.8706430621</v>
      </c>
      <c r="Z33" s="61">
        <f>Z14*('Demographic-Economic'!E$12)</f>
        <v>4379365.6686659791</v>
      </c>
      <c r="AA33" s="61">
        <f>AA14*('Demographic-Economic'!F$12)</f>
        <v>890195.78367518762</v>
      </c>
      <c r="AB33" s="61">
        <f>AB14*('Demographic-Economic'!G$12)</f>
        <v>1072175.2030432422</v>
      </c>
      <c r="AC33" s="61">
        <f>AC14*('Demographic-Economic'!H$12)</f>
        <v>287096.57203829021</v>
      </c>
      <c r="AG33">
        <v>2029</v>
      </c>
      <c r="AH33" s="61">
        <f>AH14*('Demographic-Economic'!C$12)</f>
        <v>5100978.946794373</v>
      </c>
      <c r="AI33" s="61">
        <f>AI14*('Demographic-Economic'!D$12)</f>
        <v>3609016.9940203703</v>
      </c>
      <c r="AJ33" s="61">
        <f>AJ14*('Demographic-Economic'!E$12)</f>
        <v>4245943.8047953546</v>
      </c>
      <c r="AK33" s="61">
        <f>AK14*('Demographic-Economic'!F$12)</f>
        <v>863270.57332077576</v>
      </c>
      <c r="AL33" s="61">
        <f>AL14*('Demographic-Economic'!G$12)</f>
        <v>1039820.6558374168</v>
      </c>
      <c r="AM33" s="61">
        <f>AM14*('Demographic-Economic'!H$12)</f>
        <v>266776.02428444795</v>
      </c>
    </row>
    <row r="34" spans="5:39">
      <c r="E34">
        <v>2030</v>
      </c>
      <c r="F34" s="61">
        <f>F15*('Demographic-Economic'!$C$12)</f>
        <v>5112497.6832036041</v>
      </c>
      <c r="G34" s="61">
        <f>G15*('Demographic-Economic'!$D$12)</f>
        <v>3612639.5507796654</v>
      </c>
      <c r="H34" s="61">
        <f>H15*('Demographic-Economic'!$E$12)</f>
        <v>4272547.7505214456</v>
      </c>
      <c r="I34" s="61">
        <f>I15*('Demographic-Economic'!$F$12)</f>
        <v>868144.54896918859</v>
      </c>
      <c r="J34" s="61">
        <f>J15*('Demographic-Economic'!$G$12)</f>
        <v>1045290.623767256</v>
      </c>
      <c r="K34" s="61">
        <f>K15*('Demographic-Economic'!$H$12)</f>
        <v>267378.44251359324</v>
      </c>
      <c r="N34">
        <v>2030</v>
      </c>
      <c r="O34" s="61">
        <f>O15*('Demographic-Economic'!$C$12)</f>
        <v>5218704.1659225319</v>
      </c>
      <c r="P34" s="61">
        <f>P15*('Demographic-Economic'!$D$12)</f>
        <v>3687688.1402939758</v>
      </c>
      <c r="Q34" s="61">
        <f>Q15*('Demographic-Economic'!$E$12)</f>
        <v>4353463.9186098604</v>
      </c>
      <c r="R34" s="61">
        <f>R15*('Demographic-Economic'!$F$12)</f>
        <v>884214.83325188607</v>
      </c>
      <c r="S34" s="61">
        <f>S15*('Demographic-Economic'!$G$12)</f>
        <v>1065008.5866928897</v>
      </c>
      <c r="T34" s="61">
        <f>T15*('Demographic-Economic'!$H$12)</f>
        <v>285446.7404456712</v>
      </c>
      <c r="W34">
        <v>2030</v>
      </c>
      <c r="X34" s="61">
        <f>X15*('Demographic-Economic'!C$12)</f>
        <v>5313811.2380070714</v>
      </c>
      <c r="Y34" s="61">
        <f>Y15*('Demographic-Economic'!D$12)</f>
        <v>3754893.5634475667</v>
      </c>
      <c r="Z34" s="61">
        <f>Z15*('Demographic-Economic'!E$12)</f>
        <v>4432906.5504755676</v>
      </c>
      <c r="AA34" s="61">
        <f>AA15*('Demographic-Economic'!F$12)</f>
        <v>900479.88059650629</v>
      </c>
      <c r="AB34" s="61">
        <f>AB15*('Demographic-Economic'!G$12)</f>
        <v>1084000.3649794443</v>
      </c>
      <c r="AC34" s="61">
        <f>AC15*('Demographic-Economic'!H$12)</f>
        <v>290833.54959961731</v>
      </c>
      <c r="AG34">
        <v>2030</v>
      </c>
      <c r="AH34" s="61">
        <f>AH15*('Demographic-Economic'!C$12)</f>
        <v>5126443.9901303239</v>
      </c>
      <c r="AI34" s="61">
        <f>AI15*('Demographic-Economic'!D$12)</f>
        <v>3622494.4168574158</v>
      </c>
      <c r="AJ34" s="61">
        <f>AJ15*('Demographic-Economic'!E$12)</f>
        <v>4284227.1148053883</v>
      </c>
      <c r="AK34" s="61">
        <f>AK15*('Demographic-Economic'!F$12)</f>
        <v>870536.88524091162</v>
      </c>
      <c r="AL34" s="61">
        <f>AL15*('Demographic-Economic'!G$12)</f>
        <v>1048094.9989953282</v>
      </c>
      <c r="AM34" s="61">
        <f>AM15*('Demographic-Economic'!H$12)</f>
        <v>268107.82021818054</v>
      </c>
    </row>
    <row r="35" spans="5:39">
      <c r="E35">
        <v>2040</v>
      </c>
      <c r="F35" s="61">
        <f>F16*('Demographic-Economic'!$C$12)</f>
        <v>5255295.5791007774</v>
      </c>
      <c r="G35" s="61">
        <f>G16*('Demographic-Economic'!$D$12)</f>
        <v>3666537.8021421041</v>
      </c>
      <c r="H35" s="61">
        <f>H16*('Demographic-Economic'!$E$12)</f>
        <v>4571223.8648833707</v>
      </c>
      <c r="I35" s="61">
        <f>I16*('Demographic-Economic'!$F$12)</f>
        <v>921540.38917224715</v>
      </c>
      <c r="J35" s="61">
        <f>J16*('Demographic-Economic'!$G$12)</f>
        <v>1105994.966756257</v>
      </c>
      <c r="K35" s="61">
        <f>K16*('Demographic-Economic'!$H$12)</f>
        <v>274846.627609235</v>
      </c>
      <c r="N35">
        <v>2040</v>
      </c>
      <c r="O35" s="61">
        <f>O16*('Demographic-Economic'!$C$12)</f>
        <v>5484140.9804150499</v>
      </c>
      <c r="P35" s="61">
        <f>P16*('Demographic-Economic'!$D$12)</f>
        <v>3826199.6712293513</v>
      </c>
      <c r="Q35" s="61">
        <f>Q16*('Demographic-Economic'!$E$12)</f>
        <v>4753538.6552178524</v>
      </c>
      <c r="R35" s="61">
        <f>R16*('Demographic-Economic'!$F$12)</f>
        <v>957698.82713396859</v>
      </c>
      <c r="S35" s="61">
        <f>S16*('Demographic-Economic'!$G$12)</f>
        <v>1149580.0369161847</v>
      </c>
      <c r="T35" s="61">
        <f>T16*('Demographic-Economic'!$H$12)</f>
        <v>313637.20752054581</v>
      </c>
      <c r="W35">
        <v>2040</v>
      </c>
      <c r="X35" s="61">
        <f>X16*('Demographic-Economic'!C$12)</f>
        <v>5709849.4022498429</v>
      </c>
      <c r="Y35" s="61">
        <f>Y16*('Demographic-Economic'!D$12)</f>
        <v>3983672.9186352952</v>
      </c>
      <c r="Z35" s="61">
        <f>Z16*('Demographic-Economic'!E$12)</f>
        <v>4950952.2507847883</v>
      </c>
      <c r="AA35" s="61">
        <f>AA16*('Demographic-Economic'!F$12)</f>
        <v>996562.84608997439</v>
      </c>
      <c r="AB35" s="61">
        <f>AB16*('Demographic-Economic'!G$12)</f>
        <v>1195147.9207358784</v>
      </c>
      <c r="AC35" s="61">
        <f>AC16*('Demographic-Economic'!H$12)</f>
        <v>327159.02812394901</v>
      </c>
      <c r="AG35">
        <v>2040</v>
      </c>
      <c r="AH35" s="61">
        <f>AH16*('Demographic-Economic'!C$12)</f>
        <v>5282466.1985255936</v>
      </c>
      <c r="AI35" s="61">
        <f>AI16*('Demographic-Economic'!D$12)</f>
        <v>3685494.3197592841</v>
      </c>
      <c r="AJ35" s="61">
        <f>AJ16*('Demographic-Economic'!E$12)</f>
        <v>4595092.0980139179</v>
      </c>
      <c r="AK35" s="61">
        <f>AK16*('Demographic-Economic'!F$12)</f>
        <v>926258.12381450157</v>
      </c>
      <c r="AL35" s="61">
        <f>AL16*('Demographic-Economic'!G$12)</f>
        <v>1111531.7213732959</v>
      </c>
      <c r="AM35" s="61">
        <f>AM16*('Demographic-Economic'!H$12)</f>
        <v>276267.62344221212</v>
      </c>
    </row>
    <row r="36" spans="5:39">
      <c r="E36">
        <v>2050</v>
      </c>
      <c r="F36" s="61">
        <f>F17*('Demographic-Economic'!$C$12)</f>
        <v>5342988.234771111</v>
      </c>
      <c r="G36" s="61">
        <f>G17*('Demographic-Economic'!$D$12)</f>
        <v>3727719.6009859522</v>
      </c>
      <c r="H36" s="61">
        <f>H17*('Demographic-Economic'!$E$12)</f>
        <v>4647501.7362878602</v>
      </c>
      <c r="I36" s="61">
        <f>I17*('Demographic-Economic'!$F$12)</f>
        <v>936917.70198322611</v>
      </c>
      <c r="J36" s="61">
        <f>J17*('Demographic-Economic'!$G$12)</f>
        <v>1124450.1867021299</v>
      </c>
      <c r="K36" s="61">
        <f>K17*('Demographic-Economic'!$H$12)</f>
        <v>279432.86454192776</v>
      </c>
      <c r="N36">
        <v>2050</v>
      </c>
      <c r="O36" s="61">
        <f>O17*('Demographic-Economic'!$C$12)</f>
        <v>5649710.253757217</v>
      </c>
      <c r="P36" s="61">
        <f>P17*('Demographic-Economic'!$D$12)</f>
        <v>3891819.6485260325</v>
      </c>
      <c r="Q36" s="61">
        <f>Q17*('Demographic-Economic'!$E$12)</f>
        <v>5098636.9697068585</v>
      </c>
      <c r="R36" s="61">
        <f>R17*('Demographic-Economic'!$F$12)</f>
        <v>1004750.8522166974</v>
      </c>
      <c r="S36" s="61">
        <f>S17*('Demographic-Economic'!$G$12)</f>
        <v>1211468.2075744735</v>
      </c>
      <c r="T36" s="61">
        <f>T17*('Demographic-Economic'!$H$12)</f>
        <v>337281.28702882148</v>
      </c>
      <c r="W36">
        <v>2050</v>
      </c>
      <c r="X36" s="61">
        <f>X17*('Demographic-Economic'!C$12)</f>
        <v>6064710.9930700148</v>
      </c>
      <c r="Y36" s="61">
        <f>Y17*('Demographic-Economic'!D$12)</f>
        <v>4177694.1374586783</v>
      </c>
      <c r="Z36" s="61">
        <f>Z17*('Demographic-Economic'!E$12)</f>
        <v>5481654.79761755</v>
      </c>
      <c r="AA36" s="61">
        <f>AA17*('Demographic-Economic'!F$12)</f>
        <v>1074062.9726932668</v>
      </c>
      <c r="AB36" s="61">
        <f>AB17*('Demographic-Economic'!G$12)</f>
        <v>1295349.7515765333</v>
      </c>
      <c r="AC36" s="61">
        <f>AC17*('Demographic-Economic'!H$12)</f>
        <v>363419.49755280162</v>
      </c>
      <c r="AG36">
        <v>2050</v>
      </c>
      <c r="AH36" s="61">
        <f>AH17*('Demographic-Economic'!C$12)</f>
        <v>5395661.9027797133</v>
      </c>
      <c r="AI36" s="61">
        <f>AI17*('Demographic-Economic'!D$12)</f>
        <v>3764469.1980398404</v>
      </c>
      <c r="AJ36" s="61">
        <f>AJ17*('Demographic-Economic'!E$12)</f>
        <v>4693558.3572570728</v>
      </c>
      <c r="AK36" s="61">
        <f>AK17*('Demographic-Economic'!F$12)</f>
        <v>946106.51218195516</v>
      </c>
      <c r="AL36" s="61">
        <f>AL17*('Demographic-Economic'!G$12)</f>
        <v>1135350.2582598664</v>
      </c>
      <c r="AM36" s="61">
        <f>AM17*('Demographic-Economic'!H$12)</f>
        <v>282187.64394454518</v>
      </c>
    </row>
    <row r="37" spans="5:39">
      <c r="E37">
        <v>2060</v>
      </c>
      <c r="F37" s="61">
        <f>F18*('Demographic-Economic'!$C$12)</f>
        <v>5317933.1902938727</v>
      </c>
      <c r="G37" s="61">
        <f>G18*('Demographic-Economic'!$D$12)</f>
        <v>3710239.0870305672</v>
      </c>
      <c r="H37" s="61">
        <f>H18*('Demographic-Economic'!$E$12)</f>
        <v>4625708.0587437218</v>
      </c>
      <c r="I37" s="61">
        <f>I18*('Demographic-Economic'!$F$12)</f>
        <v>932524.18403723219</v>
      </c>
      <c r="J37" s="61">
        <f>J18*('Demographic-Economic'!$G$12)</f>
        <v>1119177.2667175948</v>
      </c>
      <c r="K37" s="61">
        <f>K18*('Demographic-Economic'!$H$12)</f>
        <v>278122.51113258704</v>
      </c>
      <c r="N37">
        <v>2060</v>
      </c>
      <c r="O37" s="61">
        <f>O18*('Demographic-Economic'!$C$12)</f>
        <v>5779092.9313241774</v>
      </c>
      <c r="P37" s="61">
        <f>P18*('Demographic-Economic'!$D$12)</f>
        <v>3980945.2893319731</v>
      </c>
      <c r="Q37" s="61">
        <f>Q18*('Demographic-Economic'!$E$12)</f>
        <v>5215399.6484024366</v>
      </c>
      <c r="R37" s="61">
        <f>R18*('Demographic-Economic'!$F$12)</f>
        <v>1027760.4137178432</v>
      </c>
      <c r="S37" s="61">
        <f>S18*('Demographic-Economic'!$G$12)</f>
        <v>1239211.7543128203</v>
      </c>
      <c r="T37" s="61">
        <f>T18*('Demographic-Economic'!$H$12)</f>
        <v>345005.28596841288</v>
      </c>
      <c r="W37">
        <v>2060</v>
      </c>
      <c r="X37" s="61">
        <f>X18*('Demographic-Economic'!C$12)</f>
        <v>6436144.0960592432</v>
      </c>
      <c r="Y37" s="61">
        <f>Y18*('Demographic-Economic'!D$12)</f>
        <v>4433556.9310178943</v>
      </c>
      <c r="Z37" s="61">
        <f>Z18*('Demographic-Economic'!E$12)</f>
        <v>5817378.6356242476</v>
      </c>
      <c r="AA37" s="61">
        <f>AA18*('Demographic-Economic'!F$12)</f>
        <v>1139843.9378883366</v>
      </c>
      <c r="AB37" s="61">
        <f>AB18*('Demographic-Economic'!G$12)</f>
        <v>1374683.4211007992</v>
      </c>
      <c r="AC37" s="61">
        <f>AC18*('Demographic-Economic'!H$12)</f>
        <v>385677.11738284276</v>
      </c>
      <c r="AG37">
        <v>2060</v>
      </c>
      <c r="AH37" s="61">
        <f>AH18*('Demographic-Economic'!C$12)</f>
        <v>5401950.5530160535</v>
      </c>
      <c r="AI37" s="61">
        <f>AI18*('Demographic-Economic'!D$12)</f>
        <v>3768856.6912776488</v>
      </c>
      <c r="AJ37" s="61">
        <f>AJ18*('Demographic-Economic'!E$12)</f>
        <v>4699028.7049928047</v>
      </c>
      <c r="AK37" s="61">
        <f>AK18*('Demographic-Economic'!F$12)</f>
        <v>947209.20042459143</v>
      </c>
      <c r="AL37" s="61">
        <f>AL18*('Demographic-Economic'!G$12)</f>
        <v>1136673.5103091204</v>
      </c>
      <c r="AM37" s="61">
        <f>AM18*('Demographic-Economic'!H$12)</f>
        <v>282516.53397245257</v>
      </c>
    </row>
    <row r="38" spans="5:39">
      <c r="E38">
        <v>2070</v>
      </c>
      <c r="F38" s="61">
        <f>F19*('Demographic-Economic'!$C$12)</f>
        <v>5198921.72902699</v>
      </c>
      <c r="G38" s="61">
        <f>G19*('Demographic-Economic'!$D$12)</f>
        <v>3627206.6457424862</v>
      </c>
      <c r="H38" s="61">
        <f>H19*('Demographic-Economic'!$E$12)</f>
        <v>4522188.0904090572</v>
      </c>
      <c r="I38" s="61">
        <f>I19*('Demographic-Economic'!$F$12)</f>
        <v>911654.97379376064</v>
      </c>
      <c r="J38" s="61">
        <f>J19*('Demographic-Economic'!$G$12)</f>
        <v>1094130.8967910528</v>
      </c>
      <c r="K38" s="61">
        <f>K19*('Demographic-Economic'!$H$12)</f>
        <v>271898.33243821817</v>
      </c>
      <c r="N38">
        <v>2070</v>
      </c>
      <c r="O38" s="61">
        <f>O19*('Demographic-Economic'!$C$12)</f>
        <v>5828381.5703973044</v>
      </c>
      <c r="P38" s="61">
        <f>P19*('Demographic-Economic'!$D$12)</f>
        <v>4014897.9144009026</v>
      </c>
      <c r="Q38" s="61">
        <f>Q19*('Demographic-Economic'!$E$12)</f>
        <v>5259880.6688578948</v>
      </c>
      <c r="R38" s="61">
        <f>R19*('Demographic-Economic'!$F$12)</f>
        <v>1036525.9609563749</v>
      </c>
      <c r="S38" s="61">
        <f>S19*('Demographic-Economic'!$G$12)</f>
        <v>1249780.7244988573</v>
      </c>
      <c r="T38" s="61">
        <f>T19*('Demographic-Economic'!$H$12)</f>
        <v>347947.76175492385</v>
      </c>
      <c r="W38">
        <v>2070</v>
      </c>
      <c r="X38" s="61">
        <f>X19*('Demographic-Economic'!C$12)</f>
        <v>6771042.7954757605</v>
      </c>
      <c r="Y38" s="61">
        <f>Y19*('Demographic-Economic'!D$12)</f>
        <v>4664252.8924237443</v>
      </c>
      <c r="Z38" s="61">
        <f>Z19*('Demographic-Economic'!E$12)</f>
        <v>6120080.4567778269</v>
      </c>
      <c r="AA38" s="61">
        <f>AA19*('Demographic-Economic'!F$12)</f>
        <v>1199154.6442117598</v>
      </c>
      <c r="AB38" s="61">
        <f>AB19*('Demographic-Economic'!G$12)</f>
        <v>1446213.7788685795</v>
      </c>
      <c r="AC38" s="61">
        <f>AC19*('Demographic-Economic'!H$12)</f>
        <v>405745.46313124039</v>
      </c>
      <c r="AG38">
        <v>2070</v>
      </c>
      <c r="AH38" s="61">
        <f>AH19*('Demographic-Economic'!C$12)</f>
        <v>5320198.0999436341</v>
      </c>
      <c r="AI38" s="61">
        <f>AI19*('Demographic-Economic'!D$12)</f>
        <v>3711819.2791861366</v>
      </c>
      <c r="AJ38" s="61">
        <f>AJ19*('Demographic-Economic'!E$12)</f>
        <v>4627914.1844283044</v>
      </c>
      <c r="AK38" s="61">
        <f>AK19*('Demographic-Economic'!F$12)</f>
        <v>932874.25327031955</v>
      </c>
      <c r="AL38" s="61">
        <f>AL19*('Demographic-Economic'!G$12)</f>
        <v>1119471.2336688195</v>
      </c>
      <c r="AM38" s="61">
        <f>AM19*('Demographic-Economic'!H$12)</f>
        <v>278240.96360965649</v>
      </c>
    </row>
    <row r="39" spans="5:39">
      <c r="E39">
        <v>2080</v>
      </c>
      <c r="F39" s="61">
        <f>F20*('Demographic-Economic'!$C$12)</f>
        <v>4992217.6120897718</v>
      </c>
      <c r="G39" s="61">
        <f>G20*('Demographic-Economic'!$D$12)</f>
        <v>3482992.4056105553</v>
      </c>
      <c r="H39" s="61">
        <f>H20*('Demographic-Economic'!$E$12)</f>
        <v>4342390.2506699013</v>
      </c>
      <c r="I39" s="61">
        <f>I20*('Demographic-Economic'!$F$12)</f>
        <v>875408.45073930966</v>
      </c>
      <c r="J39" s="61">
        <f>J20*('Demographic-Economic'!$G$12)</f>
        <v>1050629.3069186374</v>
      </c>
      <c r="K39" s="61">
        <f>K20*('Demographic-Economic'!$H$12)</f>
        <v>261087.91681115644</v>
      </c>
      <c r="N39">
        <v>2080</v>
      </c>
      <c r="O39" s="61">
        <f>O20*('Demographic-Economic'!$C$12)</f>
        <v>5797576.1709766006</v>
      </c>
      <c r="P39" s="61">
        <f>P20*('Demographic-Economic'!$D$12)</f>
        <v>3993677.5237328215</v>
      </c>
      <c r="Q39" s="61">
        <f>Q20*('Demographic-Economic'!$E$12)</f>
        <v>5232080.031073234</v>
      </c>
      <c r="R39" s="61">
        <f>R20*('Demographic-Economic'!$F$12)</f>
        <v>1031047.4939322926</v>
      </c>
      <c r="S39" s="61">
        <f>S20*('Demographic-Economic'!$G$12)</f>
        <v>1243175.1181325843</v>
      </c>
      <c r="T39" s="61">
        <f>T20*('Demographic-Economic'!$H$12)</f>
        <v>346108.71438835451</v>
      </c>
      <c r="W39">
        <v>2080</v>
      </c>
      <c r="X39" s="61">
        <f>X20*('Demographic-Economic'!C$12)</f>
        <v>7081585.225843804</v>
      </c>
      <c r="Y39" s="61">
        <f>Y20*('Demographic-Economic'!D$12)</f>
        <v>4878170.9657273516</v>
      </c>
      <c r="Z39" s="61">
        <f>Z20*('Demographic-Economic'!E$12)</f>
        <v>6400767.6000293279</v>
      </c>
      <c r="AA39" s="61">
        <f>AA20*('Demographic-Economic'!F$12)</f>
        <v>1254151.8446207524</v>
      </c>
      <c r="AB39" s="61">
        <f>AB20*('Demographic-Economic'!G$12)</f>
        <v>1512541.9287987032</v>
      </c>
      <c r="AC39" s="61">
        <f>AC20*('Demographic-Economic'!H$12)</f>
        <v>424354.29282520915</v>
      </c>
      <c r="AG39">
        <v>2080</v>
      </c>
      <c r="AH39" s="61">
        <f>AH20*('Demographic-Economic'!C$12)</f>
        <v>5156693.1937987935</v>
      </c>
      <c r="AI39" s="61">
        <f>AI20*('Demographic-Economic'!D$12)</f>
        <v>3597744.4550031102</v>
      </c>
      <c r="AJ39" s="61">
        <f>AJ20*('Demographic-Economic'!E$12)</f>
        <v>4485685.1432993012</v>
      </c>
      <c r="AK39" s="61">
        <f>AK20*('Demographic-Economic'!F$12)</f>
        <v>904204.3589617752</v>
      </c>
      <c r="AL39" s="61">
        <f>AL20*('Demographic-Economic'!G$12)</f>
        <v>1085066.6803882173</v>
      </c>
      <c r="AM39" s="61">
        <f>AM20*('Demographic-Economic'!H$12)</f>
        <v>269689.82288406417</v>
      </c>
    </row>
    <row r="40" spans="5:39">
      <c r="E40">
        <v>2090</v>
      </c>
      <c r="F40" s="61">
        <f>F21*('Demographic-Economic'!$C$12)</f>
        <v>4704084.6006015288</v>
      </c>
      <c r="G40" s="61">
        <f>G21*('Demographic-Economic'!$D$12)</f>
        <v>3281966.4951236225</v>
      </c>
      <c r="H40" s="61">
        <f>H21*('Demographic-Economic'!$E$12)</f>
        <v>4091762.9589122902</v>
      </c>
      <c r="I40" s="61">
        <f>I21*('Demographic-Economic'!$F$12)</f>
        <v>824882.99436037836</v>
      </c>
      <c r="J40" s="61">
        <f>J21*('Demographic-Economic'!$G$12)</f>
        <v>989990.72709648265</v>
      </c>
      <c r="K40" s="61">
        <f>K21*('Demographic-Economic'!$H$12)</f>
        <v>246018.85260373712</v>
      </c>
      <c r="N40">
        <v>2090</v>
      </c>
      <c r="O40" s="61">
        <f>O21*('Demographic-Economic'!$C$12)</f>
        <v>5698998.8928303467</v>
      </c>
      <c r="P40" s="61">
        <f>P21*('Demographic-Economic'!$D$12)</f>
        <v>3925772.2735949629</v>
      </c>
      <c r="Q40" s="61">
        <f>Q21*('Demographic-Economic'!$E$12)</f>
        <v>5143117.9901623186</v>
      </c>
      <c r="R40" s="61">
        <f>R21*('Demographic-Economic'!$F$12)</f>
        <v>1013516.3994552293</v>
      </c>
      <c r="S40" s="61">
        <f>S21*('Demographic-Economic'!$G$12)</f>
        <v>1222037.1777605107</v>
      </c>
      <c r="T40" s="61">
        <f>T21*('Demographic-Economic'!$H$12)</f>
        <v>340223.76281533262</v>
      </c>
      <c r="W40">
        <v>2090</v>
      </c>
      <c r="X40" s="61">
        <f>X21*('Demographic-Economic'!C$12)</f>
        <v>7386038.5889497297</v>
      </c>
      <c r="Y40" s="61">
        <f>Y21*('Demographic-Economic'!D$12)</f>
        <v>5087894.5670053987</v>
      </c>
      <c r="Z40" s="61">
        <f>Z21*('Demographic-Economic'!E$12)</f>
        <v>6675951.0738053098</v>
      </c>
      <c r="AA40" s="61">
        <f>AA21*('Demographic-Economic'!F$12)</f>
        <v>1308070.6685511377</v>
      </c>
      <c r="AB40" s="61">
        <f>AB21*('Demographic-Economic'!G$12)</f>
        <v>1577569.5267694129</v>
      </c>
      <c r="AC40" s="61">
        <f>AC21*('Demographic-Economic'!H$12)</f>
        <v>442598.24350557075</v>
      </c>
      <c r="AG40">
        <v>2090</v>
      </c>
      <c r="AH40" s="61">
        <f>AH21*('Demographic-Economic'!C$12)</f>
        <v>4924013.1350542149</v>
      </c>
      <c r="AI40" s="61">
        <f>AI21*('Demographic-Economic'!D$12)</f>
        <v>3435407.2052041898</v>
      </c>
      <c r="AJ40" s="61">
        <f>AJ21*('Demographic-Economic'!E$12)</f>
        <v>4283282.2770772595</v>
      </c>
      <c r="AK40" s="61">
        <f>AK21*('Demographic-Economic'!F$12)</f>
        <v>863404.89398423187</v>
      </c>
      <c r="AL40" s="61">
        <f>AL21*('Demographic-Economic'!G$12)</f>
        <v>1036106.3545658222</v>
      </c>
      <c r="AM40" s="61">
        <f>AM21*('Demographic-Economic'!H$12)</f>
        <v>257520.8918514906</v>
      </c>
    </row>
    <row r="41" spans="5:39">
      <c r="E41">
        <v>2100</v>
      </c>
      <c r="F41" s="61">
        <f>F22*('Demographic-Economic'!$C$12)</f>
        <v>4359577.7390394993</v>
      </c>
      <c r="G41" s="61">
        <f>G22*('Demographic-Economic'!$D$12)</f>
        <v>3041609.4282370722</v>
      </c>
      <c r="H41" s="61">
        <f>H22*('Demographic-Economic'!$E$12)</f>
        <v>3792099.8926803647</v>
      </c>
      <c r="I41" s="61">
        <f>I22*('Demographic-Economic'!$F$12)</f>
        <v>764472.12260296056</v>
      </c>
      <c r="J41" s="61">
        <f>J22*('Demographic-Economic'!$G$12)</f>
        <v>917488.07730912371</v>
      </c>
      <c r="K41" s="61">
        <f>K22*('Demographic-Economic'!$H$12)</f>
        <v>228001.49322530098</v>
      </c>
      <c r="N41">
        <v>2100</v>
      </c>
      <c r="O41" s="61">
        <f>O22*('Demographic-Economic'!$C$12)</f>
        <v>5563455.1353792455</v>
      </c>
      <c r="P41" s="61">
        <f>P22*('Demographic-Economic'!$D$12)</f>
        <v>3832402.5546554066</v>
      </c>
      <c r="Q41" s="61">
        <f>Q22*('Demographic-Economic'!$E$12)</f>
        <v>5020795.1839098083</v>
      </c>
      <c r="R41" s="61">
        <f>R22*('Demographic-Economic'!$F$12)</f>
        <v>989411.14454926702</v>
      </c>
      <c r="S41" s="61">
        <f>S22*('Demographic-Economic'!$G$12)</f>
        <v>1192972.5097489092</v>
      </c>
      <c r="T41" s="61">
        <f>T22*('Demographic-Economic'!$H$12)</f>
        <v>332131.95440242736</v>
      </c>
      <c r="W41">
        <v>2100</v>
      </c>
      <c r="X41" s="61">
        <f>X22*('Demographic-Economic'!C$12)</f>
        <v>7684402.8847935339</v>
      </c>
      <c r="Y41" s="61">
        <f>Y22*('Demographic-Economic'!D$12)</f>
        <v>5293423.6962578818</v>
      </c>
      <c r="Z41" s="61">
        <f>Z22*('Demographic-Economic'!E$12)</f>
        <v>6945630.8781057699</v>
      </c>
      <c r="AA41" s="61">
        <f>AA22*('Demographic-Economic'!F$12)</f>
        <v>1360911.1160029145</v>
      </c>
      <c r="AB41" s="61">
        <f>AB22*('Demographic-Economic'!G$12)</f>
        <v>1641296.5727807079</v>
      </c>
      <c r="AC41" s="61">
        <f>AC22*('Demographic-Economic'!H$12)</f>
        <v>460477.31517232489</v>
      </c>
      <c r="AG41">
        <v>2100</v>
      </c>
      <c r="AH41" s="61">
        <f>AH22*('Demographic-Economic'!C$12)</f>
        <v>4641023.8744189152</v>
      </c>
      <c r="AI41" s="61">
        <f>AI22*('Demographic-Economic'!D$12)</f>
        <v>3237970.0095027993</v>
      </c>
      <c r="AJ41" s="61">
        <f>AJ22*('Demographic-Economic'!E$12)</f>
        <v>4037116.6289693709</v>
      </c>
      <c r="AK41" s="61">
        <f>AK22*('Demographic-Economic'!F$12)</f>
        <v>813783.92306559777</v>
      </c>
      <c r="AL41" s="61">
        <f>AL22*('Demographic-Economic'!G$12)</f>
        <v>976560.01234939555</v>
      </c>
      <c r="AM41" s="61">
        <f>AM22*('Demographic-Economic'!H$12)</f>
        <v>242720.84059565776</v>
      </c>
    </row>
    <row r="42" spans="5:39">
      <c r="F42" s="581" t="s">
        <v>283</v>
      </c>
      <c r="G42" s="581"/>
      <c r="H42" s="581"/>
      <c r="I42" s="581"/>
      <c r="J42" s="581"/>
      <c r="K42" s="581"/>
      <c r="O42" s="581" t="s">
        <v>283</v>
      </c>
      <c r="P42" s="581"/>
      <c r="Q42" s="581"/>
      <c r="R42" s="581"/>
      <c r="S42" s="581"/>
      <c r="T42" s="581"/>
      <c r="X42" s="581" t="s">
        <v>283</v>
      </c>
      <c r="Y42" s="581"/>
      <c r="Z42" s="581"/>
      <c r="AA42" s="581"/>
      <c r="AB42" s="581"/>
      <c r="AC42" s="581"/>
      <c r="AH42" s="581" t="s">
        <v>283</v>
      </c>
      <c r="AI42" s="581"/>
      <c r="AJ42" s="581"/>
      <c r="AK42" s="581"/>
      <c r="AL42" s="581"/>
      <c r="AM42" s="581"/>
    </row>
    <row r="43" spans="5:39">
      <c r="E43">
        <v>2020</v>
      </c>
      <c r="F43" s="61">
        <f t="shared" ref="F43:K52" si="0">F5-F24</f>
        <v>1437861.0240000002</v>
      </c>
      <c r="G43" s="61">
        <f t="shared" si="0"/>
        <v>728736.20400000038</v>
      </c>
      <c r="H43" s="61">
        <f t="shared" si="0"/>
        <v>1073659.2599999998</v>
      </c>
      <c r="I43" s="61">
        <f t="shared" si="0"/>
        <v>221338.04399999999</v>
      </c>
      <c r="J43" s="61">
        <f t="shared" si="0"/>
        <v>304001.28000000003</v>
      </c>
      <c r="K43" s="61">
        <f t="shared" si="0"/>
        <v>53263.932000000001</v>
      </c>
      <c r="N43">
        <v>2020</v>
      </c>
      <c r="O43" s="61">
        <f t="shared" ref="O43:T52" si="1">O5-O24</f>
        <v>1437861.0240000002</v>
      </c>
      <c r="P43" s="61">
        <f t="shared" si="1"/>
        <v>728736.20400000038</v>
      </c>
      <c r="Q43" s="61">
        <f t="shared" si="1"/>
        <v>1073659.2599999998</v>
      </c>
      <c r="R43" s="61">
        <f t="shared" si="1"/>
        <v>221338.04399999999</v>
      </c>
      <c r="S43" s="61">
        <f t="shared" si="1"/>
        <v>304001.28000000003</v>
      </c>
      <c r="T43" s="61">
        <f t="shared" si="1"/>
        <v>53263.932000000001</v>
      </c>
      <c r="W43">
        <v>2020</v>
      </c>
      <c r="X43" s="61">
        <f t="shared" ref="X43:AC52" si="2">X5-X24</f>
        <v>1437861.0240000002</v>
      </c>
      <c r="Y43" s="61">
        <f t="shared" si="2"/>
        <v>728736.20400000038</v>
      </c>
      <c r="Z43" s="61">
        <f t="shared" si="2"/>
        <v>1073659.2599999998</v>
      </c>
      <c r="AA43" s="61">
        <f t="shared" si="2"/>
        <v>221338.04399999999</v>
      </c>
      <c r="AB43" s="61">
        <f t="shared" si="2"/>
        <v>304001.28000000003</v>
      </c>
      <c r="AC43" s="61">
        <f t="shared" si="2"/>
        <v>53263.932000000001</v>
      </c>
      <c r="AG43">
        <v>2020</v>
      </c>
      <c r="AH43" s="61">
        <f t="shared" ref="AH43:AM52" si="3">AH5-AH24</f>
        <v>1437861.0240000002</v>
      </c>
      <c r="AI43" s="61">
        <f t="shared" si="3"/>
        <v>728736.20400000038</v>
      </c>
      <c r="AJ43" s="61">
        <f t="shared" si="3"/>
        <v>1073659.2599999998</v>
      </c>
      <c r="AK43" s="61">
        <f t="shared" si="3"/>
        <v>221338.04399999999</v>
      </c>
      <c r="AL43" s="61">
        <f t="shared" si="3"/>
        <v>304001.28000000003</v>
      </c>
      <c r="AM43" s="61">
        <f t="shared" si="3"/>
        <v>53263.932000000001</v>
      </c>
    </row>
    <row r="44" spans="5:39">
      <c r="E44">
        <v>2021</v>
      </c>
      <c r="F44" s="61">
        <f t="shared" si="0"/>
        <v>1445157.5047768019</v>
      </c>
      <c r="G44" s="61">
        <f t="shared" si="0"/>
        <v>731517.51513215341</v>
      </c>
      <c r="H44" s="61">
        <f t="shared" si="0"/>
        <v>1082720.5123454165</v>
      </c>
      <c r="I44" s="61">
        <f t="shared" si="0"/>
        <v>223854.34764580114</v>
      </c>
      <c r="J44" s="61">
        <f t="shared" si="0"/>
        <v>306719.62257419829</v>
      </c>
      <c r="K44" s="61">
        <f t="shared" si="0"/>
        <v>53534.221860736172</v>
      </c>
      <c r="N44">
        <v>2021</v>
      </c>
      <c r="O44" s="61">
        <f t="shared" si="1"/>
        <v>1448329.6819975032</v>
      </c>
      <c r="P44" s="61">
        <f t="shared" si="1"/>
        <v>733123.22467618296</v>
      </c>
      <c r="Q44" s="61">
        <f t="shared" si="1"/>
        <v>1084932.4050432253</v>
      </c>
      <c r="R44" s="61">
        <f t="shared" si="1"/>
        <v>224264.55649753369</v>
      </c>
      <c r="S44" s="61">
        <f t="shared" si="1"/>
        <v>307335.12656804582</v>
      </c>
      <c r="T44" s="61">
        <f t="shared" si="1"/>
        <v>53890.021066888527</v>
      </c>
      <c r="W44">
        <v>2021</v>
      </c>
      <c r="X44" s="61">
        <f t="shared" si="2"/>
        <v>1451170.3418128984</v>
      </c>
      <c r="Y44" s="61">
        <f t="shared" si="2"/>
        <v>734561.12497606361</v>
      </c>
      <c r="Z44" s="61">
        <f t="shared" si="2"/>
        <v>1087060.3210306792</v>
      </c>
      <c r="AA44" s="61">
        <f t="shared" si="2"/>
        <v>224704.41443980928</v>
      </c>
      <c r="AB44" s="61">
        <f t="shared" si="2"/>
        <v>307937.91373367049</v>
      </c>
      <c r="AC44" s="61">
        <f t="shared" si="2"/>
        <v>53995.717455768987</v>
      </c>
      <c r="AG44">
        <v>2021</v>
      </c>
      <c r="AH44" s="61">
        <f t="shared" si="3"/>
        <v>1445574.0533340396</v>
      </c>
      <c r="AI44" s="61">
        <f t="shared" si="3"/>
        <v>731728.3658972187</v>
      </c>
      <c r="AJ44" s="61">
        <f t="shared" si="3"/>
        <v>1083032.5929773329</v>
      </c>
      <c r="AK44" s="61">
        <f t="shared" si="3"/>
        <v>223918.87085883156</v>
      </c>
      <c r="AL44" s="61">
        <f t="shared" si="3"/>
        <v>306808.03066524537</v>
      </c>
      <c r="AM44" s="61">
        <f t="shared" si="3"/>
        <v>53549.652429933805</v>
      </c>
    </row>
    <row r="45" spans="5:39">
      <c r="E45">
        <v>2022</v>
      </c>
      <c r="F45" s="61">
        <f t="shared" si="0"/>
        <v>1452433.4976938125</v>
      </c>
      <c r="G45" s="61">
        <f t="shared" si="0"/>
        <v>734280.36510737054</v>
      </c>
      <c r="H45" s="61">
        <f t="shared" si="0"/>
        <v>1091937.8331981269</v>
      </c>
      <c r="I45" s="61">
        <f t="shared" si="0"/>
        <v>226284.15028645983</v>
      </c>
      <c r="J45" s="61">
        <f t="shared" si="0"/>
        <v>309406.77466206613</v>
      </c>
      <c r="K45" s="61">
        <f t="shared" si="0"/>
        <v>53803.752771926724</v>
      </c>
      <c r="N45">
        <v>2022</v>
      </c>
      <c r="O45" s="61">
        <f t="shared" si="1"/>
        <v>1458769.9216921628</v>
      </c>
      <c r="P45" s="61">
        <f t="shared" si="1"/>
        <v>737483.75564770959</v>
      </c>
      <c r="Q45" s="61">
        <f t="shared" si="1"/>
        <v>1096351.3685882762</v>
      </c>
      <c r="R45" s="61">
        <f t="shared" si="1"/>
        <v>227122.06650552875</v>
      </c>
      <c r="S45" s="61">
        <f t="shared" si="1"/>
        <v>310642.17086515506</v>
      </c>
      <c r="T45" s="61">
        <f t="shared" si="1"/>
        <v>54520.658608110592</v>
      </c>
      <c r="W45">
        <v>2022</v>
      </c>
      <c r="X45" s="61">
        <f t="shared" si="2"/>
        <v>1464444.1396734146</v>
      </c>
      <c r="Y45" s="61">
        <f t="shared" si="2"/>
        <v>740352.36674597207</v>
      </c>
      <c r="Z45" s="61">
        <f t="shared" si="2"/>
        <v>1100608.7739514527</v>
      </c>
      <c r="AA45" s="61">
        <f t="shared" si="2"/>
        <v>228012.30500884331</v>
      </c>
      <c r="AB45" s="61">
        <f t="shared" si="2"/>
        <v>311849.80734062695</v>
      </c>
      <c r="AC45" s="61">
        <f t="shared" si="2"/>
        <v>54733.564540363819</v>
      </c>
      <c r="AG45">
        <v>2022</v>
      </c>
      <c r="AH45" s="61">
        <f t="shared" si="3"/>
        <v>1453265.553436894</v>
      </c>
      <c r="AI45" s="61">
        <f t="shared" si="3"/>
        <v>734701.01238367613</v>
      </c>
      <c r="AJ45" s="61">
        <f t="shared" si="3"/>
        <v>1092562.4008038556</v>
      </c>
      <c r="AK45" s="61">
        <f t="shared" si="3"/>
        <v>226414.83701565408</v>
      </c>
      <c r="AL45" s="61">
        <f t="shared" si="3"/>
        <v>309583.95190622879</v>
      </c>
      <c r="AM45" s="61">
        <f t="shared" si="3"/>
        <v>53834.575333898974</v>
      </c>
    </row>
    <row r="46" spans="5:39">
      <c r="E46">
        <v>2023</v>
      </c>
      <c r="F46" s="61">
        <f t="shared" si="0"/>
        <v>1459689.0425699288</v>
      </c>
      <c r="G46" s="61">
        <f t="shared" si="0"/>
        <v>737024.82884824183</v>
      </c>
      <c r="H46" s="61">
        <f t="shared" si="0"/>
        <v>1101300.0440085283</v>
      </c>
      <c r="I46" s="61">
        <f t="shared" si="0"/>
        <v>228635.83057421993</v>
      </c>
      <c r="J46" s="61">
        <f t="shared" si="0"/>
        <v>312065.8846601136</v>
      </c>
      <c r="K46" s="61">
        <f t="shared" si="0"/>
        <v>54072.526208617637</v>
      </c>
      <c r="N46">
        <v>2023</v>
      </c>
      <c r="O46" s="61">
        <f t="shared" si="1"/>
        <v>1469181.7977724569</v>
      </c>
      <c r="P46" s="61">
        <f t="shared" si="1"/>
        <v>741817.90194422426</v>
      </c>
      <c r="Q46" s="61">
        <f t="shared" si="1"/>
        <v>1107910.7353622313</v>
      </c>
      <c r="R46" s="61">
        <f t="shared" si="1"/>
        <v>229914.58102989371</v>
      </c>
      <c r="S46" s="61">
        <f t="shared" si="1"/>
        <v>313924.07877135021</v>
      </c>
      <c r="T46" s="61">
        <f t="shared" si="1"/>
        <v>55155.689330043504</v>
      </c>
      <c r="W46">
        <v>2023</v>
      </c>
      <c r="X46" s="61">
        <f t="shared" si="2"/>
        <v>1477682.4855856206</v>
      </c>
      <c r="Y46" s="61">
        <f t="shared" si="2"/>
        <v>746110.06129999971</v>
      </c>
      <c r="Z46" s="61">
        <f t="shared" si="2"/>
        <v>1114303.5230380679</v>
      </c>
      <c r="AA46" s="61">
        <f t="shared" si="2"/>
        <v>231262.44702263456</v>
      </c>
      <c r="AB46" s="61">
        <f t="shared" si="2"/>
        <v>315737.29152201372</v>
      </c>
      <c r="AC46" s="61">
        <f t="shared" si="2"/>
        <v>55477.355253438582</v>
      </c>
      <c r="AG46">
        <v>2023</v>
      </c>
      <c r="AH46" s="61">
        <f t="shared" si="3"/>
        <v>1460935.5660800338</v>
      </c>
      <c r="AI46" s="61">
        <f t="shared" si="3"/>
        <v>737654.22233541403</v>
      </c>
      <c r="AJ46" s="61">
        <f t="shared" si="3"/>
        <v>1102238.2417743891</v>
      </c>
      <c r="AK46" s="61">
        <f t="shared" si="3"/>
        <v>228833.73435129423</v>
      </c>
      <c r="AL46" s="61">
        <f t="shared" si="3"/>
        <v>312332.0049923847</v>
      </c>
      <c r="AM46" s="61">
        <f t="shared" si="3"/>
        <v>54118.702259272337</v>
      </c>
    </row>
    <row r="47" spans="5:39">
      <c r="E47">
        <v>2024</v>
      </c>
      <c r="F47" s="61">
        <f t="shared" si="0"/>
        <v>1466924.1791565148</v>
      </c>
      <c r="G47" s="61">
        <f t="shared" si="0"/>
        <v>739750.98101812741</v>
      </c>
      <c r="H47" s="61">
        <f t="shared" si="0"/>
        <v>1110797.2789233215</v>
      </c>
      <c r="I47" s="61">
        <f t="shared" si="0"/>
        <v>230916.77310904418</v>
      </c>
      <c r="J47" s="61">
        <f t="shared" si="0"/>
        <v>314699.72543599387</v>
      </c>
      <c r="K47" s="61">
        <f t="shared" si="0"/>
        <v>54340.543643353129</v>
      </c>
      <c r="N47">
        <v>2024</v>
      </c>
      <c r="O47" s="61">
        <f t="shared" si="1"/>
        <v>1479565.3648345489</v>
      </c>
      <c r="P47" s="61">
        <f t="shared" si="1"/>
        <v>746125.76823578402</v>
      </c>
      <c r="Q47" s="61">
        <f t="shared" si="1"/>
        <v>1119605.3091793619</v>
      </c>
      <c r="R47" s="61">
        <f t="shared" si="1"/>
        <v>232645.93756077311</v>
      </c>
      <c r="S47" s="61">
        <f t="shared" si="1"/>
        <v>317182.44657163846</v>
      </c>
      <c r="T47" s="61">
        <f t="shared" si="1"/>
        <v>55794.966156055511</v>
      </c>
      <c r="W47">
        <v>2024</v>
      </c>
      <c r="X47" s="61">
        <f t="shared" si="2"/>
        <v>1490885.4474390782</v>
      </c>
      <c r="Y47" s="61">
        <f t="shared" si="2"/>
        <v>751834.34017896513</v>
      </c>
      <c r="Z47" s="61">
        <f t="shared" si="2"/>
        <v>1128143.1214859658</v>
      </c>
      <c r="AA47" s="61">
        <f t="shared" si="2"/>
        <v>234455.82615591993</v>
      </c>
      <c r="AB47" s="61">
        <f t="shared" si="2"/>
        <v>319600.81984107895</v>
      </c>
      <c r="AC47" s="61">
        <f t="shared" si="2"/>
        <v>56226.965132909128</v>
      </c>
      <c r="AG47">
        <v>2024</v>
      </c>
      <c r="AH47" s="61">
        <f t="shared" si="3"/>
        <v>1468584.132964137</v>
      </c>
      <c r="AI47" s="61">
        <f t="shared" si="3"/>
        <v>740588.07435606653</v>
      </c>
      <c r="AJ47" s="61">
        <f t="shared" si="3"/>
        <v>1112050.8116354314</v>
      </c>
      <c r="AK47" s="61">
        <f t="shared" si="3"/>
        <v>231182.49594021996</v>
      </c>
      <c r="AL47" s="61">
        <f t="shared" si="3"/>
        <v>315054.82309336239</v>
      </c>
      <c r="AM47" s="61">
        <f t="shared" si="3"/>
        <v>54402.034750808292</v>
      </c>
    </row>
    <row r="48" spans="5:39">
      <c r="E48">
        <v>2025</v>
      </c>
      <c r="F48" s="61">
        <f t="shared" si="0"/>
        <v>1474138.9471375048</v>
      </c>
      <c r="G48" s="61">
        <f t="shared" si="0"/>
        <v>742458.89602198312</v>
      </c>
      <c r="H48" s="61">
        <f t="shared" si="0"/>
        <v>1120420.8000861178</v>
      </c>
      <c r="I48" s="61">
        <f t="shared" si="0"/>
        <v>233133.50834082963</v>
      </c>
      <c r="J48" s="61">
        <f t="shared" si="0"/>
        <v>317310.74718580523</v>
      </c>
      <c r="K48" s="61">
        <f t="shared" si="0"/>
        <v>54607.806546179607</v>
      </c>
      <c r="N48">
        <v>2025</v>
      </c>
      <c r="O48" s="61">
        <f t="shared" si="1"/>
        <v>1489920.6773824254</v>
      </c>
      <c r="P48" s="61">
        <f t="shared" si="1"/>
        <v>750407.45883399853</v>
      </c>
      <c r="Q48" s="61">
        <f t="shared" si="1"/>
        <v>1131430.1209905422</v>
      </c>
      <c r="R48" s="61">
        <f t="shared" si="1"/>
        <v>235319.79843338009</v>
      </c>
      <c r="S48" s="61">
        <f t="shared" si="1"/>
        <v>320418.79826246703</v>
      </c>
      <c r="T48" s="61">
        <f t="shared" si="1"/>
        <v>56438.350144569122</v>
      </c>
      <c r="W48">
        <v>2025</v>
      </c>
      <c r="X48" s="61">
        <f t="shared" si="2"/>
        <v>1504053.0930090183</v>
      </c>
      <c r="Y48" s="61">
        <f t="shared" si="2"/>
        <v>757525.33447565231</v>
      </c>
      <c r="Z48" s="61">
        <f t="shared" si="2"/>
        <v>1142125.8151567038</v>
      </c>
      <c r="AA48" s="61">
        <f t="shared" si="2"/>
        <v>237593.65017545642</v>
      </c>
      <c r="AB48" s="61">
        <f t="shared" si="2"/>
        <v>323440.9530252649</v>
      </c>
      <c r="AC48" s="61">
        <f t="shared" si="2"/>
        <v>56982.264857965114</v>
      </c>
      <c r="AG48">
        <v>2025</v>
      </c>
      <c r="AH48" s="61">
        <f t="shared" si="3"/>
        <v>1476211.2957192091</v>
      </c>
      <c r="AI48" s="61">
        <f t="shared" si="3"/>
        <v>743502.64677772578</v>
      </c>
      <c r="AJ48" s="61">
        <f t="shared" si="3"/>
        <v>1121991.7972539249</v>
      </c>
      <c r="AK48" s="61">
        <f t="shared" si="3"/>
        <v>233467.30658484087</v>
      </c>
      <c r="AL48" s="61">
        <f t="shared" si="3"/>
        <v>317754.7534907083</v>
      </c>
      <c r="AM48" s="61">
        <f t="shared" si="3"/>
        <v>54684.574350643146</v>
      </c>
    </row>
    <row r="49" spans="5:39">
      <c r="E49">
        <v>2026</v>
      </c>
      <c r="F49" s="61">
        <f t="shared" si="0"/>
        <v>1481333.3861295134</v>
      </c>
      <c r="G49" s="61">
        <f t="shared" si="0"/>
        <v>745148.64800718799</v>
      </c>
      <c r="H49" s="61">
        <f t="shared" si="0"/>
        <v>1130162.8428532672</v>
      </c>
      <c r="I49" s="61">
        <f t="shared" si="0"/>
        <v>235291.82981411787</v>
      </c>
      <c r="J49" s="61">
        <f t="shared" si="0"/>
        <v>319901.12172780233</v>
      </c>
      <c r="K49" s="61">
        <f t="shared" si="0"/>
        <v>54874.316384649544</v>
      </c>
      <c r="N49">
        <v>2026</v>
      </c>
      <c r="O49" s="61">
        <f t="shared" si="1"/>
        <v>1500247.78982805</v>
      </c>
      <c r="P49" s="61">
        <f t="shared" si="1"/>
        <v>754663.0776931704</v>
      </c>
      <c r="Q49" s="61">
        <f t="shared" si="1"/>
        <v>1143380.4329556176</v>
      </c>
      <c r="R49" s="61">
        <f t="shared" si="1"/>
        <v>237939.64816428069</v>
      </c>
      <c r="S49" s="61">
        <f t="shared" si="1"/>
        <v>323634.58414894191</v>
      </c>
      <c r="T49" s="61">
        <f t="shared" si="1"/>
        <v>57085.710326361645</v>
      </c>
      <c r="W49">
        <v>2026</v>
      </c>
      <c r="X49" s="61">
        <f t="shared" si="2"/>
        <v>1517185.4899565214</v>
      </c>
      <c r="Y49" s="61">
        <f t="shared" si="2"/>
        <v>763183.17483623046</v>
      </c>
      <c r="Z49" s="61">
        <f t="shared" si="2"/>
        <v>1156249.5860494059</v>
      </c>
      <c r="AA49" s="61">
        <f t="shared" si="2"/>
        <v>240677.31694170251</v>
      </c>
      <c r="AB49" s="61">
        <f t="shared" si="2"/>
        <v>327258.3434144794</v>
      </c>
      <c r="AC49" s="61">
        <f t="shared" si="2"/>
        <v>57743.121755578672</v>
      </c>
      <c r="AG49">
        <v>2026</v>
      </c>
      <c r="AH49" s="61">
        <f t="shared" si="3"/>
        <v>1483817.0959046856</v>
      </c>
      <c r="AI49" s="61">
        <f t="shared" si="3"/>
        <v>746398.01766181178</v>
      </c>
      <c r="AJ49" s="61">
        <f t="shared" si="3"/>
        <v>1132053.751677976</v>
      </c>
      <c r="AK49" s="61">
        <f t="shared" si="3"/>
        <v>235693.69719123107</v>
      </c>
      <c r="AL49" s="61">
        <f t="shared" si="3"/>
        <v>320433.89361819532</v>
      </c>
      <c r="AM49" s="61">
        <f t="shared" si="3"/>
        <v>54966.32259829907</v>
      </c>
    </row>
    <row r="50" spans="5:39">
      <c r="E50">
        <v>2027</v>
      </c>
      <c r="F50" s="61">
        <f t="shared" si="0"/>
        <v>1488507.5356819369</v>
      </c>
      <c r="G50" s="61">
        <f t="shared" si="0"/>
        <v>747820.31086436659</v>
      </c>
      <c r="H50" s="61">
        <f t="shared" si="0"/>
        <v>1140016.4854732561</v>
      </c>
      <c r="I50" s="61">
        <f t="shared" si="0"/>
        <v>237396.8928836924</v>
      </c>
      <c r="J50" s="61">
        <f t="shared" si="0"/>
        <v>322472.77979382919</v>
      </c>
      <c r="K50" s="61">
        <f t="shared" si="0"/>
        <v>55140.074623825552</v>
      </c>
      <c r="N50">
        <v>2027</v>
      </c>
      <c r="O50" s="61">
        <f t="shared" si="1"/>
        <v>1510546.7564915027</v>
      </c>
      <c r="P50" s="61">
        <f t="shared" si="1"/>
        <v>758892.72841142863</v>
      </c>
      <c r="Q50" s="61">
        <f t="shared" si="1"/>
        <v>1155451.739220731</v>
      </c>
      <c r="R50" s="61">
        <f t="shared" si="1"/>
        <v>240508.7932467541</v>
      </c>
      <c r="S50" s="61">
        <f t="shared" si="1"/>
        <v>326831.18051279429</v>
      </c>
      <c r="T50" s="61">
        <f t="shared" si="1"/>
        <v>57736.923478839861</v>
      </c>
      <c r="W50">
        <v>2027</v>
      </c>
      <c r="X50" s="61">
        <f t="shared" si="2"/>
        <v>1530282.7058286984</v>
      </c>
      <c r="Y50" s="61">
        <f t="shared" si="2"/>
        <v>768807.9914616649</v>
      </c>
      <c r="Z50" s="61">
        <f t="shared" si="2"/>
        <v>1170512.194656292</v>
      </c>
      <c r="AA50" s="61">
        <f t="shared" si="2"/>
        <v>243708.38329051691</v>
      </c>
      <c r="AB50" s="61">
        <f t="shared" si="2"/>
        <v>331053.71985075076</v>
      </c>
      <c r="AC50" s="61">
        <f t="shared" si="2"/>
        <v>58509.401191601122</v>
      </c>
      <c r="AG50">
        <v>2027</v>
      </c>
      <c r="AH50" s="61">
        <f t="shared" si="3"/>
        <v>1491401.5750095481</v>
      </c>
      <c r="AI50" s="61">
        <f t="shared" si="3"/>
        <v>749274.26479993528</v>
      </c>
      <c r="AJ50" s="61">
        <f t="shared" si="3"/>
        <v>1142229.987109283</v>
      </c>
      <c r="AK50" s="61">
        <f t="shared" si="3"/>
        <v>237866.62561471958</v>
      </c>
      <c r="AL50" s="61">
        <f t="shared" si="3"/>
        <v>323094.1219352351</v>
      </c>
      <c r="AM50" s="61">
        <f t="shared" si="3"/>
        <v>55247.281030688493</v>
      </c>
    </row>
    <row r="51" spans="5:39">
      <c r="E51">
        <v>2028</v>
      </c>
      <c r="F51" s="61">
        <f t="shared" si="0"/>
        <v>1495661.4352770625</v>
      </c>
      <c r="G51" s="61">
        <f t="shared" si="0"/>
        <v>750473.95822820952</v>
      </c>
      <c r="H51" s="61">
        <f t="shared" si="0"/>
        <v>1149975.5388771594</v>
      </c>
      <c r="I51" s="61">
        <f t="shared" si="0"/>
        <v>239453.29819722509</v>
      </c>
      <c r="J51" s="61">
        <f t="shared" si="0"/>
        <v>325027.44256483682</v>
      </c>
      <c r="K51" s="61">
        <f t="shared" si="0"/>
        <v>55405.082726284338</v>
      </c>
      <c r="N51">
        <v>2028</v>
      </c>
      <c r="O51" s="61">
        <f t="shared" si="1"/>
        <v>1520817.6316011241</v>
      </c>
      <c r="P51" s="61">
        <f t="shared" si="1"/>
        <v>763096.51423186064</v>
      </c>
      <c r="Q51" s="61">
        <f t="shared" si="1"/>
        <v>1167639.7640106147</v>
      </c>
      <c r="R51" s="61">
        <f t="shared" si="1"/>
        <v>243030.36394411779</v>
      </c>
      <c r="S51" s="61">
        <f t="shared" si="1"/>
        <v>330009.89015413763</v>
      </c>
      <c r="T51" s="61">
        <f t="shared" si="1"/>
        <v>58391.873852679797</v>
      </c>
      <c r="W51">
        <v>2028</v>
      </c>
      <c r="X51" s="61">
        <f t="shared" si="2"/>
        <v>1543344.8080588663</v>
      </c>
      <c r="Y51" s="61">
        <f t="shared" si="2"/>
        <v>774399.91410912899</v>
      </c>
      <c r="Z51" s="61">
        <f t="shared" si="2"/>
        <v>1184911.2205047933</v>
      </c>
      <c r="AA51" s="61">
        <f t="shared" si="2"/>
        <v>246688.53529994574</v>
      </c>
      <c r="AB51" s="61">
        <f t="shared" si="2"/>
        <v>334827.87325277226</v>
      </c>
      <c r="AC51" s="61">
        <f t="shared" si="2"/>
        <v>59280.967833194823</v>
      </c>
      <c r="AG51">
        <v>2028</v>
      </c>
      <c r="AH51" s="61">
        <f t="shared" si="3"/>
        <v>1498964.7744524367</v>
      </c>
      <c r="AI51" s="61">
        <f t="shared" si="3"/>
        <v>752131.46571475826</v>
      </c>
      <c r="AJ51" s="61">
        <f t="shared" si="3"/>
        <v>1152514.4829276819</v>
      </c>
      <c r="AK51" s="61">
        <f t="shared" si="3"/>
        <v>239990.54613514279</v>
      </c>
      <c r="AL51" s="61">
        <f t="shared" si="3"/>
        <v>325737.1244585684</v>
      </c>
      <c r="AM51" s="61">
        <f t="shared" si="3"/>
        <v>55527.45118211786</v>
      </c>
    </row>
    <row r="52" spans="5:39">
      <c r="E52">
        <v>2029</v>
      </c>
      <c r="F52" s="61">
        <f t="shared" si="0"/>
        <v>1502795.124330177</v>
      </c>
      <c r="G52" s="61">
        <f t="shared" si="0"/>
        <v>753109.6634782902</v>
      </c>
      <c r="H52" s="61">
        <f t="shared" si="0"/>
        <v>1160034.4530848041</v>
      </c>
      <c r="I52" s="61">
        <f t="shared" si="0"/>
        <v>241465.16259214166</v>
      </c>
      <c r="J52" s="61">
        <f t="shared" si="0"/>
        <v>327566.64845128148</v>
      </c>
      <c r="K52" s="61">
        <f t="shared" si="0"/>
        <v>55669.342152120313</v>
      </c>
      <c r="N52">
        <v>2029</v>
      </c>
      <c r="O52" s="61">
        <f t="shared" si="1"/>
        <v>1531060.4692936651</v>
      </c>
      <c r="P52" s="61">
        <f t="shared" si="1"/>
        <v>767274.53804363729</v>
      </c>
      <c r="Q52" s="61">
        <f t="shared" si="1"/>
        <v>1179940.4575736085</v>
      </c>
      <c r="R52" s="61">
        <f t="shared" si="1"/>
        <v>245507.31767515885</v>
      </c>
      <c r="S52" s="61">
        <f t="shared" si="1"/>
        <v>333171.94363322924</v>
      </c>
      <c r="T52" s="61">
        <f t="shared" si="1"/>
        <v>59050.452863993938</v>
      </c>
      <c r="W52">
        <v>2029</v>
      </c>
      <c r="X52" s="61">
        <f t="shared" si="2"/>
        <v>1556371.8639667314</v>
      </c>
      <c r="Y52" s="61">
        <f t="shared" si="2"/>
        <v>779959.07209340995</v>
      </c>
      <c r="Z52" s="61">
        <f t="shared" si="2"/>
        <v>1199444.1003352674</v>
      </c>
      <c r="AA52" s="61">
        <f t="shared" si="2"/>
        <v>249619.5603391371</v>
      </c>
      <c r="AB52" s="61">
        <f t="shared" si="2"/>
        <v>338581.64306628704</v>
      </c>
      <c r="AC52" s="61">
        <f t="shared" si="2"/>
        <v>60057.686774636328</v>
      </c>
      <c r="AG52">
        <v>2029</v>
      </c>
      <c r="AH52" s="61">
        <f t="shared" si="3"/>
        <v>1506506.7355817575</v>
      </c>
      <c r="AI52" s="61">
        <f t="shared" si="3"/>
        <v>754969.69766085176</v>
      </c>
      <c r="AJ52" s="61">
        <f t="shared" si="3"/>
        <v>1162901.8064089185</v>
      </c>
      <c r="AK52" s="61">
        <f t="shared" si="3"/>
        <v>242069.46934346971</v>
      </c>
      <c r="AL52" s="61">
        <f t="shared" si="3"/>
        <v>328364.4176328684</v>
      </c>
      <c r="AM52" s="61">
        <f t="shared" si="3"/>
        <v>55806.834584292024</v>
      </c>
    </row>
    <row r="53" spans="5:39">
      <c r="E53">
        <v>2030</v>
      </c>
      <c r="F53" s="61">
        <f t="shared" ref="F53:K60" si="4">F15-F34</f>
        <v>1509908.6421896657</v>
      </c>
      <c r="G53" s="61">
        <f t="shared" si="4"/>
        <v>755727.49973988207</v>
      </c>
      <c r="H53" s="61">
        <f t="shared" si="4"/>
        <v>1170188.2374039628</v>
      </c>
      <c r="I53" s="61">
        <f t="shared" si="4"/>
        <v>243436.17954449716</v>
      </c>
      <c r="J53" s="61">
        <f t="shared" si="4"/>
        <v>330091.77592650196</v>
      </c>
      <c r="K53" s="61">
        <f t="shared" si="4"/>
        <v>55932.85435894999</v>
      </c>
      <c r="N53">
        <v>2030</v>
      </c>
      <c r="O53" s="61">
        <f t="shared" ref="O53:T60" si="5">O15-O34</f>
        <v>1541275.323614426</v>
      </c>
      <c r="P53" s="61">
        <f t="shared" si="5"/>
        <v>771426.90238314169</v>
      </c>
      <c r="Q53" s="61">
        <f t="shared" si="5"/>
        <v>1192349.9904472865</v>
      </c>
      <c r="R53" s="61">
        <f t="shared" si="5"/>
        <v>247942.44363913313</v>
      </c>
      <c r="S53" s="61">
        <f t="shared" si="5"/>
        <v>336318.50106091239</v>
      </c>
      <c r="T53" s="61">
        <f t="shared" si="5"/>
        <v>59712.55876312108</v>
      </c>
      <c r="W53">
        <v>2030</v>
      </c>
      <c r="X53" s="61">
        <f t="shared" ref="X53:AC60" si="6">X15-X34</f>
        <v>1569363.9407585654</v>
      </c>
      <c r="Y53" s="61">
        <f t="shared" si="6"/>
        <v>785485.59428830631</v>
      </c>
      <c r="Z53" s="61">
        <f t="shared" si="6"/>
        <v>1214108.1635060469</v>
      </c>
      <c r="AA53" s="61">
        <f t="shared" si="6"/>
        <v>252503.32119159389</v>
      </c>
      <c r="AB53" s="61">
        <f t="shared" si="6"/>
        <v>342315.90473035071</v>
      </c>
      <c r="AC53" s="61">
        <f t="shared" si="6"/>
        <v>60839.424523257301</v>
      </c>
      <c r="AG53">
        <v>2030</v>
      </c>
      <c r="AH53" s="61">
        <f t="shared" ref="AH53:AM60" si="7">AH15-AH34</f>
        <v>1514027.4996757945</v>
      </c>
      <c r="AI53" s="61">
        <f t="shared" si="7"/>
        <v>757789.03762555402</v>
      </c>
      <c r="AJ53" s="61">
        <f t="shared" si="7"/>
        <v>1173387.0441823667</v>
      </c>
      <c r="AK53" s="61">
        <f t="shared" si="7"/>
        <v>244107.01391518523</v>
      </c>
      <c r="AL53" s="61">
        <f t="shared" si="7"/>
        <v>330977.36810378789</v>
      </c>
      <c r="AM53" s="61">
        <f t="shared" si="7"/>
        <v>56085.432766318321</v>
      </c>
    </row>
    <row r="54" spans="5:39">
      <c r="E54">
        <v>2040</v>
      </c>
      <c r="F54" s="61">
        <f t="shared" si="4"/>
        <v>1552082.1140349442</v>
      </c>
      <c r="G54" s="61">
        <f t="shared" si="4"/>
        <v>767002.46646987181</v>
      </c>
      <c r="H54" s="61">
        <f t="shared" si="4"/>
        <v>1251991.2496177386</v>
      </c>
      <c r="I54" s="61">
        <f t="shared" si="4"/>
        <v>258408.89273844054</v>
      </c>
      <c r="J54" s="61">
        <f t="shared" si="4"/>
        <v>349261.56844934425</v>
      </c>
      <c r="K54" s="61">
        <f t="shared" si="4"/>
        <v>57495.122825148341</v>
      </c>
      <c r="N54">
        <v>2040</v>
      </c>
      <c r="O54" s="61">
        <f t="shared" si="5"/>
        <v>1619668.5797080714</v>
      </c>
      <c r="P54" s="61">
        <f t="shared" si="5"/>
        <v>800402.10776623711</v>
      </c>
      <c r="Q54" s="61">
        <f t="shared" si="5"/>
        <v>1301924.5998367369</v>
      </c>
      <c r="R54" s="61">
        <f t="shared" si="5"/>
        <v>268548.07060478756</v>
      </c>
      <c r="S54" s="61">
        <f t="shared" si="5"/>
        <v>363025.27481563715</v>
      </c>
      <c r="T54" s="61">
        <f t="shared" si="5"/>
        <v>65609.718139122648</v>
      </c>
      <c r="W54">
        <v>2040</v>
      </c>
      <c r="X54" s="61">
        <f t="shared" si="6"/>
        <v>1686328.579939073</v>
      </c>
      <c r="Y54" s="61">
        <f t="shared" si="6"/>
        <v>833343.91163712973</v>
      </c>
      <c r="Z54" s="61">
        <f t="shared" si="6"/>
        <v>1355993.2916162154</v>
      </c>
      <c r="AA54" s="61">
        <f t="shared" si="6"/>
        <v>279445.91971024883</v>
      </c>
      <c r="AB54" s="61">
        <f t="shared" si="6"/>
        <v>377415.13286396163</v>
      </c>
      <c r="AC54" s="61">
        <f t="shared" si="6"/>
        <v>68438.345665590314</v>
      </c>
      <c r="AG54">
        <v>2040</v>
      </c>
      <c r="AH54" s="61">
        <f t="shared" si="7"/>
        <v>1560106.597492015</v>
      </c>
      <c r="AI54" s="61">
        <f t="shared" si="7"/>
        <v>770967.97741034627</v>
      </c>
      <c r="AJ54" s="61">
        <f t="shared" si="7"/>
        <v>1258528.4090101812</v>
      </c>
      <c r="AK54" s="61">
        <f t="shared" si="7"/>
        <v>259731.79144094209</v>
      </c>
      <c r="AL54" s="61">
        <f t="shared" si="7"/>
        <v>351010.01727577765</v>
      </c>
      <c r="AM54" s="61">
        <f t="shared" si="7"/>
        <v>57792.380720075802</v>
      </c>
    </row>
    <row r="55" spans="5:39">
      <c r="E55">
        <v>2050</v>
      </c>
      <c r="F55" s="61">
        <f t="shared" si="4"/>
        <v>1577980.9812536435</v>
      </c>
      <c r="G55" s="61">
        <f t="shared" si="4"/>
        <v>779801.07735256338</v>
      </c>
      <c r="H55" s="61">
        <f t="shared" si="4"/>
        <v>1272882.6411489043</v>
      </c>
      <c r="I55" s="61">
        <f t="shared" si="4"/>
        <v>262720.84088902234</v>
      </c>
      <c r="J55" s="61">
        <f t="shared" si="4"/>
        <v>355089.53264277778</v>
      </c>
      <c r="K55" s="61">
        <f t="shared" si="4"/>
        <v>58454.517008166295</v>
      </c>
      <c r="N55">
        <v>2050</v>
      </c>
      <c r="O55" s="61">
        <f t="shared" si="5"/>
        <v>1668567.2770163799</v>
      </c>
      <c r="P55" s="61">
        <f t="shared" si="5"/>
        <v>814129.14050181862</v>
      </c>
      <c r="Q55" s="61">
        <f t="shared" si="5"/>
        <v>1396441.9725948721</v>
      </c>
      <c r="R55" s="61">
        <f t="shared" si="5"/>
        <v>281741.91630660265</v>
      </c>
      <c r="S55" s="61">
        <f t="shared" si="5"/>
        <v>382568.90765509685</v>
      </c>
      <c r="T55" s="61">
        <f t="shared" si="5"/>
        <v>70555.819414735364</v>
      </c>
      <c r="W55">
        <v>2050</v>
      </c>
      <c r="X55" s="61">
        <f t="shared" si="6"/>
        <v>1791132.2622020254</v>
      </c>
      <c r="Y55" s="61">
        <f t="shared" si="6"/>
        <v>873931.17990368977</v>
      </c>
      <c r="Z55" s="61">
        <f t="shared" si="6"/>
        <v>1501344.944570411</v>
      </c>
      <c r="AA55" s="61">
        <f t="shared" si="6"/>
        <v>301177.70937237563</v>
      </c>
      <c r="AB55" s="61">
        <f t="shared" si="6"/>
        <v>409057.81628732639</v>
      </c>
      <c r="AC55" s="61">
        <f t="shared" si="6"/>
        <v>76023.667565459153</v>
      </c>
      <c r="AG55">
        <v>2050</v>
      </c>
      <c r="AH55" s="61">
        <f t="shared" si="7"/>
        <v>1593537.4531525578</v>
      </c>
      <c r="AI55" s="61">
        <f t="shared" si="7"/>
        <v>787488.71978342487</v>
      </c>
      <c r="AJ55" s="61">
        <f t="shared" si="7"/>
        <v>1285496.8749175426</v>
      </c>
      <c r="AK55" s="61">
        <f t="shared" si="7"/>
        <v>265297.47268610517</v>
      </c>
      <c r="AL55" s="61">
        <f t="shared" si="7"/>
        <v>358531.66050311574</v>
      </c>
      <c r="AM55" s="61">
        <f t="shared" si="7"/>
        <v>59030.78887836315</v>
      </c>
    </row>
    <row r="56" spans="5:39">
      <c r="E56">
        <v>2060</v>
      </c>
      <c r="F56" s="61">
        <f t="shared" si="4"/>
        <v>1570581.3049054444</v>
      </c>
      <c r="G56" s="61">
        <f t="shared" si="4"/>
        <v>776144.33138608001</v>
      </c>
      <c r="H56" s="61">
        <f t="shared" si="4"/>
        <v>1266913.6721399995</v>
      </c>
      <c r="I56" s="61">
        <f t="shared" si="4"/>
        <v>261488.85570314189</v>
      </c>
      <c r="J56" s="61">
        <f t="shared" si="4"/>
        <v>353424.40001608268</v>
      </c>
      <c r="K56" s="61">
        <f t="shared" si="4"/>
        <v>58180.404384446854</v>
      </c>
      <c r="N56">
        <v>2060</v>
      </c>
      <c r="O56" s="61">
        <f t="shared" si="5"/>
        <v>1706778.7413755339</v>
      </c>
      <c r="P56" s="61">
        <f t="shared" si="5"/>
        <v>832773.3192919367</v>
      </c>
      <c r="Q56" s="61">
        <f t="shared" si="5"/>
        <v>1428421.5597535335</v>
      </c>
      <c r="R56" s="61">
        <f t="shared" si="5"/>
        <v>288194.02126018901</v>
      </c>
      <c r="S56" s="61">
        <f t="shared" si="5"/>
        <v>391330.02767773275</v>
      </c>
      <c r="T56" s="61">
        <f t="shared" si="5"/>
        <v>72171.601538736955</v>
      </c>
      <c r="W56">
        <v>2060</v>
      </c>
      <c r="X56" s="61">
        <f t="shared" si="6"/>
        <v>1900830.1216340773</v>
      </c>
      <c r="Y56" s="61">
        <f t="shared" si="6"/>
        <v>927455.077468073</v>
      </c>
      <c r="Z56" s="61">
        <f t="shared" si="6"/>
        <v>1593294.7855531378</v>
      </c>
      <c r="AA56" s="61">
        <f t="shared" si="6"/>
        <v>319623.33213514159</v>
      </c>
      <c r="AB56" s="61">
        <f t="shared" si="6"/>
        <v>434110.55403183121</v>
      </c>
      <c r="AC56" s="61">
        <f t="shared" si="6"/>
        <v>80679.735558926011</v>
      </c>
      <c r="AG56">
        <v>2060</v>
      </c>
      <c r="AH56" s="61">
        <f t="shared" si="7"/>
        <v>1595394.7229114771</v>
      </c>
      <c r="AI56" s="61">
        <f t="shared" si="7"/>
        <v>788406.53880415158</v>
      </c>
      <c r="AJ56" s="61">
        <f t="shared" si="7"/>
        <v>1286995.1230235063</v>
      </c>
      <c r="AK56" s="61">
        <f t="shared" si="7"/>
        <v>265606.67719972541</v>
      </c>
      <c r="AL56" s="61">
        <f t="shared" si="7"/>
        <v>358949.52957130107</v>
      </c>
      <c r="AM56" s="61">
        <f t="shared" si="7"/>
        <v>59099.589331601339</v>
      </c>
    </row>
    <row r="57" spans="5:39">
      <c r="E57">
        <v>2070</v>
      </c>
      <c r="F57" s="61">
        <f t="shared" si="4"/>
        <v>1535432.8422514945</v>
      </c>
      <c r="G57" s="61">
        <f t="shared" si="4"/>
        <v>758774.78804528434</v>
      </c>
      <c r="H57" s="61">
        <f t="shared" si="4"/>
        <v>1238561.0693477029</v>
      </c>
      <c r="I57" s="61">
        <f t="shared" si="4"/>
        <v>255636.92607020936</v>
      </c>
      <c r="J57" s="61">
        <f t="shared" si="4"/>
        <v>345515.02003927995</v>
      </c>
      <c r="K57" s="61">
        <f t="shared" si="4"/>
        <v>56878.369421779644</v>
      </c>
      <c r="N57">
        <v>2070</v>
      </c>
      <c r="O57" s="61">
        <f t="shared" si="5"/>
        <v>1721335.489702831</v>
      </c>
      <c r="P57" s="61">
        <f t="shared" si="5"/>
        <v>839875.86359293386</v>
      </c>
      <c r="Q57" s="61">
        <f t="shared" si="5"/>
        <v>1440604.2596234996</v>
      </c>
      <c r="R57" s="61">
        <f t="shared" si="5"/>
        <v>290651.96600441239</v>
      </c>
      <c r="S57" s="61">
        <f t="shared" si="5"/>
        <v>394667.59721016535</v>
      </c>
      <c r="T57" s="61">
        <f t="shared" si="5"/>
        <v>72787.137585975637</v>
      </c>
      <c r="W57">
        <v>2070</v>
      </c>
      <c r="X57" s="61">
        <f t="shared" si="6"/>
        <v>1999738.0276793689</v>
      </c>
      <c r="Y57" s="61">
        <f t="shared" si="6"/>
        <v>975714.32937038504</v>
      </c>
      <c r="Z57" s="61">
        <f t="shared" si="6"/>
        <v>1676200.3798818244</v>
      </c>
      <c r="AA57" s="61">
        <f t="shared" si="6"/>
        <v>336254.63134747162</v>
      </c>
      <c r="AB57" s="61">
        <f t="shared" si="6"/>
        <v>456699.08806376182</v>
      </c>
      <c r="AC57" s="61">
        <f t="shared" si="6"/>
        <v>84877.82965139614</v>
      </c>
      <c r="AG57">
        <v>2070</v>
      </c>
      <c r="AH57" s="61">
        <f t="shared" si="7"/>
        <v>1571250.2160455296</v>
      </c>
      <c r="AI57" s="61">
        <f t="shared" si="7"/>
        <v>776474.89153470611</v>
      </c>
      <c r="AJ57" s="61">
        <f t="shared" si="7"/>
        <v>1267517.897645968</v>
      </c>
      <c r="AK57" s="61">
        <f t="shared" si="7"/>
        <v>261587.01852266316</v>
      </c>
      <c r="AL57" s="61">
        <f t="shared" si="7"/>
        <v>353517.23168489034</v>
      </c>
      <c r="AM57" s="61">
        <f t="shared" si="7"/>
        <v>58205.183439504937</v>
      </c>
    </row>
    <row r="58" spans="5:39">
      <c r="E58">
        <v>2080</v>
      </c>
      <c r="F58" s="61">
        <f t="shared" si="4"/>
        <v>1474385.5123788444</v>
      </c>
      <c r="G58" s="61">
        <f t="shared" si="4"/>
        <v>728606.63382179709</v>
      </c>
      <c r="H58" s="61">
        <f t="shared" si="4"/>
        <v>1189317.0750242397</v>
      </c>
      <c r="I58" s="61">
        <f t="shared" si="4"/>
        <v>245473.04828669503</v>
      </c>
      <c r="J58" s="61">
        <f t="shared" si="4"/>
        <v>331777.67586904345</v>
      </c>
      <c r="K58" s="61">
        <f t="shared" si="4"/>
        <v>54616.940276094421</v>
      </c>
      <c r="N58">
        <v>2080</v>
      </c>
      <c r="O58" s="61">
        <f t="shared" si="5"/>
        <v>1712237.5219982704</v>
      </c>
      <c r="P58" s="61">
        <f t="shared" si="5"/>
        <v>835436.77340481058</v>
      </c>
      <c r="Q58" s="61">
        <f t="shared" si="5"/>
        <v>1432990.0722047705</v>
      </c>
      <c r="R58" s="61">
        <f t="shared" si="5"/>
        <v>289115.75053927279</v>
      </c>
      <c r="S58" s="61">
        <f t="shared" si="5"/>
        <v>392581.61625239509</v>
      </c>
      <c r="T58" s="61">
        <f t="shared" si="5"/>
        <v>72402.427556451468</v>
      </c>
      <c r="W58">
        <v>2080</v>
      </c>
      <c r="X58" s="61">
        <f t="shared" si="6"/>
        <v>2091452.6314668227</v>
      </c>
      <c r="Y58" s="61">
        <f t="shared" si="6"/>
        <v>1020463.8174979836</v>
      </c>
      <c r="Z58" s="61">
        <f t="shared" si="6"/>
        <v>1753076.4764411533</v>
      </c>
      <c r="AA58" s="61">
        <f t="shared" si="6"/>
        <v>351676.38152617775</v>
      </c>
      <c r="AB58" s="61">
        <f t="shared" si="6"/>
        <v>477644.81962064304</v>
      </c>
      <c r="AC58" s="61">
        <f t="shared" si="6"/>
        <v>88770.607809868467</v>
      </c>
      <c r="AG58">
        <v>2080</v>
      </c>
      <c r="AH58" s="61">
        <f t="shared" si="7"/>
        <v>1522961.2023136336</v>
      </c>
      <c r="AI58" s="61">
        <f t="shared" si="7"/>
        <v>752611.59699581424</v>
      </c>
      <c r="AJ58" s="61">
        <f t="shared" si="7"/>
        <v>1228563.4468908915</v>
      </c>
      <c r="AK58" s="61">
        <f t="shared" si="7"/>
        <v>253547.70116853877</v>
      </c>
      <c r="AL58" s="61">
        <f t="shared" si="7"/>
        <v>342652.63591206865</v>
      </c>
      <c r="AM58" s="61">
        <f t="shared" si="7"/>
        <v>56416.371655312134</v>
      </c>
    </row>
    <row r="59" spans="5:39">
      <c r="E59">
        <v>2090</v>
      </c>
      <c r="F59" s="61">
        <f t="shared" si="4"/>
        <v>1389289.2343745446</v>
      </c>
      <c r="G59" s="61">
        <f t="shared" si="4"/>
        <v>686554.055207239</v>
      </c>
      <c r="H59" s="61">
        <f t="shared" si="4"/>
        <v>1120673.9314218373</v>
      </c>
      <c r="I59" s="61">
        <f t="shared" si="4"/>
        <v>231305.21864906896</v>
      </c>
      <c r="J59" s="61">
        <f t="shared" si="4"/>
        <v>312628.65066204709</v>
      </c>
      <c r="K59" s="61">
        <f t="shared" si="4"/>
        <v>51464.645103321091</v>
      </c>
      <c r="N59">
        <v>2090</v>
      </c>
      <c r="O59" s="61">
        <f t="shared" si="5"/>
        <v>1683124.025343677</v>
      </c>
      <c r="P59" s="61">
        <f t="shared" si="5"/>
        <v>821231.68480281578</v>
      </c>
      <c r="Q59" s="61">
        <f t="shared" si="5"/>
        <v>1408624.6724648383</v>
      </c>
      <c r="R59" s="61">
        <f t="shared" si="5"/>
        <v>284199.86105082603</v>
      </c>
      <c r="S59" s="61">
        <f t="shared" si="5"/>
        <v>385906.47718752967</v>
      </c>
      <c r="T59" s="61">
        <f t="shared" si="5"/>
        <v>71171.355461974046</v>
      </c>
      <c r="W59">
        <v>2090</v>
      </c>
      <c r="X59" s="61">
        <f t="shared" si="6"/>
        <v>2181368.9096898166</v>
      </c>
      <c r="Y59" s="61">
        <f t="shared" si="6"/>
        <v>1064335.8646819033</v>
      </c>
      <c r="Z59" s="61">
        <f t="shared" si="6"/>
        <v>1828445.1985581424</v>
      </c>
      <c r="AA59" s="61">
        <f t="shared" si="6"/>
        <v>366795.74444647762</v>
      </c>
      <c r="AB59" s="61">
        <f t="shared" si="6"/>
        <v>498179.85055876197</v>
      </c>
      <c r="AC59" s="61">
        <f t="shared" si="6"/>
        <v>92587.0569848413</v>
      </c>
      <c r="AG59">
        <v>2090</v>
      </c>
      <c r="AH59" s="61">
        <f t="shared" si="7"/>
        <v>1454242.2212336278</v>
      </c>
      <c r="AI59" s="61">
        <f t="shared" si="7"/>
        <v>718652.29322892986</v>
      </c>
      <c r="AJ59" s="61">
        <f t="shared" si="7"/>
        <v>1173128.2669702051</v>
      </c>
      <c r="AK59" s="61">
        <f t="shared" si="7"/>
        <v>242107.13416459248</v>
      </c>
      <c r="AL59" s="61">
        <f t="shared" si="7"/>
        <v>327191.48038920702</v>
      </c>
      <c r="AM59" s="61">
        <f t="shared" si="7"/>
        <v>53870.754885499249</v>
      </c>
    </row>
    <row r="60" spans="5:39">
      <c r="E60">
        <v>2100</v>
      </c>
      <c r="F60" s="61">
        <f t="shared" si="4"/>
        <v>1287543.684586795</v>
      </c>
      <c r="G60" s="61">
        <f t="shared" si="4"/>
        <v>636273.7981680939</v>
      </c>
      <c r="H60" s="61">
        <f t="shared" si="4"/>
        <v>1038600.6075493991</v>
      </c>
      <c r="I60" s="61">
        <f t="shared" si="4"/>
        <v>214365.42234321171</v>
      </c>
      <c r="J60" s="61">
        <f t="shared" si="4"/>
        <v>289733.07704498642</v>
      </c>
      <c r="K60" s="61">
        <f t="shared" si="4"/>
        <v>47695.596527179063</v>
      </c>
      <c r="N60">
        <v>2100</v>
      </c>
      <c r="O60" s="61">
        <f t="shared" si="5"/>
        <v>1643092.9674436115</v>
      </c>
      <c r="P60" s="61">
        <f t="shared" si="5"/>
        <v>801699.68797507323</v>
      </c>
      <c r="Q60" s="61">
        <f t="shared" si="5"/>
        <v>1375122.2478224318</v>
      </c>
      <c r="R60" s="61">
        <f t="shared" si="5"/>
        <v>277440.51300421183</v>
      </c>
      <c r="S60" s="61">
        <f t="shared" si="5"/>
        <v>376728.16097333981</v>
      </c>
      <c r="T60" s="61">
        <f t="shared" si="5"/>
        <v>69478.631332067656</v>
      </c>
      <c r="W60">
        <v>2100</v>
      </c>
      <c r="X60" s="61">
        <f t="shared" si="6"/>
        <v>2269486.8623483488</v>
      </c>
      <c r="Y60" s="61">
        <f t="shared" si="6"/>
        <v>1107330.4709221451</v>
      </c>
      <c r="Z60" s="61">
        <f t="shared" si="6"/>
        <v>1902306.5462327907</v>
      </c>
      <c r="AA60" s="61">
        <f t="shared" si="6"/>
        <v>381612.72010837146</v>
      </c>
      <c r="AB60" s="61">
        <f t="shared" si="6"/>
        <v>518304.18087811815</v>
      </c>
      <c r="AC60" s="61">
        <f t="shared" si="6"/>
        <v>96327.177176314639</v>
      </c>
      <c r="AG60">
        <v>2100</v>
      </c>
      <c r="AH60" s="61">
        <f t="shared" si="7"/>
        <v>1370665.0820822697</v>
      </c>
      <c r="AI60" s="61">
        <f t="shared" si="7"/>
        <v>677350.43729623267</v>
      </c>
      <c r="AJ60" s="61">
        <f t="shared" si="7"/>
        <v>1105707.1022018022</v>
      </c>
      <c r="AK60" s="61">
        <f t="shared" si="7"/>
        <v>228192.93105168489</v>
      </c>
      <c r="AL60" s="61">
        <f t="shared" si="7"/>
        <v>308387.37232086179</v>
      </c>
      <c r="AM60" s="61">
        <f t="shared" si="7"/>
        <v>50774.734489780909</v>
      </c>
    </row>
    <row r="61" spans="5:39">
      <c r="F61" s="581" t="s">
        <v>239</v>
      </c>
      <c r="G61" s="581"/>
      <c r="H61" s="581"/>
      <c r="I61" s="581"/>
      <c r="J61" s="581"/>
      <c r="K61" s="581"/>
      <c r="O61" s="581" t="s">
        <v>239</v>
      </c>
      <c r="P61" s="581"/>
      <c r="Q61" s="581"/>
      <c r="R61" s="581"/>
      <c r="S61" s="581"/>
      <c r="T61" s="581"/>
      <c r="X61" s="581" t="s">
        <v>239</v>
      </c>
      <c r="Y61" s="581"/>
      <c r="Z61" s="581"/>
      <c r="AA61" s="581"/>
      <c r="AB61" s="581"/>
      <c r="AC61" s="581"/>
      <c r="AH61" s="581" t="s">
        <v>239</v>
      </c>
      <c r="AI61" s="581"/>
      <c r="AJ61" s="581"/>
      <c r="AK61" s="581"/>
      <c r="AL61" s="581"/>
      <c r="AM61" s="581"/>
    </row>
    <row r="62" spans="5:39">
      <c r="E62">
        <v>2020</v>
      </c>
      <c r="F62" s="61">
        <f>'Demographic-Economic'!C14</f>
        <v>2791896</v>
      </c>
      <c r="G62" s="61">
        <f>'Demographic-Economic'!D14</f>
        <v>2523732</v>
      </c>
      <c r="H62" s="61">
        <f>'Demographic-Economic'!E14</f>
        <v>2212536</v>
      </c>
      <c r="I62" s="61">
        <f>'Demographic-Economic'!F14</f>
        <v>496548</v>
      </c>
      <c r="J62" s="61">
        <f>'Demographic-Economic'!G14</f>
        <v>566592</v>
      </c>
      <c r="K62" s="61">
        <f>'Demographic-Economic'!H14</f>
        <v>135480</v>
      </c>
      <c r="N62">
        <v>2020</v>
      </c>
      <c r="O62" s="61">
        <f>'Demographic-Economic'!C14</f>
        <v>2791896</v>
      </c>
      <c r="P62" s="61">
        <f>'Demographic-Economic'!D14</f>
        <v>2523732</v>
      </c>
      <c r="Q62" s="61">
        <f>'Demographic-Economic'!E14</f>
        <v>2212536</v>
      </c>
      <c r="R62" s="61">
        <f>'Demographic-Economic'!F14</f>
        <v>496548</v>
      </c>
      <c r="S62" s="61">
        <f>'Demographic-Economic'!G14</f>
        <v>566592</v>
      </c>
      <c r="T62" s="61">
        <f>'Demographic-Economic'!H14</f>
        <v>135480</v>
      </c>
      <c r="W62">
        <v>2020</v>
      </c>
      <c r="X62" s="61">
        <f>'Demographic-Economic'!C14</f>
        <v>2791896</v>
      </c>
      <c r="Y62" s="61">
        <f>'Demographic-Economic'!D14</f>
        <v>2523732</v>
      </c>
      <c r="Z62" s="61">
        <f>'Demographic-Economic'!E14</f>
        <v>2212536</v>
      </c>
      <c r="AA62" s="61">
        <f>'Demographic-Economic'!F14</f>
        <v>496548</v>
      </c>
      <c r="AB62" s="61">
        <f>'Demographic-Economic'!G14</f>
        <v>566592</v>
      </c>
      <c r="AC62" s="61">
        <f>'Demographic-Economic'!H14</f>
        <v>135480</v>
      </c>
      <c r="AG62">
        <v>2020</v>
      </c>
      <c r="AH62" s="61">
        <f>'Demographic-Economic'!C14</f>
        <v>2791896</v>
      </c>
      <c r="AI62" s="61">
        <f>'Demographic-Economic'!D14</f>
        <v>2523732</v>
      </c>
      <c r="AJ62" s="61">
        <f>'Demographic-Economic'!E14</f>
        <v>2212536</v>
      </c>
      <c r="AK62" s="61">
        <f>'Demographic-Economic'!F14</f>
        <v>496548</v>
      </c>
      <c r="AL62" s="61">
        <f>'Demographic-Economic'!G14</f>
        <v>566592</v>
      </c>
      <c r="AM62" s="61">
        <f>'Demographic-Economic'!H14</f>
        <v>135480</v>
      </c>
    </row>
    <row r="63" spans="5:39">
      <c r="E63">
        <v>2021</v>
      </c>
      <c r="F63" s="322" t="s">
        <v>240</v>
      </c>
      <c r="G63" s="322" t="s">
        <v>240</v>
      </c>
      <c r="H63" s="61">
        <f>H62*('Demographic-Economic'!E$20)</f>
        <v>2251692</v>
      </c>
      <c r="I63" s="61">
        <f>I62*('Demographic-Economic'!F$20)</f>
        <v>497628</v>
      </c>
      <c r="J63" s="61">
        <f>J62*('Demographic-Economic'!G$20)</f>
        <v>571248</v>
      </c>
      <c r="K63" s="61">
        <f>K62*('Demographic-Economic'!H$20)</f>
        <v>137808</v>
      </c>
      <c r="N63">
        <v>2021</v>
      </c>
      <c r="O63" t="s">
        <v>240</v>
      </c>
      <c r="P63" t="s">
        <v>240</v>
      </c>
      <c r="Q63" s="61">
        <f>Q62*'Demographic-Economic'!E$20</f>
        <v>2251692</v>
      </c>
      <c r="R63" s="61">
        <f>R62*'Demographic-Economic'!F$20</f>
        <v>497628</v>
      </c>
      <c r="S63" s="61">
        <f>S62*'Demographic-Economic'!G$20</f>
        <v>571248</v>
      </c>
      <c r="T63" s="61">
        <f>T62*'Demographic-Economic'!H$20</f>
        <v>137808</v>
      </c>
      <c r="W63">
        <v>2021</v>
      </c>
      <c r="X63" t="s">
        <v>240</v>
      </c>
      <c r="Y63" t="s">
        <v>240</v>
      </c>
      <c r="Z63" s="61">
        <f>Z62*'Demographic-Economic'!E$20</f>
        <v>2251692</v>
      </c>
      <c r="AA63" s="61">
        <f>AA62*'Demographic-Economic'!F$20</f>
        <v>497628</v>
      </c>
      <c r="AB63" s="61">
        <f>AB62*'Demographic-Economic'!G$20</f>
        <v>571248</v>
      </c>
      <c r="AC63" s="61">
        <f>AC62*'Demographic-Economic'!H$20</f>
        <v>137808</v>
      </c>
      <c r="AG63">
        <v>2021</v>
      </c>
      <c r="AH63" t="s">
        <v>240</v>
      </c>
      <c r="AI63" t="s">
        <v>240</v>
      </c>
      <c r="AJ63" s="61">
        <f>AJ62*'Demographic-Economic'!E$20</f>
        <v>2251692</v>
      </c>
      <c r="AK63" s="61">
        <f>AK62*'Demographic-Economic'!F$20</f>
        <v>497628</v>
      </c>
      <c r="AL63" s="61">
        <f>AL62*'Demographic-Economic'!G$20</f>
        <v>571248</v>
      </c>
      <c r="AM63" s="61"/>
    </row>
    <row r="64" spans="5:39">
      <c r="E64">
        <v>2022</v>
      </c>
      <c r="F64" s="322" t="s">
        <v>240</v>
      </c>
      <c r="G64" s="322" t="s">
        <v>240</v>
      </c>
      <c r="H64" s="61">
        <f>H63*('Demographic-Economic'!E$20)</f>
        <v>2291540.9570122249</v>
      </c>
      <c r="I64" s="61">
        <f>I63*('Demographic-Economic'!F$20)</f>
        <v>498710.34901761764</v>
      </c>
      <c r="J64" s="61">
        <f>J63*('Demographic-Economic'!G$20)</f>
        <v>575942.26092849881</v>
      </c>
      <c r="K64" s="61">
        <f>K63*('Demographic-Economic'!H$20)</f>
        <v>140176.00283436669</v>
      </c>
      <c r="N64">
        <v>2022</v>
      </c>
      <c r="O64" t="s">
        <v>240</v>
      </c>
      <c r="P64" t="s">
        <v>240</v>
      </c>
      <c r="Q64" s="61">
        <f>Q63*'Demographic-Economic'!E$20</f>
        <v>2291540.9570122249</v>
      </c>
      <c r="R64" s="61">
        <f>R63*'Demographic-Economic'!F$20</f>
        <v>498710.34901761764</v>
      </c>
      <c r="S64" s="61">
        <f>S63*'Demographic-Economic'!G$20</f>
        <v>575942.26092849881</v>
      </c>
      <c r="T64" s="61">
        <f>T63*'Demographic-Economic'!H$20</f>
        <v>140176.00283436669</v>
      </c>
      <c r="W64">
        <v>2022</v>
      </c>
      <c r="X64" t="s">
        <v>240</v>
      </c>
      <c r="Y64" t="s">
        <v>240</v>
      </c>
      <c r="Z64" s="61">
        <f>Z63*'Demographic-Economic'!E$20</f>
        <v>2291540.9570122249</v>
      </c>
      <c r="AA64" s="61">
        <f>AA63*'Demographic-Economic'!F$20</f>
        <v>498710.34901761764</v>
      </c>
      <c r="AB64" s="61">
        <f>AB63*'Demographic-Economic'!G$20</f>
        <v>575942.26092849881</v>
      </c>
      <c r="AC64" s="61">
        <f>AC63*'Demographic-Economic'!H$20</f>
        <v>140176.00283436669</v>
      </c>
      <c r="AG64">
        <v>2022</v>
      </c>
      <c r="AH64" t="s">
        <v>240</v>
      </c>
      <c r="AI64" t="s">
        <v>240</v>
      </c>
      <c r="AJ64" s="61">
        <f>AJ63*'Demographic-Economic'!E$20</f>
        <v>2291540.9570122249</v>
      </c>
      <c r="AK64" s="61">
        <f>AK63*'Demographic-Economic'!F$20</f>
        <v>498710.34901761764</v>
      </c>
      <c r="AL64" s="61">
        <f>AL63*'Demographic-Economic'!G$20</f>
        <v>575942.26092849881</v>
      </c>
      <c r="AM64" s="61"/>
    </row>
    <row r="65" spans="5:39">
      <c r="E65">
        <v>2023</v>
      </c>
      <c r="F65" s="322" t="s">
        <v>240</v>
      </c>
      <c r="G65" s="322" t="s">
        <v>240</v>
      </c>
      <c r="H65" s="61">
        <f>H64*('Demographic-Economic'!E$20)</f>
        <v>2332095.1345319445</v>
      </c>
      <c r="I65" s="61">
        <f>I64*('Demographic-Economic'!F$20)</f>
        <v>499795.05216200458</v>
      </c>
      <c r="J65" s="61">
        <f>J64*('Demographic-Economic'!G$20)</f>
        <v>580675.09719671845</v>
      </c>
      <c r="K65" s="61">
        <f>K64*('Demographic-Economic'!H$20)</f>
        <v>142584.69588572782</v>
      </c>
      <c r="N65">
        <v>2023</v>
      </c>
      <c r="O65" t="s">
        <v>240</v>
      </c>
      <c r="P65" t="s">
        <v>240</v>
      </c>
      <c r="Q65" s="61">
        <f>Q64*'Demographic-Economic'!E$20</f>
        <v>2332095.1345319445</v>
      </c>
      <c r="R65" s="61">
        <f>R64*'Demographic-Economic'!F$20</f>
        <v>499795.05216200458</v>
      </c>
      <c r="S65" s="61">
        <f>S64*'Demographic-Economic'!G$20</f>
        <v>580675.09719671845</v>
      </c>
      <c r="T65" s="61">
        <f>T64*'Demographic-Economic'!H$20</f>
        <v>142584.69588572782</v>
      </c>
      <c r="W65">
        <v>2023</v>
      </c>
      <c r="X65" t="s">
        <v>240</v>
      </c>
      <c r="Y65" t="s">
        <v>240</v>
      </c>
      <c r="Z65" s="61">
        <f>Z64*'Demographic-Economic'!E$20</f>
        <v>2332095.1345319445</v>
      </c>
      <c r="AA65" s="61">
        <f>AA64*'Demographic-Economic'!F$20</f>
        <v>499795.05216200458</v>
      </c>
      <c r="AB65" s="61">
        <f>AB64*'Demographic-Economic'!G$20</f>
        <v>580675.09719671845</v>
      </c>
      <c r="AC65" s="61">
        <f>AC64*'Demographic-Economic'!H$20</f>
        <v>142584.69588572782</v>
      </c>
      <c r="AG65">
        <v>2023</v>
      </c>
      <c r="AH65" t="s">
        <v>240</v>
      </c>
      <c r="AI65" t="s">
        <v>240</v>
      </c>
      <c r="AJ65" s="61">
        <f>AJ64*'Demographic-Economic'!E$20</f>
        <v>2332095.1345319445</v>
      </c>
      <c r="AK65" s="61">
        <f>AK64*'Demographic-Economic'!F$20</f>
        <v>499795.05216200458</v>
      </c>
      <c r="AL65" s="61">
        <f>AL64*'Demographic-Economic'!G$20</f>
        <v>580675.09719671845</v>
      </c>
      <c r="AM65" s="61"/>
    </row>
    <row r="66" spans="5:39">
      <c r="E66">
        <v>2024</v>
      </c>
      <c r="F66" s="322" t="s">
        <v>240</v>
      </c>
      <c r="G66" s="322" t="s">
        <v>240</v>
      </c>
      <c r="H66" s="61">
        <f>H65*('Demographic-Economic'!E$20)</f>
        <v>2373367.0130856642</v>
      </c>
      <c r="I66" s="61">
        <f>I65*('Demographic-Economic'!F$20)</f>
        <v>500882.11455342488</v>
      </c>
      <c r="J66" s="61">
        <f>J65*('Demographic-Economic'!G$20)</f>
        <v>585446.82579957182</v>
      </c>
      <c r="K66" s="61">
        <f>K65*('Demographic-Economic'!H$20)</f>
        <v>145034.77834824607</v>
      </c>
      <c r="N66">
        <v>2024</v>
      </c>
      <c r="O66" t="s">
        <v>240</v>
      </c>
      <c r="P66" t="s">
        <v>240</v>
      </c>
      <c r="Q66" s="61">
        <f>Q65*'Demographic-Economic'!E$20</f>
        <v>2373367.0130856642</v>
      </c>
      <c r="R66" s="61">
        <f>R65*'Demographic-Economic'!F$20</f>
        <v>500882.11455342488</v>
      </c>
      <c r="S66" s="61">
        <f>S65*'Demographic-Economic'!G$20</f>
        <v>585446.82579957182</v>
      </c>
      <c r="T66" s="61">
        <f>T65*'Demographic-Economic'!H$20</f>
        <v>145034.77834824607</v>
      </c>
      <c r="W66">
        <v>2024</v>
      </c>
      <c r="X66" t="s">
        <v>240</v>
      </c>
      <c r="Y66" t="s">
        <v>240</v>
      </c>
      <c r="Z66" s="61">
        <f>Z65*'Demographic-Economic'!E$20</f>
        <v>2373367.0130856642</v>
      </c>
      <c r="AA66" s="61">
        <f>AA65*'Demographic-Economic'!F$20</f>
        <v>500882.11455342488</v>
      </c>
      <c r="AB66" s="61">
        <f>AB65*'Demographic-Economic'!G$20</f>
        <v>585446.82579957182</v>
      </c>
      <c r="AC66" s="61">
        <f>AC65*'Demographic-Economic'!H$20</f>
        <v>145034.77834824607</v>
      </c>
      <c r="AG66">
        <v>2024</v>
      </c>
      <c r="AH66" t="s">
        <v>240</v>
      </c>
      <c r="AI66" t="s">
        <v>240</v>
      </c>
      <c r="AJ66" s="61">
        <f>AJ65*'Demographic-Economic'!E$20</f>
        <v>2373367.0130856642</v>
      </c>
      <c r="AK66" s="61">
        <f>AK65*'Demographic-Economic'!F$20</f>
        <v>500882.11455342488</v>
      </c>
      <c r="AL66" s="61">
        <f>AL65*'Demographic-Economic'!G$20</f>
        <v>585446.82579957182</v>
      </c>
      <c r="AM66" s="61"/>
    </row>
    <row r="67" spans="5:39">
      <c r="E67">
        <v>2025</v>
      </c>
      <c r="F67" s="322" t="s">
        <v>240</v>
      </c>
      <c r="G67" s="322" t="s">
        <v>240</v>
      </c>
      <c r="H67" s="61">
        <f>H66*('Demographic-Economic'!E$20)</f>
        <v>2415369.2940719994</v>
      </c>
      <c r="I67" s="61">
        <f>I66*('Demographic-Economic'!F$20)</f>
        <v>501971.54132327938</v>
      </c>
      <c r="J67" s="61">
        <f>J66*('Demographic-Economic'!G$20)</f>
        <v>590257.76633689459</v>
      </c>
      <c r="K67" s="61">
        <f>K66*('Demographic-Economic'!H$20)</f>
        <v>147526.96143058085</v>
      </c>
      <c r="N67">
        <v>2025</v>
      </c>
      <c r="O67" t="s">
        <v>240</v>
      </c>
      <c r="P67" t="s">
        <v>240</v>
      </c>
      <c r="Q67" s="61">
        <f>Q66*'Demographic-Economic'!E$20</f>
        <v>2415369.2940719994</v>
      </c>
      <c r="R67" s="61">
        <f>R66*'Demographic-Economic'!F$20</f>
        <v>501971.54132327938</v>
      </c>
      <c r="S67" s="61">
        <f>S66*'Demographic-Economic'!G$20</f>
        <v>590257.76633689459</v>
      </c>
      <c r="T67" s="61">
        <f>T66*'Demographic-Economic'!H$20</f>
        <v>147526.96143058085</v>
      </c>
      <c r="W67">
        <v>2025</v>
      </c>
      <c r="X67" t="s">
        <v>240</v>
      </c>
      <c r="Y67" t="s">
        <v>240</v>
      </c>
      <c r="Z67" s="61">
        <f>Z66*'Demographic-Economic'!E$20</f>
        <v>2415369.2940719994</v>
      </c>
      <c r="AA67" s="61">
        <f>AA66*'Demographic-Economic'!F$20</f>
        <v>501971.54132327938</v>
      </c>
      <c r="AB67" s="61">
        <f>AB66*'Demographic-Economic'!G$20</f>
        <v>590257.76633689459</v>
      </c>
      <c r="AC67" s="61">
        <f>AC66*'Demographic-Economic'!H$20</f>
        <v>147526.96143058085</v>
      </c>
      <c r="AG67">
        <v>2025</v>
      </c>
      <c r="AH67" t="s">
        <v>240</v>
      </c>
      <c r="AI67" t="s">
        <v>240</v>
      </c>
      <c r="AJ67" s="61">
        <f>AJ66*'Demographic-Economic'!E$20</f>
        <v>2415369.2940719994</v>
      </c>
      <c r="AK67" s="61">
        <f>AK66*'Demographic-Economic'!F$20</f>
        <v>501971.54132327938</v>
      </c>
      <c r="AL67" s="61">
        <f>AL66*'Demographic-Economic'!G$20</f>
        <v>590257.76633689459</v>
      </c>
      <c r="AM67" s="61"/>
    </row>
    <row r="68" spans="5:39">
      <c r="E68">
        <v>2026</v>
      </c>
      <c r="F68" s="322" t="s">
        <v>240</v>
      </c>
      <c r="G68" s="322" t="s">
        <v>240</v>
      </c>
      <c r="H68" s="61">
        <f>H67*('Demographic-Economic'!E$20)</f>
        <v>2458114.9036705247</v>
      </c>
      <c r="I68" s="61">
        <f>I67*('Demographic-Economic'!F$20)</f>
        <v>503063.3376141297</v>
      </c>
      <c r="J68" s="61">
        <f>J67*('Demographic-Economic'!G$20)</f>
        <v>595108.24103485106</v>
      </c>
      <c r="K68" s="61">
        <f>K67*('Demographic-Economic'!H$20)</f>
        <v>150061.96856233751</v>
      </c>
      <c r="N68">
        <v>2026</v>
      </c>
      <c r="O68" t="s">
        <v>240</v>
      </c>
      <c r="P68" t="s">
        <v>240</v>
      </c>
      <c r="Q68" s="61">
        <f>Q67*'Demographic-Economic'!E$20</f>
        <v>2458114.9036705247</v>
      </c>
      <c r="R68" s="61">
        <f>R67*'Demographic-Economic'!F$20</f>
        <v>503063.3376141297</v>
      </c>
      <c r="S68" s="61">
        <f>S67*'Demographic-Economic'!G$20</f>
        <v>595108.24103485106</v>
      </c>
      <c r="T68" s="61">
        <f>T67*'Demographic-Economic'!H$20</f>
        <v>150061.96856233751</v>
      </c>
      <c r="W68">
        <v>2026</v>
      </c>
      <c r="X68" t="s">
        <v>240</v>
      </c>
      <c r="Y68" t="s">
        <v>240</v>
      </c>
      <c r="Z68" s="61">
        <f>Z67*'Demographic-Economic'!E$20</f>
        <v>2458114.9036705247</v>
      </c>
      <c r="AA68" s="61">
        <f>AA67*'Demographic-Economic'!F$20</f>
        <v>503063.3376141297</v>
      </c>
      <c r="AB68" s="61">
        <f>AB67*'Demographic-Economic'!G$20</f>
        <v>595108.24103485106</v>
      </c>
      <c r="AC68" s="61">
        <f>AC67*'Demographic-Economic'!H$20</f>
        <v>150061.96856233751</v>
      </c>
      <c r="AG68">
        <v>2026</v>
      </c>
      <c r="AH68" t="s">
        <v>240</v>
      </c>
      <c r="AI68" t="s">
        <v>240</v>
      </c>
      <c r="AJ68" s="61">
        <f>AJ67*'Demographic-Economic'!E$20</f>
        <v>2458114.9036705247</v>
      </c>
      <c r="AK68" s="61">
        <f>AK67*'Demographic-Economic'!F$20</f>
        <v>503063.3376141297</v>
      </c>
      <c r="AL68" s="61">
        <f>AL67*'Demographic-Economic'!G$20</f>
        <v>595108.24103485106</v>
      </c>
      <c r="AM68" s="61"/>
    </row>
    <row r="69" spans="5:39">
      <c r="E69">
        <v>2027</v>
      </c>
      <c r="F69" s="322" t="s">
        <v>240</v>
      </c>
      <c r="G69" s="322" t="s">
        <v>240</v>
      </c>
      <c r="H69" s="61">
        <f>H68*('Demographic-Economic'!E$20)</f>
        <v>2501616.9968197993</v>
      </c>
      <c r="I69" s="61">
        <f>I68*('Demographic-Economic'!F$20)</f>
        <v>504157.50857972272</v>
      </c>
      <c r="J69" s="61">
        <f>J68*('Demographic-Economic'!G$20)</f>
        <v>599998.57476751623</v>
      </c>
      <c r="K69" s="61">
        <f>K68*('Demographic-Economic'!H$20)</f>
        <v>152640.53560406412</v>
      </c>
      <c r="N69">
        <v>2027</v>
      </c>
      <c r="O69" t="s">
        <v>240</v>
      </c>
      <c r="P69" t="s">
        <v>240</v>
      </c>
      <c r="Q69" s="61">
        <f>Q68*'Demographic-Economic'!E$20</f>
        <v>2501616.9968197993</v>
      </c>
      <c r="R69" s="61">
        <f>R68*'Demographic-Economic'!F$20</f>
        <v>504157.50857972272</v>
      </c>
      <c r="S69" s="61">
        <f>S68*'Demographic-Economic'!G$20</f>
        <v>599998.57476751623</v>
      </c>
      <c r="T69" s="61">
        <f>T68*'Demographic-Economic'!H$20</f>
        <v>152640.53560406412</v>
      </c>
      <c r="W69">
        <v>2027</v>
      </c>
      <c r="X69" t="s">
        <v>240</v>
      </c>
      <c r="Y69" t="s">
        <v>240</v>
      </c>
      <c r="Z69" s="61">
        <f>Z68*'Demographic-Economic'!E$20</f>
        <v>2501616.9968197993</v>
      </c>
      <c r="AA69" s="61">
        <f>AA68*'Demographic-Economic'!F$20</f>
        <v>504157.50857972272</v>
      </c>
      <c r="AB69" s="61">
        <f>AB68*'Demographic-Economic'!G$20</f>
        <v>599998.57476751623</v>
      </c>
      <c r="AC69" s="61">
        <f>AC68*'Demographic-Economic'!H$20</f>
        <v>152640.53560406412</v>
      </c>
      <c r="AG69">
        <v>2027</v>
      </c>
      <c r="AH69" t="s">
        <v>240</v>
      </c>
      <c r="AI69" t="s">
        <v>240</v>
      </c>
      <c r="AJ69" s="61">
        <f>AJ68*'Demographic-Economic'!E$20</f>
        <v>2501616.9968197993</v>
      </c>
      <c r="AK69" s="61">
        <f>AK68*'Demographic-Economic'!F$20</f>
        <v>504157.50857972272</v>
      </c>
      <c r="AL69" s="61">
        <f>AL68*'Demographic-Economic'!G$20</f>
        <v>599998.57476751623</v>
      </c>
      <c r="AM69" s="61"/>
    </row>
    <row r="70" spans="5:39">
      <c r="E70">
        <v>2028</v>
      </c>
      <c r="F70" s="322" t="s">
        <v>240</v>
      </c>
      <c r="G70" s="322" t="s">
        <v>240</v>
      </c>
      <c r="H70" s="61">
        <f>H69*('Demographic-Economic'!E$20)</f>
        <v>2545888.9612657907</v>
      </c>
      <c r="I70" s="61">
        <f>I69*('Demographic-Economic'!F$20)</f>
        <v>505254.0593850147</v>
      </c>
      <c r="J70" s="61">
        <f>J69*('Demographic-Economic'!G$20)</f>
        <v>604929.09507863526</v>
      </c>
      <c r="K70" s="61">
        <f>K69*('Demographic-Economic'!H$20)</f>
        <v>155263.41106085671</v>
      </c>
      <c r="N70">
        <v>2028</v>
      </c>
      <c r="O70" t="s">
        <v>240</v>
      </c>
      <c r="P70" t="s">
        <v>240</v>
      </c>
      <c r="Q70" s="61">
        <f>Q69*'Demographic-Economic'!E$20</f>
        <v>2545888.9612657907</v>
      </c>
      <c r="R70" s="61">
        <f>R69*'Demographic-Economic'!F$20</f>
        <v>505254.0593850147</v>
      </c>
      <c r="S70" s="61">
        <f>S69*'Demographic-Economic'!G$20</f>
        <v>604929.09507863526</v>
      </c>
      <c r="T70" s="61">
        <f>T69*'Demographic-Economic'!H$20</f>
        <v>155263.41106085671</v>
      </c>
      <c r="W70">
        <v>2028</v>
      </c>
      <c r="X70" t="s">
        <v>240</v>
      </c>
      <c r="Y70" t="s">
        <v>240</v>
      </c>
      <c r="Z70" s="61">
        <f>Z69*'Demographic-Economic'!E$20</f>
        <v>2545888.9612657907</v>
      </c>
      <c r="AA70" s="61">
        <f>AA69*'Demographic-Economic'!F$20</f>
        <v>505254.0593850147</v>
      </c>
      <c r="AB70" s="61">
        <f>AB69*'Demographic-Economic'!G$20</f>
        <v>604929.09507863526</v>
      </c>
      <c r="AC70" s="61">
        <f>AC69*'Demographic-Economic'!H$20</f>
        <v>155263.41106085671</v>
      </c>
      <c r="AG70">
        <v>2028</v>
      </c>
      <c r="AH70" t="s">
        <v>240</v>
      </c>
      <c r="AI70" t="s">
        <v>240</v>
      </c>
      <c r="AJ70" s="61">
        <f>AJ69*'Demographic-Economic'!E$20</f>
        <v>2545888.9612657907</v>
      </c>
      <c r="AK70" s="61">
        <f>AK69*'Demographic-Economic'!F$20</f>
        <v>505254.0593850147</v>
      </c>
      <c r="AL70" s="61">
        <f>AL69*'Demographic-Economic'!G$20</f>
        <v>604929.09507863526</v>
      </c>
      <c r="AM70" s="61"/>
    </row>
    <row r="71" spans="5:39">
      <c r="E71">
        <v>2029</v>
      </c>
      <c r="F71" s="322" t="s">
        <v>240</v>
      </c>
      <c r="G71" s="322" t="s">
        <v>240</v>
      </c>
      <c r="H71" s="61">
        <f>H70*('Demographic-Economic'!E$20)</f>
        <v>2590944.421681948</v>
      </c>
      <c r="I71" s="61">
        <f>I70*('Demographic-Economic'!F$20)</f>
        <v>506352.9952061958</v>
      </c>
      <c r="J71" s="61">
        <f>J70*('Demographic-Economic'!G$20)</f>
        <v>609900.13220356137</v>
      </c>
      <c r="K71" s="61">
        <f>K70*('Demographic-Economic'!H$20)</f>
        <v>157931.35629963494</v>
      </c>
      <c r="N71">
        <v>2029</v>
      </c>
      <c r="O71" t="s">
        <v>240</v>
      </c>
      <c r="P71" t="s">
        <v>240</v>
      </c>
      <c r="Q71" s="61">
        <f>Q70*'Demographic-Economic'!E$20</f>
        <v>2590944.421681948</v>
      </c>
      <c r="R71" s="61">
        <f>R70*'Demographic-Economic'!F$20</f>
        <v>506352.9952061958</v>
      </c>
      <c r="S71" s="61">
        <f>S70*'Demographic-Economic'!G$20</f>
        <v>609900.13220356137</v>
      </c>
      <c r="T71" s="61">
        <f>T70*'Demographic-Economic'!H$20</f>
        <v>157931.35629963494</v>
      </c>
      <c r="W71">
        <v>2029</v>
      </c>
      <c r="X71" t="s">
        <v>240</v>
      </c>
      <c r="Y71" t="s">
        <v>240</v>
      </c>
      <c r="Z71" s="61">
        <f>Z70*'Demographic-Economic'!E$20</f>
        <v>2590944.421681948</v>
      </c>
      <c r="AA71" s="61">
        <f>AA70*'Demographic-Economic'!F$20</f>
        <v>506352.9952061958</v>
      </c>
      <c r="AB71" s="61">
        <f>AB70*'Demographic-Economic'!G$20</f>
        <v>609900.13220356137</v>
      </c>
      <c r="AC71" s="61">
        <f>AC70*'Demographic-Economic'!H$20</f>
        <v>157931.35629963494</v>
      </c>
      <c r="AG71">
        <v>2029</v>
      </c>
      <c r="AH71" t="s">
        <v>240</v>
      </c>
      <c r="AI71" t="s">
        <v>240</v>
      </c>
      <c r="AJ71" s="61">
        <f>AJ70*'Demographic-Economic'!E$20</f>
        <v>2590944.421681948</v>
      </c>
      <c r="AK71" s="61">
        <f>AK70*'Demographic-Economic'!F$20</f>
        <v>506352.9952061958</v>
      </c>
      <c r="AL71" s="61">
        <f>AL70*'Demographic-Economic'!G$20</f>
        <v>609900.13220356137</v>
      </c>
      <c r="AM71" s="61"/>
    </row>
    <row r="72" spans="5:39">
      <c r="E72">
        <v>2030</v>
      </c>
      <c r="F72" s="322" t="s">
        <v>240</v>
      </c>
      <c r="G72" s="322" t="s">
        <v>240</v>
      </c>
      <c r="H72" s="61">
        <f>H71*('Demographic-Economic'!E$20)</f>
        <v>2636797.2438621875</v>
      </c>
      <c r="I72" s="61">
        <f>I71*('Demographic-Economic'!F$20)</f>
        <v>507454.3212307145</v>
      </c>
      <c r="J72" s="61">
        <f>J71*('Demographic-Economic'!G$20)</f>
        <v>614912.01909137436</v>
      </c>
      <c r="K72" s="61">
        <f>K71*('Demographic-Economic'!H$20)</f>
        <v>160645.14577015123</v>
      </c>
      <c r="N72">
        <v>2030</v>
      </c>
      <c r="O72" t="s">
        <v>240</v>
      </c>
      <c r="P72" t="s">
        <v>240</v>
      </c>
      <c r="Q72" s="61">
        <f>Q71*'Demographic-Economic'!E$20</f>
        <v>2636797.2438621875</v>
      </c>
      <c r="R72" s="61">
        <f>R71*'Demographic-Economic'!F$20</f>
        <v>507454.3212307145</v>
      </c>
      <c r="S72" s="61">
        <f>S71*'Demographic-Economic'!G$20</f>
        <v>614912.01909137436</v>
      </c>
      <c r="T72" s="61">
        <f>T71*'Demographic-Economic'!H$20</f>
        <v>160645.14577015123</v>
      </c>
      <c r="W72">
        <v>2030</v>
      </c>
      <c r="X72" t="s">
        <v>240</v>
      </c>
      <c r="Y72" t="s">
        <v>240</v>
      </c>
      <c r="Z72" s="61">
        <f>Z71*'Demographic-Economic'!E$20</f>
        <v>2636797.2438621875</v>
      </c>
      <c r="AA72" s="61">
        <f>AA71*'Demographic-Economic'!F$20</f>
        <v>507454.3212307145</v>
      </c>
      <c r="AB72" s="61">
        <f>AB71*'Demographic-Economic'!G$20</f>
        <v>614912.01909137436</v>
      </c>
      <c r="AC72" s="61">
        <f>AC71*'Demographic-Economic'!H$20</f>
        <v>160645.14577015123</v>
      </c>
      <c r="AG72">
        <v>2030</v>
      </c>
      <c r="AH72" t="s">
        <v>240</v>
      </c>
      <c r="AI72" t="s">
        <v>240</v>
      </c>
      <c r="AJ72" s="61">
        <f>AJ71*'Demographic-Economic'!E$20</f>
        <v>2636797.2438621875</v>
      </c>
      <c r="AK72" s="61">
        <f>AK71*'Demographic-Economic'!F$20</f>
        <v>507454.3212307145</v>
      </c>
      <c r="AL72" s="61">
        <f>AL71*'Demographic-Economic'!G$20</f>
        <v>614912.01909137436</v>
      </c>
      <c r="AM72" s="61"/>
    </row>
    <row r="73" spans="5:39">
      <c r="E73">
        <v>2040</v>
      </c>
      <c r="F73" s="322" t="s">
        <v>240</v>
      </c>
      <c r="G73" s="322" t="s">
        <v>240</v>
      </c>
      <c r="H73" s="61">
        <f>H72*('Demographic-Economic'!E$20)^10</f>
        <v>3142412.0128392149</v>
      </c>
      <c r="I73" s="61">
        <f>I72*('Demographic-Economic'!F$20)^10</f>
        <v>518600.1919969974</v>
      </c>
      <c r="J73" s="61">
        <f>J72*('Demographic-Economic'!G$20)^10</f>
        <v>667352.85924091854</v>
      </c>
      <c r="K73" s="61">
        <f>K72*('Demographic-Economic'!H$20)^10</f>
        <v>190484.66828692899</v>
      </c>
      <c r="N73">
        <v>2040</v>
      </c>
      <c r="O73" t="s">
        <v>240</v>
      </c>
      <c r="P73" t="s">
        <v>240</v>
      </c>
      <c r="Q73" s="61">
        <f>Q72*'Demographic-Economic'!E$20^10</f>
        <v>3142412.0128392149</v>
      </c>
      <c r="R73" s="61">
        <f>R72*'Demographic-Economic'!F$20^10</f>
        <v>518600.1919969974</v>
      </c>
      <c r="S73" s="61">
        <f>S72*'Demographic-Economic'!G$20^10</f>
        <v>667352.85924091854</v>
      </c>
      <c r="T73" s="61">
        <f>T72*'Demographic-Economic'!H$20^10</f>
        <v>190484.66828692899</v>
      </c>
      <c r="W73">
        <v>2040</v>
      </c>
      <c r="X73" t="s">
        <v>240</v>
      </c>
      <c r="Y73" t="s">
        <v>240</v>
      </c>
      <c r="Z73" s="61">
        <f>Z72*'Demographic-Economic'!E$20^10</f>
        <v>3142412.0128392149</v>
      </c>
      <c r="AA73" s="61">
        <f>AA72*'Demographic-Economic'!F$20^10</f>
        <v>518600.1919969974</v>
      </c>
      <c r="AB73" s="61">
        <f>AB72*'Demographic-Economic'!G$20^10</f>
        <v>667352.85924091854</v>
      </c>
      <c r="AC73" s="61">
        <f>AC72*'Demographic-Economic'!H$20^10</f>
        <v>190484.66828692899</v>
      </c>
      <c r="AG73">
        <v>2040</v>
      </c>
      <c r="AH73" t="s">
        <v>240</v>
      </c>
      <c r="AI73" t="s">
        <v>240</v>
      </c>
      <c r="AJ73" s="61">
        <f>AJ72*'Demographic-Economic'!E$20^10</f>
        <v>3142412.0128392149</v>
      </c>
      <c r="AK73" s="61">
        <f>AK72*'Demographic-Economic'!F$20^10</f>
        <v>518600.1919969974</v>
      </c>
      <c r="AL73" s="61">
        <f>AL72*'Demographic-Economic'!G$20^10</f>
        <v>667352.85924091854</v>
      </c>
      <c r="AM73" s="61"/>
    </row>
    <row r="74" spans="5:39">
      <c r="E74">
        <v>2050</v>
      </c>
      <c r="F74" s="322" t="s">
        <v>240</v>
      </c>
      <c r="G74" s="322" t="s">
        <v>240</v>
      </c>
      <c r="H74" s="61">
        <f>H73*('Demographic-Economic'!E$20)^10</f>
        <v>3744980.1198868025</v>
      </c>
      <c r="I74" s="61">
        <f>I73*('Demographic-Economic'!F$20)^10</f>
        <v>529990.87383285083</v>
      </c>
      <c r="J74" s="61">
        <f>J73*('Demographic-Economic'!G$20)^10</f>
        <v>724265.95172934793</v>
      </c>
      <c r="K74" s="61">
        <f>K73*('Demographic-Economic'!H$20)^10</f>
        <v>225866.82391447164</v>
      </c>
      <c r="N74">
        <v>2050</v>
      </c>
      <c r="O74" t="s">
        <v>240</v>
      </c>
      <c r="P74" t="s">
        <v>240</v>
      </c>
      <c r="Q74" s="61">
        <f>Q73*'Demographic-Economic'!E$20^10</f>
        <v>3744980.1198868025</v>
      </c>
      <c r="R74" s="61">
        <f>R73*'Demographic-Economic'!F$20^10</f>
        <v>529990.87383285083</v>
      </c>
      <c r="S74" s="61">
        <f>S73*'Demographic-Economic'!G$20^10</f>
        <v>724265.95172934793</v>
      </c>
      <c r="T74" s="61">
        <f>T73*'Demographic-Economic'!H$20^10</f>
        <v>225866.82391447164</v>
      </c>
      <c r="W74">
        <v>2050</v>
      </c>
      <c r="X74" t="s">
        <v>240</v>
      </c>
      <c r="Y74" t="s">
        <v>240</v>
      </c>
      <c r="Z74" s="61">
        <f>Z73*'Demographic-Economic'!E$20^10</f>
        <v>3744980.1198868025</v>
      </c>
      <c r="AA74" s="61">
        <f>AA73*'Demographic-Economic'!F$20^10</f>
        <v>529990.87383285083</v>
      </c>
      <c r="AB74" s="61">
        <f>AB73*'Demographic-Economic'!G$20^10</f>
        <v>724265.95172934793</v>
      </c>
      <c r="AC74" s="61">
        <f>AC73*'Demographic-Economic'!H$20^10</f>
        <v>225866.82391447164</v>
      </c>
      <c r="AG74">
        <v>2050</v>
      </c>
      <c r="AH74" t="s">
        <v>240</v>
      </c>
      <c r="AI74" t="s">
        <v>240</v>
      </c>
      <c r="AJ74" s="61">
        <f>AJ73*'Demographic-Economic'!E$20^10</f>
        <v>3744980.1198868025</v>
      </c>
      <c r="AK74" s="61">
        <f>AK73*'Demographic-Economic'!F$20^10</f>
        <v>529990.87383285083</v>
      </c>
      <c r="AL74" s="61">
        <f>AL73*'Demographic-Economic'!G$20^10</f>
        <v>724265.95172934793</v>
      </c>
      <c r="AM74" s="61"/>
    </row>
    <row r="75" spans="5:39">
      <c r="E75">
        <v>2060</v>
      </c>
      <c r="F75" s="322" t="s">
        <v>240</v>
      </c>
      <c r="G75" s="322" t="s">
        <v>240</v>
      </c>
      <c r="H75" s="61">
        <f>H74*('Demographic-Economic'!E$20)^10</f>
        <v>4463092.6947340975</v>
      </c>
      <c r="I75" s="61">
        <f>I74*('Demographic-Economic'!F$20)^10</f>
        <v>541631.74383810314</v>
      </c>
      <c r="J75" s="61">
        <f>J74*('Demographic-Economic'!G$20)^10</f>
        <v>786032.69855033059</v>
      </c>
      <c r="K75" s="61">
        <f>K74*('Demographic-Economic'!H$20)^10</f>
        <v>267821.14594317524</v>
      </c>
      <c r="N75">
        <v>2060</v>
      </c>
      <c r="O75" t="s">
        <v>240</v>
      </c>
      <c r="P75" t="s">
        <v>240</v>
      </c>
      <c r="Q75" s="61">
        <f>Q74*'Demographic-Economic'!E$20^10</f>
        <v>4463092.6947340975</v>
      </c>
      <c r="R75" s="61">
        <f>R74*'Demographic-Economic'!F$20^10</f>
        <v>541631.74383810314</v>
      </c>
      <c r="S75" s="61">
        <f>S74*'Demographic-Economic'!G$20^10</f>
        <v>786032.69855033059</v>
      </c>
      <c r="T75" s="61">
        <f>T74*'Demographic-Economic'!H$20^10</f>
        <v>267821.14594317524</v>
      </c>
      <c r="W75">
        <v>2060</v>
      </c>
      <c r="X75" t="s">
        <v>240</v>
      </c>
      <c r="Y75" t="s">
        <v>240</v>
      </c>
      <c r="Z75" s="61">
        <f>Z74*'Demographic-Economic'!E$20^10</f>
        <v>4463092.6947340975</v>
      </c>
      <c r="AA75" s="61">
        <f>AA74*'Demographic-Economic'!F$20^10</f>
        <v>541631.74383810314</v>
      </c>
      <c r="AB75" s="61">
        <f>AB74*'Demographic-Economic'!G$20^10</f>
        <v>786032.69855033059</v>
      </c>
      <c r="AC75" s="61">
        <f>AC74*'Demographic-Economic'!H$20^10</f>
        <v>267821.14594317524</v>
      </c>
      <c r="AG75">
        <v>2060</v>
      </c>
      <c r="AH75" t="s">
        <v>240</v>
      </c>
      <c r="AI75" t="s">
        <v>240</v>
      </c>
      <c r="AJ75" s="61">
        <f>AJ74*'Demographic-Economic'!E$20^10</f>
        <v>4463092.6947340975</v>
      </c>
      <c r="AK75" s="61">
        <f>AK74*'Demographic-Economic'!F$20^10</f>
        <v>541631.74383810314</v>
      </c>
      <c r="AL75" s="61">
        <f>AL74*'Demographic-Economic'!G$20^10</f>
        <v>786032.69855033059</v>
      </c>
      <c r="AM75" s="61"/>
    </row>
    <row r="76" spans="5:39">
      <c r="E76">
        <v>2070</v>
      </c>
      <c r="F76" s="322" t="s">
        <v>240</v>
      </c>
      <c r="G76" s="322" t="s">
        <v>240</v>
      </c>
      <c r="H76" s="61">
        <f>H75*('Demographic-Economic'!E$20)^10</f>
        <v>5318905.7789687151</v>
      </c>
      <c r="I76" s="61">
        <f>I75*('Demographic-Economic'!F$20)^10</f>
        <v>553528.29721672973</v>
      </c>
      <c r="J76" s="61">
        <f>J75*('Demographic-Economic'!G$20)^10</f>
        <v>853067.02836860577</v>
      </c>
      <c r="K76" s="61">
        <f>K75*('Demographic-Economic'!H$20)^10</f>
        <v>317568.4014642039</v>
      </c>
      <c r="N76">
        <v>2070</v>
      </c>
      <c r="O76" t="s">
        <v>240</v>
      </c>
      <c r="P76" t="s">
        <v>240</v>
      </c>
      <c r="Q76" s="61">
        <f>Q75*'Demographic-Economic'!E$20^10</f>
        <v>5318905.7789687151</v>
      </c>
      <c r="R76" s="61">
        <f>R75*'Demographic-Economic'!F$20^10</f>
        <v>553528.29721672973</v>
      </c>
      <c r="S76" s="61">
        <f>S75*'Demographic-Economic'!G$20^10</f>
        <v>853067.02836860577</v>
      </c>
      <c r="T76" s="61">
        <f>T75*'Demographic-Economic'!H$20^10</f>
        <v>317568.4014642039</v>
      </c>
      <c r="W76">
        <v>2070</v>
      </c>
      <c r="X76" t="s">
        <v>240</v>
      </c>
      <c r="Y76" t="s">
        <v>240</v>
      </c>
      <c r="Z76" s="61">
        <f>Z75*'Demographic-Economic'!E$20^10</f>
        <v>5318905.7789687151</v>
      </c>
      <c r="AA76" s="61">
        <f>AA75*'Demographic-Economic'!F$20^10</f>
        <v>553528.29721672973</v>
      </c>
      <c r="AB76" s="61">
        <f>AB75*'Demographic-Economic'!G$20^10</f>
        <v>853067.02836860577</v>
      </c>
      <c r="AC76" s="61">
        <f>AC75*'Demographic-Economic'!H$20^10</f>
        <v>317568.4014642039</v>
      </c>
      <c r="AG76">
        <v>2070</v>
      </c>
      <c r="AH76" t="s">
        <v>240</v>
      </c>
      <c r="AI76" t="s">
        <v>240</v>
      </c>
      <c r="AJ76" s="61">
        <f>AJ75*'Demographic-Economic'!E$20^10</f>
        <v>5318905.7789687151</v>
      </c>
      <c r="AK76" s="61">
        <f>AK75*'Demographic-Economic'!F$20^10</f>
        <v>553528.29721672973</v>
      </c>
      <c r="AL76" s="61">
        <f>AL75*'Demographic-Economic'!G$20^10</f>
        <v>853067.02836860577</v>
      </c>
      <c r="AM76" s="61"/>
    </row>
    <row r="77" spans="5:39">
      <c r="E77">
        <v>2080</v>
      </c>
      <c r="F77" s="322" t="s">
        <v>240</v>
      </c>
      <c r="G77" s="322" t="s">
        <v>240</v>
      </c>
      <c r="H77" s="61">
        <f>H76*('Demographic-Economic'!E$20)^10</f>
        <v>6338823.9099148503</v>
      </c>
      <c r="I77" s="61">
        <f>I76*('Demographic-Economic'!F$20)^10</f>
        <v>565686.14987092617</v>
      </c>
      <c r="J77" s="61">
        <f>J76*('Demographic-Economic'!G$20)^10</f>
        <v>925818.17045496183</v>
      </c>
      <c r="K77" s="61">
        <f>K76*('Demographic-Economic'!H$20)^10</f>
        <v>376556.11267501442</v>
      </c>
      <c r="N77">
        <v>2080</v>
      </c>
      <c r="O77" t="s">
        <v>240</v>
      </c>
      <c r="P77" t="s">
        <v>240</v>
      </c>
      <c r="Q77" s="61">
        <f>Q76*'Demographic-Economic'!E$20^10</f>
        <v>6338823.9099148503</v>
      </c>
      <c r="R77" s="61">
        <f>R76*'Demographic-Economic'!F$20^10</f>
        <v>565686.14987092617</v>
      </c>
      <c r="S77" s="61">
        <f>S76*'Demographic-Economic'!G$20^10</f>
        <v>925818.17045496183</v>
      </c>
      <c r="T77" s="61">
        <f>T76*'Demographic-Economic'!H$20^10</f>
        <v>376556.11267501442</v>
      </c>
      <c r="W77">
        <v>2080</v>
      </c>
      <c r="X77" t="s">
        <v>240</v>
      </c>
      <c r="Y77" t="s">
        <v>240</v>
      </c>
      <c r="Z77" s="61">
        <f>Z76*'Demographic-Economic'!E$20^10</f>
        <v>6338823.9099148503</v>
      </c>
      <c r="AA77" s="61">
        <f>AA76*'Demographic-Economic'!F$20^10</f>
        <v>565686.14987092617</v>
      </c>
      <c r="AB77" s="61">
        <f>AB76*'Demographic-Economic'!G$20^10</f>
        <v>925818.17045496183</v>
      </c>
      <c r="AC77" s="61">
        <f>AC76*'Demographic-Economic'!H$20^10</f>
        <v>376556.11267501442</v>
      </c>
      <c r="AG77">
        <v>2080</v>
      </c>
      <c r="AH77" t="s">
        <v>240</v>
      </c>
      <c r="AI77" t="s">
        <v>240</v>
      </c>
      <c r="AJ77" s="61">
        <f>AJ76*'Demographic-Economic'!E$20^10</f>
        <v>6338823.9099148503</v>
      </c>
      <c r="AK77" s="61">
        <f>AK76*'Demographic-Economic'!F$20^10</f>
        <v>565686.14987092617</v>
      </c>
      <c r="AL77" s="61">
        <f>AL76*'Demographic-Economic'!G$20^10</f>
        <v>925818.17045496183</v>
      </c>
      <c r="AM77" s="61"/>
    </row>
    <row r="78" spans="5:39">
      <c r="E78">
        <v>2090</v>
      </c>
      <c r="F78" s="322" t="s">
        <v>240</v>
      </c>
      <c r="G78" s="322" t="s">
        <v>240</v>
      </c>
      <c r="H78" s="61">
        <f>H77*('Demographic-Economic'!E$20)^10</f>
        <v>7554314.7840266572</v>
      </c>
      <c r="I78" s="61">
        <f>I77*('Demographic-Economic'!F$20)^10</f>
        <v>578111.04105215799</v>
      </c>
      <c r="J78" s="61">
        <f>J77*('Demographic-Economic'!G$20)^10</f>
        <v>1004773.6651875465</v>
      </c>
      <c r="K78" s="61">
        <f>K77*('Demographic-Economic'!H$20)^10</f>
        <v>446500.67619810445</v>
      </c>
      <c r="N78">
        <v>2090</v>
      </c>
      <c r="O78" t="s">
        <v>240</v>
      </c>
      <c r="P78" t="s">
        <v>240</v>
      </c>
      <c r="Q78" s="61">
        <f>Q77*'Demographic-Economic'!E$20^10</f>
        <v>7554314.7840266572</v>
      </c>
      <c r="R78" s="61">
        <f>R77*'Demographic-Economic'!F$20^10</f>
        <v>578111.04105215799</v>
      </c>
      <c r="S78" s="61">
        <f>S77*'Demographic-Economic'!G$20^10</f>
        <v>1004773.6651875465</v>
      </c>
      <c r="T78" s="61">
        <f>T77*'Demographic-Economic'!H$20^10</f>
        <v>446500.67619810445</v>
      </c>
      <c r="W78">
        <v>2090</v>
      </c>
      <c r="X78" t="s">
        <v>240</v>
      </c>
      <c r="Y78" t="s">
        <v>240</v>
      </c>
      <c r="Z78" s="61">
        <f>Z77*'Demographic-Economic'!E$20^10</f>
        <v>7554314.7840266572</v>
      </c>
      <c r="AA78" s="61">
        <f>AA77*'Demographic-Economic'!F$20^10</f>
        <v>578111.04105215799</v>
      </c>
      <c r="AB78" s="61">
        <f>AB77*'Demographic-Economic'!G$20^10</f>
        <v>1004773.6651875465</v>
      </c>
      <c r="AC78" s="61">
        <f>AC77*'Demographic-Economic'!H$20^10</f>
        <v>446500.67619810445</v>
      </c>
      <c r="AG78">
        <v>2090</v>
      </c>
      <c r="AH78" t="s">
        <v>240</v>
      </c>
      <c r="AI78" t="s">
        <v>240</v>
      </c>
      <c r="AJ78" s="61">
        <f>AJ77*'Demographic-Economic'!E$20^10</f>
        <v>7554314.7840266572</v>
      </c>
      <c r="AK78" s="61">
        <f>AK77*'Demographic-Economic'!F$20^10</f>
        <v>578111.04105215799</v>
      </c>
      <c r="AL78" s="61">
        <f>AL77*'Demographic-Economic'!G$20^10</f>
        <v>1004773.6651875465</v>
      </c>
      <c r="AM78" s="61"/>
    </row>
    <row r="79" spans="5:39">
      <c r="E79">
        <v>2100</v>
      </c>
      <c r="F79" s="322" t="s">
        <v>240</v>
      </c>
      <c r="G79" s="322" t="s">
        <v>240</v>
      </c>
      <c r="H79" s="61">
        <f>H78*('Demographic-Economic'!E$20)^10</f>
        <v>9002880.1347362734</v>
      </c>
      <c r="I79" s="61">
        <f>I78*('Demographic-Economic'!F$20)^10</f>
        <v>590808.8360704392</v>
      </c>
      <c r="J79" s="61">
        <f>J78*('Demographic-Economic'!G$20)^10</f>
        <v>1090462.6312943252</v>
      </c>
      <c r="K79" s="61">
        <f>K78*('Demographic-Economic'!H$20)^10</f>
        <v>529437.30598107167</v>
      </c>
      <c r="N79">
        <v>2100</v>
      </c>
      <c r="O79" t="s">
        <v>240</v>
      </c>
      <c r="P79" t="s">
        <v>240</v>
      </c>
      <c r="Q79" s="61">
        <f>Q78*'Demographic-Economic'!E$20^10</f>
        <v>9002880.1347362734</v>
      </c>
      <c r="R79" s="61">
        <f>R78*'Demographic-Economic'!F$20^10</f>
        <v>590808.8360704392</v>
      </c>
      <c r="S79" s="61">
        <f>S78*'Demographic-Economic'!G$20^10</f>
        <v>1090462.6312943252</v>
      </c>
      <c r="T79" s="61">
        <f>T78*'Demographic-Economic'!H$20^10</f>
        <v>529437.30598107167</v>
      </c>
      <c r="W79">
        <v>2100</v>
      </c>
      <c r="X79" t="s">
        <v>240</v>
      </c>
      <c r="Y79" t="s">
        <v>240</v>
      </c>
      <c r="Z79" s="61">
        <f>Z78*'Demographic-Economic'!E$20^10</f>
        <v>9002880.1347362734</v>
      </c>
      <c r="AA79" s="61">
        <f>AA78*'Demographic-Economic'!F$20^10</f>
        <v>590808.8360704392</v>
      </c>
      <c r="AB79" s="61">
        <f>AB78*'Demographic-Economic'!G$20^10</f>
        <v>1090462.6312943252</v>
      </c>
      <c r="AC79" s="61">
        <f>AC78*'Demographic-Economic'!H$20^10</f>
        <v>529437.30598107167</v>
      </c>
      <c r="AG79">
        <v>2100</v>
      </c>
      <c r="AH79" t="s">
        <v>240</v>
      </c>
      <c r="AI79" t="s">
        <v>240</v>
      </c>
      <c r="AJ79" s="61">
        <f>AJ78*'Demographic-Economic'!E$20^10</f>
        <v>9002880.1347362734</v>
      </c>
      <c r="AK79" s="61">
        <f>AK78*'Demographic-Economic'!F$20^10</f>
        <v>590808.8360704392</v>
      </c>
      <c r="AL79" s="61">
        <f>AL78*'Demographic-Economic'!G$20^10</f>
        <v>1090462.6312943252</v>
      </c>
      <c r="AM79" s="61"/>
    </row>
    <row r="80" spans="5:39">
      <c r="F80" s="581" t="s">
        <v>241</v>
      </c>
      <c r="G80" s="581"/>
      <c r="H80" s="581"/>
      <c r="I80" s="581"/>
      <c r="J80" s="581"/>
      <c r="K80" s="581"/>
      <c r="O80" s="581" t="s">
        <v>241</v>
      </c>
      <c r="P80" s="581"/>
      <c r="Q80" s="581"/>
      <c r="R80" s="581"/>
      <c r="S80" s="581"/>
      <c r="T80" s="581"/>
      <c r="X80" s="581" t="s">
        <v>241</v>
      </c>
      <c r="Y80" s="581"/>
      <c r="Z80" s="581"/>
      <c r="AA80" s="581"/>
      <c r="AB80" s="581"/>
      <c r="AC80" s="581"/>
      <c r="AH80" s="581" t="s">
        <v>241</v>
      </c>
      <c r="AI80" s="581"/>
      <c r="AJ80" s="581"/>
      <c r="AK80" s="581"/>
      <c r="AL80" s="581"/>
      <c r="AM80" s="581"/>
    </row>
    <row r="81" spans="5:39">
      <c r="E81">
        <v>2020</v>
      </c>
      <c r="F81" s="61">
        <f>F5/'Demographic-Economic'!C$29</f>
        <v>2473101.1764705884</v>
      </c>
      <c r="G81" s="61">
        <f>G5/'Demographic-Economic'!D$29</f>
        <v>1691706.0240963853</v>
      </c>
      <c r="H81" s="61">
        <f>H5/'Demographic-Economic'!E$29</f>
        <v>2021766.8016194331</v>
      </c>
      <c r="I81" s="61">
        <f>I5/'Demographic-Economic'!F$29</f>
        <v>404270.4</v>
      </c>
      <c r="J81" s="61">
        <f>J5/'Demographic-Economic'!G$29</f>
        <v>506668.79999999999</v>
      </c>
      <c r="K81" s="61">
        <f>K5/'Demographic-Economic'!H$29</f>
        <v>116182.64150943396</v>
      </c>
      <c r="N81">
        <v>2020</v>
      </c>
      <c r="O81" s="61">
        <f>O5/'Demographic-Economic'!C$29</f>
        <v>2473101.1764705884</v>
      </c>
      <c r="P81" s="61">
        <f>P5/'Demographic-Economic'!D$29</f>
        <v>1691706.0240963853</v>
      </c>
      <c r="Q81" s="61">
        <f>Q5/'Demographic-Economic'!E$29</f>
        <v>2021766.8016194331</v>
      </c>
      <c r="R81" s="61">
        <f>R5/'Demographic-Economic'!F$29</f>
        <v>404270.4</v>
      </c>
      <c r="S81" s="61">
        <f>S5/'Demographic-Economic'!G$29</f>
        <v>506668.79999999999</v>
      </c>
      <c r="T81" s="61">
        <f>T5/'Demographic-Economic'!H$29</f>
        <v>116182.64150943396</v>
      </c>
      <c r="W81">
        <v>2020</v>
      </c>
      <c r="X81" s="61">
        <f>X5/'Demographic-Economic'!C$29</f>
        <v>2473101.1764705884</v>
      </c>
      <c r="Y81" s="61">
        <f>Y5/'Demographic-Economic'!D$29</f>
        <v>1691706.0240963853</v>
      </c>
      <c r="Z81" s="61">
        <f>Z5/'Demographic-Economic'!E$29</f>
        <v>2021766.8016194331</v>
      </c>
      <c r="AA81" s="61">
        <f>AA5/'Demographic-Economic'!F$29</f>
        <v>404270.4</v>
      </c>
      <c r="AB81" s="61">
        <f>AB5/'Demographic-Economic'!G$29</f>
        <v>506668.79999999999</v>
      </c>
      <c r="AC81" s="61">
        <f>AC5/'Demographic-Economic'!H$29</f>
        <v>116182.64150943396</v>
      </c>
      <c r="AG81">
        <v>2020</v>
      </c>
      <c r="AH81" s="61">
        <f>AH5/'Demographic-Economic'!C$29</f>
        <v>2473101.1764705884</v>
      </c>
      <c r="AI81" s="61">
        <f>AI5/'Demographic-Economic'!D$29</f>
        <v>1691706.0240963853</v>
      </c>
      <c r="AJ81" s="61">
        <f>AJ5/'Demographic-Economic'!E$29</f>
        <v>2021766.8016194331</v>
      </c>
      <c r="AK81" s="61">
        <f>AK5/'Demographic-Economic'!F$29</f>
        <v>404270.4</v>
      </c>
      <c r="AL81" s="61">
        <f>AL5/'Demographic-Economic'!G$29</f>
        <v>506668.79999999999</v>
      </c>
      <c r="AM81" s="61">
        <f>AM5/'Demographic-Economic'!H$29</f>
        <v>116182.64150943396</v>
      </c>
    </row>
    <row r="82" spans="5:39">
      <c r="E82">
        <v>2021</v>
      </c>
      <c r="F82" s="61">
        <f>F6/'Demographic-Economic'!C$29</f>
        <v>2485651.0230079158</v>
      </c>
      <c r="G82" s="61">
        <f>G6/'Demographic-Economic'!D$29</f>
        <v>1698162.6276949486</v>
      </c>
      <c r="H82" s="61">
        <f>H6/'Demographic-Economic'!E$29</f>
        <v>2038829.7003020747</v>
      </c>
      <c r="I82" s="61">
        <f>I6/'Demographic-Economic'!F$29</f>
        <v>408866.38839415734</v>
      </c>
      <c r="J82" s="61">
        <f>J6/'Demographic-Economic'!G$29</f>
        <v>511199.37095699721</v>
      </c>
      <c r="K82" s="61">
        <f>K6/'Demographic-Economic'!H$29</f>
        <v>116772.21476875593</v>
      </c>
      <c r="N82">
        <v>2021</v>
      </c>
      <c r="O82" s="61">
        <f>O6/'Demographic-Economic'!C$29</f>
        <v>2491107.1241787127</v>
      </c>
      <c r="P82" s="61">
        <f>P6/'Demographic-Economic'!D$29</f>
        <v>1701890.1610515648</v>
      </c>
      <c r="Q82" s="61">
        <f>Q6/'Demographic-Economic'!E$29</f>
        <v>2042994.8310765938</v>
      </c>
      <c r="R82" s="61">
        <f>R6/'Demographic-Economic'!F$29</f>
        <v>409615.62830599764</v>
      </c>
      <c r="S82" s="61">
        <f>S6/'Demographic-Economic'!G$29</f>
        <v>512225.21094674303</v>
      </c>
      <c r="T82" s="61">
        <f>T6/'Demographic-Economic'!H$29</f>
        <v>117548.30639521978</v>
      </c>
      <c r="W82">
        <v>2021</v>
      </c>
      <c r="X82" s="61">
        <f>X6/'Demographic-Economic'!C$29</f>
        <v>2495993.0199740264</v>
      </c>
      <c r="Y82" s="61">
        <f>Y6/'Demographic-Economic'!D$29</f>
        <v>1705228.1379299012</v>
      </c>
      <c r="Z82" s="61">
        <f>Z6/'Demographic-Economic'!E$29</f>
        <v>2047001.8285108351</v>
      </c>
      <c r="AA82" s="61">
        <f>AA6/'Demographic-Economic'!F$29</f>
        <v>410419.02180787083</v>
      </c>
      <c r="AB82" s="61">
        <f>AB6/'Demographic-Economic'!G$29</f>
        <v>513229.85622278415</v>
      </c>
      <c r="AC82" s="61">
        <f>AC6/'Demographic-Economic'!H$29</f>
        <v>117778.85801236553</v>
      </c>
      <c r="AG82">
        <v>2021</v>
      </c>
      <c r="AH82" s="61">
        <f>AH6/'Demographic-Economic'!C$29</f>
        <v>2486367.4807947027</v>
      </c>
      <c r="AI82" s="61">
        <f>AI6/'Demographic-Economic'!D$29</f>
        <v>1698652.1018112181</v>
      </c>
      <c r="AJ82" s="61">
        <f>AJ6/'Demographic-Economic'!E$29</f>
        <v>2039417.3674368381</v>
      </c>
      <c r="AK82" s="61">
        <f>AK6/'Demographic-Economic'!F$29</f>
        <v>408984.23901156447</v>
      </c>
      <c r="AL82" s="61">
        <f>AL6/'Demographic-Economic'!G$29</f>
        <v>511346.71777540899</v>
      </c>
      <c r="AM82" s="61">
        <f>AM6/'Demographic-Economic'!H$29</f>
        <v>116805.87289766339</v>
      </c>
    </row>
    <row r="83" spans="5:39">
      <c r="E83">
        <v>2022</v>
      </c>
      <c r="F83" s="61">
        <f>F7/'Demographic-Economic'!C$29</f>
        <v>2498165.6307083122</v>
      </c>
      <c r="G83" s="61">
        <f>G7/'Demographic-Economic'!D$29</f>
        <v>1704576.3751128684</v>
      </c>
      <c r="H83" s="61">
        <f>H7/'Demographic-Economic'!E$29</f>
        <v>2056186.4856381263</v>
      </c>
      <c r="I83" s="61">
        <f>I7/'Demographic-Economic'!F$29</f>
        <v>413304.38408485817</v>
      </c>
      <c r="J83" s="61">
        <f>J7/'Demographic-Economic'!G$29</f>
        <v>515677.95777011028</v>
      </c>
      <c r="K83" s="61">
        <f>K7/'Demographic-Economic'!H$29</f>
        <v>117360.13255955224</v>
      </c>
      <c r="N83">
        <v>2022</v>
      </c>
      <c r="O83" s="61">
        <f>O7/'Demographic-Economic'!C$29</f>
        <v>2509064.1927969777</v>
      </c>
      <c r="P83" s="61">
        <f>P7/'Demographic-Economic'!D$29</f>
        <v>1712012.8041593176</v>
      </c>
      <c r="Q83" s="61">
        <f>Q7/'Demographic-Economic'!E$29</f>
        <v>2064497.4457928182</v>
      </c>
      <c r="R83" s="61">
        <f>R7/'Demographic-Economic'!F$29</f>
        <v>414834.82466763252</v>
      </c>
      <c r="S83" s="61">
        <f>S7/'Demographic-Economic'!G$29</f>
        <v>517736.95144192502</v>
      </c>
      <c r="T83" s="61">
        <f>T7/'Demographic-Economic'!H$29</f>
        <v>118923.89269955413</v>
      </c>
      <c r="W83">
        <v>2022</v>
      </c>
      <c r="X83" s="61">
        <f>X7/'Demographic-Economic'!C$29</f>
        <v>2518823.7696481165</v>
      </c>
      <c r="Y83" s="61">
        <f>Y7/'Demographic-Economic'!D$29</f>
        <v>1718672.0680315988</v>
      </c>
      <c r="Z83" s="61">
        <f>Z7/'Demographic-Economic'!E$29</f>
        <v>2072514.4034487386</v>
      </c>
      <c r="AA83" s="61">
        <f>AA7/'Demographic-Economic'!F$29</f>
        <v>416460.8310663806</v>
      </c>
      <c r="AB83" s="61">
        <f>AB7/'Demographic-Economic'!G$29</f>
        <v>519749.678901045</v>
      </c>
      <c r="AC83" s="61">
        <f>AC7/'Demographic-Economic'!H$29</f>
        <v>119388.29652167916</v>
      </c>
      <c r="AG83">
        <v>2022</v>
      </c>
      <c r="AH83" s="61">
        <f>AH7/'Demographic-Economic'!C$29</f>
        <v>2499596.7551374175</v>
      </c>
      <c r="AI83" s="61">
        <f>AI7/'Demographic-Economic'!D$29</f>
        <v>1705552.8759748258</v>
      </c>
      <c r="AJ83" s="61">
        <f>AJ7/'Demographic-Economic'!E$29</f>
        <v>2057362.5850745796</v>
      </c>
      <c r="AK83" s="61">
        <f>AK7/'Demographic-Economic'!F$29</f>
        <v>413543.08130713075</v>
      </c>
      <c r="AL83" s="61">
        <f>AL7/'Demographic-Economic'!G$29</f>
        <v>515973.253177048</v>
      </c>
      <c r="AM83" s="61">
        <f>AM7/'Demographic-Economic'!H$29</f>
        <v>117427.36467204486</v>
      </c>
    </row>
    <row r="84" spans="5:39">
      <c r="E84">
        <v>2023</v>
      </c>
      <c r="F84" s="61">
        <f>F8/'Demographic-Economic'!C$29</f>
        <v>2510645.0680597331</v>
      </c>
      <c r="G84" s="61">
        <f>G8/'Demographic-Economic'!D$29</f>
        <v>1710947.4402772752</v>
      </c>
      <c r="H84" s="61">
        <f>H8/'Demographic-Economic'!E$29</f>
        <v>2073816.1077271975</v>
      </c>
      <c r="I84" s="61">
        <f>I8/'Demographic-Economic'!F$29</f>
        <v>417599.69054652046</v>
      </c>
      <c r="J84" s="61">
        <f>J8/'Demographic-Economic'!G$29</f>
        <v>520109.80776685604</v>
      </c>
      <c r="K84" s="61">
        <f>K8/'Demographic-Economic'!H$29</f>
        <v>117946.39809928593</v>
      </c>
      <c r="N84">
        <v>2023</v>
      </c>
      <c r="O84" s="61">
        <f>O8/'Demographic-Economic'!C$29</f>
        <v>2526972.4763888153</v>
      </c>
      <c r="P84" s="61">
        <f>P8/'Demographic-Economic'!D$29</f>
        <v>1722074.1972380253</v>
      </c>
      <c r="Q84" s="61">
        <f>Q8/'Demographic-Economic'!E$29</f>
        <v>2086264.4484742135</v>
      </c>
      <c r="R84" s="61">
        <f>R8/'Demographic-Economic'!F$29</f>
        <v>419935.30781715747</v>
      </c>
      <c r="S84" s="61">
        <f>S8/'Demographic-Economic'!G$29</f>
        <v>523206.79795225029</v>
      </c>
      <c r="T84" s="61">
        <f>T8/'Demographic-Economic'!H$29</f>
        <v>120309.06168621109</v>
      </c>
      <c r="W84">
        <v>2023</v>
      </c>
      <c r="X84" s="61">
        <f>X8/'Demographic-Economic'!C$29</f>
        <v>2541593.5424589287</v>
      </c>
      <c r="Y84" s="61">
        <f>Y8/'Demographic-Economic'!D$29</f>
        <v>1732038.1208069262</v>
      </c>
      <c r="Z84" s="61">
        <f>Z8/'Demographic-Economic'!E$29</f>
        <v>2098302.4631165955</v>
      </c>
      <c r="AA84" s="61">
        <f>AA8/'Demographic-Economic'!F$29</f>
        <v>422397.16351166123</v>
      </c>
      <c r="AB84" s="61">
        <f>AB8/'Demographic-Economic'!G$29</f>
        <v>526228.81920335628</v>
      </c>
      <c r="AC84" s="61">
        <f>AC8/'Demographic-Economic'!H$29</f>
        <v>121010.69964759202</v>
      </c>
      <c r="AG84">
        <v>2023</v>
      </c>
      <c r="AH84" s="61">
        <f>AH8/'Demographic-Economic'!C$29</f>
        <v>2512789.0713450871</v>
      </c>
      <c r="AI84" s="61">
        <f>AI8/'Demographic-Economic'!D$29</f>
        <v>1712408.5296919793</v>
      </c>
      <c r="AJ84" s="61">
        <f>AJ8/'Demographic-Economic'!E$29</f>
        <v>2075582.7921558972</v>
      </c>
      <c r="AK84" s="61">
        <f>AK8/'Demographic-Economic'!F$29</f>
        <v>417961.15863250091</v>
      </c>
      <c r="AL84" s="61">
        <f>AL8/'Demographic-Economic'!G$29</f>
        <v>520553.34165397455</v>
      </c>
      <c r="AM84" s="61">
        <f>AM8/'Demographic-Economic'!H$29</f>
        <v>118047.12020781399</v>
      </c>
    </row>
    <row r="85" spans="5:39">
      <c r="E85">
        <v>2024</v>
      </c>
      <c r="F85" s="61">
        <f>F9/'Demographic-Economic'!C$29</f>
        <v>2523089.4034339776</v>
      </c>
      <c r="G85" s="61">
        <f>G9/'Demographic-Economic'!D$29</f>
        <v>1717275.9965135157</v>
      </c>
      <c r="H85" s="61">
        <f>H9/'Demographic-Economic'!E$29</f>
        <v>2091699.9885572391</v>
      </c>
      <c r="I85" s="61">
        <f>I9/'Demographic-Economic'!F$29</f>
        <v>421765.79563295748</v>
      </c>
      <c r="J85" s="61">
        <f>J9/'Demographic-Economic'!G$29</f>
        <v>524499.54239332315</v>
      </c>
      <c r="K85" s="61">
        <f>K9/'Demographic-Economic'!H$29</f>
        <v>118531.01459996321</v>
      </c>
      <c r="N85">
        <v>2024</v>
      </c>
      <c r="O85" s="61">
        <f>O9/'Demographic-Economic'!C$29</f>
        <v>2544832.0688588731</v>
      </c>
      <c r="P85" s="61">
        <f>P9/'Demographic-Economic'!D$29</f>
        <v>1732074.5832713137</v>
      </c>
      <c r="Q85" s="61">
        <f>Q9/'Demographic-Economic'!E$29</f>
        <v>2108286.0543816253</v>
      </c>
      <c r="R85" s="61">
        <f>R9/'Demographic-Economic'!F$29</f>
        <v>424924.08686899196</v>
      </c>
      <c r="S85" s="61">
        <f>S9/'Demographic-Economic'!G$29</f>
        <v>528637.4109527308</v>
      </c>
      <c r="T85" s="61">
        <f>T9/'Demographic-Economic'!H$29</f>
        <v>121703.49254238303</v>
      </c>
      <c r="W85">
        <v>2024</v>
      </c>
      <c r="X85" s="61">
        <f>X9/'Demographic-Economic'!C$29</f>
        <v>2564302.455175573</v>
      </c>
      <c r="Y85" s="61">
        <f>Y9/'Demographic-Economic'!D$29</f>
        <v>1745326.6016179514</v>
      </c>
      <c r="Z85" s="61">
        <f>Z9/'Demographic-Economic'!E$29</f>
        <v>2124363.2830919228</v>
      </c>
      <c r="AA85" s="61">
        <f>AA9/'Demographic-Economic'!F$29</f>
        <v>428229.81946286757</v>
      </c>
      <c r="AB85" s="61">
        <f>AB9/'Demographic-Economic'!G$29</f>
        <v>532668.03306846495</v>
      </c>
      <c r="AC85" s="61">
        <f>AC9/'Demographic-Economic'!H$29</f>
        <v>122645.79590557124</v>
      </c>
      <c r="AG85">
        <v>2024</v>
      </c>
      <c r="AH85" s="61">
        <f>AH9/'Demographic-Economic'!C$29</f>
        <v>2525944.5011423077</v>
      </c>
      <c r="AI85" s="61">
        <f>AI9/'Demographic-Economic'!D$29</f>
        <v>1719219.2454350726</v>
      </c>
      <c r="AJ85" s="61">
        <f>AJ9/'Demographic-Economic'!E$29</f>
        <v>2094060.4681958978</v>
      </c>
      <c r="AK85" s="61">
        <f>AK9/'Demographic-Economic'!F$29</f>
        <v>422251.13413738814</v>
      </c>
      <c r="AL85" s="61">
        <f>AL9/'Demographic-Economic'!G$29</f>
        <v>525091.3718222708</v>
      </c>
      <c r="AM85" s="61">
        <f>AM9/'Demographic-Economic'!H$29</f>
        <v>118665.1428744864</v>
      </c>
    </row>
    <row r="86" spans="5:39">
      <c r="E86">
        <v>2025</v>
      </c>
      <c r="F86" s="61">
        <f>F10/'Demographic-Economic'!C$29</f>
        <v>2535498.7050868687</v>
      </c>
      <c r="G86" s="61">
        <f>G10/'Demographic-Economic'!D$29</f>
        <v>1723562.2165470733</v>
      </c>
      <c r="H86" s="61">
        <f>H10/'Demographic-Economic'!E$29</f>
        <v>2109821.6742041572</v>
      </c>
      <c r="I86" s="61">
        <f>I10/'Demographic-Economic'!F$29</f>
        <v>425814.62710653816</v>
      </c>
      <c r="J86" s="61">
        <f>J10/'Demographic-Economic'!G$29</f>
        <v>528851.24530967546</v>
      </c>
      <c r="K86" s="61">
        <f>K10/'Demographic-Economic'!H$29</f>
        <v>119113.98526814175</v>
      </c>
      <c r="N86">
        <v>2025</v>
      </c>
      <c r="O86" s="61">
        <f>O10/'Demographic-Economic'!C$29</f>
        <v>2562643.0639532604</v>
      </c>
      <c r="P86" s="61">
        <f>P10/'Demographic-Economic'!D$29</f>
        <v>1742014.2044107025</v>
      </c>
      <c r="Q86" s="61">
        <f>Q10/'Demographic-Economic'!E$29</f>
        <v>2130552.9064881695</v>
      </c>
      <c r="R86" s="61">
        <f>R10/'Demographic-Economic'!F$29</f>
        <v>429807.85101987224</v>
      </c>
      <c r="S86" s="61">
        <f>S10/'Demographic-Economic'!G$29</f>
        <v>534031.33043744508</v>
      </c>
      <c r="T86" s="61">
        <f>T10/'Demographic-Economic'!H$29</f>
        <v>123106.88219995445</v>
      </c>
      <c r="W86">
        <v>2025</v>
      </c>
      <c r="X86" s="61">
        <f>X10/'Demographic-Economic'!C$29</f>
        <v>2586950.6243705163</v>
      </c>
      <c r="Y86" s="61">
        <f>Y10/'Demographic-Economic'!D$29</f>
        <v>1758537.8147866661</v>
      </c>
      <c r="Z86" s="61">
        <f>Z10/'Demographic-Economic'!E$29</f>
        <v>2150693.5602235273</v>
      </c>
      <c r="AA86" s="61">
        <f>AA10/'Demographic-Economic'!F$29</f>
        <v>433961.00488667842</v>
      </c>
      <c r="AB86" s="61">
        <f>AB10/'Demographic-Economic'!G$29</f>
        <v>539068.25504210813</v>
      </c>
      <c r="AC86" s="61">
        <f>AC10/'Demographic-Economic'!H$29</f>
        <v>124293.30321292415</v>
      </c>
      <c r="AG86">
        <v>2025</v>
      </c>
      <c r="AH86" s="61">
        <f>AH10/'Demographic-Economic'!C$29</f>
        <v>2539063.1161321113</v>
      </c>
      <c r="AI86" s="61">
        <f>AI10/'Demographic-Economic'!D$29</f>
        <v>1725985.2050461397</v>
      </c>
      <c r="AJ86" s="61">
        <f>AJ10/'Demographic-Economic'!E$29</f>
        <v>2112779.9590507955</v>
      </c>
      <c r="AK86" s="61">
        <f>AK10/'Demographic-Economic'!F$29</f>
        <v>426424.30426454963</v>
      </c>
      <c r="AL86" s="61">
        <f>AL10/'Demographic-Economic'!G$29</f>
        <v>529591.25581784709</v>
      </c>
      <c r="AM86" s="61">
        <f>AM10/'Demographic-Economic'!H$29</f>
        <v>119281.43603586681</v>
      </c>
    </row>
    <row r="87" spans="5:39">
      <c r="E87">
        <v>2026</v>
      </c>
      <c r="F87" s="61">
        <f>F11/'Demographic-Economic'!C$29</f>
        <v>2547873.041158434</v>
      </c>
      <c r="G87" s="61">
        <f>G11/'Demographic-Economic'!D$29</f>
        <v>1729806.272505485</v>
      </c>
      <c r="H87" s="61">
        <f>H11/'Demographic-Economic'!E$29</f>
        <v>2128166.5433636522</v>
      </c>
      <c r="I87" s="61">
        <f>I11/'Demographic-Economic'!F$29</f>
        <v>429756.76678377698</v>
      </c>
      <c r="J87" s="61">
        <f>J11/'Demographic-Economic'!G$29</f>
        <v>533168.5362130038</v>
      </c>
      <c r="K87" s="61">
        <f>K11/'Demographic-Economic'!H$29</f>
        <v>119695.31330493954</v>
      </c>
      <c r="N87">
        <v>2026</v>
      </c>
      <c r="O87" s="61">
        <f>O11/'Demographic-Economic'!C$29</f>
        <v>2580405.5552598047</v>
      </c>
      <c r="P87" s="61">
        <f>P11/'Demographic-Economic'!D$29</f>
        <v>1751893.3019782489</v>
      </c>
      <c r="Q87" s="61">
        <f>Q11/'Demographic-Economic'!E$29</f>
        <v>2153056.0831477591</v>
      </c>
      <c r="R87" s="61">
        <f>R11/'Demographic-Economic'!F$29</f>
        <v>434592.96468361776</v>
      </c>
      <c r="S87" s="61">
        <f>S11/'Demographic-Economic'!G$29</f>
        <v>539390.97358156997</v>
      </c>
      <c r="T87" s="61">
        <f>T11/'Demographic-Economic'!H$29</f>
        <v>124518.94498061216</v>
      </c>
      <c r="W87">
        <v>2026</v>
      </c>
      <c r="X87" s="61">
        <f>X11/'Demographic-Economic'!C$29</f>
        <v>2609538.1664198861</v>
      </c>
      <c r="Y87" s="61">
        <f>Y11/'Demographic-Economic'!D$29</f>
        <v>1771672.0635982775</v>
      </c>
      <c r="Z87" s="61">
        <f>Z11/'Demographic-Economic'!E$29</f>
        <v>2177289.4944909248</v>
      </c>
      <c r="AA87" s="61">
        <f>AA11/'Demographic-Economic'!F$29</f>
        <v>439593.27295288129</v>
      </c>
      <c r="AB87" s="61">
        <f>AB11/'Demographic-Economic'!G$29</f>
        <v>545430.57235746575</v>
      </c>
      <c r="AC87" s="61">
        <f>AC11/'Demographic-Economic'!H$29</f>
        <v>125952.93217489078</v>
      </c>
      <c r="AG87">
        <v>2026</v>
      </c>
      <c r="AH87" s="61">
        <f>AH11/'Demographic-Economic'!C$29</f>
        <v>2552144.9877961571</v>
      </c>
      <c r="AI87" s="61">
        <f>AI11/'Demographic-Economic'!D$29</f>
        <v>1732706.589738867</v>
      </c>
      <c r="AJ87" s="61">
        <f>AJ11/'Demographic-Economic'!E$29</f>
        <v>2131727.2416495169</v>
      </c>
      <c r="AK87" s="61">
        <f>AK11/'Demographic-Economic'!F$29</f>
        <v>430490.77112553624</v>
      </c>
      <c r="AL87" s="61">
        <f>AL11/'Demographic-Economic'!G$29</f>
        <v>534056.48936365882</v>
      </c>
      <c r="AM87" s="61">
        <f>AM11/'Demographic-Economic'!H$29</f>
        <v>119896.00305005799</v>
      </c>
    </row>
    <row r="88" spans="5:39">
      <c r="E88">
        <v>2027</v>
      </c>
      <c r="F88" s="61">
        <f>F12/'Demographic-Economic'!C$29</f>
        <v>2560212.4796730941</v>
      </c>
      <c r="G88" s="61">
        <f>G12/'Demographic-Economic'!D$29</f>
        <v>1736008.335920251</v>
      </c>
      <c r="H88" s="61">
        <f>H12/'Demographic-Economic'!E$29</f>
        <v>2146721.5619494515</v>
      </c>
      <c r="I88" s="61">
        <f>I12/'Demographic-Economic'!F$29</f>
        <v>433601.63083779428</v>
      </c>
      <c r="J88" s="61">
        <f>J12/'Demographic-Economic'!G$29</f>
        <v>537454.63298971532</v>
      </c>
      <c r="K88" s="61">
        <f>K12/'Demographic-Economic'!H$29</f>
        <v>120275.00190604334</v>
      </c>
      <c r="N88">
        <v>2027</v>
      </c>
      <c r="O88" s="61">
        <f>O12/'Demographic-Economic'!C$29</f>
        <v>2598119.6362082949</v>
      </c>
      <c r="P88" s="61">
        <f>P12/'Demographic-Economic'!D$29</f>
        <v>1761712.1164691797</v>
      </c>
      <c r="Q88" s="61">
        <f>Q12/'Demographic-Economic'!E$29</f>
        <v>2175787.0995588568</v>
      </c>
      <c r="R88" s="61">
        <f>R12/'Demographic-Economic'!F$29</f>
        <v>439285.46711735922</v>
      </c>
      <c r="S88" s="61">
        <f>S12/'Demographic-Economic'!G$29</f>
        <v>544718.63418799045</v>
      </c>
      <c r="T88" s="61">
        <f>T12/'Demographic-Economic'!H$29</f>
        <v>125939.41210347874</v>
      </c>
      <c r="W88">
        <v>2027</v>
      </c>
      <c r="X88" s="61">
        <f>X12/'Demographic-Economic'!C$29</f>
        <v>2632065.1975037814</v>
      </c>
      <c r="Y88" s="61">
        <f>Y12/'Demographic-Economic'!D$29</f>
        <v>1784729.6503044884</v>
      </c>
      <c r="Z88" s="61">
        <f>Z12/'Demographic-Economic'!E$29</f>
        <v>2204146.8687624373</v>
      </c>
      <c r="AA88" s="61">
        <f>AA12/'Demographic-Economic'!F$29</f>
        <v>445129.46719729126</v>
      </c>
      <c r="AB88" s="61">
        <f>AB12/'Demographic-Economic'!G$29</f>
        <v>551756.19975125138</v>
      </c>
      <c r="AC88" s="61">
        <f>AC12/'Demographic-Economic'!H$29</f>
        <v>127624.38911899026</v>
      </c>
      <c r="AG88">
        <v>2027</v>
      </c>
      <c r="AH88" s="61">
        <f>AH12/'Demographic-Economic'!C$29</f>
        <v>2565190.1874949238</v>
      </c>
      <c r="AI88" s="61">
        <f>AI12/'Demographic-Economic'!D$29</f>
        <v>1739383.5801005994</v>
      </c>
      <c r="AJ88" s="61">
        <f>AJ12/'Demographic-Economic'!E$29</f>
        <v>2150889.7224541623</v>
      </c>
      <c r="AK88" s="61">
        <f>AK12/'Demographic-Economic'!F$29</f>
        <v>434459.59016387135</v>
      </c>
      <c r="AL88" s="61">
        <f>AL12/'Demographic-Economic'!G$29</f>
        <v>538490.20322539192</v>
      </c>
      <c r="AM88" s="61">
        <f>AM12/'Demographic-Economic'!H$29</f>
        <v>120508.84726946989</v>
      </c>
    </row>
    <row r="89" spans="5:39">
      <c r="E89">
        <v>2028</v>
      </c>
      <c r="F89" s="61">
        <f>F13/'Demographic-Economic'!C$29</f>
        <v>2572517.0885398402</v>
      </c>
      <c r="G89" s="61">
        <f>G13/'Demographic-Economic'!D$29</f>
        <v>1742168.5777287402</v>
      </c>
      <c r="H89" s="61">
        <f>H13/'Demographic-Economic'!E$29</f>
        <v>2165475.0755619239</v>
      </c>
      <c r="I89" s="61">
        <f>I13/'Demographic-Economic'!F$29</f>
        <v>437357.62227803667</v>
      </c>
      <c r="J89" s="61">
        <f>J13/'Demographic-Economic'!G$29</f>
        <v>541712.40427472815</v>
      </c>
      <c r="K89" s="61">
        <f>K13/'Demographic-Economic'!H$29</f>
        <v>120853.05426171735</v>
      </c>
      <c r="N89">
        <v>2028</v>
      </c>
      <c r="O89" s="61">
        <f>O13/'Demographic-Economic'!C$29</f>
        <v>2615785.4000707339</v>
      </c>
      <c r="P89" s="61">
        <f>P13/'Demographic-Economic'!D$29</f>
        <v>1771470.8875545191</v>
      </c>
      <c r="Q89" s="61">
        <f>Q13/'Demographic-Economic'!E$29</f>
        <v>2198737.9041721402</v>
      </c>
      <c r="R89" s="61">
        <f>R13/'Demographic-Economic'!F$29</f>
        <v>443891.07569701888</v>
      </c>
      <c r="S89" s="61">
        <f>S13/'Demographic-Economic'!G$29</f>
        <v>550016.4835902293</v>
      </c>
      <c r="T89" s="61">
        <f>T13/'Demographic-Economic'!H$29</f>
        <v>127368.03108884233</v>
      </c>
      <c r="W89">
        <v>2028</v>
      </c>
      <c r="X89" s="61">
        <f>X13/'Demographic-Economic'!C$29</f>
        <v>2654531.8336065826</v>
      </c>
      <c r="Y89" s="61">
        <f>Y13/'Demographic-Economic'!D$29</f>
        <v>1797710.8761267704</v>
      </c>
      <c r="Z89" s="61">
        <f>Z13/'Demographic-Economic'!E$29</f>
        <v>2231261.1251384872</v>
      </c>
      <c r="AA89" s="61">
        <f>AA13/'Demographic-Economic'!F$29</f>
        <v>450572.66721451294</v>
      </c>
      <c r="AB89" s="61">
        <f>AB13/'Demographic-Economic'!G$29</f>
        <v>558046.45542128698</v>
      </c>
      <c r="AC89" s="61">
        <f>AC13/'Demographic-Economic'!H$29</f>
        <v>129307.37884871816</v>
      </c>
      <c r="AG89">
        <v>2028</v>
      </c>
      <c r="AH89" s="61">
        <f>AH13/'Demographic-Economic'!C$29</f>
        <v>2578198.7864679005</v>
      </c>
      <c r="AI89" s="61">
        <f>AI13/'Demographic-Economic'!D$29</f>
        <v>1746016.3560943378</v>
      </c>
      <c r="AJ89" s="61">
        <f>AJ13/'Demographic-Economic'!E$29</f>
        <v>2170256.0642645364</v>
      </c>
      <c r="AK89" s="61">
        <f>AK13/'Demographic-Economic'!F$29</f>
        <v>438338.89705048921</v>
      </c>
      <c r="AL89" s="61">
        <f>AL13/'Demographic-Economic'!G$29</f>
        <v>542895.20743094734</v>
      </c>
      <c r="AM89" s="61">
        <f>AM13/'Demographic-Economic'!H$29</f>
        <v>121119.97204082852</v>
      </c>
    </row>
    <row r="90" spans="5:39">
      <c r="E90">
        <v>2029</v>
      </c>
      <c r="F90" s="61">
        <f>F14/'Demographic-Economic'!C$29</f>
        <v>2584786.9355524196</v>
      </c>
      <c r="G90" s="61">
        <f>G14/'Demographic-Economic'!D$29</f>
        <v>1748287.1682760874</v>
      </c>
      <c r="H90" s="61">
        <f>H14/'Demographic-Economic'!E$29</f>
        <v>2184416.6332450877</v>
      </c>
      <c r="I90" s="61">
        <f>I14/'Demographic-Economic'!F$29</f>
        <v>441032.26044226799</v>
      </c>
      <c r="J90" s="61">
        <f>J14/'Demographic-Economic'!G$29</f>
        <v>545944.41408546909</v>
      </c>
      <c r="K90" s="61">
        <f>K14/'Demographic-Economic'!H$29</f>
        <v>121429.4735568117</v>
      </c>
      <c r="N90">
        <v>2029</v>
      </c>
      <c r="O90" s="61">
        <f>O14/'Demographic-Economic'!C$29</f>
        <v>2633402.9399615848</v>
      </c>
      <c r="P90" s="61">
        <f>P14/'Demographic-Economic'!D$29</f>
        <v>1781169.8540837036</v>
      </c>
      <c r="Q90" s="61">
        <f>Q14/'Demographic-Economic'!E$29</f>
        <v>2221900.8710547192</v>
      </c>
      <c r="R90" s="61">
        <f>R14/'Demographic-Economic'!F$29</f>
        <v>448415.19210074685</v>
      </c>
      <c r="S90" s="61">
        <f>S14/'Demographic-Economic'!G$29</f>
        <v>555286.57272204862</v>
      </c>
      <c r="T90" s="61">
        <f>T14/'Demographic-Economic'!H$29</f>
        <v>128804.56508669199</v>
      </c>
      <c r="W90">
        <v>2029</v>
      </c>
      <c r="X90" s="61">
        <f>X14/'Demographic-Economic'!C$29</f>
        <v>2676938.1905172546</v>
      </c>
      <c r="Y90" s="61">
        <f>Y14/'Demographic-Economic'!D$29</f>
        <v>1810616.0412596271</v>
      </c>
      <c r="Z90" s="61">
        <f>Z14/'Demographic-Economic'!E$29</f>
        <v>2258627.4368426097</v>
      </c>
      <c r="AA90" s="61">
        <f>AA14/'Demographic-Economic'!F$29</f>
        <v>455926.13760572986</v>
      </c>
      <c r="AB90" s="61">
        <f>AB14/'Demographic-Economic'!G$29</f>
        <v>564302.73844381166</v>
      </c>
      <c r="AC90" s="61">
        <f>AC14/'Demographic-Economic'!H$29</f>
        <v>131001.60709921757</v>
      </c>
      <c r="AG90">
        <v>2029</v>
      </c>
      <c r="AH90" s="61">
        <f>AH14/'Demographic-Economic'!C$29</f>
        <v>2591170.8558337768</v>
      </c>
      <c r="AI90" s="61">
        <f>AI14/'Demographic-Economic'!D$29</f>
        <v>1752605.0970607316</v>
      </c>
      <c r="AJ90" s="61">
        <f>AJ14/'Demographic-Economic'!E$29</f>
        <v>2189816.0369248069</v>
      </c>
      <c r="AK90" s="61">
        <f>AK14/'Demographic-Economic'!F$29</f>
        <v>442136.01706569816</v>
      </c>
      <c r="AL90" s="61">
        <f>AL14/'Demographic-Economic'!G$29</f>
        <v>547274.02938811411</v>
      </c>
      <c r="AM90" s="61">
        <f>AM14/'Demographic-Economic'!H$29</f>
        <v>121729.3807051849</v>
      </c>
    </row>
    <row r="91" spans="5:39">
      <c r="E91">
        <v>2030</v>
      </c>
      <c r="F91" s="61">
        <f>F15/'Demographic-Economic'!C$29</f>
        <v>2597022.0883895177</v>
      </c>
      <c r="G91" s="61">
        <f>G15/'Demographic-Economic'!D$29</f>
        <v>1754364.2773170872</v>
      </c>
      <c r="H91" s="61">
        <f>H15/'Demographic-Economic'!E$29</f>
        <v>2203536.8372167642</v>
      </c>
      <c r="I91" s="61">
        <f>I15/'Demographic-Economic'!F$29</f>
        <v>444632.2914054743</v>
      </c>
      <c r="J91" s="61">
        <f>J15/'Demographic-Economic'!G$29</f>
        <v>550152.95987750322</v>
      </c>
      <c r="K91" s="61">
        <f>K15/'Demographic-Economic'!H$29</f>
        <v>122004.26297077103</v>
      </c>
      <c r="N91">
        <v>2030</v>
      </c>
      <c r="O91" s="61">
        <f>O15/'Demographic-Economic'!C$29</f>
        <v>2650972.3488380229</v>
      </c>
      <c r="P91" s="61">
        <f>P15/'Demographic-Economic'!D$29</f>
        <v>1790809.2540871957</v>
      </c>
      <c r="Q91" s="61">
        <f>Q15/'Demographic-Economic'!E$29</f>
        <v>2245268.7890919619</v>
      </c>
      <c r="R91" s="61">
        <f>R15/'Demographic-Economic'!F$29</f>
        <v>452862.91075640765</v>
      </c>
      <c r="S91" s="61">
        <f>S15/'Demographic-Economic'!G$29</f>
        <v>560530.83510152088</v>
      </c>
      <c r="T91" s="61">
        <f>T15/'Demographic-Economic'!H$29</f>
        <v>130248.79215426125</v>
      </c>
      <c r="W91">
        <v>2030</v>
      </c>
      <c r="X91" s="61">
        <f>X15/'Demographic-Economic'!C$29</f>
        <v>2699284.3838296616</v>
      </c>
      <c r="Y91" s="61">
        <f>Y15/'Demographic-Economic'!D$29</f>
        <v>1823445.4448738445</v>
      </c>
      <c r="Z91" s="61">
        <f>Z15/'Demographic-Economic'!E$29</f>
        <v>2286240.7748913416</v>
      </c>
      <c r="AA91" s="61">
        <f>AA15/'Demographic-Economic'!F$29</f>
        <v>461193.28071524005</v>
      </c>
      <c r="AB91" s="61">
        <f>AB15/'Demographic-Economic'!G$29</f>
        <v>570526.50788391801</v>
      </c>
      <c r="AC91" s="61">
        <f>AC15/'Demographic-Economic'!H$29</f>
        <v>132706.78268787722</v>
      </c>
      <c r="AG91">
        <v>2030</v>
      </c>
      <c r="AH91" s="61">
        <f>AH15/'Demographic-Economic'!C$29</f>
        <v>2604106.466590635</v>
      </c>
      <c r="AI91" s="61">
        <f>AI15/'Demographic-Economic'!D$29</f>
        <v>1759149.981720068</v>
      </c>
      <c r="AJ91" s="61">
        <f>AJ15/'Demographic-Economic'!E$29</f>
        <v>2209560.3882541517</v>
      </c>
      <c r="AK91" s="61">
        <f>AK15/'Demographic-Economic'!F$29</f>
        <v>445857.55966243875</v>
      </c>
      <c r="AL91" s="61">
        <f>AL15/'Demographic-Economic'!G$29</f>
        <v>551628.94683964644</v>
      </c>
      <c r="AM91" s="61">
        <f>AM15/'Demographic-Economic'!H$29</f>
        <v>122337.0765979241</v>
      </c>
    </row>
    <row r="92" spans="5:39">
      <c r="E92">
        <v>2040</v>
      </c>
      <c r="F92" s="61">
        <f>F16/'Demographic-Economic'!C$29</f>
        <v>2669559.8796610674</v>
      </c>
      <c r="G92" s="61">
        <f>G16/'Demographic-Economic'!D$29</f>
        <v>1780538.2604867371</v>
      </c>
      <c r="H92" s="61">
        <f>H16/'Demographic-Economic'!E$29</f>
        <v>2357576.9694336471</v>
      </c>
      <c r="I92" s="61">
        <f>I16/'Demographic-Economic'!F$29</f>
        <v>471979.71276427509</v>
      </c>
      <c r="J92" s="61">
        <f>J16/'Demographic-Economic'!G$29</f>
        <v>582102.6140822405</v>
      </c>
      <c r="K92" s="61">
        <f>K16/'Demographic-Economic'!H$29</f>
        <v>125411.98129599371</v>
      </c>
      <c r="N92">
        <v>2040</v>
      </c>
      <c r="O92" s="61">
        <f>O16/'Demographic-Economic'!C$29</f>
        <v>2785807.6706365184</v>
      </c>
      <c r="P92" s="61">
        <f>P16/'Demographic-Economic'!D$29</f>
        <v>1858073.0036126859</v>
      </c>
      <c r="Q92" s="61">
        <f>Q16/'Demographic-Economic'!E$29</f>
        <v>2451604.5567022627</v>
      </c>
      <c r="R92" s="61">
        <f>R16/'Demographic-Economic'!F$29</f>
        <v>490498.75909550244</v>
      </c>
      <c r="S92" s="61">
        <f>S16/'Demographic-Economic'!G$29</f>
        <v>605042.12469272874</v>
      </c>
      <c r="T92" s="61">
        <f>T16/'Demographic-Economic'!H$29</f>
        <v>143112.04741874282</v>
      </c>
      <c r="W92">
        <v>2040</v>
      </c>
      <c r="X92" s="61">
        <f>X16/'Demographic-Economic'!C$29</f>
        <v>2900461.9537995751</v>
      </c>
      <c r="Y92" s="61">
        <f>Y16/'Demographic-Economic'!D$29</f>
        <v>1934544.9117559937</v>
      </c>
      <c r="Z92" s="61">
        <f>Z16/'Demographic-Economic'!E$29</f>
        <v>2553419.247935629</v>
      </c>
      <c r="AA92" s="61">
        <f>AA16/'Demographic-Economic'!F$29</f>
        <v>510403.50632008928</v>
      </c>
      <c r="AB92" s="61">
        <f>AB16/'Demographic-Economic'!G$29</f>
        <v>629025.22143993597</v>
      </c>
      <c r="AC92" s="61">
        <f>AC16/'Demographic-Economic'!H$29</f>
        <v>149282.02784510917</v>
      </c>
      <c r="AG92">
        <v>2040</v>
      </c>
      <c r="AH92" s="61">
        <f>AH16/'Demographic-Economic'!C$29</f>
        <v>2683361.8807912194</v>
      </c>
      <c r="AI92" s="61">
        <f>AI16/'Demographic-Economic'!D$29</f>
        <v>1789743.8944456344</v>
      </c>
      <c r="AJ92" s="61">
        <f>AJ16/'Demographic-Economic'!E$29</f>
        <v>2369886.844949028</v>
      </c>
      <c r="AK92" s="61">
        <f>AK16/'Demographic-Economic'!F$29</f>
        <v>474395.96610217745</v>
      </c>
      <c r="AL92" s="61">
        <f>AL16/'Demographic-Economic'!G$29</f>
        <v>585016.69545962941</v>
      </c>
      <c r="AM92" s="61">
        <f>AM16/'Demographic-Economic'!H$29</f>
        <v>126060.37892916526</v>
      </c>
    </row>
    <row r="93" spans="5:39">
      <c r="E93">
        <v>2050</v>
      </c>
      <c r="F93" s="61">
        <f>F17/'Demographic-Economic'!C$29</f>
        <v>2714105.5749116684</v>
      </c>
      <c r="G93" s="61">
        <f>G17/'Demographic-Economic'!D$29</f>
        <v>1810249.2684090422</v>
      </c>
      <c r="H93" s="61">
        <f>H17/'Demographic-Economic'!E$29</f>
        <v>2396916.75199869</v>
      </c>
      <c r="I93" s="61">
        <f>I17/'Demographic-Economic'!F$29</f>
        <v>479855.4171488994</v>
      </c>
      <c r="J93" s="61">
        <f>J17/'Demographic-Economic'!G$29</f>
        <v>591815.88773796312</v>
      </c>
      <c r="K93" s="61">
        <f>K17/'Demographic-Economic'!H$29</f>
        <v>127504.67228305436</v>
      </c>
      <c r="N93">
        <v>2050</v>
      </c>
      <c r="O93" s="61">
        <f>O17/'Demographic-Economic'!C$29</f>
        <v>2869912.7571661165</v>
      </c>
      <c r="P93" s="61">
        <f>P17/'Demographic-Economic'!D$29</f>
        <v>1889939.2727019479</v>
      </c>
      <c r="Q93" s="61">
        <f>Q17/'Demographic-Economic'!E$29</f>
        <v>2629586.6163164899</v>
      </c>
      <c r="R93" s="61">
        <f>R17/'Demographic-Economic'!F$29</f>
        <v>514597.10740932001</v>
      </c>
      <c r="S93" s="61">
        <f>S17/'Demographic-Economic'!G$29</f>
        <v>637614.84609182808</v>
      </c>
      <c r="T93" s="61">
        <f>T17/'Demographic-Economic'!H$29</f>
        <v>153900.79488436106</v>
      </c>
      <c r="W93">
        <v>2050</v>
      </c>
      <c r="X93" s="61">
        <f>X17/'Demographic-Economic'!C$29</f>
        <v>3080722.8452047217</v>
      </c>
      <c r="Y93" s="61">
        <f>Y17/'Demographic-Economic'!D$29</f>
        <v>2028765.18769573</v>
      </c>
      <c r="Z93" s="61">
        <f>Z17/'Demographic-Economic'!E$29</f>
        <v>2827125.4016955304</v>
      </c>
      <c r="AA93" s="61">
        <f>AA17/'Demographic-Economic'!F$29</f>
        <v>550096.27282625693</v>
      </c>
      <c r="AB93" s="61">
        <f>AB17/'Demographic-Economic'!G$29</f>
        <v>681763.02714554383</v>
      </c>
      <c r="AC93" s="61">
        <f>AC17/'Demographic-Economic'!H$29</f>
        <v>165827.60947858897</v>
      </c>
      <c r="AG93">
        <v>2050</v>
      </c>
      <c r="AH93" s="61">
        <f>AH17/'Demographic-Economic'!C$29</f>
        <v>2740862.4925224595</v>
      </c>
      <c r="AI93" s="61">
        <f>AI17/'Demographic-Economic'!D$29</f>
        <v>1828095.5493266124</v>
      </c>
      <c r="AJ93" s="61">
        <f>AJ17/'Demographic-Economic'!E$29</f>
        <v>2420670.1344836499</v>
      </c>
      <c r="AK93" s="61">
        <f>AK17/'Demographic-Economic'!F$29</f>
        <v>484561.59394722414</v>
      </c>
      <c r="AL93" s="61">
        <f>AL17/'Demographic-Economic'!G$29</f>
        <v>597552.7675051929</v>
      </c>
      <c r="AM93" s="61">
        <f>AM17/'Demographic-Economic'!H$29</f>
        <v>128761.67276336164</v>
      </c>
    </row>
    <row r="94" spans="5:39">
      <c r="E94">
        <v>2060</v>
      </c>
      <c r="F94" s="61">
        <f>F18/'Demographic-Economic'!C$29</f>
        <v>2701378.233411497</v>
      </c>
      <c r="G94" s="61">
        <f>G18/'Demographic-Economic'!D$29</f>
        <v>1801760.4090026694</v>
      </c>
      <c r="H94" s="61">
        <f>H18/'Demographic-Economic'!E$29</f>
        <v>2385676.8141229637</v>
      </c>
      <c r="I94" s="61">
        <f>I18/'Demographic-Economic'!F$29</f>
        <v>477605.21589614963</v>
      </c>
      <c r="J94" s="61">
        <f>J18/'Demographic-Economic'!G$29</f>
        <v>589040.66669347102</v>
      </c>
      <c r="K94" s="61">
        <f>K18/'Demographic-Economic'!H$29</f>
        <v>126906.76057246563</v>
      </c>
      <c r="N94">
        <v>2060</v>
      </c>
      <c r="O94" s="61">
        <f>O18/'Demographic-Economic'!C$29</f>
        <v>2935635.9500783184</v>
      </c>
      <c r="P94" s="61">
        <f>P18/'Demographic-Economic'!D$29</f>
        <v>1933220.324748558</v>
      </c>
      <c r="Q94" s="61">
        <f>Q18/'Demographic-Economic'!E$29</f>
        <v>2689806.1571481656</v>
      </c>
      <c r="R94" s="61">
        <f>R18/'Demographic-Economic'!F$29</f>
        <v>526381.77399121295</v>
      </c>
      <c r="S94" s="61">
        <f>S18/'Demographic-Economic'!G$29</f>
        <v>652216.71279622125</v>
      </c>
      <c r="T94" s="61">
        <f>T18/'Demographic-Economic'!H$29</f>
        <v>157425.24056873578</v>
      </c>
      <c r="W94">
        <v>2060</v>
      </c>
      <c r="X94" s="61">
        <f>X18/'Demographic-Economic'!C$29</f>
        <v>3269401.6539973808</v>
      </c>
      <c r="Y94" s="61">
        <f>Y18/'Demographic-Economic'!D$29</f>
        <v>2153016.8708778983</v>
      </c>
      <c r="Z94" s="61">
        <f>Z18/'Demographic-Economic'!E$29</f>
        <v>3000272.6401527873</v>
      </c>
      <c r="AA94" s="61">
        <f>AA18/'Demographic-Economic'!F$29</f>
        <v>583786.90800939128</v>
      </c>
      <c r="AB94" s="61">
        <f>AB18/'Demographic-Economic'!G$29</f>
        <v>723517.59005305218</v>
      </c>
      <c r="AC94" s="61">
        <f>AC18/'Demographic-Economic'!H$29</f>
        <v>175983.71809123352</v>
      </c>
      <c r="AG94">
        <v>2060</v>
      </c>
      <c r="AH94" s="61">
        <f>AH18/'Demographic-Economic'!C$29</f>
        <v>2744056.970951973</v>
      </c>
      <c r="AI94" s="61">
        <f>AI18/'Demographic-Economic'!D$29</f>
        <v>1830226.19682</v>
      </c>
      <c r="AJ94" s="61">
        <f>AJ18/'Demographic-Economic'!E$29</f>
        <v>2423491.4283466842</v>
      </c>
      <c r="AK94" s="61">
        <f>AK18/'Demographic-Economic'!F$29</f>
        <v>485126.35104972671</v>
      </c>
      <c r="AL94" s="61">
        <f>AL18/'Demographic-Economic'!G$29</f>
        <v>598249.21595216857</v>
      </c>
      <c r="AM94" s="61">
        <f>AM18/'Demographic-Economic'!H$29</f>
        <v>128911.74464303922</v>
      </c>
    </row>
    <row r="95" spans="5:39">
      <c r="E95">
        <v>2070</v>
      </c>
      <c r="F95" s="61">
        <f>F19/'Demographic-Economic'!C$29</f>
        <v>2640923.3612856804</v>
      </c>
      <c r="G95" s="61">
        <f>G19/'Demographic-Economic'!D$29</f>
        <v>1761438.3268223978</v>
      </c>
      <c r="H95" s="61">
        <f>H19/'Demographic-Economic'!E$29</f>
        <v>2332287.1092132628</v>
      </c>
      <c r="I95" s="61">
        <f>I19/'Demographic-Economic'!F$29</f>
        <v>466916.75994558801</v>
      </c>
      <c r="J95" s="61">
        <f>J19/'Demographic-Economic'!G$29</f>
        <v>575858.36673213309</v>
      </c>
      <c r="K95" s="61">
        <f>K19/'Demographic-Economic'!H$29</f>
        <v>124066.67994716899</v>
      </c>
      <c r="N95">
        <v>2070</v>
      </c>
      <c r="O95" s="61">
        <f>O19/'Demographic-Economic'!C$29</f>
        <v>2960673.356902014</v>
      </c>
      <c r="P95" s="61">
        <f>P19/'Demographic-Economic'!D$29</f>
        <v>1949708.3445758377</v>
      </c>
      <c r="Q95" s="61">
        <f>Q19/'Demographic-Economic'!E$29</f>
        <v>2712746.9346078518</v>
      </c>
      <c r="R95" s="61">
        <f>R19/'Demographic-Economic'!F$29</f>
        <v>530871.17078431486</v>
      </c>
      <c r="S95" s="61">
        <f>S19/'Demographic-Economic'!G$29</f>
        <v>657779.32868360903</v>
      </c>
      <c r="T95" s="61">
        <f>T19/'Demographic-Economic'!H$29</f>
        <v>158767.88654373566</v>
      </c>
      <c r="W95">
        <v>2070</v>
      </c>
      <c r="X95" s="61">
        <f>X19/'Demographic-Economic'!C$29</f>
        <v>3439521.8914333843</v>
      </c>
      <c r="Y95" s="61">
        <f>Y19/'Demographic-Economic'!D$29</f>
        <v>2265047.0770257544</v>
      </c>
      <c r="Z95" s="61">
        <f>Z19/'Demographic-Economic'!E$29</f>
        <v>3156389.0026962147</v>
      </c>
      <c r="AA95" s="61">
        <f>AA19/'Demographic-Economic'!F$29</f>
        <v>614163.71022369259</v>
      </c>
      <c r="AB95" s="61">
        <f>AB19/'Demographic-Economic'!G$29</f>
        <v>761165.14677293657</v>
      </c>
      <c r="AC95" s="61">
        <f>AC19/'Demographic-Economic'!H$29</f>
        <v>185140.86520099491</v>
      </c>
      <c r="AG95">
        <v>2070</v>
      </c>
      <c r="AH95" s="61">
        <f>AH19/'Demographic-Economic'!C$29</f>
        <v>2702528.7513682996</v>
      </c>
      <c r="AI95" s="61">
        <f>AI19/'Demographic-Economic'!D$29</f>
        <v>1802527.7794059608</v>
      </c>
      <c r="AJ95" s="61">
        <f>AJ19/'Demographic-Economic'!E$29</f>
        <v>2386814.6081272354</v>
      </c>
      <c r="AK95" s="61">
        <f>AK19/'Demographic-Economic'!F$29</f>
        <v>477784.50871719309</v>
      </c>
      <c r="AL95" s="61">
        <f>AL19/'Demographic-Economic'!G$29</f>
        <v>589195.3861414839</v>
      </c>
      <c r="AM95" s="61">
        <f>AM19/'Demographic-Economic'!H$29</f>
        <v>126960.81020723074</v>
      </c>
    </row>
    <row r="96" spans="5:39">
      <c r="E96">
        <v>2080</v>
      </c>
      <c r="F96" s="61">
        <f>F20/'Demographic-Economic'!C$29</f>
        <v>2535922.7939092615</v>
      </c>
      <c r="G96" s="61">
        <f>G20/'Demographic-Economic'!D$29</f>
        <v>1691405.2367198202</v>
      </c>
      <c r="H96" s="61">
        <f>H20/'Demographic-Economic'!E$29</f>
        <v>2239557.6217385186</v>
      </c>
      <c r="I96" s="61">
        <f>I20/'Demographic-Economic'!F$29</f>
        <v>448352.5996104019</v>
      </c>
      <c r="J96" s="61">
        <f>J20/'Demographic-Economic'!G$29</f>
        <v>552962.7931150723</v>
      </c>
      <c r="K96" s="61">
        <f>K20/'Demographic-Economic'!H$29</f>
        <v>119133.90833481165</v>
      </c>
      <c r="N96">
        <v>2080</v>
      </c>
      <c r="O96" s="61">
        <f>O20/'Demographic-Economic'!C$29</f>
        <v>2945024.9776372043</v>
      </c>
      <c r="P96" s="61">
        <f>P20/'Demographic-Economic'!D$29</f>
        <v>1939403.3321837878</v>
      </c>
      <c r="Q96" s="61">
        <f>Q20/'Demographic-Economic'!E$29</f>
        <v>2698408.9486955483</v>
      </c>
      <c r="R96" s="61">
        <f>R20/'Demographic-Economic'!F$29</f>
        <v>528065.29778862617</v>
      </c>
      <c r="S96" s="61">
        <f>S20/'Demographic-Economic'!G$29</f>
        <v>654302.69375399174</v>
      </c>
      <c r="T96" s="61">
        <f>T20/'Demographic-Economic'!H$29</f>
        <v>157928.73280936075</v>
      </c>
      <c r="W96">
        <v>2080</v>
      </c>
      <c r="X96" s="61">
        <f>X20/'Demographic-Economic'!C$29</f>
        <v>3597269.7479649517</v>
      </c>
      <c r="Y96" s="61">
        <f>Y20/'Demographic-Economic'!D$29</f>
        <v>2368929.6318174037</v>
      </c>
      <c r="Z96" s="61">
        <f>Z20/'Demographic-Economic'!E$29</f>
        <v>3301151.4479637574</v>
      </c>
      <c r="AA96" s="61">
        <f>AA20/'Demographic-Economic'!F$29</f>
        <v>642331.2904587721</v>
      </c>
      <c r="AB96" s="61">
        <f>AB20/'Demographic-Economic'!G$29</f>
        <v>796074.69936773856</v>
      </c>
      <c r="AC96" s="61">
        <f>AC20/'Demographic-Economic'!H$29</f>
        <v>193632.03797550101</v>
      </c>
      <c r="AG96">
        <v>2080</v>
      </c>
      <c r="AH96" s="61">
        <f>AH20/'Demographic-Economic'!C$29</f>
        <v>2619472.3122009519</v>
      </c>
      <c r="AI96" s="61">
        <f>AI20/'Demographic-Economic'!D$29</f>
        <v>1747130.9445778811</v>
      </c>
      <c r="AJ96" s="61">
        <f>AJ20/'Demographic-Economic'!E$29</f>
        <v>2313460.967688337</v>
      </c>
      <c r="AK96" s="61">
        <f>AK20/'Demographic-Economic'!F$29</f>
        <v>463100.82405212556</v>
      </c>
      <c r="AL96" s="61">
        <f>AL20/'Demographic-Economic'!G$29</f>
        <v>571087.72652011435</v>
      </c>
      <c r="AM96" s="61">
        <f>AM20/'Demographic-Economic'!H$29</f>
        <v>123058.94133561371</v>
      </c>
    </row>
    <row r="97" spans="5:39">
      <c r="E97">
        <v>2090</v>
      </c>
      <c r="F97" s="61">
        <f>F21/'Demographic-Economic'!C$29</f>
        <v>2389558.3666572836</v>
      </c>
      <c r="G97" s="61">
        <f>G21/'Demographic-Economic'!D$29</f>
        <v>1593783.3535465305</v>
      </c>
      <c r="H97" s="61">
        <f>H21/'Demographic-Economic'!E$29</f>
        <v>2110298.3361676629</v>
      </c>
      <c r="I97" s="61">
        <f>I21/'Demographic-Economic'!F$29</f>
        <v>422475.28520377894</v>
      </c>
      <c r="J97" s="61">
        <f>J21/'Demographic-Economic'!G$29</f>
        <v>521047.75110341189</v>
      </c>
      <c r="K97" s="61">
        <f>K21/'Demographic-Economic'!H$29</f>
        <v>112257.92366304084</v>
      </c>
      <c r="N97">
        <v>2090</v>
      </c>
      <c r="O97" s="61">
        <f>O21/'Demographic-Economic'!C$29</f>
        <v>2894950.1639898135</v>
      </c>
      <c r="P97" s="61">
        <f>P21/'Demographic-Economic'!D$29</f>
        <v>1906427.2925292281</v>
      </c>
      <c r="Q97" s="61">
        <f>Q21/'Demographic-Economic'!E$29</f>
        <v>2652527.3937761765</v>
      </c>
      <c r="R97" s="61">
        <f>R21/'Demographic-Economic'!F$29</f>
        <v>519086.5042024221</v>
      </c>
      <c r="S97" s="61">
        <f>S21/'Demographic-Economic'!G$29</f>
        <v>643177.4619792162</v>
      </c>
      <c r="T97" s="61">
        <f>T21/'Demographic-Economic'!H$29</f>
        <v>155243.440859361</v>
      </c>
      <c r="W97">
        <v>2090</v>
      </c>
      <c r="X97" s="61">
        <f>X21/'Demographic-Economic'!C$29</f>
        <v>3751924.5092704105</v>
      </c>
      <c r="Y97" s="61">
        <f>Y21/'Demographic-Economic'!D$29</f>
        <v>2470775.2737700008</v>
      </c>
      <c r="Z97" s="61">
        <f>Z21/'Demographic-Economic'!E$29</f>
        <v>3443075.4139123284</v>
      </c>
      <c r="AA97" s="61">
        <f>AA21/'Demographic-Economic'!F$29</f>
        <v>669946.56519904616</v>
      </c>
      <c r="AB97" s="61">
        <f>AB21/'Demographic-Economic'!G$29</f>
        <v>830299.75093126995</v>
      </c>
      <c r="AC97" s="61">
        <f>AC21/'Demographic-Economic'!H$29</f>
        <v>201956.71716619324</v>
      </c>
      <c r="AG97">
        <v>2090</v>
      </c>
      <c r="AH97" s="61">
        <f>AH21/'Demographic-Economic'!C$29</f>
        <v>2501276.6103089582</v>
      </c>
      <c r="AI97" s="61">
        <f>AI21/'Demographic-Economic'!D$29</f>
        <v>1668296.9873225379</v>
      </c>
      <c r="AJ97" s="61">
        <f>AJ21/'Demographic-Economic'!E$29</f>
        <v>2209073.0947560584</v>
      </c>
      <c r="AK97" s="61">
        <f>AK21/'Demographic-Economic'!F$29</f>
        <v>442204.81125952973</v>
      </c>
      <c r="AL97" s="61">
        <f>AL21/'Demographic-Economic'!G$29</f>
        <v>545319.1339820117</v>
      </c>
      <c r="AM97" s="61">
        <f>AM21/'Demographic-Economic'!H$29</f>
        <v>117506.28178754334</v>
      </c>
    </row>
    <row r="98" spans="5:39">
      <c r="E98">
        <v>2100</v>
      </c>
      <c r="F98" s="61">
        <f>F22/'Demographic-Economic'!C$29</f>
        <v>2214557.4210299193</v>
      </c>
      <c r="G98" s="61">
        <f>G22/'Demographic-Economic'!D$29</f>
        <v>1477061.5367089019</v>
      </c>
      <c r="H98" s="61">
        <f>H22/'Demographic-Economic'!E$29</f>
        <v>1955749.1903764224</v>
      </c>
      <c r="I98" s="61">
        <f>I22/'Demographic-Economic'!F$29</f>
        <v>391535.01797846891</v>
      </c>
      <c r="J98" s="61">
        <f>J22/'Demographic-Economic'!G$29</f>
        <v>482888.46174164407</v>
      </c>
      <c r="K98" s="61">
        <f>K22/'Demographic-Economic'!H$29</f>
        <v>104036.6376424453</v>
      </c>
      <c r="N98">
        <v>2100</v>
      </c>
      <c r="O98" s="61">
        <f>O22/'Demographic-Economic'!C$29</f>
        <v>2826097.2952246498</v>
      </c>
      <c r="P98" s="61">
        <f>P22/'Demographic-Economic'!D$29</f>
        <v>1861085.2380042085</v>
      </c>
      <c r="Q98" s="61">
        <f>Q22/'Demographic-Economic'!E$29</f>
        <v>2589440.2557620401</v>
      </c>
      <c r="R98" s="61">
        <f>R22/'Demographic-Economic'!F$29</f>
        <v>506740.66302139155</v>
      </c>
      <c r="S98" s="61">
        <f>S22/'Demographic-Economic'!G$29</f>
        <v>627880.26828889956</v>
      </c>
      <c r="T98" s="61">
        <f>T22/'Demographic-Economic'!H$29</f>
        <v>151551.16442811134</v>
      </c>
      <c r="W98">
        <v>2100</v>
      </c>
      <c r="X98" s="61">
        <f>X22/'Demographic-Economic'!C$29</f>
        <v>3903486.175349758</v>
      </c>
      <c r="Y98" s="61">
        <f>Y22/'Demographic-Economic'!D$29</f>
        <v>2570584.0028835447</v>
      </c>
      <c r="Z98" s="61">
        <f>Z22/'Demographic-Economic'!E$29</f>
        <v>3582160.9005419272</v>
      </c>
      <c r="AA98" s="61">
        <f>AA22/'Demographic-Economic'!F$29</f>
        <v>697009.53444451443</v>
      </c>
      <c r="AB98" s="61">
        <f>AB22/'Demographic-Economic'!G$29</f>
        <v>863840.3014635304</v>
      </c>
      <c r="AC98" s="61">
        <f>AC22/'Demographic-Economic'!H$29</f>
        <v>210114.90277307152</v>
      </c>
      <c r="AG98">
        <v>2100</v>
      </c>
      <c r="AH98" s="61">
        <f>AH22/'Demographic-Economic'!C$29</f>
        <v>2357525.0809808569</v>
      </c>
      <c r="AI98" s="61">
        <f>AI22/'Demographic-Economic'!D$29</f>
        <v>1572417.850120093</v>
      </c>
      <c r="AJ98" s="61">
        <f>AJ22/'Demographic-Economic'!E$29</f>
        <v>2082114.870919503</v>
      </c>
      <c r="AK98" s="61">
        <f>AK22/'Demographic-Economic'!F$29</f>
        <v>416790.74164691305</v>
      </c>
      <c r="AL98" s="61">
        <f>AL22/'Demographic-Economic'!G$29</f>
        <v>513978.95386810292</v>
      </c>
      <c r="AM98" s="61">
        <f>AM22/'Demographic-Economic'!H$29</f>
        <v>110753.04720205233</v>
      </c>
    </row>
    <row r="99" spans="5:39">
      <c r="F99" s="581" t="s">
        <v>49</v>
      </c>
      <c r="G99" s="581"/>
      <c r="H99" s="581"/>
      <c r="I99" s="581"/>
      <c r="J99" s="581"/>
      <c r="K99" s="581"/>
      <c r="O99" s="581" t="s">
        <v>49</v>
      </c>
      <c r="P99" s="581"/>
      <c r="Q99" s="581"/>
      <c r="R99" s="581"/>
      <c r="S99" s="581"/>
      <c r="T99" s="581"/>
      <c r="X99" s="581" t="s">
        <v>49</v>
      </c>
      <c r="Y99" s="581"/>
      <c r="Z99" s="581"/>
      <c r="AA99" s="581"/>
      <c r="AB99" s="581"/>
      <c r="AC99" s="581"/>
      <c r="AH99" s="581" t="s">
        <v>49</v>
      </c>
      <c r="AI99" s="581"/>
      <c r="AJ99" s="581"/>
      <c r="AK99" s="581"/>
      <c r="AL99" s="581"/>
      <c r="AM99" s="581"/>
    </row>
    <row r="100" spans="5:39">
      <c r="E100">
        <v>2020</v>
      </c>
      <c r="F100" s="322" t="s">
        <v>240</v>
      </c>
      <c r="G100" s="322" t="s">
        <v>240</v>
      </c>
      <c r="H100" s="61">
        <f t="shared" ref="H100:J117" si="8">H62-H81</f>
        <v>190769.1983805669</v>
      </c>
      <c r="I100" s="61">
        <f>I62-I81</f>
        <v>92277.599999999977</v>
      </c>
      <c r="J100" s="61">
        <f t="shared" si="8"/>
        <v>59923.200000000012</v>
      </c>
      <c r="K100" s="322" t="s">
        <v>240</v>
      </c>
      <c r="N100">
        <v>2020</v>
      </c>
      <c r="O100" t="s">
        <v>240</v>
      </c>
      <c r="P100" t="s">
        <v>240</v>
      </c>
      <c r="Q100" s="61">
        <f t="shared" ref="Q100:T117" si="9">Q62-Q81</f>
        <v>190769.1983805669</v>
      </c>
      <c r="R100" s="61">
        <f t="shared" si="9"/>
        <v>92277.599999999977</v>
      </c>
      <c r="S100" s="61">
        <f t="shared" si="9"/>
        <v>59923.200000000012</v>
      </c>
      <c r="T100" s="61">
        <f t="shared" si="9"/>
        <v>19297.358490566039</v>
      </c>
      <c r="W100">
        <v>2020</v>
      </c>
      <c r="X100" t="s">
        <v>240</v>
      </c>
      <c r="Y100" t="s">
        <v>240</v>
      </c>
      <c r="Z100" s="61">
        <f t="shared" ref="Z100:AC117" si="10">Z62-Z81</f>
        <v>190769.1983805669</v>
      </c>
      <c r="AA100" s="61">
        <f t="shared" si="10"/>
        <v>92277.599999999977</v>
      </c>
      <c r="AB100" s="61">
        <f t="shared" si="10"/>
        <v>59923.200000000012</v>
      </c>
      <c r="AC100" s="61">
        <f t="shared" si="10"/>
        <v>19297.358490566039</v>
      </c>
      <c r="AG100">
        <v>2020</v>
      </c>
      <c r="AH100" t="s">
        <v>240</v>
      </c>
      <c r="AI100" t="s">
        <v>240</v>
      </c>
      <c r="AJ100" s="61">
        <f t="shared" ref="AJ100:AL117" si="11">AJ62-AJ81</f>
        <v>190769.1983805669</v>
      </c>
      <c r="AK100" s="61">
        <f t="shared" si="11"/>
        <v>92277.599999999977</v>
      </c>
      <c r="AL100" s="61">
        <f t="shared" si="11"/>
        <v>59923.200000000012</v>
      </c>
      <c r="AM100" s="61"/>
    </row>
    <row r="101" spans="5:39">
      <c r="E101">
        <v>2021</v>
      </c>
      <c r="F101" s="322" t="s">
        <v>240</v>
      </c>
      <c r="G101" s="322" t="s">
        <v>240</v>
      </c>
      <c r="H101" s="61">
        <f t="shared" si="8"/>
        <v>212862.29969792534</v>
      </c>
      <c r="I101" s="61">
        <f t="shared" si="8"/>
        <v>88761.611605842656</v>
      </c>
      <c r="J101" s="61">
        <f t="shared" si="8"/>
        <v>60048.629043002788</v>
      </c>
      <c r="K101" s="322" t="s">
        <v>240</v>
      </c>
      <c r="N101">
        <v>2021</v>
      </c>
      <c r="O101" t="s">
        <v>240</v>
      </c>
      <c r="P101" t="s">
        <v>240</v>
      </c>
      <c r="Q101" s="61">
        <f t="shared" si="9"/>
        <v>208697.16892340616</v>
      </c>
      <c r="R101" s="61">
        <f t="shared" si="9"/>
        <v>88012.371694002359</v>
      </c>
      <c r="S101" s="61">
        <f t="shared" si="9"/>
        <v>59022.789053256973</v>
      </c>
      <c r="T101" s="61">
        <f t="shared" si="9"/>
        <v>20259.693604780216</v>
      </c>
      <c r="W101">
        <v>2021</v>
      </c>
      <c r="X101" t="s">
        <v>240</v>
      </c>
      <c r="Y101" t="s">
        <v>240</v>
      </c>
      <c r="Z101" s="61">
        <f t="shared" si="10"/>
        <v>204690.17148916493</v>
      </c>
      <c r="AA101" s="61">
        <f t="shared" si="10"/>
        <v>87208.978192129172</v>
      </c>
      <c r="AB101" s="61">
        <f t="shared" si="10"/>
        <v>58018.143777215853</v>
      </c>
      <c r="AC101" s="61">
        <f t="shared" si="10"/>
        <v>20029.141987634473</v>
      </c>
      <c r="AG101">
        <v>2021</v>
      </c>
      <c r="AH101" t="s">
        <v>240</v>
      </c>
      <c r="AI101" t="s">
        <v>240</v>
      </c>
      <c r="AJ101" s="61">
        <f t="shared" si="11"/>
        <v>212274.6325631619</v>
      </c>
      <c r="AK101" s="61">
        <f t="shared" si="11"/>
        <v>88643.760988435533</v>
      </c>
      <c r="AL101" s="61">
        <f t="shared" si="11"/>
        <v>59901.282224591007</v>
      </c>
      <c r="AM101" s="61"/>
    </row>
    <row r="102" spans="5:39">
      <c r="E102">
        <v>2022</v>
      </c>
      <c r="F102" s="322" t="s">
        <v>240</v>
      </c>
      <c r="G102" s="322" t="s">
        <v>240</v>
      </c>
      <c r="H102" s="61">
        <f t="shared" si="8"/>
        <v>235354.47137409868</v>
      </c>
      <c r="I102" s="61">
        <f t="shared" si="8"/>
        <v>85405.964932759467</v>
      </c>
      <c r="J102" s="61">
        <f t="shared" si="8"/>
        <v>60264.303158388531</v>
      </c>
      <c r="K102" s="322" t="s">
        <v>240</v>
      </c>
      <c r="N102">
        <v>2022</v>
      </c>
      <c r="O102" t="s">
        <v>240</v>
      </c>
      <c r="P102" t="s">
        <v>240</v>
      </c>
      <c r="Q102" s="61">
        <f t="shared" si="9"/>
        <v>227043.51121940673</v>
      </c>
      <c r="R102" s="61">
        <f t="shared" si="9"/>
        <v>83875.52434998512</v>
      </c>
      <c r="S102" s="61">
        <f t="shared" si="9"/>
        <v>58205.309486573795</v>
      </c>
      <c r="T102" s="61">
        <f t="shared" si="9"/>
        <v>21252.110134812567</v>
      </c>
      <c r="W102">
        <v>2022</v>
      </c>
      <c r="X102" t="s">
        <v>240</v>
      </c>
      <c r="Y102" t="s">
        <v>240</v>
      </c>
      <c r="Z102" s="61">
        <f t="shared" si="10"/>
        <v>219026.55356348632</v>
      </c>
      <c r="AA102" s="61">
        <f t="shared" si="10"/>
        <v>82249.517951237038</v>
      </c>
      <c r="AB102" s="61">
        <f t="shared" si="10"/>
        <v>56192.582027453813</v>
      </c>
      <c r="AC102" s="61">
        <f t="shared" si="10"/>
        <v>20787.706312687529</v>
      </c>
      <c r="AG102">
        <v>2022</v>
      </c>
      <c r="AH102" t="s">
        <v>240</v>
      </c>
      <c r="AI102" t="s">
        <v>240</v>
      </c>
      <c r="AJ102" s="61">
        <f t="shared" si="11"/>
        <v>234178.37193764537</v>
      </c>
      <c r="AK102" s="61">
        <f t="shared" si="11"/>
        <v>85167.267710486893</v>
      </c>
      <c r="AL102" s="61">
        <f t="shared" si="11"/>
        <v>59969.007751450816</v>
      </c>
      <c r="AM102" s="61"/>
    </row>
    <row r="103" spans="5:39">
      <c r="E103">
        <v>2023</v>
      </c>
      <c r="F103" s="322" t="s">
        <v>240</v>
      </c>
      <c r="G103" s="322" t="s">
        <v>240</v>
      </c>
      <c r="H103" s="61">
        <f t="shared" si="8"/>
        <v>258279.02680474706</v>
      </c>
      <c r="I103" s="61">
        <f t="shared" si="8"/>
        <v>82195.361615484115</v>
      </c>
      <c r="J103" s="61">
        <f t="shared" si="8"/>
        <v>60565.289429862401</v>
      </c>
      <c r="K103" s="322" t="s">
        <v>240</v>
      </c>
      <c r="N103">
        <v>2023</v>
      </c>
      <c r="O103" t="s">
        <v>240</v>
      </c>
      <c r="P103" t="s">
        <v>240</v>
      </c>
      <c r="Q103" s="61">
        <f t="shared" si="9"/>
        <v>245830.68605773104</v>
      </c>
      <c r="R103" s="61">
        <f t="shared" si="9"/>
        <v>79859.744344847102</v>
      </c>
      <c r="S103" s="61">
        <f t="shared" si="9"/>
        <v>57468.299244468159</v>
      </c>
      <c r="T103" s="61">
        <f t="shared" si="9"/>
        <v>22275.634199516731</v>
      </c>
      <c r="W103">
        <v>2023</v>
      </c>
      <c r="X103" t="s">
        <v>240</v>
      </c>
      <c r="Y103" t="s">
        <v>240</v>
      </c>
      <c r="Z103" s="61">
        <f t="shared" si="10"/>
        <v>233792.671415349</v>
      </c>
      <c r="AA103" s="61">
        <f t="shared" si="10"/>
        <v>77397.888650343346</v>
      </c>
      <c r="AB103" s="61">
        <f t="shared" si="10"/>
        <v>54446.277993362164</v>
      </c>
      <c r="AC103" s="61">
        <f t="shared" si="10"/>
        <v>21573.996238135805</v>
      </c>
      <c r="AG103">
        <v>2023</v>
      </c>
      <c r="AH103" t="s">
        <v>240</v>
      </c>
      <c r="AI103" t="s">
        <v>240</v>
      </c>
      <c r="AJ103" s="61">
        <f t="shared" si="11"/>
        <v>256512.34237604728</v>
      </c>
      <c r="AK103" s="61">
        <f t="shared" si="11"/>
        <v>81833.893529503664</v>
      </c>
      <c r="AL103" s="61">
        <f t="shared" si="11"/>
        <v>60121.755542743893</v>
      </c>
      <c r="AM103" s="61"/>
    </row>
    <row r="104" spans="5:39">
      <c r="E104">
        <v>2024</v>
      </c>
      <c r="F104" s="322" t="s">
        <v>240</v>
      </c>
      <c r="G104" s="322" t="s">
        <v>240</v>
      </c>
      <c r="H104" s="61">
        <f t="shared" si="8"/>
        <v>281667.02452842519</v>
      </c>
      <c r="I104" s="61">
        <f t="shared" si="8"/>
        <v>79116.318920467398</v>
      </c>
      <c r="J104" s="61">
        <f t="shared" si="8"/>
        <v>60947.283406248665</v>
      </c>
      <c r="K104" s="322" t="s">
        <v>240</v>
      </c>
      <c r="N104">
        <v>2024</v>
      </c>
      <c r="O104" t="s">
        <v>240</v>
      </c>
      <c r="P104" t="s">
        <v>240</v>
      </c>
      <c r="Q104" s="61">
        <f t="shared" si="9"/>
        <v>265080.95870403899</v>
      </c>
      <c r="R104" s="61">
        <f t="shared" si="9"/>
        <v>75958.02768443292</v>
      </c>
      <c r="S104" s="61">
        <f t="shared" si="9"/>
        <v>56809.414846841013</v>
      </c>
      <c r="T104" s="61">
        <f t="shared" si="9"/>
        <v>23331.285805863037</v>
      </c>
      <c r="W104">
        <v>2024</v>
      </c>
      <c r="X104" t="s">
        <v>240</v>
      </c>
      <c r="Y104" t="s">
        <v>240</v>
      </c>
      <c r="Z104" s="61">
        <f t="shared" si="10"/>
        <v>249003.72999374149</v>
      </c>
      <c r="AA104" s="61">
        <f t="shared" si="10"/>
        <v>72652.295090557309</v>
      </c>
      <c r="AB104" s="61">
        <f t="shared" si="10"/>
        <v>52778.792731106863</v>
      </c>
      <c r="AC104" s="61">
        <f t="shared" si="10"/>
        <v>22388.982442674824</v>
      </c>
      <c r="AG104">
        <v>2024</v>
      </c>
      <c r="AH104" t="s">
        <v>240</v>
      </c>
      <c r="AI104" t="s">
        <v>240</v>
      </c>
      <c r="AJ104" s="61">
        <f t="shared" si="11"/>
        <v>279306.54488976649</v>
      </c>
      <c r="AK104" s="61">
        <f t="shared" si="11"/>
        <v>78630.980416036735</v>
      </c>
      <c r="AL104" s="61">
        <f t="shared" si="11"/>
        <v>60355.453977301018</v>
      </c>
      <c r="AM104" s="61"/>
    </row>
    <row r="105" spans="5:39">
      <c r="E105">
        <v>2025</v>
      </c>
      <c r="F105" s="322" t="s">
        <v>240</v>
      </c>
      <c r="G105" s="322" t="s">
        <v>240</v>
      </c>
      <c r="H105" s="61">
        <f t="shared" si="8"/>
        <v>305547.61986784218</v>
      </c>
      <c r="I105" s="61">
        <f t="shared" si="8"/>
        <v>76156.914216741221</v>
      </c>
      <c r="J105" s="61">
        <f t="shared" si="8"/>
        <v>61406.521027219133</v>
      </c>
      <c r="K105" s="322" t="s">
        <v>240</v>
      </c>
      <c r="N105">
        <v>2025</v>
      </c>
      <c r="O105" t="s">
        <v>240</v>
      </c>
      <c r="P105" t="s">
        <v>240</v>
      </c>
      <c r="Q105" s="61">
        <f t="shared" si="9"/>
        <v>284816.38758382993</v>
      </c>
      <c r="R105" s="61">
        <f t="shared" si="9"/>
        <v>72163.690303407144</v>
      </c>
      <c r="S105" s="61">
        <f t="shared" si="9"/>
        <v>56226.435899449512</v>
      </c>
      <c r="T105" s="61">
        <f t="shared" si="9"/>
        <v>24420.079230626405</v>
      </c>
      <c r="W105">
        <v>2025</v>
      </c>
      <c r="X105" t="s">
        <v>240</v>
      </c>
      <c r="Y105" t="s">
        <v>240</v>
      </c>
      <c r="Z105" s="61">
        <f t="shared" si="10"/>
        <v>264675.73384847213</v>
      </c>
      <c r="AA105" s="61">
        <f t="shared" si="10"/>
        <v>68010.53643660096</v>
      </c>
      <c r="AB105" s="61">
        <f t="shared" si="10"/>
        <v>51189.511294786469</v>
      </c>
      <c r="AC105" s="61">
        <f t="shared" si="10"/>
        <v>23233.658217656703</v>
      </c>
      <c r="AG105">
        <v>2025</v>
      </c>
      <c r="AH105" t="s">
        <v>240</v>
      </c>
      <c r="AI105" t="s">
        <v>240</v>
      </c>
      <c r="AJ105" s="61">
        <f t="shared" si="11"/>
        <v>302589.33502120385</v>
      </c>
      <c r="AK105" s="61">
        <f t="shared" si="11"/>
        <v>75547.237058729748</v>
      </c>
      <c r="AL105" s="61">
        <f t="shared" si="11"/>
        <v>60666.510519047501</v>
      </c>
      <c r="AM105" s="61"/>
    </row>
    <row r="106" spans="5:39">
      <c r="E106">
        <v>2026</v>
      </c>
      <c r="F106" s="322" t="s">
        <v>240</v>
      </c>
      <c r="G106" s="322" t="s">
        <v>240</v>
      </c>
      <c r="H106" s="61">
        <f t="shared" si="8"/>
        <v>329948.36030687252</v>
      </c>
      <c r="I106" s="61">
        <f t="shared" si="8"/>
        <v>73306.570830352721</v>
      </c>
      <c r="J106" s="61">
        <f t="shared" si="8"/>
        <v>61939.704821847263</v>
      </c>
      <c r="K106" s="322" t="s">
        <v>240</v>
      </c>
      <c r="N106">
        <v>2026</v>
      </c>
      <c r="O106" t="s">
        <v>240</v>
      </c>
      <c r="P106" t="s">
        <v>240</v>
      </c>
      <c r="Q106" s="61">
        <f t="shared" si="9"/>
        <v>305058.82052276563</v>
      </c>
      <c r="R106" s="61">
        <f t="shared" si="9"/>
        <v>68470.372930511949</v>
      </c>
      <c r="S106" s="61">
        <f t="shared" si="9"/>
        <v>55717.267453281092</v>
      </c>
      <c r="T106" s="61">
        <f t="shared" si="9"/>
        <v>25543.023581725356</v>
      </c>
      <c r="W106">
        <v>2026</v>
      </c>
      <c r="X106" t="s">
        <v>240</v>
      </c>
      <c r="Y106" t="s">
        <v>240</v>
      </c>
      <c r="Z106" s="61">
        <f t="shared" si="10"/>
        <v>280825.40917959996</v>
      </c>
      <c r="AA106" s="61">
        <f t="shared" si="10"/>
        <v>63470.064661248412</v>
      </c>
      <c r="AB106" s="61">
        <f t="shared" si="10"/>
        <v>49677.668677385314</v>
      </c>
      <c r="AC106" s="61">
        <f t="shared" si="10"/>
        <v>24109.036387446729</v>
      </c>
      <c r="AG106">
        <v>2026</v>
      </c>
      <c r="AH106" t="s">
        <v>240</v>
      </c>
      <c r="AI106" t="s">
        <v>240</v>
      </c>
      <c r="AJ106" s="61">
        <f t="shared" si="11"/>
        <v>326387.66202100785</v>
      </c>
      <c r="AK106" s="61">
        <f t="shared" si="11"/>
        <v>72572.566488593468</v>
      </c>
      <c r="AL106" s="61">
        <f t="shared" si="11"/>
        <v>61051.751671192236</v>
      </c>
      <c r="AM106" s="61"/>
    </row>
    <row r="107" spans="5:39">
      <c r="E107">
        <v>2027</v>
      </c>
      <c r="F107" s="322" t="s">
        <v>240</v>
      </c>
      <c r="G107" s="322" t="s">
        <v>240</v>
      </c>
      <c r="H107" s="61">
        <f t="shared" si="8"/>
        <v>354895.43487034785</v>
      </c>
      <c r="I107" s="61">
        <f t="shared" si="8"/>
        <v>70555.877741928445</v>
      </c>
      <c r="J107" s="61">
        <f t="shared" si="8"/>
        <v>62543.941777800908</v>
      </c>
      <c r="K107" s="322" t="s">
        <v>240</v>
      </c>
      <c r="N107">
        <v>2027</v>
      </c>
      <c r="O107" t="s">
        <v>240</v>
      </c>
      <c r="P107" t="s">
        <v>240</v>
      </c>
      <c r="Q107" s="61">
        <f t="shared" si="9"/>
        <v>325829.8972609425</v>
      </c>
      <c r="R107" s="61">
        <f t="shared" si="9"/>
        <v>64872.041462363501</v>
      </c>
      <c r="S107" s="61">
        <f t="shared" si="9"/>
        <v>55279.940579525777</v>
      </c>
      <c r="T107" s="61">
        <f t="shared" si="9"/>
        <v>26701.123500585381</v>
      </c>
      <c r="W107">
        <v>2027</v>
      </c>
      <c r="X107" t="s">
        <v>240</v>
      </c>
      <c r="Y107" t="s">
        <v>240</v>
      </c>
      <c r="Z107" s="61">
        <f t="shared" si="10"/>
        <v>297470.12805736205</v>
      </c>
      <c r="AA107" s="61">
        <f t="shared" si="10"/>
        <v>59028.04138243146</v>
      </c>
      <c r="AB107" s="61">
        <f t="shared" si="10"/>
        <v>48242.37501626485</v>
      </c>
      <c r="AC107" s="61">
        <f t="shared" si="10"/>
        <v>25016.146485073856</v>
      </c>
      <c r="AG107">
        <v>2027</v>
      </c>
      <c r="AH107" t="s">
        <v>240</v>
      </c>
      <c r="AI107" t="s">
        <v>240</v>
      </c>
      <c r="AJ107" s="61">
        <f t="shared" si="11"/>
        <v>350727.27436563699</v>
      </c>
      <c r="AK107" s="61">
        <f t="shared" si="11"/>
        <v>69697.918415851367</v>
      </c>
      <c r="AL107" s="61">
        <f t="shared" si="11"/>
        <v>61508.371542124311</v>
      </c>
      <c r="AM107" s="61"/>
    </row>
    <row r="108" spans="5:39">
      <c r="E108">
        <v>2028</v>
      </c>
      <c r="F108" s="322" t="s">
        <v>240</v>
      </c>
      <c r="G108" s="322" t="s">
        <v>240</v>
      </c>
      <c r="H108" s="61">
        <f t="shared" si="8"/>
        <v>380413.88570386684</v>
      </c>
      <c r="I108" s="61">
        <f t="shared" si="8"/>
        <v>67896.437106978032</v>
      </c>
      <c r="J108" s="61">
        <f t="shared" si="8"/>
        <v>63216.690803907113</v>
      </c>
      <c r="K108" s="322" t="s">
        <v>240</v>
      </c>
      <c r="N108">
        <v>2028</v>
      </c>
      <c r="O108" t="s">
        <v>240</v>
      </c>
      <c r="P108" t="s">
        <v>240</v>
      </c>
      <c r="Q108" s="61">
        <f t="shared" si="9"/>
        <v>347151.05709365057</v>
      </c>
      <c r="R108" s="61">
        <f t="shared" si="9"/>
        <v>61362.983687995817</v>
      </c>
      <c r="S108" s="61">
        <f t="shared" si="9"/>
        <v>54912.611488405964</v>
      </c>
      <c r="T108" s="61">
        <f t="shared" si="9"/>
        <v>27895.379972014387</v>
      </c>
      <c r="W108">
        <v>2028</v>
      </c>
      <c r="X108" t="s">
        <v>240</v>
      </c>
      <c r="Y108" t="s">
        <v>240</v>
      </c>
      <c r="Z108" s="61">
        <f t="shared" si="10"/>
        <v>314627.83612730354</v>
      </c>
      <c r="AA108" s="61">
        <f t="shared" si="10"/>
        <v>54681.392170501756</v>
      </c>
      <c r="AB108" s="61">
        <f t="shared" si="10"/>
        <v>46882.639657348278</v>
      </c>
      <c r="AC108" s="61">
        <f t="shared" si="10"/>
        <v>25956.032212138554</v>
      </c>
      <c r="AG108">
        <v>2028</v>
      </c>
      <c r="AH108" t="s">
        <v>240</v>
      </c>
      <c r="AI108" t="s">
        <v>240</v>
      </c>
      <c r="AJ108" s="61">
        <f t="shared" si="11"/>
        <v>375632.89700125437</v>
      </c>
      <c r="AK108" s="61">
        <f t="shared" si="11"/>
        <v>66915.162334525492</v>
      </c>
      <c r="AL108" s="61">
        <f t="shared" si="11"/>
        <v>62033.887647687923</v>
      </c>
      <c r="AM108" s="61"/>
    </row>
    <row r="109" spans="5:39">
      <c r="E109">
        <v>2029</v>
      </c>
      <c r="F109" s="322" t="s">
        <v>240</v>
      </c>
      <c r="G109" s="322" t="s">
        <v>240</v>
      </c>
      <c r="H109" s="61">
        <f t="shared" si="8"/>
        <v>406527.78843686031</v>
      </c>
      <c r="I109" s="61">
        <f t="shared" si="8"/>
        <v>65320.734763927816</v>
      </c>
      <c r="J109" s="61">
        <f t="shared" si="8"/>
        <v>63955.718118092278</v>
      </c>
      <c r="K109" s="322" t="s">
        <v>240</v>
      </c>
      <c r="N109">
        <v>2029</v>
      </c>
      <c r="O109" t="s">
        <v>240</v>
      </c>
      <c r="P109" t="s">
        <v>240</v>
      </c>
      <c r="Q109" s="61">
        <f t="shared" si="9"/>
        <v>369043.5506272288</v>
      </c>
      <c r="R109" s="61">
        <f t="shared" si="9"/>
        <v>57937.803105448955</v>
      </c>
      <c r="S109" s="61">
        <f t="shared" si="9"/>
        <v>54613.559481512755</v>
      </c>
      <c r="T109" s="61">
        <f t="shared" si="9"/>
        <v>29126.791212942946</v>
      </c>
      <c r="W109">
        <v>2029</v>
      </c>
      <c r="X109" t="s">
        <v>240</v>
      </c>
      <c r="Y109" t="s">
        <v>240</v>
      </c>
      <c r="Z109" s="61">
        <f t="shared" si="10"/>
        <v>332316.98483933834</v>
      </c>
      <c r="AA109" s="61">
        <f t="shared" si="10"/>
        <v>50426.857600465941</v>
      </c>
      <c r="AB109" s="61">
        <f t="shared" si="10"/>
        <v>45597.393759749713</v>
      </c>
      <c r="AC109" s="61">
        <f t="shared" si="10"/>
        <v>26929.749200417369</v>
      </c>
      <c r="AG109">
        <v>2029</v>
      </c>
      <c r="AH109" t="s">
        <v>240</v>
      </c>
      <c r="AI109" t="s">
        <v>240</v>
      </c>
      <c r="AJ109" s="61">
        <f t="shared" si="11"/>
        <v>401128.38475714112</v>
      </c>
      <c r="AK109" s="61">
        <f t="shared" si="11"/>
        <v>64216.978140497638</v>
      </c>
      <c r="AL109" s="61">
        <f t="shared" si="11"/>
        <v>62626.102815447259</v>
      </c>
      <c r="AM109" s="61"/>
    </row>
    <row r="110" spans="5:39">
      <c r="E110">
        <v>2030</v>
      </c>
      <c r="F110" s="322" t="s">
        <v>240</v>
      </c>
      <c r="G110" s="322" t="s">
        <v>240</v>
      </c>
      <c r="H110" s="61">
        <f t="shared" si="8"/>
        <v>433260.40664542327</v>
      </c>
      <c r="I110" s="61">
        <f t="shared" si="8"/>
        <v>62822.029825240199</v>
      </c>
      <c r="J110" s="61">
        <f t="shared" si="8"/>
        <v>64759.059213871136</v>
      </c>
      <c r="K110" s="322" t="s">
        <v>240</v>
      </c>
      <c r="N110">
        <v>2030</v>
      </c>
      <c r="O110" t="s">
        <v>240</v>
      </c>
      <c r="P110" t="s">
        <v>240</v>
      </c>
      <c r="Q110" s="61">
        <f t="shared" si="9"/>
        <v>391528.45477022557</v>
      </c>
      <c r="R110" s="61">
        <f t="shared" si="9"/>
        <v>54591.410474306846</v>
      </c>
      <c r="S110" s="61">
        <f t="shared" si="9"/>
        <v>54381.183989853482</v>
      </c>
      <c r="T110" s="61">
        <f t="shared" si="9"/>
        <v>30396.353615889981</v>
      </c>
      <c r="W110">
        <v>2030</v>
      </c>
      <c r="X110" t="s">
        <v>240</v>
      </c>
      <c r="Y110" t="s">
        <v>240</v>
      </c>
      <c r="Z110" s="61">
        <f t="shared" si="10"/>
        <v>350556.46897084592</v>
      </c>
      <c r="AA110" s="61">
        <f t="shared" si="10"/>
        <v>46261.040515474451</v>
      </c>
      <c r="AB110" s="61">
        <f t="shared" si="10"/>
        <v>44385.511207456351</v>
      </c>
      <c r="AC110" s="61">
        <f t="shared" si="10"/>
        <v>27938.363082274009</v>
      </c>
      <c r="AG110">
        <v>2030</v>
      </c>
      <c r="AH110" t="s">
        <v>240</v>
      </c>
      <c r="AI110" t="s">
        <v>240</v>
      </c>
      <c r="AJ110" s="61">
        <f t="shared" si="11"/>
        <v>427236.85560803581</v>
      </c>
      <c r="AK110" s="61">
        <f t="shared" si="11"/>
        <v>61596.761568275746</v>
      </c>
      <c r="AL110" s="61">
        <f t="shared" si="11"/>
        <v>63283.072251727921</v>
      </c>
      <c r="AM110" s="61"/>
    </row>
    <row r="111" spans="5:39">
      <c r="E111">
        <v>2040</v>
      </c>
      <c r="F111" s="322" t="s">
        <v>240</v>
      </c>
      <c r="G111" s="322" t="s">
        <v>240</v>
      </c>
      <c r="H111" s="61">
        <f t="shared" si="8"/>
        <v>784835.04340556776</v>
      </c>
      <c r="I111" s="61">
        <f t="shared" si="8"/>
        <v>46620.479232722311</v>
      </c>
      <c r="J111" s="61">
        <f t="shared" si="8"/>
        <v>85250.245158678037</v>
      </c>
      <c r="K111" s="322" t="s">
        <v>240</v>
      </c>
      <c r="N111">
        <v>2040</v>
      </c>
      <c r="O111" t="s">
        <v>240</v>
      </c>
      <c r="P111" t="s">
        <v>240</v>
      </c>
      <c r="Q111" s="61">
        <f t="shared" si="9"/>
        <v>690807.45613695215</v>
      </c>
      <c r="R111" s="61">
        <f t="shared" si="9"/>
        <v>28101.432901494962</v>
      </c>
      <c r="S111" s="61">
        <f t="shared" si="9"/>
        <v>62310.734548189794</v>
      </c>
      <c r="T111" s="61">
        <f t="shared" si="9"/>
        <v>47372.620868186175</v>
      </c>
      <c r="W111">
        <v>2040</v>
      </c>
      <c r="X111" t="s">
        <v>240</v>
      </c>
      <c r="Y111" t="s">
        <v>240</v>
      </c>
      <c r="Z111" s="61">
        <f t="shared" si="10"/>
        <v>588992.76490358589</v>
      </c>
      <c r="AA111" s="61">
        <f t="shared" si="10"/>
        <v>8196.6856769081205</v>
      </c>
      <c r="AB111" s="61">
        <f t="shared" si="10"/>
        <v>38327.637800982571</v>
      </c>
      <c r="AC111" s="61">
        <f t="shared" si="10"/>
        <v>41202.640441819822</v>
      </c>
      <c r="AG111">
        <v>2040</v>
      </c>
      <c r="AH111" t="s">
        <v>240</v>
      </c>
      <c r="AI111" t="s">
        <v>240</v>
      </c>
      <c r="AJ111" s="61">
        <f t="shared" si="11"/>
        <v>772525.16789018689</v>
      </c>
      <c r="AK111" s="61">
        <f t="shared" si="11"/>
        <v>44204.225894819945</v>
      </c>
      <c r="AL111" s="61">
        <f t="shared" si="11"/>
        <v>82336.163781289128</v>
      </c>
      <c r="AM111" s="61"/>
    </row>
    <row r="112" spans="5:39">
      <c r="E112">
        <v>2050</v>
      </c>
      <c r="F112" s="322" t="s">
        <v>240</v>
      </c>
      <c r="G112" s="322" t="s">
        <v>240</v>
      </c>
      <c r="H112" s="61">
        <f t="shared" si="8"/>
        <v>1348063.3678881126</v>
      </c>
      <c r="I112" s="61">
        <f t="shared" si="8"/>
        <v>50135.45668395143</v>
      </c>
      <c r="J112" s="61">
        <f t="shared" si="8"/>
        <v>132450.06399138481</v>
      </c>
      <c r="K112" s="322" t="s">
        <v>240</v>
      </c>
      <c r="N112">
        <v>2050</v>
      </c>
      <c r="O112" t="s">
        <v>240</v>
      </c>
      <c r="P112" t="s">
        <v>240</v>
      </c>
      <c r="Q112" s="61">
        <f t="shared" si="9"/>
        <v>1115393.5035703126</v>
      </c>
      <c r="R112" s="61">
        <f t="shared" si="9"/>
        <v>15393.766423530818</v>
      </c>
      <c r="S112" s="61">
        <f t="shared" si="9"/>
        <v>86651.105637519853</v>
      </c>
      <c r="T112" s="61">
        <f t="shared" si="9"/>
        <v>71966.029030110571</v>
      </c>
      <c r="W112">
        <v>2050</v>
      </c>
      <c r="X112" t="s">
        <v>240</v>
      </c>
      <c r="Y112" t="s">
        <v>240</v>
      </c>
      <c r="Z112" s="61">
        <f t="shared" si="10"/>
        <v>917854.71819127211</v>
      </c>
      <c r="AA112" s="61">
        <f t="shared" si="10"/>
        <v>-20105.398993406096</v>
      </c>
      <c r="AB112" s="61">
        <f t="shared" si="10"/>
        <v>42502.924583804095</v>
      </c>
      <c r="AC112" s="61">
        <f t="shared" si="10"/>
        <v>60039.214435882663</v>
      </c>
      <c r="AG112">
        <v>2050</v>
      </c>
      <c r="AH112" t="s">
        <v>240</v>
      </c>
      <c r="AI112" t="s">
        <v>240</v>
      </c>
      <c r="AJ112" s="61">
        <f t="shared" si="11"/>
        <v>1324309.9854031526</v>
      </c>
      <c r="AK112" s="61">
        <f t="shared" si="11"/>
        <v>45429.279885626689</v>
      </c>
      <c r="AL112" s="61">
        <f t="shared" si="11"/>
        <v>126713.18422415503</v>
      </c>
      <c r="AM112" s="61"/>
    </row>
    <row r="113" spans="2:40">
      <c r="E113">
        <v>2060</v>
      </c>
      <c r="F113" s="322" t="s">
        <v>240</v>
      </c>
      <c r="G113" s="322" t="s">
        <v>240</v>
      </c>
      <c r="H113" s="61">
        <f t="shared" si="8"/>
        <v>2077415.8806111338</v>
      </c>
      <c r="I113" s="61">
        <f t="shared" si="8"/>
        <v>64026.527941953507</v>
      </c>
      <c r="J113" s="61">
        <f t="shared" si="8"/>
        <v>196992.03185685957</v>
      </c>
      <c r="K113" s="322" t="s">
        <v>240</v>
      </c>
      <c r="N113">
        <v>2060</v>
      </c>
      <c r="O113" t="s">
        <v>240</v>
      </c>
      <c r="P113" t="s">
        <v>240</v>
      </c>
      <c r="Q113" s="61">
        <f t="shared" si="9"/>
        <v>1773286.5375859318</v>
      </c>
      <c r="R113" s="61">
        <f t="shared" si="9"/>
        <v>15249.969846890192</v>
      </c>
      <c r="S113" s="61">
        <f t="shared" si="9"/>
        <v>133815.98575410934</v>
      </c>
      <c r="T113" s="61">
        <f t="shared" si="9"/>
        <v>110395.90537443946</v>
      </c>
      <c r="W113">
        <v>2060</v>
      </c>
      <c r="X113" t="s">
        <v>240</v>
      </c>
      <c r="Y113" t="s">
        <v>240</v>
      </c>
      <c r="Z113" s="61">
        <f t="shared" si="10"/>
        <v>1462820.0545813101</v>
      </c>
      <c r="AA113" s="61">
        <f t="shared" si="10"/>
        <v>-42155.164171288139</v>
      </c>
      <c r="AB113" s="61">
        <f t="shared" si="10"/>
        <v>62515.108497278416</v>
      </c>
      <c r="AC113" s="61">
        <f t="shared" si="10"/>
        <v>91837.427851941728</v>
      </c>
      <c r="AG113">
        <v>2060</v>
      </c>
      <c r="AH113" t="s">
        <v>240</v>
      </c>
      <c r="AI113" t="s">
        <v>240</v>
      </c>
      <c r="AJ113" s="61">
        <f t="shared" si="11"/>
        <v>2039601.2663874133</v>
      </c>
      <c r="AK113" s="61">
        <f t="shared" si="11"/>
        <v>56505.392788376426</v>
      </c>
      <c r="AL113" s="61">
        <f t="shared" si="11"/>
        <v>187783.48259816202</v>
      </c>
      <c r="AM113" s="61"/>
    </row>
    <row r="114" spans="2:40">
      <c r="E114">
        <v>2070</v>
      </c>
      <c r="F114" s="322" t="s">
        <v>240</v>
      </c>
      <c r="G114" s="322" t="s">
        <v>240</v>
      </c>
      <c r="H114" s="61">
        <f t="shared" si="8"/>
        <v>2986618.6697554523</v>
      </c>
      <c r="I114" s="61">
        <f t="shared" si="8"/>
        <v>86611.537271141715</v>
      </c>
      <c r="J114" s="61">
        <f t="shared" si="8"/>
        <v>277208.66163647268</v>
      </c>
      <c r="K114" s="322" t="s">
        <v>240</v>
      </c>
      <c r="N114">
        <v>2070</v>
      </c>
      <c r="O114" t="s">
        <v>240</v>
      </c>
      <c r="P114" t="s">
        <v>240</v>
      </c>
      <c r="Q114" s="61">
        <f t="shared" si="9"/>
        <v>2606158.8443608633</v>
      </c>
      <c r="R114" s="61">
        <f t="shared" si="9"/>
        <v>22657.126432414865</v>
      </c>
      <c r="S114" s="61">
        <f t="shared" si="9"/>
        <v>195287.69968499674</v>
      </c>
      <c r="T114" s="61">
        <f t="shared" si="9"/>
        <v>158800.51492046824</v>
      </c>
      <c r="W114">
        <v>2070</v>
      </c>
      <c r="X114" t="s">
        <v>240</v>
      </c>
      <c r="Y114" t="s">
        <v>240</v>
      </c>
      <c r="Z114" s="61">
        <f t="shared" si="10"/>
        <v>2162516.7762725004</v>
      </c>
      <c r="AA114" s="61">
        <f t="shared" si="10"/>
        <v>-60635.413006962859</v>
      </c>
      <c r="AB114" s="61">
        <f t="shared" si="10"/>
        <v>91901.881595669198</v>
      </c>
      <c r="AC114" s="61">
        <f t="shared" si="10"/>
        <v>132427.53626320898</v>
      </c>
      <c r="AG114">
        <v>2070</v>
      </c>
      <c r="AH114" t="s">
        <v>240</v>
      </c>
      <c r="AI114" t="s">
        <v>240</v>
      </c>
      <c r="AJ114" s="61">
        <f t="shared" si="11"/>
        <v>2932091.1708414797</v>
      </c>
      <c r="AK114" s="61">
        <f t="shared" si="11"/>
        <v>75743.788499536633</v>
      </c>
      <c r="AL114" s="61">
        <f t="shared" si="11"/>
        <v>263871.64222712186</v>
      </c>
      <c r="AM114" s="61"/>
    </row>
    <row r="115" spans="2:40">
      <c r="E115">
        <v>2080</v>
      </c>
      <c r="F115" s="322" t="s">
        <v>240</v>
      </c>
      <c r="G115" s="322" t="s">
        <v>240</v>
      </c>
      <c r="H115" s="61">
        <f t="shared" si="8"/>
        <v>4099266.2881763317</v>
      </c>
      <c r="I115" s="61">
        <f t="shared" si="8"/>
        <v>117333.55026052427</v>
      </c>
      <c r="J115" s="61">
        <f t="shared" si="8"/>
        <v>372855.37733988953</v>
      </c>
      <c r="K115" s="322" t="s">
        <v>240</v>
      </c>
      <c r="N115">
        <v>2080</v>
      </c>
      <c r="O115" t="s">
        <v>240</v>
      </c>
      <c r="P115" t="s">
        <v>240</v>
      </c>
      <c r="Q115" s="61">
        <f t="shared" si="9"/>
        <v>3640414.9612193019</v>
      </c>
      <c r="R115" s="61">
        <f t="shared" si="9"/>
        <v>37620.8520823</v>
      </c>
      <c r="S115" s="61">
        <f t="shared" si="9"/>
        <v>271515.47670097009</v>
      </c>
      <c r="T115" s="61">
        <f t="shared" si="9"/>
        <v>218627.37986565367</v>
      </c>
      <c r="W115">
        <v>2080</v>
      </c>
      <c r="X115" t="s">
        <v>240</v>
      </c>
      <c r="Y115" t="s">
        <v>240</v>
      </c>
      <c r="Z115" s="61">
        <f t="shared" si="10"/>
        <v>3037672.4619510928</v>
      </c>
      <c r="AA115" s="61">
        <f t="shared" si="10"/>
        <v>-76645.140587845934</v>
      </c>
      <c r="AB115" s="61">
        <f t="shared" si="10"/>
        <v>129743.47108722327</v>
      </c>
      <c r="AC115" s="61">
        <f t="shared" si="10"/>
        <v>182924.07469951341</v>
      </c>
      <c r="AG115">
        <v>2080</v>
      </c>
      <c r="AH115" t="s">
        <v>240</v>
      </c>
      <c r="AI115" t="s">
        <v>240</v>
      </c>
      <c r="AJ115" s="61">
        <f t="shared" si="11"/>
        <v>4025362.9422265133</v>
      </c>
      <c r="AK115" s="61">
        <f t="shared" si="11"/>
        <v>102585.3258188006</v>
      </c>
      <c r="AL115" s="61">
        <f t="shared" si="11"/>
        <v>354730.44393484748</v>
      </c>
      <c r="AM115" s="61"/>
    </row>
    <row r="116" spans="2:40">
      <c r="E116">
        <v>2090</v>
      </c>
      <c r="F116" s="322" t="s">
        <v>240</v>
      </c>
      <c r="G116" s="322" t="s">
        <v>240</v>
      </c>
      <c r="H116" s="61">
        <f t="shared" si="8"/>
        <v>5444016.4478589948</v>
      </c>
      <c r="I116" s="61">
        <f t="shared" si="8"/>
        <v>155635.75584837905</v>
      </c>
      <c r="J116" s="61">
        <f t="shared" si="8"/>
        <v>483725.91408413462</v>
      </c>
      <c r="K116" s="322" t="s">
        <v>240</v>
      </c>
      <c r="N116">
        <v>2090</v>
      </c>
      <c r="O116" t="s">
        <v>240</v>
      </c>
      <c r="P116" t="s">
        <v>240</v>
      </c>
      <c r="Q116" s="61">
        <f t="shared" si="9"/>
        <v>4901787.3902504807</v>
      </c>
      <c r="R116" s="61">
        <f t="shared" si="9"/>
        <v>59024.536849735887</v>
      </c>
      <c r="S116" s="61">
        <f t="shared" si="9"/>
        <v>361596.20320833032</v>
      </c>
      <c r="T116" s="61">
        <f t="shared" si="9"/>
        <v>291257.23533874343</v>
      </c>
      <c r="W116">
        <v>2090</v>
      </c>
      <c r="X116" t="s">
        <v>240</v>
      </c>
      <c r="Y116" t="s">
        <v>240</v>
      </c>
      <c r="Z116" s="61">
        <f t="shared" si="10"/>
        <v>4111239.3701143288</v>
      </c>
      <c r="AA116" s="61">
        <f t="shared" si="10"/>
        <v>-91835.524146888172</v>
      </c>
      <c r="AB116" s="61">
        <f t="shared" si="10"/>
        <v>174473.91425627656</v>
      </c>
      <c r="AC116" s="61">
        <f t="shared" si="10"/>
        <v>244543.95903191122</v>
      </c>
      <c r="AG116">
        <v>2090</v>
      </c>
      <c r="AH116" t="s">
        <v>240</v>
      </c>
      <c r="AI116" t="s">
        <v>240</v>
      </c>
      <c r="AJ116" s="61">
        <f t="shared" si="11"/>
        <v>5345241.6892705988</v>
      </c>
      <c r="AK116" s="61">
        <f t="shared" si="11"/>
        <v>135906.22979262826</v>
      </c>
      <c r="AL116" s="61">
        <f t="shared" si="11"/>
        <v>459454.53120553482</v>
      </c>
      <c r="AM116" s="61"/>
    </row>
    <row r="117" spans="2:40">
      <c r="E117">
        <v>2100</v>
      </c>
      <c r="F117" s="322" t="s">
        <v>240</v>
      </c>
      <c r="G117" s="322" t="s">
        <v>240</v>
      </c>
      <c r="H117" s="61">
        <f t="shared" si="8"/>
        <v>7047130.9443598511</v>
      </c>
      <c r="I117" s="61">
        <f t="shared" si="8"/>
        <v>199273.81809197029</v>
      </c>
      <c r="J117" s="61">
        <f t="shared" si="8"/>
        <v>607574.16955268115</v>
      </c>
      <c r="K117" s="322" t="s">
        <v>240</v>
      </c>
      <c r="N117">
        <v>2100</v>
      </c>
      <c r="O117" t="s">
        <v>240</v>
      </c>
      <c r="P117" t="s">
        <v>240</v>
      </c>
      <c r="Q117" s="61">
        <f t="shared" si="9"/>
        <v>6413439.8789742328</v>
      </c>
      <c r="R117" s="61">
        <f t="shared" si="9"/>
        <v>84068.173049047648</v>
      </c>
      <c r="S117" s="61">
        <f t="shared" si="9"/>
        <v>462582.36300542566</v>
      </c>
      <c r="T117" s="61">
        <f t="shared" si="9"/>
        <v>377886.14155296033</v>
      </c>
      <c r="W117">
        <v>2100</v>
      </c>
      <c r="X117" t="s">
        <v>240</v>
      </c>
      <c r="Y117" t="s">
        <v>240</v>
      </c>
      <c r="Z117" s="61">
        <f t="shared" si="10"/>
        <v>5420719.2341943458</v>
      </c>
      <c r="AA117" s="61">
        <f t="shared" si="10"/>
        <v>-106200.69837407523</v>
      </c>
      <c r="AB117" s="61">
        <f t="shared" si="10"/>
        <v>226622.32983079483</v>
      </c>
      <c r="AC117" s="61">
        <f t="shared" si="10"/>
        <v>319322.40320800012</v>
      </c>
      <c r="AG117">
        <v>2100</v>
      </c>
      <c r="AH117" t="s">
        <v>240</v>
      </c>
      <c r="AI117" t="s">
        <v>240</v>
      </c>
      <c r="AJ117" s="61">
        <f t="shared" si="11"/>
        <v>6920765.2638167702</v>
      </c>
      <c r="AK117" s="61">
        <f t="shared" si="11"/>
        <v>174018.09442352614</v>
      </c>
      <c r="AL117" s="61">
        <f t="shared" si="11"/>
        <v>576483.67742622225</v>
      </c>
      <c r="AM117" s="61"/>
    </row>
    <row r="118" spans="2:40">
      <c r="B118" s="61"/>
      <c r="F118" s="581" t="s">
        <v>284</v>
      </c>
      <c r="G118" s="581"/>
      <c r="H118" s="581"/>
      <c r="I118" s="581"/>
      <c r="J118" s="581"/>
      <c r="K118" s="581"/>
      <c r="O118" s="581" t="s">
        <v>284</v>
      </c>
      <c r="P118" s="581"/>
      <c r="Q118" s="581"/>
      <c r="R118" s="581"/>
      <c r="S118" s="581"/>
      <c r="T118" s="581"/>
      <c r="X118" s="581" t="s">
        <v>242</v>
      </c>
      <c r="Y118" s="581"/>
      <c r="Z118" s="581"/>
      <c r="AA118" s="581"/>
      <c r="AB118" s="581"/>
      <c r="AC118" s="581"/>
      <c r="AH118" s="581" t="s">
        <v>242</v>
      </c>
      <c r="AI118" s="581"/>
      <c r="AJ118" s="581"/>
      <c r="AK118" s="581"/>
      <c r="AL118" s="581"/>
      <c r="AM118" s="581"/>
    </row>
    <row r="119" spans="2:40">
      <c r="E119">
        <v>2020</v>
      </c>
      <c r="F119" s="61">
        <f t="shared" ref="F119:F129" si="12">-F5*$C$4</f>
        <v>-15766.02</v>
      </c>
      <c r="G119" s="61">
        <f t="shared" ref="G119:G129" si="13">-G5*$C$3</f>
        <v>-21061.74</v>
      </c>
      <c r="H119" s="61">
        <f>-(SUM($F119:$G119,$K$119))*(H100/SUM($H100:$J100))</f>
        <v>20912.730696283004</v>
      </c>
      <c r="I119" s="61">
        <f>-(SUM($F119:$G119,$K$119))*(I100/SUM($H100:$J100))</f>
        <v>10115.766142968207</v>
      </c>
      <c r="J119" s="61">
        <f>-(SUM($F119:$G119,$K$119))*(J100/SUM($H100:$J100))</f>
        <v>6568.973160748792</v>
      </c>
      <c r="K119" s="61">
        <f t="shared" ref="K119:K127" si="14">-K5*$C$4</f>
        <v>-769.71</v>
      </c>
      <c r="L119" s="61"/>
      <c r="M119" s="61"/>
      <c r="N119">
        <v>2020</v>
      </c>
      <c r="O119" s="61">
        <f t="shared" ref="O119:O130" si="15">-O5*$C$4</f>
        <v>-15766.02</v>
      </c>
      <c r="P119" s="61">
        <f t="shared" ref="P119:P130" si="16">-P5*$C$3</f>
        <v>-21061.74</v>
      </c>
      <c r="Q119" s="61">
        <f>-(SUM($F119:$G119))*(Q100/SUM($Q100:$T100))</f>
        <v>19393.417927663519</v>
      </c>
      <c r="R119" s="61">
        <f>-(SUM($F119:$G119))*(R100/SUM($Q100:$T100))</f>
        <v>9380.854337877543</v>
      </c>
      <c r="S119" s="61">
        <f>-(SUM($F119:$G119))*(S100/SUM($Q100:$T100))</f>
        <v>6091.7363548629774</v>
      </c>
      <c r="T119" s="61">
        <f>-(SUM($F119:$G119))*(T100/SUM($Q100:$T100))</f>
        <v>1961.751379595964</v>
      </c>
      <c r="U119" s="407"/>
      <c r="W119">
        <v>2020</v>
      </c>
      <c r="X119" s="61">
        <f t="shared" ref="X119:X130" si="17">-X5*$C$4</f>
        <v>-15766.02</v>
      </c>
      <c r="Y119" s="61">
        <f t="shared" ref="Y119:Y130" si="18">-Y5*$C$3</f>
        <v>-21061.74</v>
      </c>
      <c r="Z119" s="61">
        <f>-(SUM($X119:$Y119))*(Z100/SUM($Z100:$AC100))</f>
        <v>19393.417927663519</v>
      </c>
      <c r="AA119" s="61">
        <f>-(SUM($X119:$Y119))*(AA100/SUM($Z100:$AC100))</f>
        <v>9380.854337877543</v>
      </c>
      <c r="AB119" s="61">
        <f>-(SUM($X119:$Y119))*(AB100/SUM($Z100:$AC100))</f>
        <v>6091.7363548629774</v>
      </c>
      <c r="AC119" s="61">
        <f>-(SUM($X119:$Y119))*(AC100/SUM($Z100:$AC100))</f>
        <v>1961.751379595964</v>
      </c>
      <c r="AD119" s="407"/>
      <c r="AG119">
        <v>2020</v>
      </c>
      <c r="AH119" s="61">
        <f t="shared" ref="AH119:AH129" si="19">-AH5*$C$4</f>
        <v>-15766.02</v>
      </c>
      <c r="AI119" s="61">
        <f t="shared" ref="AI119:AI129" si="20">-AI5*$C$3</f>
        <v>-21061.74</v>
      </c>
      <c r="AJ119" s="61">
        <f t="shared" ref="AJ119:AL129" si="21">-SUM($AH119:$AI119,$AM119)*(MAX(AJ100,0)/SUM(MAX($AJ100,0)+MAX($AK100,0)+MAX($AL100,0)+MAX($AM100,0)))</f>
        <v>20912.730696283004</v>
      </c>
      <c r="AK119" s="61">
        <f t="shared" si="21"/>
        <v>10115.766142968207</v>
      </c>
      <c r="AL119" s="61">
        <f t="shared" si="21"/>
        <v>6568.973160748792</v>
      </c>
      <c r="AM119" s="61">
        <f t="shared" ref="AM119:AM129" si="22">-AM5*$C$4</f>
        <v>-769.71</v>
      </c>
      <c r="AN119" s="407"/>
    </row>
    <row r="120" spans="2:40">
      <c r="E120">
        <v>2021</v>
      </c>
      <c r="F120" s="61">
        <f t="shared" si="12"/>
        <v>-15846.025271675464</v>
      </c>
      <c r="G120" s="61">
        <f>-G6*$C$3</f>
        <v>-21142.124714802114</v>
      </c>
      <c r="H120" s="61">
        <f t="shared" ref="H120:J136" si="23">-SUM($F120:$G120,$K120)*(MAX(H101,0)/SUM(MAX($H101,0)+MAX($I101,0)+MAX($J101,0)))</f>
        <v>22224.679607707651</v>
      </c>
      <c r="I120" s="61">
        <f t="shared" si="23"/>
        <v>9267.4859860252891</v>
      </c>
      <c r="J120" s="61">
        <f t="shared" si="23"/>
        <v>6269.6003155876488</v>
      </c>
      <c r="K120" s="61">
        <f t="shared" si="14"/>
        <v>-773.61592284300798</v>
      </c>
      <c r="L120" s="61"/>
      <c r="M120" s="61"/>
      <c r="N120">
        <v>2021</v>
      </c>
      <c r="O120" s="61">
        <f t="shared" si="15"/>
        <v>-15880.807916639291</v>
      </c>
      <c r="P120" s="61">
        <f t="shared" si="16"/>
        <v>-21188.532505091982</v>
      </c>
      <c r="Q120" s="61">
        <f t="shared" ref="Q120:T136" si="24">-SUM($O120:$P120)*(MAX(Q101,0)/SUM(MAX($Q101,0)+MAX($R101,0)+MAX($S101,0)+MAX($T101,0)))</f>
        <v>20575.613100722181</v>
      </c>
      <c r="R120" s="61">
        <f t="shared" si="24"/>
        <v>8677.2068705798574</v>
      </c>
      <c r="S120" s="61">
        <f t="shared" si="24"/>
        <v>5819.1018016687294</v>
      </c>
      <c r="T120" s="61">
        <f t="shared" si="24"/>
        <v>1997.4186487605068</v>
      </c>
      <c r="U120" s="407"/>
      <c r="W120">
        <v>2021</v>
      </c>
      <c r="X120" s="61">
        <f t="shared" si="17"/>
        <v>-15911.955502334416</v>
      </c>
      <c r="Y120" s="61">
        <f t="shared" si="18"/>
        <v>-21230.090317227274</v>
      </c>
      <c r="Z120" s="61">
        <f t="shared" ref="Z120:AC136" si="25">-SUM($X120:$Y120)*(MAX(Z101,0)/SUM(MAX($Z101,0)+MAX($AA101,0)+MAX($AB101,0)+MAX($AC101,0)))</f>
        <v>20550.574353003238</v>
      </c>
      <c r="AA120" s="61">
        <f t="shared" si="25"/>
        <v>8755.6455571275746</v>
      </c>
      <c r="AB120" s="61">
        <f t="shared" si="25"/>
        <v>5824.9312550896957</v>
      </c>
      <c r="AC120" s="61">
        <f t="shared" si="25"/>
        <v>2010.8946543411807</v>
      </c>
      <c r="AD120" s="407"/>
      <c r="AG120">
        <v>2021</v>
      </c>
      <c r="AH120" s="61">
        <f t="shared" si="19"/>
        <v>-15850.592690066227</v>
      </c>
      <c r="AI120" s="61">
        <f t="shared" si="20"/>
        <v>-21148.218667549667</v>
      </c>
      <c r="AJ120" s="61">
        <f t="shared" si="21"/>
        <v>22222.112579671939</v>
      </c>
      <c r="AK120" s="61">
        <f t="shared" si="21"/>
        <v>9279.7316965531463</v>
      </c>
      <c r="AL120" s="61">
        <f t="shared" si="21"/>
        <v>6270.8059893378304</v>
      </c>
      <c r="AM120" s="61">
        <f t="shared" si="22"/>
        <v>-773.83890794701995</v>
      </c>
      <c r="AN120" s="407"/>
    </row>
    <row r="121" spans="2:40">
      <c r="E121">
        <v>2022</v>
      </c>
      <c r="F121" s="61">
        <f t="shared" si="12"/>
        <v>-15925.805895765488</v>
      </c>
      <c r="G121" s="61">
        <f t="shared" si="13"/>
        <v>-21221.975870155213</v>
      </c>
      <c r="H121" s="61">
        <f>-SUM($F121:$G121,$K121)*(MAX(H102,0)/SUM(MAX($H102,0)+MAX($I102,0)+MAX($J102,0)))</f>
        <v>23426.004344216097</v>
      </c>
      <c r="I121" s="61">
        <f t="shared" si="23"/>
        <v>8500.8816439974162</v>
      </c>
      <c r="J121" s="61">
        <f t="shared" si="23"/>
        <v>5998.4066559142166</v>
      </c>
      <c r="K121" s="61">
        <f t="shared" si="14"/>
        <v>-777.51087820703356</v>
      </c>
      <c r="L121" s="61"/>
      <c r="M121" s="61"/>
      <c r="N121">
        <v>2022</v>
      </c>
      <c r="O121" s="61">
        <f t="shared" si="15"/>
        <v>-15995.284229080733</v>
      </c>
      <c r="P121" s="61">
        <f t="shared" si="16"/>
        <v>-21314.559411783506</v>
      </c>
      <c r="Q121" s="61">
        <f t="shared" si="24"/>
        <v>21699.459049417019</v>
      </c>
      <c r="R121" s="61">
        <f t="shared" si="24"/>
        <v>8016.3202907924006</v>
      </c>
      <c r="S121" s="61">
        <f t="shared" si="24"/>
        <v>5562.9148918596975</v>
      </c>
      <c r="T121" s="61">
        <f t="shared" si="24"/>
        <v>2031.1494087951178</v>
      </c>
      <c r="U121" s="407"/>
      <c r="W121">
        <v>2022</v>
      </c>
      <c r="X121" s="61">
        <f t="shared" si="17"/>
        <v>-16057.501531506743</v>
      </c>
      <c r="Y121" s="61">
        <f t="shared" si="18"/>
        <v>-21397.467246993408</v>
      </c>
      <c r="Z121" s="61">
        <f t="shared" si="25"/>
        <v>21688.023245744153</v>
      </c>
      <c r="AA121" s="61">
        <f t="shared" si="25"/>
        <v>8144.3524917659124</v>
      </c>
      <c r="AB121" s="61">
        <f t="shared" si="25"/>
        <v>5564.1930415370998</v>
      </c>
      <c r="AC121" s="61">
        <f t="shared" si="25"/>
        <v>2058.3999994529859</v>
      </c>
      <c r="AD121" s="407"/>
      <c r="AG121">
        <v>2022</v>
      </c>
      <c r="AH121" s="61">
        <f t="shared" si="19"/>
        <v>-15934.929314001036</v>
      </c>
      <c r="AI121" s="61">
        <f t="shared" si="20"/>
        <v>-21234.133305886582</v>
      </c>
      <c r="AJ121" s="61">
        <f t="shared" si="21"/>
        <v>23427.439908658005</v>
      </c>
      <c r="AK121" s="61">
        <f t="shared" si="21"/>
        <v>8520.2191387823641</v>
      </c>
      <c r="AL121" s="61">
        <f t="shared" si="21"/>
        <v>5999.3598633995462</v>
      </c>
      <c r="AM121" s="61">
        <f t="shared" si="22"/>
        <v>-777.95629095229719</v>
      </c>
      <c r="AN121" s="407"/>
    </row>
    <row r="122" spans="2:40">
      <c r="E122">
        <v>2023</v>
      </c>
      <c r="F122" s="61">
        <f t="shared" si="12"/>
        <v>-16005.362308880796</v>
      </c>
      <c r="G122" s="61">
        <f t="shared" si="13"/>
        <v>-21301.295631452078</v>
      </c>
      <c r="H122" s="61">
        <f t="shared" si="23"/>
        <v>24529.605823476133</v>
      </c>
      <c r="I122" s="61">
        <f t="shared" si="23"/>
        <v>7806.3629319391894</v>
      </c>
      <c r="J122" s="61">
        <f t="shared" si="23"/>
        <v>5752.0840723253204</v>
      </c>
      <c r="K122" s="61">
        <f t="shared" si="14"/>
        <v>-781.39488740776926</v>
      </c>
      <c r="L122" s="61"/>
      <c r="M122" s="61"/>
      <c r="N122">
        <v>2023</v>
      </c>
      <c r="O122" s="61">
        <f t="shared" si="15"/>
        <v>-16109.449536978698</v>
      </c>
      <c r="P122" s="61">
        <f t="shared" si="16"/>
        <v>-21439.823755613415</v>
      </c>
      <c r="Q122" s="61">
        <f t="shared" si="24"/>
        <v>22767.590608033777</v>
      </c>
      <c r="R122" s="61">
        <f t="shared" si="24"/>
        <v>7396.2042512411517</v>
      </c>
      <c r="S122" s="61">
        <f t="shared" si="24"/>
        <v>5322.4222375182189</v>
      </c>
      <c r="T122" s="61">
        <f t="shared" si="24"/>
        <v>2063.0561957989685</v>
      </c>
      <c r="U122" s="407"/>
      <c r="W122">
        <v>2023</v>
      </c>
      <c r="X122" s="61">
        <f t="shared" si="17"/>
        <v>-16202.65883317567</v>
      </c>
      <c r="Y122" s="61">
        <f t="shared" si="18"/>
        <v>-21563.874604046232</v>
      </c>
      <c r="Z122" s="61">
        <f t="shared" si="25"/>
        <v>22802.922749853642</v>
      </c>
      <c r="AA122" s="61">
        <f t="shared" si="25"/>
        <v>7548.9880209294024</v>
      </c>
      <c r="AB122" s="61">
        <f t="shared" si="25"/>
        <v>5310.4071380151245</v>
      </c>
      <c r="AC122" s="61">
        <f t="shared" si="25"/>
        <v>2104.2155284237292</v>
      </c>
      <c r="AD122" s="407"/>
      <c r="AG122">
        <v>2023</v>
      </c>
      <c r="AH122" s="61">
        <f t="shared" si="19"/>
        <v>-16019.030329824931</v>
      </c>
      <c r="AI122" s="61">
        <f t="shared" si="20"/>
        <v>-21319.486194665144</v>
      </c>
      <c r="AJ122" s="61">
        <f t="shared" si="21"/>
        <v>24539.986006068175</v>
      </c>
      <c r="AK122" s="61">
        <f t="shared" si="21"/>
        <v>7828.8731974232505</v>
      </c>
      <c r="AL122" s="61">
        <f t="shared" si="21"/>
        <v>5751.7194923754132</v>
      </c>
      <c r="AM122" s="61">
        <f t="shared" si="22"/>
        <v>-782.06217137676765</v>
      </c>
      <c r="AN122" s="407"/>
    </row>
    <row r="123" spans="2:40">
      <c r="E123">
        <v>2024</v>
      </c>
      <c r="F123" s="61">
        <f t="shared" si="12"/>
        <v>-16084.694946891608</v>
      </c>
      <c r="G123" s="61">
        <f t="shared" si="13"/>
        <v>-21380.086156593272</v>
      </c>
      <c r="H123" s="61">
        <f t="shared" si="23"/>
        <v>25546.58548614537</v>
      </c>
      <c r="I123" s="61">
        <f t="shared" si="23"/>
        <v>7175.6777636101688</v>
      </c>
      <c r="J123" s="61">
        <f t="shared" si="23"/>
        <v>5527.7858254540988</v>
      </c>
      <c r="K123" s="61">
        <f t="shared" si="14"/>
        <v>-785.26797172475619</v>
      </c>
      <c r="L123" s="61"/>
      <c r="M123" s="61"/>
      <c r="N123">
        <v>2024</v>
      </c>
      <c r="O123" s="61">
        <f t="shared" si="15"/>
        <v>-16223.304438975314</v>
      </c>
      <c r="P123" s="61">
        <f t="shared" si="16"/>
        <v>-21564.328561727856</v>
      </c>
      <c r="Q123" s="61">
        <f t="shared" si="24"/>
        <v>23782.680625819223</v>
      </c>
      <c r="R123" s="61">
        <f t="shared" si="24"/>
        <v>6814.8444996493736</v>
      </c>
      <c r="S123" s="61">
        <f t="shared" si="24"/>
        <v>5096.8586217864249</v>
      </c>
      <c r="T123" s="61">
        <f t="shared" si="24"/>
        <v>2093.2492534481512</v>
      </c>
      <c r="U123" s="407"/>
      <c r="W123">
        <v>2024</v>
      </c>
      <c r="X123" s="61">
        <f t="shared" si="17"/>
        <v>-16347.428151744278</v>
      </c>
      <c r="Y123" s="61">
        <f t="shared" si="18"/>
        <v>-21729.316190143498</v>
      </c>
      <c r="Z123" s="61">
        <f t="shared" si="25"/>
        <v>23892.849574501</v>
      </c>
      <c r="AA123" s="61">
        <f t="shared" si="25"/>
        <v>6971.2624701829682</v>
      </c>
      <c r="AB123" s="61">
        <f t="shared" si="25"/>
        <v>5064.3247612387095</v>
      </c>
      <c r="AC123" s="61">
        <f t="shared" si="25"/>
        <v>2148.3075359650984</v>
      </c>
      <c r="AD123" s="407"/>
      <c r="AG123">
        <v>2024</v>
      </c>
      <c r="AH123" s="61">
        <f t="shared" si="19"/>
        <v>-16102.896194782212</v>
      </c>
      <c r="AI123" s="61">
        <f t="shared" si="20"/>
        <v>-21404.279605666656</v>
      </c>
      <c r="AJ123" s="61">
        <f t="shared" si="21"/>
        <v>25569.586119918516</v>
      </c>
      <c r="AK123" s="61">
        <f t="shared" si="21"/>
        <v>7198.404986302713</v>
      </c>
      <c r="AL123" s="61">
        <f t="shared" si="21"/>
        <v>5525.3412657711069</v>
      </c>
      <c r="AM123" s="61">
        <f t="shared" si="22"/>
        <v>-786.15657154347241</v>
      </c>
      <c r="AN123" s="407"/>
    </row>
    <row r="124" spans="2:40">
      <c r="E124">
        <v>2025</v>
      </c>
      <c r="F124" s="61">
        <f t="shared" si="12"/>
        <v>-16163.804244928786</v>
      </c>
      <c r="G124" s="61">
        <f t="shared" si="13"/>
        <v>-21458.349596011067</v>
      </c>
      <c r="H124" s="61">
        <f t="shared" si="23"/>
        <v>26486.534842313773</v>
      </c>
      <c r="I124" s="61">
        <f t="shared" si="23"/>
        <v>6601.6968574564025</v>
      </c>
      <c r="J124" s="61">
        <f t="shared" si="23"/>
        <v>5323.0522935711151</v>
      </c>
      <c r="K124" s="61">
        <f t="shared" si="14"/>
        <v>-789.13015240143909</v>
      </c>
      <c r="L124" s="61"/>
      <c r="M124" s="61"/>
      <c r="N124">
        <v>2025</v>
      </c>
      <c r="O124" s="61">
        <f t="shared" si="15"/>
        <v>-16336.849532702036</v>
      </c>
      <c r="P124" s="61">
        <f t="shared" si="16"/>
        <v>-21688.076844913248</v>
      </c>
      <c r="Q124" s="61">
        <f t="shared" si="24"/>
        <v>24747.404161028717</v>
      </c>
      <c r="R124" s="61">
        <f t="shared" si="24"/>
        <v>6270.2291284559342</v>
      </c>
      <c r="S124" s="61">
        <f t="shared" si="24"/>
        <v>4885.4574188723727</v>
      </c>
      <c r="T124" s="61">
        <f t="shared" si="24"/>
        <v>2121.8356692582565</v>
      </c>
      <c r="U124" s="407"/>
      <c r="W124">
        <v>2025</v>
      </c>
      <c r="X124" s="61">
        <f t="shared" si="17"/>
        <v>-16491.81023036204</v>
      </c>
      <c r="Y124" s="61">
        <f t="shared" si="18"/>
        <v>-21893.795794093996</v>
      </c>
      <c r="Z124" s="61">
        <f t="shared" si="25"/>
        <v>24955.79185978683</v>
      </c>
      <c r="AA124" s="61">
        <f t="shared" si="25"/>
        <v>6412.5893481264438</v>
      </c>
      <c r="AB124" s="61">
        <f t="shared" si="25"/>
        <v>4826.5655891531687</v>
      </c>
      <c r="AC124" s="61">
        <f t="shared" si="25"/>
        <v>2190.6592273895894</v>
      </c>
      <c r="AD124" s="407"/>
      <c r="AG124">
        <v>2025</v>
      </c>
      <c r="AH124" s="61">
        <f t="shared" si="19"/>
        <v>-16186.527365342208</v>
      </c>
      <c r="AI124" s="61">
        <f t="shared" si="20"/>
        <v>-21488.51580282444</v>
      </c>
      <c r="AJ124" s="61">
        <f t="shared" si="21"/>
        <v>26524.846268586964</v>
      </c>
      <c r="AK124" s="61">
        <f t="shared" si="21"/>
        <v>6622.4371353302377</v>
      </c>
      <c r="AL124" s="61">
        <f t="shared" si="21"/>
        <v>5317.9992779870672</v>
      </c>
      <c r="AM124" s="61">
        <f t="shared" si="22"/>
        <v>-790.23951373761759</v>
      </c>
      <c r="AN124" s="407"/>
    </row>
    <row r="125" spans="2:40">
      <c r="E125">
        <v>2026</v>
      </c>
      <c r="F125" s="61">
        <f t="shared" si="12"/>
        <v>-16242.690637385016</v>
      </c>
      <c r="G125" s="61">
        <f t="shared" si="13"/>
        <v>-21536.088092693291</v>
      </c>
      <c r="H125" s="61">
        <f t="shared" si="23"/>
        <v>27357.772515028166</v>
      </c>
      <c r="I125" s="61">
        <f t="shared" si="23"/>
        <v>6078.2374756108647</v>
      </c>
      <c r="J125" s="61">
        <f t="shared" si="23"/>
        <v>5135.7501900845036</v>
      </c>
      <c r="K125" s="61">
        <f t="shared" si="14"/>
        <v>-792.98145064522441</v>
      </c>
      <c r="L125" s="61"/>
      <c r="M125" s="61"/>
      <c r="N125">
        <v>2026</v>
      </c>
      <c r="O125" s="61">
        <f t="shared" si="15"/>
        <v>-16450.085414781253</v>
      </c>
      <c r="P125" s="61">
        <f t="shared" si="16"/>
        <v>-21811.071609629202</v>
      </c>
      <c r="Q125" s="61">
        <f t="shared" si="24"/>
        <v>25664.409208660283</v>
      </c>
      <c r="R125" s="61">
        <f t="shared" si="24"/>
        <v>5760.3699724102762</v>
      </c>
      <c r="S125" s="61">
        <f t="shared" si="24"/>
        <v>4687.4591249613195</v>
      </c>
      <c r="T125" s="61">
        <f t="shared" si="24"/>
        <v>2148.918718378568</v>
      </c>
      <c r="U125" s="407"/>
      <c r="W125">
        <v>2026</v>
      </c>
      <c r="X125" s="61">
        <f t="shared" si="17"/>
        <v>-16635.805810926773</v>
      </c>
      <c r="Y125" s="61">
        <f t="shared" si="18"/>
        <v>-22057.317191798556</v>
      </c>
      <c r="Z125" s="61">
        <f t="shared" si="25"/>
        <v>25990.13459056888</v>
      </c>
      <c r="AA125" s="61">
        <f t="shared" si="25"/>
        <v>5874.0963926201157</v>
      </c>
      <c r="AB125" s="61">
        <f t="shared" si="25"/>
        <v>4597.6227679782332</v>
      </c>
      <c r="AC125" s="61">
        <f t="shared" si="25"/>
        <v>2231.2692515580998</v>
      </c>
      <c r="AD125" s="407"/>
      <c r="AG125">
        <v>2026</v>
      </c>
      <c r="AH125" s="61">
        <f t="shared" si="19"/>
        <v>-16269.924297200499</v>
      </c>
      <c r="AI125" s="61">
        <f t="shared" si="20"/>
        <v>-21572.197042248896</v>
      </c>
      <c r="AJ125" s="61">
        <f t="shared" si="21"/>
        <v>27413.318283025568</v>
      </c>
      <c r="AK125" s="61">
        <f t="shared" si="21"/>
        <v>6095.3739839583677</v>
      </c>
      <c r="AL125" s="61">
        <f t="shared" si="21"/>
        <v>5127.7400926720929</v>
      </c>
      <c r="AM125" s="61">
        <f t="shared" si="22"/>
        <v>-794.31102020663411</v>
      </c>
      <c r="AN125" s="407"/>
    </row>
    <row r="126" spans="2:40">
      <c r="E126">
        <v>2027</v>
      </c>
      <c r="F126" s="61">
        <f t="shared" si="12"/>
        <v>-16321.354557915973</v>
      </c>
      <c r="G126" s="61">
        <f t="shared" si="13"/>
        <v>-21613.303782207127</v>
      </c>
      <c r="H126" s="61">
        <f t="shared" si="23"/>
        <v>28167.539325315502</v>
      </c>
      <c r="I126" s="61">
        <f t="shared" si="23"/>
        <v>5599.9183580762701</v>
      </c>
      <c r="J126" s="61">
        <f t="shared" si="23"/>
        <v>4964.0225443588661</v>
      </c>
      <c r="K126" s="61">
        <f t="shared" si="14"/>
        <v>-796.82188762753708</v>
      </c>
      <c r="L126" s="61"/>
      <c r="M126" s="61"/>
      <c r="N126">
        <v>2027</v>
      </c>
      <c r="O126" s="61">
        <f t="shared" si="15"/>
        <v>-16563.012680827876</v>
      </c>
      <c r="P126" s="61">
        <f t="shared" si="16"/>
        <v>-21933.31585004129</v>
      </c>
      <c r="Q126" s="61">
        <f t="shared" si="24"/>
        <v>26536.293236152542</v>
      </c>
      <c r="R126" s="61">
        <f t="shared" si="24"/>
        <v>5283.3197000779855</v>
      </c>
      <c r="S126" s="61">
        <f t="shared" si="24"/>
        <v>4502.1182083870908</v>
      </c>
      <c r="T126" s="61">
        <f t="shared" si="24"/>
        <v>2174.5973862515525</v>
      </c>
      <c r="U126" s="407"/>
      <c r="W126">
        <v>2027</v>
      </c>
      <c r="X126" s="61">
        <f t="shared" si="17"/>
        <v>-16779.415634086607</v>
      </c>
      <c r="Y126" s="61">
        <f t="shared" si="18"/>
        <v>-22219.884146290882</v>
      </c>
      <c r="Z126" s="61">
        <f t="shared" si="25"/>
        <v>26994.63893025335</v>
      </c>
      <c r="AA126" s="61">
        <f t="shared" si="25"/>
        <v>5356.6409315947249</v>
      </c>
      <c r="AB126" s="61">
        <f t="shared" si="25"/>
        <v>4377.8698157242234</v>
      </c>
      <c r="AC126" s="61">
        <f t="shared" si="25"/>
        <v>2270.1501028051957</v>
      </c>
      <c r="AD126" s="407"/>
      <c r="AG126">
        <v>2027</v>
      </c>
      <c r="AH126" s="61">
        <f t="shared" si="19"/>
        <v>-16353.087445280138</v>
      </c>
      <c r="AI126" s="61">
        <f t="shared" si="20"/>
        <v>-21655.325572252466</v>
      </c>
      <c r="AJ126" s="61">
        <f t="shared" si="21"/>
        <v>28241.647049746054</v>
      </c>
      <c r="AK126" s="61">
        <f t="shared" si="21"/>
        <v>5612.2923874759972</v>
      </c>
      <c r="AL126" s="61">
        <f t="shared" si="21"/>
        <v>4952.8446934707918</v>
      </c>
      <c r="AM126" s="61">
        <f t="shared" si="22"/>
        <v>-798.371113160238</v>
      </c>
      <c r="AN126" s="407"/>
    </row>
    <row r="127" spans="2:40">
      <c r="E127">
        <v>2028</v>
      </c>
      <c r="F127" s="61">
        <f t="shared" si="12"/>
        <v>-16399.796439441481</v>
      </c>
      <c r="G127" s="61">
        <f t="shared" si="13"/>
        <v>-21689.998792722818</v>
      </c>
      <c r="H127" s="61">
        <f t="shared" si="23"/>
        <v>28922.159648408178</v>
      </c>
      <c r="I127" s="61">
        <f t="shared" si="23"/>
        <v>5162.0397345189831</v>
      </c>
      <c r="J127" s="61">
        <f t="shared" si="23"/>
        <v>4806.2473337210095</v>
      </c>
      <c r="K127" s="61">
        <f t="shared" si="14"/>
        <v>-800.65148448387743</v>
      </c>
      <c r="L127" s="61"/>
      <c r="M127" s="61"/>
      <c r="N127">
        <v>2028</v>
      </c>
      <c r="O127" s="61">
        <f t="shared" si="15"/>
        <v>-16675.631925450925</v>
      </c>
      <c r="P127" s="61">
        <f t="shared" si="16"/>
        <v>-22054.812550053764</v>
      </c>
      <c r="Q127" s="61">
        <f t="shared" si="24"/>
        <v>27365.584808039086</v>
      </c>
      <c r="R127" s="61">
        <f t="shared" si="24"/>
        <v>4837.1851385005666</v>
      </c>
      <c r="S127" s="61">
        <f t="shared" si="24"/>
        <v>4328.7084858609223</v>
      </c>
      <c r="T127" s="61">
        <f t="shared" si="24"/>
        <v>2198.9660431041125</v>
      </c>
      <c r="U127" s="407"/>
      <c r="W127">
        <v>2028</v>
      </c>
      <c r="X127" s="61">
        <f t="shared" si="17"/>
        <v>-16922.640439241961</v>
      </c>
      <c r="Y127" s="61">
        <f t="shared" si="18"/>
        <v>-22381.500407778294</v>
      </c>
      <c r="Z127" s="61">
        <f t="shared" si="25"/>
        <v>27968.416859747278</v>
      </c>
      <c r="AA127" s="61">
        <f t="shared" si="25"/>
        <v>4860.8285570673834</v>
      </c>
      <c r="AB127" s="61">
        <f t="shared" si="25"/>
        <v>4167.5689778811866</v>
      </c>
      <c r="AC127" s="61">
        <f t="shared" si="25"/>
        <v>2307.326452324417</v>
      </c>
      <c r="AD127" s="407"/>
      <c r="AG127">
        <v>2028</v>
      </c>
      <c r="AH127" s="61">
        <f t="shared" si="19"/>
        <v>-16436.017263732865</v>
      </c>
      <c r="AI127" s="61">
        <f t="shared" si="20"/>
        <v>-21737.903633374506</v>
      </c>
      <c r="AJ127" s="61">
        <f t="shared" si="21"/>
        <v>29015.69480168165</v>
      </c>
      <c r="AK127" s="61">
        <f t="shared" si="21"/>
        <v>5168.8495427414373</v>
      </c>
      <c r="AL127" s="61">
        <f t="shared" si="21"/>
        <v>4791.7963674547691</v>
      </c>
      <c r="AM127" s="61">
        <f t="shared" si="22"/>
        <v>-802.41981477048887</v>
      </c>
      <c r="AN127" s="407"/>
    </row>
    <row r="128" spans="2:40">
      <c r="E128">
        <v>2029</v>
      </c>
      <c r="F128" s="61">
        <f t="shared" si="12"/>
        <v>-16478.016714146674</v>
      </c>
      <c r="G128" s="61">
        <f t="shared" si="13"/>
        <v>-21766.175245037288</v>
      </c>
      <c r="H128" s="61">
        <f t="shared" si="23"/>
        <v>29627.175505831747</v>
      </c>
      <c r="I128" s="61">
        <f t="shared" si="23"/>
        <v>4760.483607927702</v>
      </c>
      <c r="J128" s="61">
        <f t="shared" si="23"/>
        <v>4661.0031077383965</v>
      </c>
      <c r="K128" s="61">
        <f>-K14*$C$4</f>
        <v>-804.47026231387747</v>
      </c>
      <c r="L128" s="61"/>
      <c r="M128" s="61"/>
      <c r="N128">
        <v>2029</v>
      </c>
      <c r="O128" s="61">
        <f t="shared" si="15"/>
        <v>-16787.943742255102</v>
      </c>
      <c r="P128" s="61">
        <f t="shared" si="16"/>
        <v>-22175.564683342112</v>
      </c>
      <c r="Q128" s="61">
        <f t="shared" si="24"/>
        <v>28154.729610336901</v>
      </c>
      <c r="R128" s="61">
        <f t="shared" si="24"/>
        <v>4420.1373466042569</v>
      </c>
      <c r="S128" s="61">
        <f t="shared" si="24"/>
        <v>4166.5272232685729</v>
      </c>
      <c r="T128" s="61">
        <f t="shared" si="24"/>
        <v>2222.1142453874922</v>
      </c>
      <c r="U128" s="407"/>
      <c r="W128">
        <v>2029</v>
      </c>
      <c r="X128" s="61">
        <f t="shared" si="17"/>
        <v>-17065.4809645475</v>
      </c>
      <c r="Y128" s="61">
        <f t="shared" si="18"/>
        <v>-22542.16971368236</v>
      </c>
      <c r="Z128" s="61">
        <f t="shared" si="25"/>
        <v>28910.902456029762</v>
      </c>
      <c r="AA128" s="61">
        <f t="shared" si="25"/>
        <v>4387.0341504091402</v>
      </c>
      <c r="AB128" s="61">
        <f t="shared" si="25"/>
        <v>3966.8806091106949</v>
      </c>
      <c r="AC128" s="61">
        <f t="shared" si="25"/>
        <v>2342.8334626802643</v>
      </c>
      <c r="AD128" s="407"/>
      <c r="AG128">
        <v>2029</v>
      </c>
      <c r="AH128" s="61">
        <f t="shared" si="19"/>
        <v>-16518.714205940327</v>
      </c>
      <c r="AI128" s="61">
        <f t="shared" si="20"/>
        <v>-21819.933458406111</v>
      </c>
      <c r="AJ128" s="61">
        <f t="shared" si="21"/>
        <v>29740.646386989276</v>
      </c>
      <c r="AK128" s="61">
        <f t="shared" si="21"/>
        <v>4761.2049196515009</v>
      </c>
      <c r="AL128" s="61">
        <f t="shared" si="21"/>
        <v>4643.2535048775117</v>
      </c>
      <c r="AM128" s="61">
        <f t="shared" si="22"/>
        <v>-806.45714717185001</v>
      </c>
      <c r="AN128" s="407"/>
    </row>
    <row r="129" spans="5:42">
      <c r="E129">
        <v>2030</v>
      </c>
      <c r="F129" s="61">
        <f t="shared" si="12"/>
        <v>-16556.015813483176</v>
      </c>
      <c r="G129" s="61">
        <f t="shared" si="13"/>
        <v>-21841.835252597739</v>
      </c>
      <c r="H129" s="61">
        <f t="shared" si="23"/>
        <v>30287.458502616584</v>
      </c>
      <c r="I129" s="61">
        <f t="shared" si="23"/>
        <v>4391.6305118073578</v>
      </c>
      <c r="J129" s="61">
        <f t="shared" si="23"/>
        <v>4527.0402938383322</v>
      </c>
      <c r="K129" s="61">
        <f>-K15*$C$4</f>
        <v>-808.27824218135811</v>
      </c>
      <c r="L129" s="61"/>
      <c r="M129" s="61"/>
      <c r="N129">
        <v>2030</v>
      </c>
      <c r="O129" s="61">
        <f t="shared" si="15"/>
        <v>-16899.948723842394</v>
      </c>
      <c r="P129" s="61">
        <f t="shared" si="16"/>
        <v>-22295.575213385589</v>
      </c>
      <c r="Q129" s="61">
        <f t="shared" si="24"/>
        <v>28906.080230684795</v>
      </c>
      <c r="R129" s="61">
        <f t="shared" si="24"/>
        <v>4030.4189180902499</v>
      </c>
      <c r="S129" s="61">
        <f t="shared" si="24"/>
        <v>4014.8981467333124</v>
      </c>
      <c r="T129" s="61">
        <f t="shared" si="24"/>
        <v>2244.1266417196284</v>
      </c>
      <c r="U129" s="407"/>
      <c r="W129">
        <v>2030</v>
      </c>
      <c r="X129" s="61">
        <f t="shared" si="17"/>
        <v>-17207.937946914091</v>
      </c>
      <c r="Y129" s="61">
        <f t="shared" si="18"/>
        <v>-22701.895788679365</v>
      </c>
      <c r="Z129" s="61">
        <f t="shared" si="25"/>
        <v>29821.82104455266</v>
      </c>
      <c r="AA129" s="61">
        <f t="shared" si="25"/>
        <v>3935.4243715354542</v>
      </c>
      <c r="AB129" s="61">
        <f t="shared" si="25"/>
        <v>3775.8731883787659</v>
      </c>
      <c r="AC129" s="61">
        <f t="shared" si="25"/>
        <v>2376.715131126572</v>
      </c>
      <c r="AD129" s="407"/>
      <c r="AG129">
        <v>2030</v>
      </c>
      <c r="AH129" s="61">
        <f t="shared" si="19"/>
        <v>-16601.178724515295</v>
      </c>
      <c r="AI129" s="61">
        <f t="shared" si="20"/>
        <v>-21901.417272414848</v>
      </c>
      <c r="AJ129" s="61">
        <f t="shared" si="21"/>
        <v>30421.098715401531</v>
      </c>
      <c r="AK129" s="61">
        <f t="shared" si="21"/>
        <v>4385.9539260739821</v>
      </c>
      <c r="AL129" s="61">
        <f t="shared" si="21"/>
        <v>4506.0264879158822</v>
      </c>
      <c r="AM129" s="61">
        <f t="shared" si="22"/>
        <v>-810.48313246124712</v>
      </c>
      <c r="AN129" s="407"/>
    </row>
    <row r="130" spans="5:42">
      <c r="E130">
        <v>2040</v>
      </c>
      <c r="F130" s="61">
        <f>-F16*$C$11</f>
        <v>0</v>
      </c>
      <c r="G130" s="61">
        <f>-G16*$C$10</f>
        <v>0</v>
      </c>
      <c r="H130" s="61">
        <f t="shared" si="23"/>
        <v>0</v>
      </c>
      <c r="I130" s="61">
        <f t="shared" si="23"/>
        <v>0</v>
      </c>
      <c r="J130" s="61">
        <f t="shared" si="23"/>
        <v>0</v>
      </c>
      <c r="K130" s="61">
        <f t="shared" ref="K130:K136" si="26">-K16*$C$11</f>
        <v>0</v>
      </c>
      <c r="L130" s="61"/>
      <c r="M130" s="61"/>
      <c r="N130">
        <v>2040</v>
      </c>
      <c r="O130" s="61">
        <f t="shared" si="15"/>
        <v>-17759.523900307802</v>
      </c>
      <c r="P130" s="61">
        <f t="shared" si="16"/>
        <v>-23133.008894977942</v>
      </c>
      <c r="Q130" s="61">
        <f t="shared" si="24"/>
        <v>34092.603140275278</v>
      </c>
      <c r="R130" s="61">
        <f t="shared" si="24"/>
        <v>1386.8567732914121</v>
      </c>
      <c r="S130" s="61">
        <f t="shared" si="24"/>
        <v>3075.1479670035965</v>
      </c>
      <c r="T130" s="61">
        <f t="shared" si="24"/>
        <v>2337.9249147154692</v>
      </c>
      <c r="U130" s="407"/>
      <c r="W130">
        <v>2040</v>
      </c>
      <c r="X130" s="61">
        <f t="shared" si="17"/>
        <v>-18490.444955472289</v>
      </c>
      <c r="Y130" s="61">
        <f t="shared" si="18"/>
        <v>-24085.084151362124</v>
      </c>
      <c r="Z130" s="61">
        <f t="shared" si="25"/>
        <v>37056.225107359722</v>
      </c>
      <c r="AA130" s="61">
        <f t="shared" si="25"/>
        <v>515.69093489204124</v>
      </c>
      <c r="AB130" s="61">
        <f t="shared" si="25"/>
        <v>2411.3667583319971</v>
      </c>
      <c r="AC130" s="61">
        <f t="shared" si="25"/>
        <v>2592.2463062506513</v>
      </c>
      <c r="AD130" s="407"/>
      <c r="AG130">
        <v>2040</v>
      </c>
      <c r="AH130" s="61">
        <f>-AH16*$C$11</f>
        <v>0</v>
      </c>
      <c r="AI130" s="61">
        <f>-AI16*$C$10</f>
        <v>0</v>
      </c>
      <c r="AJ130" s="61">
        <f t="shared" ref="AJ130:AM136" si="27">-SUM($AH130:$AI130)*(MAX(AJ111,0)/SUM(MAX($AJ111,0)+MAX($AK111,0)+MAX($AL111,0)+MAX($AM111,0)))</f>
        <v>0</v>
      </c>
      <c r="AK130" s="61">
        <f t="shared" si="27"/>
        <v>0</v>
      </c>
      <c r="AL130" s="61">
        <f t="shared" si="27"/>
        <v>0</v>
      </c>
      <c r="AM130" s="61">
        <f t="shared" si="27"/>
        <v>0</v>
      </c>
      <c r="AN130" s="407"/>
    </row>
    <row r="131" spans="5:42">
      <c r="E131">
        <v>2050</v>
      </c>
      <c r="F131" s="61">
        <f>-F17*$C$11</f>
        <v>0</v>
      </c>
      <c r="G131" s="61">
        <f>-G17*$C$10</f>
        <v>0</v>
      </c>
      <c r="H131" s="61">
        <f>-SUM($F131:$G131,$K131)*(MAX(H112,0)/SUM(MAX($H112,0)+MAX($I112,0)+MAX($J112,0)))</f>
        <v>0</v>
      </c>
      <c r="I131" s="61">
        <f t="shared" si="23"/>
        <v>0</v>
      </c>
      <c r="J131" s="61">
        <f t="shared" si="23"/>
        <v>0</v>
      </c>
      <c r="K131" s="61">
        <f t="shared" si="26"/>
        <v>0</v>
      </c>
      <c r="L131" s="61"/>
      <c r="M131" s="61"/>
      <c r="N131">
        <v>2050</v>
      </c>
      <c r="O131" s="61">
        <f t="shared" ref="O131:O136" si="28">-O17*$C$11</f>
        <v>0</v>
      </c>
      <c r="P131" s="61">
        <f t="shared" ref="P131:P136" si="29">-P17*$C$10</f>
        <v>0</v>
      </c>
      <c r="Q131" s="61">
        <f t="shared" si="24"/>
        <v>0</v>
      </c>
      <c r="R131" s="61">
        <f t="shared" si="24"/>
        <v>0</v>
      </c>
      <c r="S131" s="61">
        <f t="shared" si="24"/>
        <v>0</v>
      </c>
      <c r="T131" s="61">
        <f t="shared" si="24"/>
        <v>0</v>
      </c>
      <c r="U131" s="407"/>
      <c r="W131">
        <v>2050</v>
      </c>
      <c r="X131" s="61">
        <f t="shared" ref="X131:X136" si="30">-X17*$C$11</f>
        <v>0</v>
      </c>
      <c r="Y131" s="61">
        <f t="shared" ref="Y131:Y136" si="31">-Y17*$C$10</f>
        <v>0</v>
      </c>
      <c r="Z131" s="61">
        <f t="shared" si="25"/>
        <v>0</v>
      </c>
      <c r="AA131" s="61">
        <f t="shared" si="25"/>
        <v>0</v>
      </c>
      <c r="AB131" s="61">
        <f t="shared" si="25"/>
        <v>0</v>
      </c>
      <c r="AC131" s="61">
        <f t="shared" si="25"/>
        <v>0</v>
      </c>
      <c r="AD131" s="407"/>
      <c r="AG131">
        <v>2050</v>
      </c>
      <c r="AH131" s="61">
        <f t="shared" ref="AH131:AH136" si="32">-AH17*$C$11</f>
        <v>0</v>
      </c>
      <c r="AI131" s="61">
        <f t="shared" ref="AI131:AI136" si="33">-AI17*$C$10</f>
        <v>0</v>
      </c>
      <c r="AJ131" s="61">
        <f t="shared" si="27"/>
        <v>0</v>
      </c>
      <c r="AK131" s="61">
        <f t="shared" si="27"/>
        <v>0</v>
      </c>
      <c r="AL131" s="61">
        <f t="shared" si="27"/>
        <v>0</v>
      </c>
      <c r="AM131" s="61">
        <f t="shared" si="27"/>
        <v>0</v>
      </c>
      <c r="AN131" s="407"/>
    </row>
    <row r="132" spans="5:42">
      <c r="E132">
        <v>2060</v>
      </c>
      <c r="F132" s="61">
        <f t="shared" ref="F132:F136" si="34">-F18*$C$11</f>
        <v>0</v>
      </c>
      <c r="G132" s="61">
        <f t="shared" ref="G132:G136" si="35">-G18*$C$10</f>
        <v>0</v>
      </c>
      <c r="H132" s="61">
        <f t="shared" si="23"/>
        <v>0</v>
      </c>
      <c r="I132" s="61">
        <f t="shared" si="23"/>
        <v>0</v>
      </c>
      <c r="J132" s="61">
        <f t="shared" si="23"/>
        <v>0</v>
      </c>
      <c r="K132" s="61">
        <f t="shared" si="26"/>
        <v>0</v>
      </c>
      <c r="L132" s="61"/>
      <c r="M132" s="61"/>
      <c r="N132">
        <v>2060</v>
      </c>
      <c r="O132" s="61">
        <f t="shared" si="28"/>
        <v>0</v>
      </c>
      <c r="P132" s="61">
        <f t="shared" si="29"/>
        <v>0</v>
      </c>
      <c r="Q132" s="61">
        <f t="shared" si="24"/>
        <v>0</v>
      </c>
      <c r="R132" s="61">
        <f t="shared" si="24"/>
        <v>0</v>
      </c>
      <c r="S132" s="61">
        <f t="shared" si="24"/>
        <v>0</v>
      </c>
      <c r="T132" s="61">
        <f t="shared" si="24"/>
        <v>0</v>
      </c>
      <c r="U132" s="407"/>
      <c r="W132">
        <v>2060</v>
      </c>
      <c r="X132" s="61">
        <f t="shared" si="30"/>
        <v>0</v>
      </c>
      <c r="Y132" s="61">
        <f t="shared" si="31"/>
        <v>0</v>
      </c>
      <c r="Z132" s="61">
        <f t="shared" si="25"/>
        <v>0</v>
      </c>
      <c r="AA132" s="61">
        <f t="shared" si="25"/>
        <v>0</v>
      </c>
      <c r="AB132" s="61">
        <f t="shared" si="25"/>
        <v>0</v>
      </c>
      <c r="AC132" s="61">
        <f t="shared" si="25"/>
        <v>0</v>
      </c>
      <c r="AD132" s="407"/>
      <c r="AG132">
        <v>2060</v>
      </c>
      <c r="AH132" s="61">
        <f t="shared" si="32"/>
        <v>0</v>
      </c>
      <c r="AI132" s="61">
        <f t="shared" si="33"/>
        <v>0</v>
      </c>
      <c r="AJ132" s="61">
        <f t="shared" si="27"/>
        <v>0</v>
      </c>
      <c r="AK132" s="61">
        <f t="shared" si="27"/>
        <v>0</v>
      </c>
      <c r="AL132" s="61">
        <f t="shared" si="27"/>
        <v>0</v>
      </c>
      <c r="AM132" s="61">
        <f t="shared" si="27"/>
        <v>0</v>
      </c>
      <c r="AN132" s="407"/>
    </row>
    <row r="133" spans="5:42">
      <c r="E133">
        <v>2070</v>
      </c>
      <c r="F133" s="61">
        <f t="shared" si="34"/>
        <v>0</v>
      </c>
      <c r="G133" s="61">
        <f t="shared" si="35"/>
        <v>0</v>
      </c>
      <c r="H133" s="61">
        <f t="shared" si="23"/>
        <v>0</v>
      </c>
      <c r="I133" s="61">
        <f t="shared" si="23"/>
        <v>0</v>
      </c>
      <c r="J133" s="61">
        <f t="shared" si="23"/>
        <v>0</v>
      </c>
      <c r="K133" s="61">
        <f t="shared" si="26"/>
        <v>0</v>
      </c>
      <c r="L133" s="61"/>
      <c r="M133" s="61"/>
      <c r="N133">
        <v>2070</v>
      </c>
      <c r="O133" s="61">
        <f t="shared" si="28"/>
        <v>0</v>
      </c>
      <c r="P133" s="61">
        <f t="shared" si="29"/>
        <v>0</v>
      </c>
      <c r="Q133" s="61">
        <f t="shared" si="24"/>
        <v>0</v>
      </c>
      <c r="R133" s="61">
        <f t="shared" si="24"/>
        <v>0</v>
      </c>
      <c r="S133" s="61">
        <f t="shared" si="24"/>
        <v>0</v>
      </c>
      <c r="T133" s="61">
        <f t="shared" si="24"/>
        <v>0</v>
      </c>
      <c r="U133" s="407"/>
      <c r="W133">
        <v>2070</v>
      </c>
      <c r="X133" s="61">
        <f t="shared" si="30"/>
        <v>0</v>
      </c>
      <c r="Y133" s="61">
        <f t="shared" si="31"/>
        <v>0</v>
      </c>
      <c r="Z133" s="61">
        <f t="shared" si="25"/>
        <v>0</v>
      </c>
      <c r="AA133" s="61">
        <f t="shared" si="25"/>
        <v>0</v>
      </c>
      <c r="AB133" s="61">
        <f t="shared" si="25"/>
        <v>0</v>
      </c>
      <c r="AC133" s="61">
        <f t="shared" si="25"/>
        <v>0</v>
      </c>
      <c r="AD133" s="407"/>
      <c r="AE133" s="61"/>
      <c r="AG133">
        <v>2070</v>
      </c>
      <c r="AH133" s="61">
        <f t="shared" si="32"/>
        <v>0</v>
      </c>
      <c r="AI133" s="61">
        <f t="shared" si="33"/>
        <v>0</v>
      </c>
      <c r="AJ133" s="61">
        <f t="shared" si="27"/>
        <v>0</v>
      </c>
      <c r="AK133" s="61">
        <f t="shared" si="27"/>
        <v>0</v>
      </c>
      <c r="AL133" s="61">
        <f t="shared" si="27"/>
        <v>0</v>
      </c>
      <c r="AM133" s="61">
        <f t="shared" si="27"/>
        <v>0</v>
      </c>
      <c r="AN133" s="407"/>
    </row>
    <row r="134" spans="5:42">
      <c r="E134">
        <v>2080</v>
      </c>
      <c r="F134" s="61">
        <f>-F20*$C$11</f>
        <v>0</v>
      </c>
      <c r="G134" s="61">
        <f t="shared" si="35"/>
        <v>0</v>
      </c>
      <c r="H134" s="61">
        <f t="shared" si="23"/>
        <v>0</v>
      </c>
      <c r="I134" s="61">
        <f t="shared" si="23"/>
        <v>0</v>
      </c>
      <c r="J134" s="61">
        <f t="shared" si="23"/>
        <v>0</v>
      </c>
      <c r="K134" s="61">
        <f t="shared" si="26"/>
        <v>0</v>
      </c>
      <c r="L134" s="61"/>
      <c r="M134" s="61"/>
      <c r="N134">
        <v>2080</v>
      </c>
      <c r="O134" s="61">
        <f t="shared" si="28"/>
        <v>0</v>
      </c>
      <c r="P134" s="61">
        <f t="shared" si="29"/>
        <v>0</v>
      </c>
      <c r="Q134" s="61">
        <f t="shared" si="24"/>
        <v>0</v>
      </c>
      <c r="R134" s="61">
        <f t="shared" si="24"/>
        <v>0</v>
      </c>
      <c r="S134" s="61">
        <f t="shared" si="24"/>
        <v>0</v>
      </c>
      <c r="T134" s="61">
        <f t="shared" si="24"/>
        <v>0</v>
      </c>
      <c r="U134" s="407"/>
      <c r="W134">
        <v>2080</v>
      </c>
      <c r="X134" s="61">
        <f t="shared" si="30"/>
        <v>0</v>
      </c>
      <c r="Y134" s="61">
        <f t="shared" si="31"/>
        <v>0</v>
      </c>
      <c r="Z134" s="61">
        <f t="shared" si="25"/>
        <v>0</v>
      </c>
      <c r="AA134" s="61">
        <f t="shared" si="25"/>
        <v>0</v>
      </c>
      <c r="AB134" s="61">
        <f t="shared" si="25"/>
        <v>0</v>
      </c>
      <c r="AC134" s="61">
        <f t="shared" si="25"/>
        <v>0</v>
      </c>
      <c r="AD134" s="407"/>
      <c r="AE134" s="61"/>
      <c r="AG134">
        <v>2080</v>
      </c>
      <c r="AH134" s="61">
        <f t="shared" si="32"/>
        <v>0</v>
      </c>
      <c r="AI134" s="61">
        <f t="shared" si="33"/>
        <v>0</v>
      </c>
      <c r="AJ134" s="61">
        <f t="shared" si="27"/>
        <v>0</v>
      </c>
      <c r="AK134" s="61">
        <f t="shared" si="27"/>
        <v>0</v>
      </c>
      <c r="AL134" s="61">
        <f t="shared" si="27"/>
        <v>0</v>
      </c>
      <c r="AM134" s="61">
        <f t="shared" si="27"/>
        <v>0</v>
      </c>
      <c r="AN134" s="407"/>
    </row>
    <row r="135" spans="5:42">
      <c r="E135">
        <v>2090</v>
      </c>
      <c r="F135" s="61">
        <f t="shared" si="34"/>
        <v>0</v>
      </c>
      <c r="G135" s="61">
        <f t="shared" si="35"/>
        <v>0</v>
      </c>
      <c r="H135" s="61">
        <f t="shared" si="23"/>
        <v>0</v>
      </c>
      <c r="I135" s="61">
        <f t="shared" si="23"/>
        <v>0</v>
      </c>
      <c r="J135" s="61">
        <f t="shared" si="23"/>
        <v>0</v>
      </c>
      <c r="K135" s="61">
        <f t="shared" si="26"/>
        <v>0</v>
      </c>
      <c r="L135" s="61"/>
      <c r="M135" s="61"/>
      <c r="N135">
        <v>2090</v>
      </c>
      <c r="O135" s="61">
        <f t="shared" si="28"/>
        <v>0</v>
      </c>
      <c r="P135" s="61">
        <f t="shared" si="29"/>
        <v>0</v>
      </c>
      <c r="Q135" s="61">
        <f t="shared" si="24"/>
        <v>0</v>
      </c>
      <c r="R135" s="61">
        <f t="shared" si="24"/>
        <v>0</v>
      </c>
      <c r="S135" s="61">
        <f t="shared" si="24"/>
        <v>0</v>
      </c>
      <c r="T135" s="61">
        <f t="shared" si="24"/>
        <v>0</v>
      </c>
      <c r="U135" s="407"/>
      <c r="W135">
        <v>2090</v>
      </c>
      <c r="X135" s="61">
        <f t="shared" si="30"/>
        <v>0</v>
      </c>
      <c r="Y135" s="61">
        <f t="shared" si="31"/>
        <v>0</v>
      </c>
      <c r="Z135" s="61">
        <f t="shared" si="25"/>
        <v>0</v>
      </c>
      <c r="AA135" s="61">
        <f t="shared" si="25"/>
        <v>0</v>
      </c>
      <c r="AB135" s="61">
        <f t="shared" si="25"/>
        <v>0</v>
      </c>
      <c r="AC135" s="61">
        <f t="shared" si="25"/>
        <v>0</v>
      </c>
      <c r="AD135" s="407"/>
      <c r="AE135" s="61"/>
      <c r="AG135">
        <v>2090</v>
      </c>
      <c r="AH135" s="61">
        <f t="shared" si="32"/>
        <v>0</v>
      </c>
      <c r="AI135" s="61">
        <f t="shared" si="33"/>
        <v>0</v>
      </c>
      <c r="AJ135" s="61">
        <f t="shared" si="27"/>
        <v>0</v>
      </c>
      <c r="AK135" s="61">
        <f t="shared" si="27"/>
        <v>0</v>
      </c>
      <c r="AL135" s="61">
        <f t="shared" si="27"/>
        <v>0</v>
      </c>
      <c r="AM135" s="61">
        <f t="shared" si="27"/>
        <v>0</v>
      </c>
      <c r="AN135" s="407"/>
    </row>
    <row r="136" spans="5:42">
      <c r="E136">
        <v>2100</v>
      </c>
      <c r="F136" s="61">
        <f t="shared" si="34"/>
        <v>0</v>
      </c>
      <c r="G136" s="61">
        <f t="shared" si="35"/>
        <v>0</v>
      </c>
      <c r="H136" s="61">
        <f t="shared" si="23"/>
        <v>0</v>
      </c>
      <c r="I136" s="61">
        <f t="shared" si="23"/>
        <v>0</v>
      </c>
      <c r="J136" s="61">
        <f t="shared" si="23"/>
        <v>0</v>
      </c>
      <c r="K136" s="61">
        <f t="shared" si="26"/>
        <v>0</v>
      </c>
      <c r="L136" s="61"/>
      <c r="M136" s="61"/>
      <c r="N136">
        <v>2100</v>
      </c>
      <c r="O136" s="61">
        <f t="shared" si="28"/>
        <v>0</v>
      </c>
      <c r="P136" s="61">
        <f t="shared" si="29"/>
        <v>0</v>
      </c>
      <c r="Q136" s="61">
        <f t="shared" si="24"/>
        <v>0</v>
      </c>
      <c r="R136" s="61">
        <f t="shared" si="24"/>
        <v>0</v>
      </c>
      <c r="S136" s="61">
        <f t="shared" si="24"/>
        <v>0</v>
      </c>
      <c r="T136" s="61">
        <f t="shared" si="24"/>
        <v>0</v>
      </c>
      <c r="U136" s="407"/>
      <c r="W136">
        <v>2100</v>
      </c>
      <c r="X136" s="61">
        <f t="shared" si="30"/>
        <v>0</v>
      </c>
      <c r="Y136" s="61">
        <f t="shared" si="31"/>
        <v>0</v>
      </c>
      <c r="Z136" s="61">
        <f t="shared" si="25"/>
        <v>0</v>
      </c>
      <c r="AA136" s="61">
        <f t="shared" si="25"/>
        <v>0</v>
      </c>
      <c r="AB136" s="61">
        <f t="shared" si="25"/>
        <v>0</v>
      </c>
      <c r="AC136" s="61">
        <f t="shared" si="25"/>
        <v>0</v>
      </c>
      <c r="AD136" s="407"/>
      <c r="AE136" s="61"/>
      <c r="AG136">
        <v>2100</v>
      </c>
      <c r="AH136" s="61">
        <f t="shared" si="32"/>
        <v>0</v>
      </c>
      <c r="AI136" s="61">
        <f t="shared" si="33"/>
        <v>0</v>
      </c>
      <c r="AJ136" s="61">
        <f t="shared" si="27"/>
        <v>0</v>
      </c>
      <c r="AK136" s="61">
        <f t="shared" si="27"/>
        <v>0</v>
      </c>
      <c r="AL136" s="61">
        <f t="shared" si="27"/>
        <v>0</v>
      </c>
      <c r="AM136" s="61">
        <f t="shared" si="27"/>
        <v>0</v>
      </c>
      <c r="AN136" s="407"/>
    </row>
    <row r="137" spans="5:42">
      <c r="F137" s="581" t="s">
        <v>285</v>
      </c>
      <c r="G137" s="581"/>
      <c r="H137" s="581"/>
      <c r="I137" s="581"/>
      <c r="J137" s="581"/>
      <c r="K137" s="581"/>
      <c r="L137" s="61"/>
      <c r="M137" s="61"/>
      <c r="O137" s="581" t="s">
        <v>285</v>
      </c>
      <c r="P137" s="581"/>
      <c r="Q137" s="581"/>
      <c r="R137" s="581"/>
      <c r="S137" s="581"/>
      <c r="T137" s="581"/>
      <c r="U137" s="407"/>
      <c r="X137" s="581" t="s">
        <v>285</v>
      </c>
      <c r="Y137" s="581"/>
      <c r="Z137" s="581"/>
      <c r="AA137" s="581"/>
      <c r="AB137" s="581"/>
      <c r="AC137" s="581"/>
      <c r="AD137" s="407"/>
      <c r="AE137" s="61"/>
      <c r="AH137" s="581" t="s">
        <v>285</v>
      </c>
      <c r="AI137" s="581"/>
      <c r="AJ137" s="581"/>
      <c r="AK137" s="581"/>
      <c r="AL137" s="581"/>
      <c r="AM137" s="581"/>
      <c r="AN137" s="407"/>
    </row>
    <row r="138" spans="5:42">
      <c r="E138">
        <v>2020</v>
      </c>
      <c r="F138" s="431">
        <f>F119*'Demographic-Economic'!C$12</f>
        <v>-12171.36744</v>
      </c>
      <c r="G138" s="431">
        <f>G119*'Demographic-Economic'!D$12</f>
        <v>-17418.058980000002</v>
      </c>
      <c r="H138" s="431">
        <f>H119*'Demographic-Economic'!E$12</f>
        <v>16416.493596582161</v>
      </c>
      <c r="I138" s="431">
        <f>I119*'Demographic-Economic'!F$12</f>
        <v>7900.4133576581698</v>
      </c>
      <c r="J138" s="431">
        <f>J119*'Demographic-Economic'!G$12</f>
        <v>4992.4196021690823</v>
      </c>
      <c r="K138" s="431">
        <f>K119*'Demographic-Economic'!H$12</f>
        <v>-636.55016999999998</v>
      </c>
      <c r="L138" s="61"/>
      <c r="M138" s="61"/>
      <c r="N138">
        <v>2020</v>
      </c>
      <c r="O138" s="61">
        <f>O119*'Demographic-Economic'!C$12</f>
        <v>-12171.36744</v>
      </c>
      <c r="P138" s="61">
        <f>P119*'Demographic-Economic'!D$12</f>
        <v>-17418.058980000002</v>
      </c>
      <c r="Q138" s="61">
        <f>Q119*'Demographic-Economic'!E$12</f>
        <v>15223.833073215863</v>
      </c>
      <c r="R138" s="61">
        <f>R119*'Demographic-Economic'!F$12</f>
        <v>7326.4472378823612</v>
      </c>
      <c r="S138" s="61">
        <f>S119*'Demographic-Economic'!G$12</f>
        <v>4629.7196296958627</v>
      </c>
      <c r="T138" s="61">
        <f>T119*'Demographic-Economic'!H$12</f>
        <v>1622.3683909258621</v>
      </c>
      <c r="U138" s="407"/>
      <c r="W138">
        <v>2020</v>
      </c>
      <c r="X138" s="61">
        <f>X119*'Demographic-Economic'!C$12</f>
        <v>-12171.36744</v>
      </c>
      <c r="Y138" s="61">
        <f>Y119*'Demographic-Economic'!D$12</f>
        <v>-17418.058980000002</v>
      </c>
      <c r="Z138" s="61">
        <f>Z119*'Demographic-Economic'!E$12</f>
        <v>15223.833073215863</v>
      </c>
      <c r="AA138" s="61">
        <f>AA119*'Demographic-Economic'!F$12</f>
        <v>7326.4472378823612</v>
      </c>
      <c r="AB138" s="61">
        <f>AB119*'Demographic-Economic'!G$12</f>
        <v>4629.7196296958627</v>
      </c>
      <c r="AC138" s="61">
        <f>AC119*'Demographic-Economic'!H$12</f>
        <v>1622.3683909258621</v>
      </c>
      <c r="AD138" s="407"/>
      <c r="AE138" s="61"/>
      <c r="AG138">
        <v>2020</v>
      </c>
      <c r="AH138" s="61">
        <f>-AH24*$C$4</f>
        <v>-12171.36744</v>
      </c>
      <c r="AI138" s="61">
        <f t="shared" ref="AI138:AI148" si="36">-AI24*$C$3</f>
        <v>-17418.058979999998</v>
      </c>
      <c r="AJ138" s="61">
        <f t="shared" ref="AJ138:AL155" si="37">-SUM($AH138:$AI138) * (AJ100/SUM($AJ100:$AM100))</f>
        <v>16458.440054049945</v>
      </c>
      <c r="AK138" s="61">
        <f t="shared" si="37"/>
        <v>7961.1664819277712</v>
      </c>
      <c r="AL138" s="61">
        <f t="shared" si="37"/>
        <v>5169.8198840222803</v>
      </c>
      <c r="AM138" s="61">
        <f t="shared" ref="AM138:AM148" si="38">-AM24*$C$4</f>
        <v>-636.55016999999998</v>
      </c>
      <c r="AN138" s="407"/>
    </row>
    <row r="139" spans="5:42">
      <c r="E139">
        <v>2021</v>
      </c>
      <c r="F139" s="431">
        <f>F120*'Demographic-Economic'!C$12</f>
        <v>-12233.131509733459</v>
      </c>
      <c r="G139" s="431">
        <f>G120*'Demographic-Economic'!D$12</f>
        <v>-17484.537139141346</v>
      </c>
      <c r="H139" s="431">
        <f>H120*'Demographic-Economic'!E$12</f>
        <v>17446.373492050505</v>
      </c>
      <c r="I139" s="431">
        <f>I120*'Demographic-Economic'!F$12</f>
        <v>7237.9065550857513</v>
      </c>
      <c r="J139" s="431">
        <f>J120*'Demographic-Economic'!G$12</f>
        <v>4764.8962398466128</v>
      </c>
      <c r="K139" s="431">
        <f>K120*'Demographic-Economic'!H$12</f>
        <v>-639.78036819116755</v>
      </c>
      <c r="L139" s="61"/>
      <c r="M139" s="61"/>
      <c r="N139">
        <v>2021</v>
      </c>
      <c r="O139" s="61">
        <f>O120*'Demographic-Economic'!C$12</f>
        <v>-12259.983711645533</v>
      </c>
      <c r="P139" s="61">
        <f>P120*'Demographic-Economic'!D$12</f>
        <v>-17522.916381711068</v>
      </c>
      <c r="Q139" s="61">
        <f>Q120*'Demographic-Economic'!E$12</f>
        <v>16151.856284066913</v>
      </c>
      <c r="R139" s="61">
        <f>R120*'Demographic-Economic'!F$12</f>
        <v>6776.8985659228692</v>
      </c>
      <c r="S139" s="61">
        <f>S120*'Demographic-Economic'!G$12</f>
        <v>4422.5173692682347</v>
      </c>
      <c r="T139" s="61">
        <f>T120*'Demographic-Economic'!H$12</f>
        <v>1651.8652225249391</v>
      </c>
      <c r="U139" s="407"/>
      <c r="W139">
        <v>2021</v>
      </c>
      <c r="X139" s="61">
        <f>X120*'Demographic-Economic'!C$12</f>
        <v>-12284.02964780217</v>
      </c>
      <c r="Y139" s="61">
        <f>Y120*'Demographic-Economic'!D$12</f>
        <v>-17557.284692346955</v>
      </c>
      <c r="Z139" s="61">
        <f>Z120*'Demographic-Economic'!E$12</f>
        <v>16132.200867107542</v>
      </c>
      <c r="AA139" s="61">
        <f>AA120*'Demographic-Economic'!F$12</f>
        <v>6838.159180116636</v>
      </c>
      <c r="AB139" s="61">
        <f>AB120*'Demographic-Economic'!G$12</f>
        <v>4426.9477538681685</v>
      </c>
      <c r="AC139" s="61">
        <f>AC120*'Demographic-Economic'!H$12</f>
        <v>1663.0098791401565</v>
      </c>
      <c r="AD139" s="407"/>
      <c r="AE139" s="61"/>
      <c r="AG139">
        <v>2021</v>
      </c>
      <c r="AH139" s="61">
        <f t="shared" ref="AH139:AH148" si="39">-AH25*$C$4</f>
        <v>-12236.657556731128</v>
      </c>
      <c r="AI139" s="61">
        <f t="shared" si="36"/>
        <v>-17489.576838063575</v>
      </c>
      <c r="AJ139" s="61">
        <f t="shared" si="37"/>
        <v>17488.307615340676</v>
      </c>
      <c r="AK139" s="61">
        <f t="shared" si="37"/>
        <v>7302.9421444657473</v>
      </c>
      <c r="AL139" s="61">
        <f t="shared" si="37"/>
        <v>4934.9846349882764</v>
      </c>
      <c r="AM139" s="61">
        <f t="shared" si="38"/>
        <v>-639.96477687218544</v>
      </c>
      <c r="AN139" s="407"/>
    </row>
    <row r="140" spans="5:42">
      <c r="E140">
        <v>2022</v>
      </c>
      <c r="F140" s="431">
        <f>F121*'Demographic-Economic'!C$12</f>
        <v>-12294.722151530957</v>
      </c>
      <c r="G140" s="431">
        <f>G121*'Demographic-Economic'!D$12</f>
        <v>-17550.574044618359</v>
      </c>
      <c r="H140" s="431">
        <f>H121*'Demographic-Economic'!E$12</f>
        <v>18389.413410209636</v>
      </c>
      <c r="I140" s="431">
        <f>I121*'Demographic-Economic'!F$12</f>
        <v>6639.1885639619823</v>
      </c>
      <c r="J140" s="431">
        <f>J121*'Demographic-Economic'!G$12</f>
        <v>4558.7890584948045</v>
      </c>
      <c r="K140" s="431">
        <f>K121*'Demographic-Economic'!H$12</f>
        <v>-643.00149627721669</v>
      </c>
      <c r="L140" s="61"/>
      <c r="M140" s="61"/>
      <c r="N140">
        <v>2022</v>
      </c>
      <c r="O140" s="61">
        <f>O121*'Demographic-Economic'!C$12</f>
        <v>-12348.359424850327</v>
      </c>
      <c r="P140" s="61">
        <f>P121*'Demographic-Economic'!D$12</f>
        <v>-17627.140633544957</v>
      </c>
      <c r="Q140" s="61">
        <f>Q121*'Demographic-Economic'!E$12</f>
        <v>17034.075353792359</v>
      </c>
      <c r="R140" s="61">
        <f>R121*'Demographic-Economic'!F$12</f>
        <v>6260.7461471088654</v>
      </c>
      <c r="S140" s="61">
        <f>S121*'Demographic-Economic'!G$12</f>
        <v>4227.8153178133698</v>
      </c>
      <c r="T140" s="61">
        <f>T121*'Demographic-Economic'!H$12</f>
        <v>1679.7605610735623</v>
      </c>
      <c r="U140" s="407"/>
      <c r="W140">
        <v>2022</v>
      </c>
      <c r="X140" s="61">
        <f>X121*'Demographic-Economic'!C$12</f>
        <v>-12396.391182323207</v>
      </c>
      <c r="Y140" s="61">
        <f>Y121*'Demographic-Economic'!D$12</f>
        <v>-17695.705413263549</v>
      </c>
      <c r="Z140" s="61">
        <f>Z121*'Demographic-Economic'!E$12</f>
        <v>17025.098247909162</v>
      </c>
      <c r="AA140" s="61">
        <f>AA121*'Demographic-Economic'!F$12</f>
        <v>6360.7392960691777</v>
      </c>
      <c r="AB140" s="61">
        <f>AB121*'Demographic-Economic'!G$12</f>
        <v>4228.7867115681956</v>
      </c>
      <c r="AC140" s="61">
        <f>AC121*'Demographic-Economic'!H$12</f>
        <v>1702.2967995476192</v>
      </c>
      <c r="AD140" s="407"/>
      <c r="AE140" s="61"/>
      <c r="AG140">
        <v>2022</v>
      </c>
      <c r="AH140" s="61">
        <f t="shared" si="39"/>
        <v>-12301.765430408801</v>
      </c>
      <c r="AI140" s="61">
        <f t="shared" si="36"/>
        <v>-17560.628243968204</v>
      </c>
      <c r="AJ140" s="61">
        <f t="shared" si="37"/>
        <v>18436.215898248312</v>
      </c>
      <c r="AK140" s="61">
        <f t="shared" si="37"/>
        <v>6704.9835643768811</v>
      </c>
      <c r="AL140" s="61">
        <f t="shared" si="37"/>
        <v>4721.1942117518101</v>
      </c>
      <c r="AM140" s="61">
        <f t="shared" si="38"/>
        <v>-643.36985261754967</v>
      </c>
      <c r="AN140" s="407"/>
    </row>
    <row r="141" spans="5:42">
      <c r="E141">
        <v>2023</v>
      </c>
      <c r="F141" s="431">
        <f>F122*'Demographic-Economic'!C$12</f>
        <v>-12356.139702455976</v>
      </c>
      <c r="G141" s="431">
        <f>G122*'Demographic-Economic'!D$12</f>
        <v>-17616.171487210868</v>
      </c>
      <c r="H141" s="431">
        <f>H122*'Demographic-Economic'!E$12</f>
        <v>19255.740571428767</v>
      </c>
      <c r="I141" s="431">
        <f>I122*'Demographic-Economic'!F$12</f>
        <v>6096.7694498445071</v>
      </c>
      <c r="J141" s="431">
        <f>J122*'Demographic-Economic'!G$12</f>
        <v>4371.5838949672434</v>
      </c>
      <c r="K141" s="431">
        <f>K122*'Demographic-Economic'!H$12</f>
        <v>-646.21357188622517</v>
      </c>
      <c r="L141" s="61"/>
      <c r="M141" s="61"/>
      <c r="N141">
        <v>2023</v>
      </c>
      <c r="O141" s="61">
        <f>O122*'Demographic-Economic'!C$12</f>
        <v>-12436.495042547554</v>
      </c>
      <c r="P141" s="61">
        <f>P122*'Demographic-Economic'!D$12</f>
        <v>-17730.734245892294</v>
      </c>
      <c r="Q141" s="61">
        <f>Q122*'Demographic-Economic'!E$12</f>
        <v>17872.558627306516</v>
      </c>
      <c r="R141" s="61">
        <f>R122*'Demographic-Economic'!F$12</f>
        <v>5776.4355202193401</v>
      </c>
      <c r="S141" s="61">
        <f>S122*'Demographic-Economic'!G$12</f>
        <v>4045.0409005138463</v>
      </c>
      <c r="T141" s="61">
        <f>T122*'Demographic-Economic'!H$12</f>
        <v>1706.1474739257469</v>
      </c>
      <c r="U141" s="407"/>
      <c r="W141">
        <v>2023</v>
      </c>
      <c r="X141" s="61">
        <f>X122*'Demographic-Economic'!C$12</f>
        <v>-12508.452619211617</v>
      </c>
      <c r="Y141" s="61">
        <f>Y122*'Demographic-Economic'!D$12</f>
        <v>-17833.324297546234</v>
      </c>
      <c r="Z141" s="61">
        <f>Z122*'Demographic-Economic'!E$12</f>
        <v>17900.29435863511</v>
      </c>
      <c r="AA141" s="61">
        <f>AA122*'Demographic-Economic'!F$12</f>
        <v>5895.7596443458633</v>
      </c>
      <c r="AB141" s="61">
        <f>AB122*'Demographic-Economic'!G$12</f>
        <v>4035.9094248914948</v>
      </c>
      <c r="AC141" s="61">
        <f>AC122*'Demographic-Economic'!H$12</f>
        <v>1740.186242006424</v>
      </c>
      <c r="AD141" s="407"/>
      <c r="AE141" s="61"/>
      <c r="AG141">
        <v>2023</v>
      </c>
      <c r="AH141" s="61">
        <f t="shared" si="39"/>
        <v>-12366.691414624845</v>
      </c>
      <c r="AI141" s="61">
        <f t="shared" si="36"/>
        <v>-17631.215082988074</v>
      </c>
      <c r="AJ141" s="61">
        <f t="shared" si="37"/>
        <v>19311.044869908503</v>
      </c>
      <c r="AK141" s="61">
        <f t="shared" si="37"/>
        <v>6160.7093646622361</v>
      </c>
      <c r="AL141" s="61">
        <f t="shared" si="37"/>
        <v>4526.1522630421814</v>
      </c>
      <c r="AM141" s="61">
        <f t="shared" si="38"/>
        <v>-646.76541572858685</v>
      </c>
      <c r="AN141" s="407"/>
      <c r="AP141" s="61"/>
    </row>
    <row r="142" spans="5:42">
      <c r="E142">
        <v>2024</v>
      </c>
      <c r="F142" s="431">
        <f>F123*'Demographic-Economic'!C$12</f>
        <v>-12417.384499000322</v>
      </c>
      <c r="G142" s="431">
        <f>G123*'Demographic-Economic'!D$12</f>
        <v>-17681.331251502634</v>
      </c>
      <c r="H142" s="431">
        <f>H123*'Demographic-Economic'!E$12</f>
        <v>20054.069606624114</v>
      </c>
      <c r="I142" s="431">
        <f>I123*'Demographic-Economic'!F$12</f>
        <v>5604.2043333795418</v>
      </c>
      <c r="J142" s="431">
        <f>J123*'Demographic-Economic'!G$12</f>
        <v>4201.1172273451148</v>
      </c>
      <c r="K142" s="431">
        <f>K123*'Demographic-Economic'!H$12</f>
        <v>-649.4166126163733</v>
      </c>
      <c r="L142" s="61"/>
      <c r="M142" s="61"/>
      <c r="N142">
        <v>2024</v>
      </c>
      <c r="O142" s="61">
        <f>O123*'Demographic-Economic'!C$12</f>
        <v>-12524.391026888943</v>
      </c>
      <c r="P142" s="61">
        <f>P123*'Demographic-Economic'!D$12</f>
        <v>-17833.699720548935</v>
      </c>
      <c r="Q142" s="61">
        <f>Q123*'Demographic-Economic'!E$12</f>
        <v>18669.404291268089</v>
      </c>
      <c r="R142" s="61">
        <f>R123*'Demographic-Economic'!F$12</f>
        <v>5322.3935542261606</v>
      </c>
      <c r="S142" s="61">
        <f>S123*'Demographic-Economic'!G$12</f>
        <v>3873.6125525576831</v>
      </c>
      <c r="T142" s="61">
        <f>T123*'Demographic-Economic'!H$12</f>
        <v>1731.1171326016211</v>
      </c>
      <c r="U142" s="407"/>
      <c r="W142">
        <v>2024</v>
      </c>
      <c r="X142" s="61">
        <f>X123*'Demographic-Economic'!C$12</f>
        <v>-12620.214533146584</v>
      </c>
      <c r="Y142" s="61">
        <f>Y123*'Demographic-Economic'!D$12</f>
        <v>-17970.144489248672</v>
      </c>
      <c r="Z142" s="61">
        <f>Z123*'Demographic-Economic'!E$12</f>
        <v>18755.886915983287</v>
      </c>
      <c r="AA142" s="61">
        <f>AA123*'Demographic-Economic'!F$12</f>
        <v>5444.5559892128986</v>
      </c>
      <c r="AB142" s="61">
        <f>AB123*'Demographic-Economic'!G$12</f>
        <v>3848.8868185414194</v>
      </c>
      <c r="AC142" s="61">
        <f>AC123*'Demographic-Economic'!H$12</f>
        <v>1776.6503322431363</v>
      </c>
      <c r="AD142" s="407"/>
      <c r="AE142" s="61"/>
      <c r="AG142">
        <v>2024</v>
      </c>
      <c r="AH142" s="61">
        <f t="shared" si="39"/>
        <v>-12431.435862371869</v>
      </c>
      <c r="AI142" s="61">
        <f t="shared" si="36"/>
        <v>-17701.339233886323</v>
      </c>
      <c r="AJ142" s="61">
        <f t="shared" si="37"/>
        <v>20120.541622526413</v>
      </c>
      <c r="AK142" s="61">
        <f t="shared" si="37"/>
        <v>5664.3782368412831</v>
      </c>
      <c r="AL142" s="61">
        <f t="shared" si="37"/>
        <v>4347.8552368904984</v>
      </c>
      <c r="AM142" s="61">
        <f t="shared" si="38"/>
        <v>-650.15148466645167</v>
      </c>
      <c r="AN142" s="407"/>
    </row>
    <row r="143" spans="5:42">
      <c r="E143">
        <v>2025</v>
      </c>
      <c r="F143" s="431">
        <f>F124*'Demographic-Economic'!C$12</f>
        <v>-12478.456877085024</v>
      </c>
      <c r="G143" s="431">
        <f>G124*'Demographic-Economic'!D$12</f>
        <v>-17746.055115901152</v>
      </c>
      <c r="H143" s="431">
        <f>H124*'Demographic-Economic'!E$12</f>
        <v>20791.929851216311</v>
      </c>
      <c r="I143" s="431">
        <f>I124*'Demographic-Economic'!F$12</f>
        <v>5155.9252456734503</v>
      </c>
      <c r="J143" s="431">
        <f>J124*'Demographic-Economic'!G$12</f>
        <v>4045.5197431140477</v>
      </c>
      <c r="K143" s="431">
        <f>K124*'Demographic-Economic'!H$12</f>
        <v>-652.61063603599007</v>
      </c>
      <c r="L143" s="61"/>
      <c r="M143" s="61"/>
      <c r="N143">
        <v>2025</v>
      </c>
      <c r="O143" s="61">
        <f>O124*'Demographic-Economic'!C$12</f>
        <v>-12612.047839245972</v>
      </c>
      <c r="P143" s="61">
        <f>P124*'Demographic-Economic'!D$12</f>
        <v>-17936.039550743255</v>
      </c>
      <c r="Q143" s="61">
        <f>Q124*'Demographic-Economic'!E$12</f>
        <v>19426.712266407543</v>
      </c>
      <c r="R143" s="61">
        <f>R124*'Demographic-Economic'!F$12</f>
        <v>4897.0489493240848</v>
      </c>
      <c r="S143" s="61">
        <f>S124*'Demographic-Economic'!G$12</f>
        <v>3712.9476383430033</v>
      </c>
      <c r="T143" s="61">
        <f>T124*'Demographic-Economic'!H$12</f>
        <v>1754.758098476578</v>
      </c>
      <c r="U143" s="407"/>
      <c r="W143">
        <v>2025</v>
      </c>
      <c r="X143" s="61">
        <f>X124*'Demographic-Economic'!C$12</f>
        <v>-12731.677497839495</v>
      </c>
      <c r="Y143" s="61">
        <f>Y124*'Demographic-Economic'!D$12</f>
        <v>-18106.169121715735</v>
      </c>
      <c r="Z143" s="61">
        <f>Z124*'Demographic-Economic'!E$12</f>
        <v>19590.296609932662</v>
      </c>
      <c r="AA143" s="61">
        <f>AA124*'Demographic-Economic'!F$12</f>
        <v>5008.232280886753</v>
      </c>
      <c r="AB143" s="61">
        <f>AB124*'Demographic-Economic'!G$12</f>
        <v>3668.1898477564082</v>
      </c>
      <c r="AC143" s="61">
        <f>AC124*'Demographic-Economic'!H$12</f>
        <v>1811.6751810511903</v>
      </c>
      <c r="AD143" s="407"/>
      <c r="AE143" s="61"/>
      <c r="AG143">
        <v>2025</v>
      </c>
      <c r="AH143" s="61">
        <f t="shared" si="39"/>
        <v>-12495.999126044186</v>
      </c>
      <c r="AI143" s="61">
        <f t="shared" si="36"/>
        <v>-17771.002568935812</v>
      </c>
      <c r="AJ143" s="61">
        <f t="shared" si="37"/>
        <v>20871.484907820275</v>
      </c>
      <c r="AK143" s="61">
        <f t="shared" si="37"/>
        <v>5210.9669297773034</v>
      </c>
      <c r="AL143" s="61">
        <f t="shared" si="37"/>
        <v>4184.5498573824198</v>
      </c>
      <c r="AM143" s="61">
        <f t="shared" si="38"/>
        <v>-653.52807786100971</v>
      </c>
      <c r="AN143" s="407"/>
    </row>
    <row r="144" spans="5:42">
      <c r="E144">
        <v>2026</v>
      </c>
      <c r="F144" s="431">
        <f>F125*'Demographic-Economic'!C$12</f>
        <v>-12539.357172061233</v>
      </c>
      <c r="G144" s="431">
        <f>G125*'Demographic-Economic'!D$12</f>
        <v>-17810.344852657352</v>
      </c>
      <c r="H144" s="431">
        <f>H125*'Demographic-Economic'!E$12</f>
        <v>21475.85142429711</v>
      </c>
      <c r="I144" s="431">
        <f>I125*'Demographic-Economic'!F$12</f>
        <v>4747.1034684520855</v>
      </c>
      <c r="J144" s="431">
        <f>J125*'Demographic-Economic'!G$12</f>
        <v>3903.1701444642226</v>
      </c>
      <c r="K144" s="431">
        <f>K125*'Demographic-Economic'!H$12</f>
        <v>-655.79565968360055</v>
      </c>
      <c r="L144" s="61"/>
      <c r="M144" s="61"/>
      <c r="N144">
        <v>2026</v>
      </c>
      <c r="O144" s="61">
        <f>O125*'Demographic-Economic'!C$12</f>
        <v>-12699.465940211128</v>
      </c>
      <c r="P144" s="61">
        <f>P125*'Demographic-Economic'!D$12</f>
        <v>-18037.756221163349</v>
      </c>
      <c r="Q144" s="61">
        <f>Q125*'Demographic-Economic'!E$12</f>
        <v>20146.561228798324</v>
      </c>
      <c r="R144" s="61">
        <f>R125*'Demographic-Economic'!F$12</f>
        <v>4498.8489484524262</v>
      </c>
      <c r="S144" s="61">
        <f>S125*'Demographic-Economic'!G$12</f>
        <v>3562.4689349706027</v>
      </c>
      <c r="T144" s="61">
        <f>T125*'Demographic-Economic'!H$12</f>
        <v>1777.1557800990756</v>
      </c>
      <c r="U144" s="407"/>
      <c r="W144">
        <v>2026</v>
      </c>
      <c r="X144" s="61">
        <f>X125*'Demographic-Economic'!C$12</f>
        <v>-12842.842086035469</v>
      </c>
      <c r="Y144" s="61">
        <f>Y125*'Demographic-Economic'!D$12</f>
        <v>-18241.401317617405</v>
      </c>
      <c r="Z144" s="61">
        <f>Z125*'Demographic-Economic'!E$12</f>
        <v>20402.25565359657</v>
      </c>
      <c r="AA144" s="61">
        <f>AA125*'Demographic-Economic'!F$12</f>
        <v>4587.6692826363105</v>
      </c>
      <c r="AB144" s="61">
        <f>AB125*'Demographic-Economic'!G$12</f>
        <v>3494.1933036634573</v>
      </c>
      <c r="AC144" s="61">
        <f>AC125*'Demographic-Economic'!H$12</f>
        <v>1845.2596710385485</v>
      </c>
      <c r="AD144" s="407"/>
      <c r="AE144" s="61"/>
      <c r="AG144">
        <v>2026</v>
      </c>
      <c r="AH144" s="61">
        <f t="shared" si="39"/>
        <v>-12560.381557438786</v>
      </c>
      <c r="AI144" s="61">
        <f t="shared" si="36"/>
        <v>-17840.206953939836</v>
      </c>
      <c r="AJ144" s="61">
        <f t="shared" si="37"/>
        <v>21569.823038938888</v>
      </c>
      <c r="AK144" s="61">
        <f t="shared" si="37"/>
        <v>4796.0679853757229</v>
      </c>
      <c r="AL144" s="61">
        <f t="shared" si="37"/>
        <v>4034.6974870640101</v>
      </c>
      <c r="AM144" s="61">
        <f t="shared" si="38"/>
        <v>-656.89521371088642</v>
      </c>
      <c r="AN144" s="407"/>
    </row>
    <row r="145" spans="5:43">
      <c r="E145">
        <v>2027</v>
      </c>
      <c r="F145" s="431">
        <f>F126*'Demographic-Economic'!C$12</f>
        <v>-12600.085718711131</v>
      </c>
      <c r="G145" s="431">
        <f>G126*'Demographic-Economic'!D$12</f>
        <v>-17874.202227885293</v>
      </c>
      <c r="H145" s="431">
        <f>H126*'Demographic-Economic'!E$12</f>
        <v>22111.518370372669</v>
      </c>
      <c r="I145" s="431">
        <f>I126*'Demographic-Economic'!F$12</f>
        <v>4373.5362376575667</v>
      </c>
      <c r="J145" s="431">
        <f>J126*'Demographic-Economic'!G$12</f>
        <v>3772.6571337127384</v>
      </c>
      <c r="K145" s="431">
        <f>K126*'Demographic-Economic'!H$12</f>
        <v>-658.97170106797319</v>
      </c>
      <c r="L145" s="61"/>
      <c r="M145" s="61"/>
      <c r="N145">
        <v>2027</v>
      </c>
      <c r="O145" s="61">
        <f>O126*'Demographic-Economic'!C$12</f>
        <v>-12786.645789599121</v>
      </c>
      <c r="P145" s="61">
        <f>P126*'Demographic-Economic'!D$12</f>
        <v>-18138.852207984146</v>
      </c>
      <c r="Q145" s="61">
        <f>Q126*'Demographic-Economic'!E$12</f>
        <v>20830.990190379747</v>
      </c>
      <c r="R145" s="61">
        <f>R126*'Demographic-Economic'!F$12</f>
        <v>4126.2726857609068</v>
      </c>
      <c r="S145" s="61">
        <f>S126*'Demographic-Economic'!G$12</f>
        <v>3421.6098383741892</v>
      </c>
      <c r="T145" s="61">
        <f>T126*'Demographic-Economic'!H$12</f>
        <v>1798.3920384300338</v>
      </c>
      <c r="U145" s="407"/>
      <c r="W145">
        <v>2027</v>
      </c>
      <c r="X145" s="61">
        <f>X126*'Demographic-Economic'!C$12</f>
        <v>-12953.708869514861</v>
      </c>
      <c r="Y145" s="61">
        <f>Y126*'Demographic-Economic'!D$12</f>
        <v>-18375.844188982559</v>
      </c>
      <c r="Z145" s="61">
        <f>Z126*'Demographic-Economic'!E$12</f>
        <v>21190.791560248879</v>
      </c>
      <c r="AA145" s="61">
        <f>AA126*'Demographic-Economic'!F$12</f>
        <v>4183.5365675754801</v>
      </c>
      <c r="AB145" s="61">
        <f>AB126*'Demographic-Economic'!G$12</f>
        <v>3327.1810599504097</v>
      </c>
      <c r="AC145" s="61">
        <f>AC126*'Demographic-Economic'!H$12</f>
        <v>1877.4141350198968</v>
      </c>
      <c r="AD145" s="407"/>
      <c r="AE145" s="61"/>
      <c r="AG145">
        <v>2027</v>
      </c>
      <c r="AH145" s="61">
        <f t="shared" si="39"/>
        <v>-12624.583507756268</v>
      </c>
      <c r="AI145" s="61">
        <f t="shared" si="36"/>
        <v>-17908.954248252787</v>
      </c>
      <c r="AJ145" s="61">
        <f t="shared" si="37"/>
        <v>22220.789890272914</v>
      </c>
      <c r="AK145" s="61">
        <f t="shared" si="37"/>
        <v>4415.8037144651471</v>
      </c>
      <c r="AL145" s="61">
        <f t="shared" si="37"/>
        <v>3896.9441512709941</v>
      </c>
      <c r="AM145" s="61">
        <f t="shared" si="38"/>
        <v>-660.25291058351684</v>
      </c>
      <c r="AN145" s="407"/>
    </row>
    <row r="146" spans="5:43">
      <c r="E146">
        <v>2028</v>
      </c>
      <c r="F146" s="431">
        <f>F127*'Demographic-Economic'!C$12</f>
        <v>-12660.642851248824</v>
      </c>
      <c r="G146" s="431">
        <f>G127*'Demographic-Economic'!D$12</f>
        <v>-17937.629001581769</v>
      </c>
      <c r="H146" s="431">
        <f>H127*'Demographic-Economic'!E$12</f>
        <v>22703.895324000419</v>
      </c>
      <c r="I146" s="431">
        <f>I127*'Demographic-Economic'!F$12</f>
        <v>4031.5530326593262</v>
      </c>
      <c r="J146" s="431">
        <f>J127*'Demographic-Economic'!G$12</f>
        <v>3652.7479736279674</v>
      </c>
      <c r="K146" s="431">
        <f>K127*'Demographic-Economic'!H$12</f>
        <v>-662.13877766816654</v>
      </c>
      <c r="L146" s="61"/>
      <c r="M146" s="61"/>
      <c r="N146">
        <v>2028</v>
      </c>
      <c r="O146" s="61">
        <f>O127*'Demographic-Economic'!C$12</f>
        <v>-12873.587846448114</v>
      </c>
      <c r="P146" s="61">
        <f>P127*'Demographic-Economic'!D$12</f>
        <v>-18239.329978894461</v>
      </c>
      <c r="Q146" s="61">
        <f>Q127*'Demographic-Economic'!E$12</f>
        <v>21481.984074310683</v>
      </c>
      <c r="R146" s="61">
        <f>R127*'Demographic-Economic'!F$12</f>
        <v>3777.8415931689428</v>
      </c>
      <c r="S146" s="61">
        <f>S127*'Demographic-Economic'!G$12</f>
        <v>3289.818449254301</v>
      </c>
      <c r="T146" s="61">
        <f>T127*'Demographic-Economic'!H$12</f>
        <v>1818.5449176471009</v>
      </c>
      <c r="U146" s="407"/>
      <c r="W146">
        <v>2028</v>
      </c>
      <c r="X146" s="61">
        <f>X127*'Demographic-Economic'!C$12</f>
        <v>-13064.278419094793</v>
      </c>
      <c r="Y146" s="61">
        <f>Y127*'Demographic-Economic'!D$12</f>
        <v>-18509.500837232648</v>
      </c>
      <c r="Z146" s="61">
        <f>Z127*'Demographic-Economic'!E$12</f>
        <v>21955.207234901613</v>
      </c>
      <c r="AA146" s="61">
        <f>AA127*'Demographic-Economic'!F$12</f>
        <v>3796.3071030696265</v>
      </c>
      <c r="AB146" s="61">
        <f>AB127*'Demographic-Economic'!G$12</f>
        <v>3167.3524231897018</v>
      </c>
      <c r="AC146" s="61">
        <f>AC127*'Demographic-Economic'!H$12</f>
        <v>1908.1589760722927</v>
      </c>
      <c r="AD146" s="407"/>
      <c r="AE146" s="61"/>
      <c r="AG146">
        <v>2028</v>
      </c>
      <c r="AH146" s="61">
        <f t="shared" si="39"/>
        <v>-12688.605327601774</v>
      </c>
      <c r="AI146" s="61">
        <f t="shared" si="36"/>
        <v>-17977.246304800716</v>
      </c>
      <c r="AJ146" s="61">
        <f t="shared" si="37"/>
        <v>22829.002814219602</v>
      </c>
      <c r="AK146" s="61">
        <f t="shared" si="37"/>
        <v>4066.7535816058808</v>
      </c>
      <c r="AL146" s="61">
        <f t="shared" si="37"/>
        <v>3770.0952365770063</v>
      </c>
      <c r="AM146" s="61">
        <f t="shared" si="38"/>
        <v>-663.6011868151943</v>
      </c>
      <c r="AN146" s="407"/>
    </row>
    <row r="147" spans="5:43">
      <c r="E147">
        <v>2029</v>
      </c>
      <c r="F147" s="431">
        <f>F128*'Demographic-Economic'!C$12</f>
        <v>-12721.028903321232</v>
      </c>
      <c r="G147" s="431">
        <f>G128*'Demographic-Economic'!D$12</f>
        <v>-18000.626927645837</v>
      </c>
      <c r="H147" s="431">
        <f>H128*'Demographic-Economic'!E$12</f>
        <v>23257.332772077923</v>
      </c>
      <c r="I147" s="431">
        <f>I128*'Demographic-Economic'!F$12</f>
        <v>3717.9376977915354</v>
      </c>
      <c r="J147" s="431">
        <f>J128*'Demographic-Economic'!G$12</f>
        <v>3542.3623618811812</v>
      </c>
      <c r="K147" s="431">
        <f>K128*'Demographic-Economic'!H$12</f>
        <v>-665.29690693357668</v>
      </c>
      <c r="L147" s="61"/>
      <c r="M147" s="61"/>
      <c r="N147">
        <v>2029</v>
      </c>
      <c r="O147" s="61">
        <f>O128*'Demographic-Economic'!C$12</f>
        <v>-12960.292569020939</v>
      </c>
      <c r="P147" s="61">
        <f>P128*'Demographic-Economic'!D$12</f>
        <v>-18339.191993123924</v>
      </c>
      <c r="Q147" s="61">
        <f>Q128*'Demographic-Economic'!E$12</f>
        <v>22101.462744114469</v>
      </c>
      <c r="R147" s="61">
        <f>R128*'Demographic-Economic'!F$12</f>
        <v>3452.1272676979247</v>
      </c>
      <c r="S147" s="61">
        <f>S128*'Demographic-Economic'!G$12</f>
        <v>3166.5606896841155</v>
      </c>
      <c r="T147" s="61">
        <f>T128*'Demographic-Economic'!H$12</f>
        <v>1837.688480935456</v>
      </c>
      <c r="U147" s="407"/>
      <c r="W147">
        <v>2029</v>
      </c>
      <c r="X147" s="61">
        <f>X128*'Demographic-Economic'!C$12</f>
        <v>-13174.55130463067</v>
      </c>
      <c r="Y147" s="61">
        <f>Y128*'Demographic-Economic'!D$12</f>
        <v>-18642.374353215309</v>
      </c>
      <c r="Z147" s="61">
        <f>Z128*'Demographic-Economic'!E$12</f>
        <v>22695.058427983364</v>
      </c>
      <c r="AA147" s="61">
        <f>AA128*'Demographic-Economic'!F$12</f>
        <v>3426.2736714695388</v>
      </c>
      <c r="AB147" s="61">
        <f>AB128*'Demographic-Economic'!G$12</f>
        <v>3014.8292629241282</v>
      </c>
      <c r="AC147" s="61">
        <f>AC128*'Demographic-Economic'!H$12</f>
        <v>1937.5232736365786</v>
      </c>
      <c r="AD147" s="407"/>
      <c r="AE147" s="61"/>
      <c r="AG147">
        <v>2029</v>
      </c>
      <c r="AH147" s="61">
        <f t="shared" si="39"/>
        <v>-12752.447366985933</v>
      </c>
      <c r="AI147" s="61">
        <f t="shared" si="36"/>
        <v>-18045.084970101852</v>
      </c>
      <c r="AJ147" s="61">
        <f t="shared" si="37"/>
        <v>23398.545571391187</v>
      </c>
      <c r="AK147" s="61">
        <f t="shared" si="37"/>
        <v>3745.8927031234375</v>
      </c>
      <c r="AL147" s="61">
        <f t="shared" si="37"/>
        <v>3653.094062573156</v>
      </c>
      <c r="AM147" s="61">
        <f t="shared" si="38"/>
        <v>-666.94006071111994</v>
      </c>
      <c r="AN147" s="407"/>
      <c r="AQ147" s="61"/>
    </row>
    <row r="148" spans="5:43">
      <c r="E148">
        <v>2030</v>
      </c>
      <c r="F148" s="431">
        <f>F129*'Demographic-Economic'!C$12</f>
        <v>-12781.244208009013</v>
      </c>
      <c r="G148" s="431">
        <f>G129*'Demographic-Economic'!D$12</f>
        <v>-18063.19775389833</v>
      </c>
      <c r="H148" s="431">
        <f>H129*'Demographic-Economic'!E$12</f>
        <v>23775.654924554019</v>
      </c>
      <c r="I148" s="431">
        <f>I129*'Demographic-Economic'!F$12</f>
        <v>3429.8634297215467</v>
      </c>
      <c r="J148" s="431">
        <f>J129*'Demographic-Economic'!G$12</f>
        <v>3440.5506233171327</v>
      </c>
      <c r="K148" s="431">
        <f>K129*'Demographic-Economic'!H$12</f>
        <v>-668.44610628398311</v>
      </c>
      <c r="L148" s="61"/>
      <c r="M148" s="61"/>
      <c r="N148">
        <v>2030</v>
      </c>
      <c r="O148" s="61">
        <f>O129*'Demographic-Economic'!C$12</f>
        <v>-13046.760414806327</v>
      </c>
      <c r="P148" s="61">
        <f>P129*'Demographic-Economic'!D$12</f>
        <v>-18438.440701469881</v>
      </c>
      <c r="Q148" s="61">
        <f>Q129*'Demographic-Economic'!E$12</f>
        <v>22691.272981087564</v>
      </c>
      <c r="R148" s="61">
        <f>R129*'Demographic-Economic'!F$12</f>
        <v>3147.7571750284851</v>
      </c>
      <c r="S148" s="61">
        <f>S129*'Demographic-Economic'!G$12</f>
        <v>3051.3225915173175</v>
      </c>
      <c r="T148" s="61">
        <f>T129*'Demographic-Economic'!H$12</f>
        <v>1855.8927327021327</v>
      </c>
      <c r="U148" s="407"/>
      <c r="W148">
        <v>2030</v>
      </c>
      <c r="X148" s="61">
        <f>X129*'Demographic-Economic'!C$12</f>
        <v>-13284.528095017678</v>
      </c>
      <c r="Y148" s="61">
        <f>Y129*'Demographic-Economic'!D$12</f>
        <v>-18774.467817237834</v>
      </c>
      <c r="Z148" s="61">
        <f>Z129*'Demographic-Economic'!E$12</f>
        <v>23410.129519973838</v>
      </c>
      <c r="AA148" s="61">
        <f>AA129*'Demographic-Economic'!F$12</f>
        <v>3073.56643416919</v>
      </c>
      <c r="AB148" s="61">
        <f>AB129*'Demographic-Economic'!G$12</f>
        <v>2869.6636231678622</v>
      </c>
      <c r="AC148" s="61">
        <f>AC129*'Demographic-Economic'!H$12</f>
        <v>1965.5434134416751</v>
      </c>
      <c r="AD148" s="407"/>
      <c r="AE148" s="61"/>
      <c r="AG148">
        <v>2030</v>
      </c>
      <c r="AH148" s="61">
        <f t="shared" si="39"/>
        <v>-12816.10997532581</v>
      </c>
      <c r="AI148" s="61">
        <f t="shared" si="36"/>
        <v>-18112.472084287081</v>
      </c>
      <c r="AJ148" s="61">
        <f t="shared" si="37"/>
        <v>23933.038795209894</v>
      </c>
      <c r="AK148" s="61">
        <f t="shared" si="37"/>
        <v>3450.5395892748656</v>
      </c>
      <c r="AL148" s="61">
        <f t="shared" si="37"/>
        <v>3545.0036751281341</v>
      </c>
      <c r="AM148" s="61">
        <f t="shared" si="38"/>
        <v>-670.26955054545135</v>
      </c>
      <c r="AN148" s="407"/>
    </row>
    <row r="149" spans="5:43">
      <c r="E149">
        <v>2040</v>
      </c>
      <c r="F149" s="431">
        <f>F130*'Demographic-Economic'!C$12</f>
        <v>0</v>
      </c>
      <c r="G149" s="431">
        <f>G130*'Demographic-Economic'!D$12</f>
        <v>0</v>
      </c>
      <c r="H149" s="431">
        <f>H130*'Demographic-Economic'!E$12</f>
        <v>0</v>
      </c>
      <c r="I149" s="431">
        <f>I130*'Demographic-Economic'!F$12</f>
        <v>0</v>
      </c>
      <c r="J149" s="431">
        <f>J130*'Demographic-Economic'!G$12</f>
        <v>0</v>
      </c>
      <c r="K149" s="431">
        <f>K130*'Demographic-Economic'!H$12</f>
        <v>0</v>
      </c>
      <c r="L149" s="61"/>
      <c r="M149" s="61"/>
      <c r="N149">
        <v>2040</v>
      </c>
      <c r="O149" s="61">
        <f>O130*'Demographic-Economic'!C$12</f>
        <v>-13710.352451037623</v>
      </c>
      <c r="P149" s="61">
        <f>P130*'Demographic-Economic'!D$12</f>
        <v>-19130.998356146756</v>
      </c>
      <c r="Q149" s="61">
        <f>Q130*'Demographic-Economic'!E$12</f>
        <v>26762.693465116095</v>
      </c>
      <c r="R149" s="61">
        <f>R130*'Demographic-Economic'!F$12</f>
        <v>1083.1351399405928</v>
      </c>
      <c r="S149" s="61">
        <f>S130*'Demographic-Economic'!G$12</f>
        <v>2337.1124549227334</v>
      </c>
      <c r="T149" s="61">
        <f>T130*'Demographic-Economic'!H$12</f>
        <v>1933.4639044696928</v>
      </c>
      <c r="U149" s="407"/>
      <c r="W149">
        <v>2040</v>
      </c>
      <c r="X149" s="61">
        <f>X130*'Demographic-Economic'!C$12</f>
        <v>-14274.623505624608</v>
      </c>
      <c r="Y149" s="61">
        <f>Y130*'Demographic-Economic'!D$12</f>
        <v>-19918.364593176477</v>
      </c>
      <c r="Z149" s="61">
        <f>Z130*'Demographic-Economic'!E$12</f>
        <v>29089.136709277383</v>
      </c>
      <c r="AA149" s="61">
        <f>AA130*'Demographic-Economic'!F$12</f>
        <v>402.75462015068422</v>
      </c>
      <c r="AB149" s="61">
        <f>AB130*'Demographic-Economic'!G$12</f>
        <v>1832.6387363323179</v>
      </c>
      <c r="AC149" s="61">
        <f>AC130*'Demographic-Economic'!H$12</f>
        <v>2143.7876952692886</v>
      </c>
      <c r="AD149" s="407"/>
      <c r="AE149" s="61"/>
      <c r="AG149">
        <v>2040</v>
      </c>
      <c r="AH149" s="61"/>
      <c r="AI149" s="61"/>
      <c r="AJ149" s="61">
        <f t="shared" si="37"/>
        <v>0</v>
      </c>
      <c r="AK149" s="61">
        <f t="shared" si="37"/>
        <v>0</v>
      </c>
      <c r="AL149" s="61">
        <f t="shared" si="37"/>
        <v>0</v>
      </c>
      <c r="AM149" s="61"/>
      <c r="AN149" s="407"/>
    </row>
    <row r="150" spans="5:43">
      <c r="E150">
        <v>2050</v>
      </c>
      <c r="F150" s="431">
        <f>F131*'Demographic-Economic'!C$12</f>
        <v>0</v>
      </c>
      <c r="G150" s="431">
        <f>G131*'Demographic-Economic'!D$12</f>
        <v>0</v>
      </c>
      <c r="H150" s="431">
        <f>H131*'Demographic-Economic'!E$12</f>
        <v>0</v>
      </c>
      <c r="I150" s="431">
        <f>I131*'Demographic-Economic'!F$12</f>
        <v>0</v>
      </c>
      <c r="J150" s="431">
        <f>J131*'Demographic-Economic'!G$12</f>
        <v>0</v>
      </c>
      <c r="K150" s="431">
        <f>K131*'Demographic-Economic'!H$12</f>
        <v>0</v>
      </c>
      <c r="L150" s="61"/>
      <c r="M150" s="61"/>
      <c r="N150">
        <v>2050</v>
      </c>
      <c r="O150" s="61">
        <f>O131*'Demographic-Economic'!C$12</f>
        <v>0</v>
      </c>
      <c r="P150" s="61">
        <f>P131*'Demographic-Economic'!D$12</f>
        <v>0</v>
      </c>
      <c r="Q150" s="61">
        <f>Q131*'Demographic-Economic'!E$12</f>
        <v>0</v>
      </c>
      <c r="R150" s="61">
        <f>R131*'Demographic-Economic'!F$12</f>
        <v>0</v>
      </c>
      <c r="S150" s="61">
        <f>S131*'Demographic-Economic'!G$12</f>
        <v>0</v>
      </c>
      <c r="T150" s="61">
        <f>T131*'Demographic-Economic'!H$12</f>
        <v>0</v>
      </c>
      <c r="U150" s="407"/>
      <c r="W150">
        <v>2050</v>
      </c>
      <c r="X150" s="61">
        <f>X131*'Demographic-Economic'!C$12</f>
        <v>0</v>
      </c>
      <c r="Y150" s="61">
        <f>Y131*'Demographic-Economic'!D$12</f>
        <v>0</v>
      </c>
      <c r="Z150" s="61">
        <f>Z131*'Demographic-Economic'!E$12</f>
        <v>0</v>
      </c>
      <c r="AA150" s="61">
        <f>AA131*'Demographic-Economic'!F$12</f>
        <v>0</v>
      </c>
      <c r="AB150" s="61">
        <f>AB131*'Demographic-Economic'!G$12</f>
        <v>0</v>
      </c>
      <c r="AC150" s="61">
        <f>AC131*'Demographic-Economic'!H$12</f>
        <v>0</v>
      </c>
      <c r="AD150" s="407"/>
      <c r="AE150" s="61"/>
      <c r="AG150">
        <v>2050</v>
      </c>
      <c r="AH150" s="61"/>
      <c r="AI150" s="61"/>
      <c r="AJ150" s="61">
        <f t="shared" si="37"/>
        <v>0</v>
      </c>
      <c r="AK150" s="61">
        <f t="shared" si="37"/>
        <v>0</v>
      </c>
      <c r="AL150" s="61">
        <f t="shared" si="37"/>
        <v>0</v>
      </c>
      <c r="AM150" s="61"/>
      <c r="AN150" s="407"/>
    </row>
    <row r="151" spans="5:43">
      <c r="E151">
        <v>2060</v>
      </c>
      <c r="F151" s="431">
        <f>F132*'Demographic-Economic'!C$12</f>
        <v>0</v>
      </c>
      <c r="G151" s="431">
        <f>G132*'Demographic-Economic'!D$12</f>
        <v>0</v>
      </c>
      <c r="H151" s="431">
        <f>H132*'Demographic-Economic'!E$12</f>
        <v>0</v>
      </c>
      <c r="I151" s="431">
        <f>I132*'Demographic-Economic'!F$12</f>
        <v>0</v>
      </c>
      <c r="J151" s="431">
        <f>J132*'Demographic-Economic'!G$12</f>
        <v>0</v>
      </c>
      <c r="K151" s="431">
        <f>K132*'Demographic-Economic'!H$12</f>
        <v>0</v>
      </c>
      <c r="L151" s="61"/>
      <c r="M151" s="61"/>
      <c r="N151">
        <v>2060</v>
      </c>
      <c r="O151" s="61">
        <f>O132*'Demographic-Economic'!C$12</f>
        <v>0</v>
      </c>
      <c r="P151" s="61">
        <f>P132*'Demographic-Economic'!D$12</f>
        <v>0</v>
      </c>
      <c r="Q151" s="61">
        <f>Q132*'Demographic-Economic'!E$12</f>
        <v>0</v>
      </c>
      <c r="R151" s="61">
        <f>R132*'Demographic-Economic'!F$12</f>
        <v>0</v>
      </c>
      <c r="S151" s="61">
        <f>S132*'Demographic-Economic'!G$12</f>
        <v>0</v>
      </c>
      <c r="T151" s="61">
        <f>T132*'Demographic-Economic'!H$12</f>
        <v>0</v>
      </c>
      <c r="U151" s="407"/>
      <c r="W151">
        <v>2060</v>
      </c>
      <c r="X151" s="61">
        <f>X132*'Demographic-Economic'!C$12</f>
        <v>0</v>
      </c>
      <c r="Y151" s="61">
        <f>Y132*'Demographic-Economic'!D$12</f>
        <v>0</v>
      </c>
      <c r="Z151" s="61">
        <f>Z132*'Demographic-Economic'!E$12</f>
        <v>0</v>
      </c>
      <c r="AA151" s="61">
        <f>AA132*'Demographic-Economic'!F$12</f>
        <v>0</v>
      </c>
      <c r="AB151" s="61">
        <f>AB132*'Demographic-Economic'!G$12</f>
        <v>0</v>
      </c>
      <c r="AC151" s="61">
        <f>AC132*'Demographic-Economic'!H$12</f>
        <v>0</v>
      </c>
      <c r="AD151" s="407"/>
      <c r="AE151" s="61"/>
      <c r="AG151">
        <v>2060</v>
      </c>
      <c r="AH151" s="61"/>
      <c r="AI151" s="61"/>
      <c r="AJ151" s="61">
        <f t="shared" si="37"/>
        <v>0</v>
      </c>
      <c r="AK151" s="61">
        <f t="shared" si="37"/>
        <v>0</v>
      </c>
      <c r="AL151" s="61">
        <f t="shared" si="37"/>
        <v>0</v>
      </c>
      <c r="AM151" s="61"/>
      <c r="AN151" s="407"/>
    </row>
    <row r="152" spans="5:43">
      <c r="E152">
        <v>2070</v>
      </c>
      <c r="F152" s="431">
        <f>F133*'Demographic-Economic'!C$12</f>
        <v>0</v>
      </c>
      <c r="G152" s="431">
        <f>G133*'Demographic-Economic'!D$12</f>
        <v>0</v>
      </c>
      <c r="H152" s="431">
        <f>H133*'Demographic-Economic'!E$12</f>
        <v>0</v>
      </c>
      <c r="I152" s="431">
        <f>I133*'Demographic-Economic'!F$12</f>
        <v>0</v>
      </c>
      <c r="J152" s="431">
        <f>J133*'Demographic-Economic'!G$12</f>
        <v>0</v>
      </c>
      <c r="K152" s="431">
        <f>K133*'Demographic-Economic'!H$12</f>
        <v>0</v>
      </c>
      <c r="L152" s="61"/>
      <c r="M152" s="61"/>
      <c r="N152">
        <v>2070</v>
      </c>
      <c r="O152" s="61">
        <f>O133*'Demographic-Economic'!C$12</f>
        <v>0</v>
      </c>
      <c r="P152" s="61">
        <f>P133*'Demographic-Economic'!D$12</f>
        <v>0</v>
      </c>
      <c r="Q152" s="61">
        <f>Q133*'Demographic-Economic'!E$12</f>
        <v>0</v>
      </c>
      <c r="R152" s="61">
        <f>R133*'Demographic-Economic'!F$12</f>
        <v>0</v>
      </c>
      <c r="S152" s="61">
        <f>S133*'Demographic-Economic'!G$12</f>
        <v>0</v>
      </c>
      <c r="T152" s="61">
        <f>T133*'Demographic-Economic'!H$12</f>
        <v>0</v>
      </c>
      <c r="U152" s="407"/>
      <c r="W152">
        <v>2070</v>
      </c>
      <c r="X152" s="61">
        <f>X133*'Demographic-Economic'!C$12</f>
        <v>0</v>
      </c>
      <c r="Y152" s="61">
        <f>Y133*'Demographic-Economic'!D$12</f>
        <v>0</v>
      </c>
      <c r="Z152" s="61">
        <f>Z133*'Demographic-Economic'!E$12</f>
        <v>0</v>
      </c>
      <c r="AA152" s="61">
        <f>AA133*'Demographic-Economic'!F$12</f>
        <v>0</v>
      </c>
      <c r="AB152" s="61">
        <f>AB133*'Demographic-Economic'!G$12</f>
        <v>0</v>
      </c>
      <c r="AC152" s="61">
        <f>AC133*'Demographic-Economic'!H$12</f>
        <v>0</v>
      </c>
      <c r="AD152" s="407"/>
      <c r="AE152" s="61"/>
      <c r="AG152">
        <v>2070</v>
      </c>
      <c r="AH152" s="61"/>
      <c r="AI152" s="61"/>
      <c r="AJ152" s="61">
        <f t="shared" si="37"/>
        <v>0</v>
      </c>
      <c r="AK152" s="61">
        <f t="shared" si="37"/>
        <v>0</v>
      </c>
      <c r="AL152" s="61">
        <f t="shared" si="37"/>
        <v>0</v>
      </c>
      <c r="AM152" s="61"/>
      <c r="AN152" s="407"/>
    </row>
    <row r="153" spans="5:43">
      <c r="E153">
        <v>2080</v>
      </c>
      <c r="F153" s="431">
        <f>F134*'Demographic-Economic'!C$12</f>
        <v>0</v>
      </c>
      <c r="G153" s="431">
        <f>G134*'Demographic-Economic'!D$12</f>
        <v>0</v>
      </c>
      <c r="H153" s="431">
        <f>H134*'Demographic-Economic'!E$12</f>
        <v>0</v>
      </c>
      <c r="I153" s="431">
        <f>I134*'Demographic-Economic'!F$12</f>
        <v>0</v>
      </c>
      <c r="J153" s="431">
        <f>J134*'Demographic-Economic'!G$12</f>
        <v>0</v>
      </c>
      <c r="K153" s="431">
        <f>K134*'Demographic-Economic'!H$12</f>
        <v>0</v>
      </c>
      <c r="L153" s="61"/>
      <c r="M153" s="61"/>
      <c r="N153">
        <v>2080</v>
      </c>
      <c r="O153" s="61">
        <f>O134*'Demographic-Economic'!C$12</f>
        <v>0</v>
      </c>
      <c r="P153" s="61">
        <f>P134*'Demographic-Economic'!D$12</f>
        <v>0</v>
      </c>
      <c r="Q153" s="61">
        <f>Q134*'Demographic-Economic'!E$12</f>
        <v>0</v>
      </c>
      <c r="R153" s="61">
        <f>R134*'Demographic-Economic'!F$12</f>
        <v>0</v>
      </c>
      <c r="S153" s="61">
        <f>S134*'Demographic-Economic'!G$12</f>
        <v>0</v>
      </c>
      <c r="T153" s="61">
        <f>T134*'Demographic-Economic'!H$12</f>
        <v>0</v>
      </c>
      <c r="U153" s="407"/>
      <c r="W153">
        <v>2080</v>
      </c>
      <c r="X153" s="61">
        <f>X134*'Demographic-Economic'!C$12</f>
        <v>0</v>
      </c>
      <c r="Y153" s="61">
        <f>Y134*'Demographic-Economic'!D$12</f>
        <v>0</v>
      </c>
      <c r="Z153" s="61">
        <f>Z134*'Demographic-Economic'!E$12</f>
        <v>0</v>
      </c>
      <c r="AA153" s="61">
        <f>AA134*'Demographic-Economic'!F$12</f>
        <v>0</v>
      </c>
      <c r="AB153" s="61">
        <f>AB134*'Demographic-Economic'!G$12</f>
        <v>0</v>
      </c>
      <c r="AC153" s="61">
        <f>AC134*'Demographic-Economic'!H$12</f>
        <v>0</v>
      </c>
      <c r="AD153" s="407"/>
      <c r="AE153" s="61"/>
      <c r="AG153">
        <v>2080</v>
      </c>
      <c r="AH153" s="61"/>
      <c r="AI153" s="61"/>
      <c r="AJ153" s="61">
        <f t="shared" si="37"/>
        <v>0</v>
      </c>
      <c r="AK153" s="61">
        <f t="shared" si="37"/>
        <v>0</v>
      </c>
      <c r="AL153" s="61">
        <f t="shared" si="37"/>
        <v>0</v>
      </c>
      <c r="AM153" s="61"/>
      <c r="AN153" s="407"/>
    </row>
    <row r="154" spans="5:43">
      <c r="E154">
        <v>2090</v>
      </c>
      <c r="F154" s="431">
        <f>F135*'Demographic-Economic'!C$12</f>
        <v>0</v>
      </c>
      <c r="G154" s="431">
        <f>G135*'Demographic-Economic'!D$12</f>
        <v>0</v>
      </c>
      <c r="H154" s="431">
        <f>H135*'Demographic-Economic'!E$12</f>
        <v>0</v>
      </c>
      <c r="I154" s="431">
        <f>I135*'Demographic-Economic'!F$12</f>
        <v>0</v>
      </c>
      <c r="J154" s="431">
        <f>J135*'Demographic-Economic'!G$12</f>
        <v>0</v>
      </c>
      <c r="K154" s="431">
        <f>K135*'Demographic-Economic'!H$12</f>
        <v>0</v>
      </c>
      <c r="L154" s="61"/>
      <c r="M154" s="61"/>
      <c r="N154">
        <v>2090</v>
      </c>
      <c r="O154" s="61">
        <f>O135*'Demographic-Economic'!C$12</f>
        <v>0</v>
      </c>
      <c r="P154" s="61">
        <f>P135*'Demographic-Economic'!D$12</f>
        <v>0</v>
      </c>
      <c r="Q154" s="61">
        <f>Q135*'Demographic-Economic'!E$12</f>
        <v>0</v>
      </c>
      <c r="R154" s="61">
        <f>R135*'Demographic-Economic'!F$12</f>
        <v>0</v>
      </c>
      <c r="S154" s="61">
        <f>S135*'Demographic-Economic'!G$12</f>
        <v>0</v>
      </c>
      <c r="T154" s="61">
        <f>T135*'Demographic-Economic'!H$12</f>
        <v>0</v>
      </c>
      <c r="U154" s="407"/>
      <c r="W154">
        <v>2090</v>
      </c>
      <c r="X154" s="61">
        <f>X135*'Demographic-Economic'!C$12</f>
        <v>0</v>
      </c>
      <c r="Y154" s="61">
        <f>Y135*'Demographic-Economic'!D$12</f>
        <v>0</v>
      </c>
      <c r="Z154" s="61">
        <f>Z135*'Demographic-Economic'!E$12</f>
        <v>0</v>
      </c>
      <c r="AA154" s="61">
        <f>AA135*'Demographic-Economic'!F$12</f>
        <v>0</v>
      </c>
      <c r="AB154" s="61">
        <f>AB135*'Demographic-Economic'!G$12</f>
        <v>0</v>
      </c>
      <c r="AC154" s="61">
        <f>AC135*'Demographic-Economic'!H$12</f>
        <v>0</v>
      </c>
      <c r="AD154" s="407"/>
      <c r="AE154" s="61"/>
      <c r="AG154">
        <v>2090</v>
      </c>
      <c r="AH154" s="61"/>
      <c r="AI154" s="61"/>
      <c r="AJ154" s="61">
        <f t="shared" si="37"/>
        <v>0</v>
      </c>
      <c r="AK154" s="61">
        <f t="shared" si="37"/>
        <v>0</v>
      </c>
      <c r="AL154" s="61">
        <f t="shared" si="37"/>
        <v>0</v>
      </c>
      <c r="AM154" s="61"/>
      <c r="AN154" s="407"/>
    </row>
    <row r="155" spans="5:43">
      <c r="E155">
        <v>2100</v>
      </c>
      <c r="F155" s="431">
        <f>F136*'Demographic-Economic'!C$12</f>
        <v>0</v>
      </c>
      <c r="G155" s="431">
        <f>G136*'Demographic-Economic'!D$12</f>
        <v>0</v>
      </c>
      <c r="H155" s="431">
        <f>H136*'Demographic-Economic'!E$12</f>
        <v>0</v>
      </c>
      <c r="I155" s="431">
        <f>I136*'Demographic-Economic'!F$12</f>
        <v>0</v>
      </c>
      <c r="J155" s="431">
        <f>J136*'Demographic-Economic'!G$12</f>
        <v>0</v>
      </c>
      <c r="K155" s="431">
        <f>K136*'Demographic-Economic'!H$12</f>
        <v>0</v>
      </c>
      <c r="L155" s="61"/>
      <c r="M155" s="61"/>
      <c r="N155">
        <v>2100</v>
      </c>
      <c r="O155" s="61">
        <f>O136*'Demographic-Economic'!C$12</f>
        <v>0</v>
      </c>
      <c r="P155" s="61">
        <f>P136*'Demographic-Economic'!D$12</f>
        <v>0</v>
      </c>
      <c r="Q155" s="61">
        <f>Q136*'Demographic-Economic'!E$12</f>
        <v>0</v>
      </c>
      <c r="R155" s="61">
        <f>R136*'Demographic-Economic'!F$12</f>
        <v>0</v>
      </c>
      <c r="S155" s="61">
        <f>S136*'Demographic-Economic'!G$12</f>
        <v>0</v>
      </c>
      <c r="T155" s="61">
        <f>T136*'Demographic-Economic'!H$12</f>
        <v>0</v>
      </c>
      <c r="U155" s="407"/>
      <c r="W155">
        <v>2100</v>
      </c>
      <c r="X155" s="61">
        <f>X136*'Demographic-Economic'!C$12</f>
        <v>0</v>
      </c>
      <c r="Y155" s="61">
        <f>Y136*'Demographic-Economic'!D$12</f>
        <v>0</v>
      </c>
      <c r="Z155" s="61">
        <f>Z136*'Demographic-Economic'!E$12</f>
        <v>0</v>
      </c>
      <c r="AA155" s="61">
        <f>AA136*'Demographic-Economic'!F$12</f>
        <v>0</v>
      </c>
      <c r="AB155" s="61">
        <f>AB136*'Demographic-Economic'!G$12</f>
        <v>0</v>
      </c>
      <c r="AC155" s="61">
        <f>AC136*'Demographic-Economic'!H$12</f>
        <v>0</v>
      </c>
      <c r="AD155" s="407"/>
      <c r="AE155" s="61"/>
      <c r="AG155">
        <v>2100</v>
      </c>
      <c r="AH155" s="61"/>
      <c r="AI155" s="61"/>
      <c r="AJ155" s="61">
        <f t="shared" si="37"/>
        <v>0</v>
      </c>
      <c r="AK155" s="61">
        <f t="shared" si="37"/>
        <v>0</v>
      </c>
      <c r="AL155" s="61">
        <f t="shared" si="37"/>
        <v>0</v>
      </c>
      <c r="AM155" s="61"/>
      <c r="AN155" s="407"/>
    </row>
    <row r="156" spans="5:43">
      <c r="F156" s="581" t="s">
        <v>286</v>
      </c>
      <c r="G156" s="581"/>
      <c r="H156" s="581"/>
      <c r="I156" s="581"/>
      <c r="J156" s="581"/>
      <c r="K156" s="581"/>
      <c r="L156" s="61"/>
      <c r="M156" s="61"/>
      <c r="O156" s="581" t="s">
        <v>286</v>
      </c>
      <c r="P156" s="581"/>
      <c r="Q156" s="581"/>
      <c r="R156" s="581"/>
      <c r="S156" s="581"/>
      <c r="T156" s="581"/>
      <c r="U156" s="407"/>
      <c r="X156" s="581" t="s">
        <v>286</v>
      </c>
      <c r="Y156" s="581"/>
      <c r="Z156" s="581"/>
      <c r="AA156" s="581"/>
      <c r="AB156" s="581"/>
      <c r="AC156" s="581"/>
      <c r="AD156" s="407"/>
      <c r="AE156" s="61"/>
      <c r="AH156" s="581" t="s">
        <v>286</v>
      </c>
      <c r="AI156" s="581"/>
      <c r="AJ156" s="581"/>
      <c r="AK156" s="581"/>
      <c r="AL156" s="581"/>
      <c r="AM156" s="581"/>
      <c r="AN156" s="407"/>
    </row>
    <row r="157" spans="5:43">
      <c r="E157">
        <v>2020</v>
      </c>
      <c r="F157" s="431">
        <f t="shared" ref="F157:K166" si="40">F119-F138</f>
        <v>-3594.6525600000004</v>
      </c>
      <c r="G157" s="431">
        <f t="shared" si="40"/>
        <v>-3643.68102</v>
      </c>
      <c r="H157" s="431">
        <f t="shared" si="40"/>
        <v>4496.2370997008438</v>
      </c>
      <c r="I157" s="431">
        <f t="shared" si="40"/>
        <v>2215.3527853100368</v>
      </c>
      <c r="J157" s="431">
        <f t="shared" si="40"/>
        <v>1576.5535585797097</v>
      </c>
      <c r="K157" s="431">
        <f>K119-K138</f>
        <v>-133.15983000000006</v>
      </c>
      <c r="L157" s="61"/>
      <c r="M157" s="61"/>
      <c r="N157">
        <v>2020</v>
      </c>
      <c r="O157" s="61">
        <f t="shared" ref="O157:T166" si="41">O119-O138</f>
        <v>-3594.6525600000004</v>
      </c>
      <c r="P157" s="61">
        <f t="shared" si="41"/>
        <v>-3643.68102</v>
      </c>
      <c r="Q157" s="61">
        <f t="shared" si="41"/>
        <v>4169.5848544476557</v>
      </c>
      <c r="R157" s="61">
        <f t="shared" si="41"/>
        <v>2054.4070999951819</v>
      </c>
      <c r="S157" s="61">
        <f t="shared" si="41"/>
        <v>1462.0167251671146</v>
      </c>
      <c r="T157" s="61">
        <f t="shared" si="41"/>
        <v>339.38298867010189</v>
      </c>
      <c r="U157" s="407"/>
      <c r="W157">
        <v>2020</v>
      </c>
      <c r="X157" s="61">
        <f t="shared" ref="X157:AC166" si="42">X119-X138</f>
        <v>-3594.6525600000004</v>
      </c>
      <c r="Y157" s="61">
        <f t="shared" si="42"/>
        <v>-3643.68102</v>
      </c>
      <c r="Z157" s="61">
        <f t="shared" si="42"/>
        <v>4169.5848544476557</v>
      </c>
      <c r="AA157" s="61">
        <f t="shared" si="42"/>
        <v>2054.4070999951819</v>
      </c>
      <c r="AB157" s="61">
        <f t="shared" si="42"/>
        <v>1462.0167251671146</v>
      </c>
      <c r="AC157" s="61">
        <f t="shared" si="42"/>
        <v>339.38298867010189</v>
      </c>
      <c r="AD157" s="407"/>
      <c r="AG157">
        <v>2020</v>
      </c>
      <c r="AH157" s="61">
        <f t="shared" ref="AH157:AH167" si="43">-AH43*$C$4</f>
        <v>-3594.6525600000004</v>
      </c>
      <c r="AI157" s="61">
        <f t="shared" ref="AI157:AI167" si="44">-AI43*$C$3</f>
        <v>-3643.6810200000018</v>
      </c>
      <c r="AJ157" s="61">
        <f t="shared" ref="AJ157:AL174" si="45">-SUM($AH157:$AI157) * (AJ100/SUM($AJ100:$AM100))</f>
        <v>4026.157101751849</v>
      </c>
      <c r="AK157" s="61">
        <f t="shared" si="45"/>
        <v>1947.5057699380802</v>
      </c>
      <c r="AL157" s="61">
        <f t="shared" si="45"/>
        <v>1264.6707083100732</v>
      </c>
      <c r="AM157" s="61">
        <f t="shared" ref="AM157:AM167" si="46">-AM43*$C$4</f>
        <v>-133.15983</v>
      </c>
      <c r="AN157" s="407"/>
    </row>
    <row r="158" spans="5:43">
      <c r="E158">
        <v>2021</v>
      </c>
      <c r="F158" s="431">
        <f t="shared" si="40"/>
        <v>-3612.8937619420049</v>
      </c>
      <c r="G158" s="431">
        <f t="shared" si="40"/>
        <v>-3657.5875756607675</v>
      </c>
      <c r="H158" s="431">
        <f t="shared" si="40"/>
        <v>4778.3061156571457</v>
      </c>
      <c r="I158" s="431">
        <f t="shared" si="40"/>
        <v>2029.5794309395378</v>
      </c>
      <c r="J158" s="431">
        <f t="shared" si="40"/>
        <v>1504.7040757410359</v>
      </c>
      <c r="K158" s="431">
        <f t="shared" si="40"/>
        <v>-133.83555465184043</v>
      </c>
      <c r="L158" s="61"/>
      <c r="M158" s="61"/>
      <c r="N158">
        <v>2021</v>
      </c>
      <c r="O158" s="61">
        <f t="shared" si="41"/>
        <v>-3620.824204993758</v>
      </c>
      <c r="P158" s="61">
        <f t="shared" si="41"/>
        <v>-3665.6161233809144</v>
      </c>
      <c r="Q158" s="61">
        <f t="shared" si="41"/>
        <v>4423.7568166552683</v>
      </c>
      <c r="R158" s="61">
        <f t="shared" si="41"/>
        <v>1900.3083046569882</v>
      </c>
      <c r="S158" s="61">
        <f t="shared" si="41"/>
        <v>1396.5844324004947</v>
      </c>
      <c r="T158" s="61">
        <f t="shared" si="41"/>
        <v>345.55342623556771</v>
      </c>
      <c r="U158" s="407"/>
      <c r="W158">
        <v>2021</v>
      </c>
      <c r="X158" s="61">
        <f t="shared" si="42"/>
        <v>-3627.9258545322464</v>
      </c>
      <c r="Y158" s="61">
        <f t="shared" si="42"/>
        <v>-3672.8056248803186</v>
      </c>
      <c r="Z158" s="61">
        <f t="shared" si="42"/>
        <v>4418.3734858956959</v>
      </c>
      <c r="AA158" s="61">
        <f t="shared" si="42"/>
        <v>1917.4863770109387</v>
      </c>
      <c r="AB158" s="61">
        <f t="shared" si="42"/>
        <v>1397.9835012215271</v>
      </c>
      <c r="AC158" s="61">
        <f t="shared" si="42"/>
        <v>347.88477520102424</v>
      </c>
      <c r="AD158" s="407"/>
      <c r="AG158">
        <v>2021</v>
      </c>
      <c r="AH158" s="61">
        <f t="shared" si="43"/>
        <v>-3613.9351333350992</v>
      </c>
      <c r="AI158" s="61">
        <f t="shared" si="44"/>
        <v>-3658.6418294860937</v>
      </c>
      <c r="AJ158" s="61">
        <f t="shared" si="45"/>
        <v>4278.546061129362</v>
      </c>
      <c r="AK158" s="61">
        <f t="shared" si="45"/>
        <v>1786.6779927550388</v>
      </c>
      <c r="AL158" s="61">
        <f t="shared" si="45"/>
        <v>1207.3529089367917</v>
      </c>
      <c r="AM158" s="61">
        <f t="shared" si="46"/>
        <v>-133.87413107483451</v>
      </c>
      <c r="AN158" s="407"/>
    </row>
    <row r="159" spans="5:43">
      <c r="E159">
        <v>2022</v>
      </c>
      <c r="F159" s="431">
        <f t="shared" si="40"/>
        <v>-3631.083744234531</v>
      </c>
      <c r="G159" s="431">
        <f t="shared" si="40"/>
        <v>-3671.4018255368537</v>
      </c>
      <c r="H159" s="431">
        <f t="shared" si="40"/>
        <v>5036.5909340064609</v>
      </c>
      <c r="I159" s="431">
        <f t="shared" si="40"/>
        <v>1861.6930800354339</v>
      </c>
      <c r="J159" s="431">
        <f t="shared" si="40"/>
        <v>1439.617597419412</v>
      </c>
      <c r="K159" s="431">
        <f t="shared" si="40"/>
        <v>-134.50938192981687</v>
      </c>
      <c r="L159" s="61"/>
      <c r="M159" s="61"/>
      <c r="N159">
        <v>2022</v>
      </c>
      <c r="O159" s="61">
        <f t="shared" si="41"/>
        <v>-3646.9248042304062</v>
      </c>
      <c r="P159" s="61">
        <f t="shared" si="41"/>
        <v>-3687.4187782385488</v>
      </c>
      <c r="Q159" s="61">
        <f t="shared" si="41"/>
        <v>4665.3836956246596</v>
      </c>
      <c r="R159" s="61">
        <f t="shared" si="41"/>
        <v>1755.5741436835351</v>
      </c>
      <c r="S159" s="61">
        <f t="shared" si="41"/>
        <v>1335.0995740463277</v>
      </c>
      <c r="T159" s="61">
        <f t="shared" si="41"/>
        <v>351.38884772155552</v>
      </c>
      <c r="U159" s="407"/>
      <c r="W159">
        <v>2022</v>
      </c>
      <c r="X159" s="61">
        <f t="shared" si="42"/>
        <v>-3661.1103491835365</v>
      </c>
      <c r="Y159" s="61">
        <f t="shared" si="42"/>
        <v>-3701.7618337298591</v>
      </c>
      <c r="Z159" s="61">
        <f t="shared" si="42"/>
        <v>4662.9249978349908</v>
      </c>
      <c r="AA159" s="61">
        <f t="shared" si="42"/>
        <v>1783.6131956967347</v>
      </c>
      <c r="AB159" s="61">
        <f t="shared" si="42"/>
        <v>1335.4063299689042</v>
      </c>
      <c r="AC159" s="61">
        <f t="shared" si="42"/>
        <v>356.10319990536664</v>
      </c>
      <c r="AD159" s="407"/>
      <c r="AG159">
        <v>2022</v>
      </c>
      <c r="AH159" s="61">
        <f t="shared" si="43"/>
        <v>-3633.1638835922349</v>
      </c>
      <c r="AI159" s="61">
        <f t="shared" si="44"/>
        <v>-3673.5050619183808</v>
      </c>
      <c r="AJ159" s="61">
        <f t="shared" si="45"/>
        <v>4510.9353136699056</v>
      </c>
      <c r="AK159" s="61">
        <f t="shared" si="45"/>
        <v>1640.5615612799231</v>
      </c>
      <c r="AL159" s="61">
        <f t="shared" si="45"/>
        <v>1155.1720705607866</v>
      </c>
      <c r="AM159" s="61">
        <f t="shared" si="46"/>
        <v>-134.58643833474744</v>
      </c>
      <c r="AN159" s="407"/>
    </row>
    <row r="160" spans="5:43">
      <c r="E160">
        <v>2023</v>
      </c>
      <c r="F160" s="431">
        <f t="shared" si="40"/>
        <v>-3649.2226064248207</v>
      </c>
      <c r="G160" s="431">
        <f t="shared" si="40"/>
        <v>-3685.1241442412102</v>
      </c>
      <c r="H160" s="431">
        <f t="shared" si="40"/>
        <v>5273.8652520473661</v>
      </c>
      <c r="I160" s="431">
        <f t="shared" si="40"/>
        <v>1709.5934820946823</v>
      </c>
      <c r="J160" s="431">
        <f t="shared" si="40"/>
        <v>1380.5001773580771</v>
      </c>
      <c r="K160" s="431">
        <f t="shared" si="40"/>
        <v>-135.18131552154409</v>
      </c>
      <c r="L160" s="61"/>
      <c r="M160" s="61"/>
      <c r="N160">
        <v>2023</v>
      </c>
      <c r="O160" s="61">
        <f t="shared" si="41"/>
        <v>-3672.9544944311438</v>
      </c>
      <c r="P160" s="61">
        <f t="shared" si="41"/>
        <v>-3709.0895097211214</v>
      </c>
      <c r="Q160" s="61">
        <f t="shared" si="41"/>
        <v>4895.0319807272608</v>
      </c>
      <c r="R160" s="61">
        <f t="shared" si="41"/>
        <v>1619.7687310218116</v>
      </c>
      <c r="S160" s="61">
        <f t="shared" si="41"/>
        <v>1277.3813370043727</v>
      </c>
      <c r="T160" s="61">
        <f t="shared" si="41"/>
        <v>356.90872187322157</v>
      </c>
      <c r="U160" s="407"/>
      <c r="W160">
        <v>2023</v>
      </c>
      <c r="X160" s="61">
        <f t="shared" si="42"/>
        <v>-3694.2062139640529</v>
      </c>
      <c r="Y160" s="61">
        <f t="shared" si="42"/>
        <v>-3730.5503064999975</v>
      </c>
      <c r="Z160" s="61">
        <f t="shared" si="42"/>
        <v>4902.6283912185318</v>
      </c>
      <c r="AA160" s="61">
        <f t="shared" si="42"/>
        <v>1653.2283765835391</v>
      </c>
      <c r="AB160" s="61">
        <f t="shared" si="42"/>
        <v>1274.4977131236296</v>
      </c>
      <c r="AC160" s="61">
        <f t="shared" si="42"/>
        <v>364.02928641730523</v>
      </c>
      <c r="AD160" s="407"/>
      <c r="AG160">
        <v>2023</v>
      </c>
      <c r="AH160" s="61">
        <f t="shared" si="43"/>
        <v>-3652.3389152000846</v>
      </c>
      <c r="AI160" s="61">
        <f t="shared" si="44"/>
        <v>-3688.2711116770702</v>
      </c>
      <c r="AJ160" s="61">
        <f t="shared" si="45"/>
        <v>4725.491414302699</v>
      </c>
      <c r="AK160" s="61">
        <f t="shared" si="45"/>
        <v>1507.5506998634801</v>
      </c>
      <c r="AL160" s="61">
        <f t="shared" si="45"/>
        <v>1107.5679127109761</v>
      </c>
      <c r="AM160" s="61">
        <f t="shared" si="46"/>
        <v>-135.29675564818083</v>
      </c>
      <c r="AN160" s="407"/>
    </row>
    <row r="161" spans="5:40">
      <c r="E161">
        <v>2024</v>
      </c>
      <c r="F161" s="431">
        <f t="shared" si="40"/>
        <v>-3667.3104478912865</v>
      </c>
      <c r="G161" s="431">
        <f t="shared" si="40"/>
        <v>-3698.7549050906382</v>
      </c>
      <c r="H161" s="431">
        <f t="shared" si="40"/>
        <v>5492.5158795212556</v>
      </c>
      <c r="I161" s="431">
        <f t="shared" si="40"/>
        <v>1571.4734302306269</v>
      </c>
      <c r="J161" s="431">
        <f t="shared" si="40"/>
        <v>1326.668598108984</v>
      </c>
      <c r="K161" s="431">
        <f t="shared" si="40"/>
        <v>-135.85135910838289</v>
      </c>
      <c r="L161" s="61"/>
      <c r="M161" s="61"/>
      <c r="N161">
        <v>2024</v>
      </c>
      <c r="O161" s="61">
        <f t="shared" si="41"/>
        <v>-3698.913412086371</v>
      </c>
      <c r="P161" s="61">
        <f t="shared" si="41"/>
        <v>-3730.628841178921</v>
      </c>
      <c r="Q161" s="61">
        <f t="shared" si="41"/>
        <v>5113.2763345511339</v>
      </c>
      <c r="R161" s="61">
        <f t="shared" si="41"/>
        <v>1492.4509454232129</v>
      </c>
      <c r="S161" s="61">
        <f t="shared" si="41"/>
        <v>1223.2460692287418</v>
      </c>
      <c r="T161" s="61">
        <f t="shared" si="41"/>
        <v>362.13212084653014</v>
      </c>
      <c r="U161" s="407"/>
      <c r="W161">
        <v>2024</v>
      </c>
      <c r="X161" s="61">
        <f t="shared" si="42"/>
        <v>-3727.2136185976942</v>
      </c>
      <c r="Y161" s="61">
        <f t="shared" si="42"/>
        <v>-3759.1717008948253</v>
      </c>
      <c r="Z161" s="61">
        <f t="shared" si="42"/>
        <v>5136.9626585177139</v>
      </c>
      <c r="AA161" s="61">
        <f t="shared" si="42"/>
        <v>1526.7064809700696</v>
      </c>
      <c r="AB161" s="61">
        <f t="shared" si="42"/>
        <v>1215.4379426972901</v>
      </c>
      <c r="AC161" s="61">
        <f t="shared" si="42"/>
        <v>371.65720372196211</v>
      </c>
      <c r="AD161" s="407"/>
      <c r="AG161">
        <v>2024</v>
      </c>
      <c r="AH161" s="61">
        <f t="shared" si="43"/>
        <v>-3671.4603324103427</v>
      </c>
      <c r="AI161" s="61">
        <f t="shared" si="44"/>
        <v>-3702.9403717803325</v>
      </c>
      <c r="AJ161" s="61">
        <f t="shared" si="45"/>
        <v>4924.1045949425888</v>
      </c>
      <c r="AK161" s="61">
        <f t="shared" si="45"/>
        <v>1386.244536891385</v>
      </c>
      <c r="AL161" s="61">
        <f t="shared" si="45"/>
        <v>1064.0515723567021</v>
      </c>
      <c r="AM161" s="61">
        <f t="shared" si="46"/>
        <v>-136.00508687702074</v>
      </c>
      <c r="AN161" s="407"/>
    </row>
    <row r="162" spans="5:40">
      <c r="E162">
        <v>2025</v>
      </c>
      <c r="F162" s="431">
        <f t="shared" si="40"/>
        <v>-3685.3473678437622</v>
      </c>
      <c r="G162" s="431">
        <f t="shared" si="40"/>
        <v>-3712.2944801099147</v>
      </c>
      <c r="H162" s="431">
        <f t="shared" si="40"/>
        <v>5694.6049910974616</v>
      </c>
      <c r="I162" s="431">
        <f t="shared" si="40"/>
        <v>1445.7716117829523</v>
      </c>
      <c r="J162" s="431">
        <f t="shared" si="40"/>
        <v>1277.5325504570674</v>
      </c>
      <c r="K162" s="431">
        <f t="shared" si="40"/>
        <v>-136.51951636544902</v>
      </c>
      <c r="L162" s="61"/>
      <c r="M162" s="61"/>
      <c r="N162">
        <v>2025</v>
      </c>
      <c r="O162" s="61">
        <f t="shared" si="41"/>
        <v>-3724.8016934560637</v>
      </c>
      <c r="P162" s="61">
        <f t="shared" si="41"/>
        <v>-3752.0372941699934</v>
      </c>
      <c r="Q162" s="61">
        <f t="shared" si="41"/>
        <v>5320.6918946211736</v>
      </c>
      <c r="R162" s="61">
        <f t="shared" si="41"/>
        <v>1373.1801791318494</v>
      </c>
      <c r="S162" s="61">
        <f t="shared" si="41"/>
        <v>1172.5097805293694</v>
      </c>
      <c r="T162" s="61">
        <f t="shared" si="41"/>
        <v>367.07757078167856</v>
      </c>
      <c r="U162" s="407"/>
      <c r="W162">
        <v>2025</v>
      </c>
      <c r="X162" s="61">
        <f t="shared" si="42"/>
        <v>-3760.1327325225448</v>
      </c>
      <c r="Y162" s="61">
        <f t="shared" si="42"/>
        <v>-3787.626672378261</v>
      </c>
      <c r="Z162" s="61">
        <f t="shared" si="42"/>
        <v>5365.4952498541679</v>
      </c>
      <c r="AA162" s="61">
        <f t="shared" si="42"/>
        <v>1404.3570672396909</v>
      </c>
      <c r="AB162" s="61">
        <f t="shared" si="42"/>
        <v>1158.3757413967605</v>
      </c>
      <c r="AC162" s="61">
        <f t="shared" si="42"/>
        <v>378.98404633839914</v>
      </c>
      <c r="AD162" s="407"/>
      <c r="AG162">
        <v>2025</v>
      </c>
      <c r="AH162" s="61">
        <f t="shared" si="43"/>
        <v>-3690.528239298023</v>
      </c>
      <c r="AI162" s="61">
        <f t="shared" si="44"/>
        <v>-3717.5132338886287</v>
      </c>
      <c r="AJ162" s="61">
        <f t="shared" si="45"/>
        <v>5108.4288877469553</v>
      </c>
      <c r="AK162" s="61">
        <f t="shared" si="45"/>
        <v>1275.4173512203879</v>
      </c>
      <c r="AL162" s="61">
        <f t="shared" si="45"/>
        <v>1024.1952342193088</v>
      </c>
      <c r="AM162" s="61">
        <f t="shared" si="46"/>
        <v>-136.71143587660788</v>
      </c>
      <c r="AN162" s="407"/>
    </row>
    <row r="163" spans="5:40">
      <c r="E163">
        <v>2026</v>
      </c>
      <c r="F163" s="431">
        <f t="shared" si="40"/>
        <v>-3703.3334653237835</v>
      </c>
      <c r="G163" s="431">
        <f t="shared" si="40"/>
        <v>-3725.7432400359394</v>
      </c>
      <c r="H163" s="431">
        <f t="shared" si="40"/>
        <v>5881.9210907310553</v>
      </c>
      <c r="I163" s="431">
        <f t="shared" si="40"/>
        <v>1331.1340071587792</v>
      </c>
      <c r="J163" s="431">
        <f t="shared" si="40"/>
        <v>1232.580045620281</v>
      </c>
      <c r="K163" s="431">
        <f t="shared" si="40"/>
        <v>-137.18579096162387</v>
      </c>
      <c r="L163" s="61"/>
      <c r="M163" s="61"/>
      <c r="N163">
        <v>2026</v>
      </c>
      <c r="O163" s="61">
        <f t="shared" si="41"/>
        <v>-3750.619474570125</v>
      </c>
      <c r="P163" s="61">
        <f t="shared" si="41"/>
        <v>-3773.3153884658532</v>
      </c>
      <c r="Q163" s="61">
        <f t="shared" si="41"/>
        <v>5517.8479798619592</v>
      </c>
      <c r="R163" s="61">
        <f t="shared" si="41"/>
        <v>1261.52102395785</v>
      </c>
      <c r="S163" s="61">
        <f t="shared" si="41"/>
        <v>1124.9901899907168</v>
      </c>
      <c r="T163" s="61">
        <f t="shared" si="41"/>
        <v>371.76293827949235</v>
      </c>
      <c r="U163" s="407"/>
      <c r="W163">
        <v>2026</v>
      </c>
      <c r="X163" s="61">
        <f t="shared" si="42"/>
        <v>-3792.9637248913041</v>
      </c>
      <c r="Y163" s="61">
        <f t="shared" si="42"/>
        <v>-3815.9158741811516</v>
      </c>
      <c r="Z163" s="61">
        <f t="shared" si="42"/>
        <v>5587.878936972309</v>
      </c>
      <c r="AA163" s="61">
        <f t="shared" si="42"/>
        <v>1286.4271099838052</v>
      </c>
      <c r="AB163" s="61">
        <f t="shared" si="42"/>
        <v>1103.4294643147759</v>
      </c>
      <c r="AC163" s="61">
        <f t="shared" si="42"/>
        <v>386.00958051955126</v>
      </c>
      <c r="AD163" s="407"/>
      <c r="AG163">
        <v>2026</v>
      </c>
      <c r="AH163" s="61">
        <f t="shared" si="43"/>
        <v>-3709.5427397617141</v>
      </c>
      <c r="AI163" s="61">
        <f t="shared" si="44"/>
        <v>-3731.990088309059</v>
      </c>
      <c r="AJ163" s="61">
        <f t="shared" si="45"/>
        <v>5279.9157549158253</v>
      </c>
      <c r="AK163" s="61">
        <f t="shared" si="45"/>
        <v>1173.9936332309578</v>
      </c>
      <c r="AL163" s="61">
        <f t="shared" si="45"/>
        <v>987.62343992398996</v>
      </c>
      <c r="AM163" s="61">
        <f t="shared" si="46"/>
        <v>-137.41580649574769</v>
      </c>
      <c r="AN163" s="407"/>
    </row>
    <row r="164" spans="5:40">
      <c r="E164">
        <v>2027</v>
      </c>
      <c r="F164" s="431">
        <f t="shared" si="40"/>
        <v>-3721.2688392048422</v>
      </c>
      <c r="G164" s="431">
        <f t="shared" si="40"/>
        <v>-3739.1015543218346</v>
      </c>
      <c r="H164" s="431">
        <f t="shared" si="40"/>
        <v>6056.0209549428328</v>
      </c>
      <c r="I164" s="431">
        <f t="shared" si="40"/>
        <v>1226.3821204187034</v>
      </c>
      <c r="J164" s="431">
        <f t="shared" si="40"/>
        <v>1191.3654106461277</v>
      </c>
      <c r="K164" s="431">
        <f t="shared" si="40"/>
        <v>-137.85018655956389</v>
      </c>
      <c r="L164" s="61"/>
      <c r="M164" s="61"/>
      <c r="N164">
        <v>2027</v>
      </c>
      <c r="O164" s="61">
        <f t="shared" si="41"/>
        <v>-3776.3668912287558</v>
      </c>
      <c r="P164" s="61">
        <f t="shared" si="41"/>
        <v>-3794.4636420571442</v>
      </c>
      <c r="Q164" s="61">
        <f t="shared" si="41"/>
        <v>5705.3030457727946</v>
      </c>
      <c r="R164" s="61">
        <f t="shared" si="41"/>
        <v>1157.0470143170787</v>
      </c>
      <c r="S164" s="61">
        <f t="shared" si="41"/>
        <v>1080.5083700129017</v>
      </c>
      <c r="T164" s="61">
        <f t="shared" si="41"/>
        <v>376.20534782151867</v>
      </c>
      <c r="U164" s="407"/>
      <c r="W164">
        <v>2027</v>
      </c>
      <c r="X164" s="61">
        <f t="shared" si="42"/>
        <v>-3825.7067645717452</v>
      </c>
      <c r="Y164" s="61">
        <f t="shared" si="42"/>
        <v>-3844.0399573083232</v>
      </c>
      <c r="Z164" s="61">
        <f t="shared" si="42"/>
        <v>5803.8473700044706</v>
      </c>
      <c r="AA164" s="61">
        <f t="shared" si="42"/>
        <v>1173.1043640192447</v>
      </c>
      <c r="AB164" s="61">
        <f t="shared" si="42"/>
        <v>1050.6887557738137</v>
      </c>
      <c r="AC164" s="61">
        <f t="shared" si="42"/>
        <v>392.73596778529895</v>
      </c>
      <c r="AD164" s="407"/>
      <c r="AG164">
        <v>2027</v>
      </c>
      <c r="AH164" s="61">
        <f t="shared" si="43"/>
        <v>-3728.5039375238703</v>
      </c>
      <c r="AI164" s="61">
        <f t="shared" si="44"/>
        <v>-3746.3713239996764</v>
      </c>
      <c r="AJ164" s="61">
        <f t="shared" si="45"/>
        <v>5439.8423782263881</v>
      </c>
      <c r="AK164" s="61">
        <f t="shared" si="45"/>
        <v>1081.0271056292308</v>
      </c>
      <c r="AL164" s="61">
        <f t="shared" si="45"/>
        <v>954.00577766792685</v>
      </c>
      <c r="AM164" s="61">
        <f t="shared" si="46"/>
        <v>-138.11820257672125</v>
      </c>
      <c r="AN164" s="407"/>
    </row>
    <row r="165" spans="5:40">
      <c r="E165">
        <v>2028</v>
      </c>
      <c r="F165" s="431">
        <f t="shared" si="40"/>
        <v>-3739.1535881926575</v>
      </c>
      <c r="G165" s="431">
        <f t="shared" si="40"/>
        <v>-3752.3697911410491</v>
      </c>
      <c r="H165" s="431">
        <f t="shared" si="40"/>
        <v>6218.264324407759</v>
      </c>
      <c r="I165" s="431">
        <f t="shared" si="40"/>
        <v>1130.4867018596569</v>
      </c>
      <c r="J165" s="431">
        <f t="shared" si="40"/>
        <v>1153.499360093042</v>
      </c>
      <c r="K165" s="431">
        <f t="shared" si="40"/>
        <v>-138.51270681571089</v>
      </c>
      <c r="L165" s="61"/>
      <c r="M165" s="61"/>
      <c r="N165">
        <v>2028</v>
      </c>
      <c r="O165" s="61">
        <f t="shared" si="41"/>
        <v>-3802.0440790028115</v>
      </c>
      <c r="P165" s="61">
        <f t="shared" si="41"/>
        <v>-3815.4825711593039</v>
      </c>
      <c r="Q165" s="61">
        <f t="shared" si="41"/>
        <v>5883.6007337284027</v>
      </c>
      <c r="R165" s="61">
        <f t="shared" si="41"/>
        <v>1059.3435453316238</v>
      </c>
      <c r="S165" s="61">
        <f t="shared" si="41"/>
        <v>1038.8900366066214</v>
      </c>
      <c r="T165" s="61">
        <f t="shared" si="41"/>
        <v>380.42112545701161</v>
      </c>
      <c r="U165" s="407"/>
      <c r="W165">
        <v>2028</v>
      </c>
      <c r="X165" s="61">
        <f t="shared" si="42"/>
        <v>-3858.3620201471676</v>
      </c>
      <c r="Y165" s="61">
        <f t="shared" si="42"/>
        <v>-3871.9995705456458</v>
      </c>
      <c r="Z165" s="61">
        <f t="shared" si="42"/>
        <v>6013.2096248456655</v>
      </c>
      <c r="AA165" s="61">
        <f t="shared" si="42"/>
        <v>1064.5214539977569</v>
      </c>
      <c r="AB165" s="61">
        <f t="shared" si="42"/>
        <v>1000.2165546914848</v>
      </c>
      <c r="AC165" s="61">
        <f t="shared" si="42"/>
        <v>399.16747625212429</v>
      </c>
      <c r="AD165" s="407"/>
      <c r="AG165">
        <v>2028</v>
      </c>
      <c r="AH165" s="61">
        <f t="shared" si="43"/>
        <v>-3747.4119361310918</v>
      </c>
      <c r="AI165" s="61">
        <f t="shared" si="44"/>
        <v>-3760.6573285737913</v>
      </c>
      <c r="AJ165" s="61">
        <f t="shared" si="45"/>
        <v>5589.3355393461534</v>
      </c>
      <c r="AK165" s="61">
        <f t="shared" si="45"/>
        <v>995.68301377030764</v>
      </c>
      <c r="AL165" s="61">
        <f t="shared" si="45"/>
        <v>923.05071158842259</v>
      </c>
      <c r="AM165" s="61">
        <f t="shared" si="46"/>
        <v>-138.81862795529466</v>
      </c>
      <c r="AN165" s="407"/>
    </row>
    <row r="166" spans="5:40">
      <c r="E166">
        <v>2029</v>
      </c>
      <c r="F166" s="431">
        <f t="shared" si="40"/>
        <v>-3756.9878108254416</v>
      </c>
      <c r="G166" s="431">
        <f t="shared" si="40"/>
        <v>-3765.5483173914508</v>
      </c>
      <c r="H166" s="431">
        <f t="shared" si="40"/>
        <v>6369.8427337538233</v>
      </c>
      <c r="I166" s="431">
        <f t="shared" si="40"/>
        <v>1042.5459101361666</v>
      </c>
      <c r="J166" s="431">
        <f t="shared" si="40"/>
        <v>1118.6407458572153</v>
      </c>
      <c r="K166" s="431">
        <f t="shared" si="40"/>
        <v>-139.17335538030079</v>
      </c>
      <c r="L166" s="61"/>
      <c r="M166" s="61"/>
      <c r="N166">
        <v>2029</v>
      </c>
      <c r="O166" s="61">
        <f t="shared" si="41"/>
        <v>-3827.6511732341623</v>
      </c>
      <c r="P166" s="61">
        <f t="shared" si="41"/>
        <v>-3836.3726902181879</v>
      </c>
      <c r="Q166" s="61">
        <f t="shared" si="41"/>
        <v>6053.2668662224314</v>
      </c>
      <c r="R166" s="61">
        <f t="shared" si="41"/>
        <v>968.01007890633218</v>
      </c>
      <c r="S166" s="61">
        <f t="shared" si="41"/>
        <v>999.96653358445747</v>
      </c>
      <c r="T166" s="61">
        <f t="shared" si="41"/>
        <v>384.42576445203622</v>
      </c>
      <c r="U166" s="407"/>
      <c r="W166">
        <v>2029</v>
      </c>
      <c r="X166" s="61">
        <f t="shared" si="42"/>
        <v>-3890.9296599168301</v>
      </c>
      <c r="Y166" s="61">
        <f t="shared" si="42"/>
        <v>-3899.7953604670511</v>
      </c>
      <c r="Z166" s="61">
        <f t="shared" si="42"/>
        <v>6215.8440280463983</v>
      </c>
      <c r="AA166" s="61">
        <f t="shared" si="42"/>
        <v>960.7604789396014</v>
      </c>
      <c r="AB166" s="61">
        <f t="shared" si="42"/>
        <v>952.05134618656666</v>
      </c>
      <c r="AC166" s="61">
        <f t="shared" si="42"/>
        <v>405.3101890436858</v>
      </c>
      <c r="AD166" s="407"/>
      <c r="AG166">
        <v>2029</v>
      </c>
      <c r="AH166" s="61">
        <f t="shared" si="43"/>
        <v>-3766.2668389543937</v>
      </c>
      <c r="AI166" s="61">
        <f t="shared" si="44"/>
        <v>-3774.8484883042588</v>
      </c>
      <c r="AJ166" s="61">
        <f t="shared" si="45"/>
        <v>5729.3918458358985</v>
      </c>
      <c r="AK166" s="61">
        <f t="shared" si="45"/>
        <v>917.22312582078939</v>
      </c>
      <c r="AL166" s="61">
        <f t="shared" si="45"/>
        <v>894.50035560196386</v>
      </c>
      <c r="AM166" s="61">
        <f t="shared" si="46"/>
        <v>-139.51708646073007</v>
      </c>
      <c r="AN166" s="407"/>
    </row>
    <row r="167" spans="5:40">
      <c r="E167">
        <v>2030</v>
      </c>
      <c r="F167" s="431">
        <f t="shared" ref="F167:K174" si="47">F129-F148</f>
        <v>-3774.7716054741632</v>
      </c>
      <c r="G167" s="431">
        <f t="shared" si="47"/>
        <v>-3778.6374986994088</v>
      </c>
      <c r="H167" s="431">
        <f t="shared" si="47"/>
        <v>6511.8035780625651</v>
      </c>
      <c r="I167" s="431">
        <f t="shared" si="47"/>
        <v>961.76708208581113</v>
      </c>
      <c r="J167" s="431">
        <f t="shared" si="47"/>
        <v>1086.4896705211995</v>
      </c>
      <c r="K167" s="431">
        <f t="shared" si="47"/>
        <v>-139.832135897375</v>
      </c>
      <c r="L167" s="61"/>
      <c r="M167" s="61"/>
      <c r="N167">
        <v>2030</v>
      </c>
      <c r="O167" s="61">
        <f t="shared" ref="O167:T174" si="48">O129-O148</f>
        <v>-3853.1883090360661</v>
      </c>
      <c r="P167" s="61">
        <f t="shared" si="48"/>
        <v>-3857.1345119157086</v>
      </c>
      <c r="Q167" s="61">
        <f t="shared" si="48"/>
        <v>6214.8072495972301</v>
      </c>
      <c r="R167" s="61">
        <f t="shared" si="48"/>
        <v>882.66174306176481</v>
      </c>
      <c r="S167" s="61">
        <f t="shared" si="48"/>
        <v>963.57555521599488</v>
      </c>
      <c r="T167" s="61">
        <f t="shared" si="48"/>
        <v>388.23390901749576</v>
      </c>
      <c r="U167" s="407"/>
      <c r="W167">
        <v>2030</v>
      </c>
      <c r="X167" s="61">
        <f t="shared" ref="X167:AC174" si="49">X129-X148</f>
        <v>-3923.4098518964129</v>
      </c>
      <c r="Y167" s="61">
        <f t="shared" si="49"/>
        <v>-3927.4279714415316</v>
      </c>
      <c r="Z167" s="61">
        <f t="shared" si="49"/>
        <v>6411.6915245788223</v>
      </c>
      <c r="AA167" s="61">
        <f t="shared" si="49"/>
        <v>861.8579373662642</v>
      </c>
      <c r="AB167" s="61">
        <f t="shared" si="49"/>
        <v>906.20956521090375</v>
      </c>
      <c r="AC167" s="61">
        <f t="shared" si="49"/>
        <v>411.17171768489698</v>
      </c>
      <c r="AD167" s="407"/>
      <c r="AG167">
        <v>2030</v>
      </c>
      <c r="AH167" s="61">
        <f t="shared" si="43"/>
        <v>-3785.0687491894864</v>
      </c>
      <c r="AI167" s="61">
        <f t="shared" si="44"/>
        <v>-3788.9451881277701</v>
      </c>
      <c r="AJ167" s="61">
        <f t="shared" si="45"/>
        <v>5860.8949174549753</v>
      </c>
      <c r="AK167" s="61">
        <f t="shared" si="45"/>
        <v>844.99298707132198</v>
      </c>
      <c r="AL167" s="61">
        <f t="shared" si="45"/>
        <v>868.12603279095958</v>
      </c>
      <c r="AM167" s="61">
        <f t="shared" si="46"/>
        <v>-140.2135819157958</v>
      </c>
      <c r="AN167" s="407"/>
    </row>
    <row r="168" spans="5:40">
      <c r="E168">
        <v>2040</v>
      </c>
      <c r="F168" s="431">
        <f t="shared" si="47"/>
        <v>0</v>
      </c>
      <c r="G168" s="431">
        <f t="shared" si="47"/>
        <v>0</v>
      </c>
      <c r="H168" s="431">
        <f t="shared" si="47"/>
        <v>0</v>
      </c>
      <c r="I168" s="431">
        <f t="shared" si="47"/>
        <v>0</v>
      </c>
      <c r="J168" s="431">
        <f t="shared" si="47"/>
        <v>0</v>
      </c>
      <c r="K168" s="431">
        <f t="shared" si="47"/>
        <v>0</v>
      </c>
      <c r="L168" s="61"/>
      <c r="M168" s="61"/>
      <c r="N168">
        <v>2040</v>
      </c>
      <c r="O168" s="61">
        <f t="shared" si="48"/>
        <v>-4049.1714492701794</v>
      </c>
      <c r="P168" s="61">
        <f t="shared" si="48"/>
        <v>-4002.0105388311858</v>
      </c>
      <c r="Q168" s="61">
        <f t="shared" si="48"/>
        <v>7329.9096751591824</v>
      </c>
      <c r="R168" s="61">
        <f t="shared" si="48"/>
        <v>303.72163335081927</v>
      </c>
      <c r="S168" s="61">
        <f t="shared" si="48"/>
        <v>738.0355120808631</v>
      </c>
      <c r="T168" s="61">
        <f t="shared" si="48"/>
        <v>404.46101024577638</v>
      </c>
      <c r="U168" s="407"/>
      <c r="W168">
        <v>2040</v>
      </c>
      <c r="X168" s="61">
        <f t="shared" si="49"/>
        <v>-4215.8214498476809</v>
      </c>
      <c r="Y168" s="61">
        <f t="shared" si="49"/>
        <v>-4166.7195581856467</v>
      </c>
      <c r="Z168" s="61">
        <f t="shared" si="49"/>
        <v>7967.0883980823382</v>
      </c>
      <c r="AA168" s="61">
        <f t="shared" si="49"/>
        <v>112.93631474135702</v>
      </c>
      <c r="AB168" s="61">
        <f t="shared" si="49"/>
        <v>578.72802199967919</v>
      </c>
      <c r="AC168" s="61">
        <f t="shared" si="49"/>
        <v>448.45861098136265</v>
      </c>
      <c r="AD168" s="407"/>
      <c r="AG168">
        <v>2040</v>
      </c>
      <c r="AH168" s="61"/>
      <c r="AI168" s="61"/>
      <c r="AJ168" s="61">
        <f t="shared" si="45"/>
        <v>0</v>
      </c>
      <c r="AK168" s="61">
        <f t="shared" si="45"/>
        <v>0</v>
      </c>
      <c r="AL168" s="61">
        <f t="shared" si="45"/>
        <v>0</v>
      </c>
      <c r="AM168" s="61"/>
      <c r="AN168" s="407"/>
    </row>
    <row r="169" spans="5:40">
      <c r="E169">
        <v>2050</v>
      </c>
      <c r="F169" s="431">
        <f t="shared" si="47"/>
        <v>0</v>
      </c>
      <c r="G169" s="431">
        <f t="shared" si="47"/>
        <v>0</v>
      </c>
      <c r="H169" s="431">
        <f t="shared" si="47"/>
        <v>0</v>
      </c>
      <c r="I169" s="431">
        <f t="shared" si="47"/>
        <v>0</v>
      </c>
      <c r="J169" s="431">
        <f t="shared" si="47"/>
        <v>0</v>
      </c>
      <c r="K169" s="431">
        <f t="shared" si="47"/>
        <v>0</v>
      </c>
      <c r="L169" s="61"/>
      <c r="M169" s="61"/>
      <c r="N169">
        <v>2050</v>
      </c>
      <c r="O169" s="61">
        <f t="shared" si="48"/>
        <v>0</v>
      </c>
      <c r="P169" s="61">
        <f t="shared" si="48"/>
        <v>0</v>
      </c>
      <c r="Q169" s="61">
        <f t="shared" si="48"/>
        <v>0</v>
      </c>
      <c r="R169" s="61">
        <f t="shared" si="48"/>
        <v>0</v>
      </c>
      <c r="S169" s="61">
        <f t="shared" si="48"/>
        <v>0</v>
      </c>
      <c r="T169" s="61">
        <f t="shared" si="48"/>
        <v>0</v>
      </c>
      <c r="U169" s="407"/>
      <c r="W169">
        <v>2050</v>
      </c>
      <c r="X169" s="61">
        <f t="shared" si="49"/>
        <v>0</v>
      </c>
      <c r="Y169" s="61">
        <f t="shared" si="49"/>
        <v>0</v>
      </c>
      <c r="Z169" s="61">
        <f t="shared" si="49"/>
        <v>0</v>
      </c>
      <c r="AA169" s="61">
        <f t="shared" si="49"/>
        <v>0</v>
      </c>
      <c r="AB169" s="61">
        <f t="shared" si="49"/>
        <v>0</v>
      </c>
      <c r="AC169" s="61">
        <f t="shared" si="49"/>
        <v>0</v>
      </c>
      <c r="AD169" s="407"/>
      <c r="AG169">
        <v>2050</v>
      </c>
      <c r="AH169" s="61"/>
      <c r="AI169" s="61"/>
      <c r="AJ169" s="61">
        <f t="shared" si="45"/>
        <v>0</v>
      </c>
      <c r="AK169" s="61">
        <f t="shared" si="45"/>
        <v>0</v>
      </c>
      <c r="AL169" s="61">
        <f t="shared" si="45"/>
        <v>0</v>
      </c>
      <c r="AM169" s="61"/>
      <c r="AN169" s="407"/>
    </row>
    <row r="170" spans="5:40">
      <c r="E170">
        <v>2060</v>
      </c>
      <c r="F170" s="431">
        <f t="shared" si="47"/>
        <v>0</v>
      </c>
      <c r="G170" s="431">
        <f t="shared" si="47"/>
        <v>0</v>
      </c>
      <c r="H170" s="431">
        <f t="shared" si="47"/>
        <v>0</v>
      </c>
      <c r="I170" s="431">
        <f t="shared" si="47"/>
        <v>0</v>
      </c>
      <c r="J170" s="431">
        <f t="shared" si="47"/>
        <v>0</v>
      </c>
      <c r="K170" s="431">
        <f t="shared" si="47"/>
        <v>0</v>
      </c>
      <c r="L170" s="61"/>
      <c r="M170" s="61"/>
      <c r="N170">
        <v>2060</v>
      </c>
      <c r="O170" s="61">
        <f t="shared" si="48"/>
        <v>0</v>
      </c>
      <c r="P170" s="61">
        <f t="shared" si="48"/>
        <v>0</v>
      </c>
      <c r="Q170" s="61">
        <f t="shared" si="48"/>
        <v>0</v>
      </c>
      <c r="R170" s="61">
        <f t="shared" si="48"/>
        <v>0</v>
      </c>
      <c r="S170" s="61">
        <f t="shared" si="48"/>
        <v>0</v>
      </c>
      <c r="T170" s="61">
        <f t="shared" si="48"/>
        <v>0</v>
      </c>
      <c r="U170" s="407"/>
      <c r="W170">
        <v>2060</v>
      </c>
      <c r="X170" s="61">
        <f t="shared" si="49"/>
        <v>0</v>
      </c>
      <c r="Y170" s="61">
        <f t="shared" si="49"/>
        <v>0</v>
      </c>
      <c r="Z170" s="61">
        <f t="shared" si="49"/>
        <v>0</v>
      </c>
      <c r="AA170" s="61">
        <f t="shared" si="49"/>
        <v>0</v>
      </c>
      <c r="AB170" s="61">
        <f t="shared" si="49"/>
        <v>0</v>
      </c>
      <c r="AC170" s="61">
        <f t="shared" si="49"/>
        <v>0</v>
      </c>
      <c r="AD170" s="407"/>
      <c r="AG170">
        <v>2060</v>
      </c>
      <c r="AH170" s="61"/>
      <c r="AI170" s="61"/>
      <c r="AJ170" s="61">
        <f t="shared" si="45"/>
        <v>0</v>
      </c>
      <c r="AK170" s="61">
        <f t="shared" si="45"/>
        <v>0</v>
      </c>
      <c r="AL170" s="61">
        <f t="shared" si="45"/>
        <v>0</v>
      </c>
      <c r="AM170" s="61"/>
      <c r="AN170" s="407"/>
    </row>
    <row r="171" spans="5:40">
      <c r="E171">
        <v>2070</v>
      </c>
      <c r="F171" s="431">
        <f t="shared" si="47"/>
        <v>0</v>
      </c>
      <c r="G171" s="431">
        <f t="shared" si="47"/>
        <v>0</v>
      </c>
      <c r="H171" s="431">
        <f t="shared" si="47"/>
        <v>0</v>
      </c>
      <c r="I171" s="431">
        <f t="shared" si="47"/>
        <v>0</v>
      </c>
      <c r="J171" s="431">
        <f t="shared" si="47"/>
        <v>0</v>
      </c>
      <c r="K171" s="431">
        <f t="shared" si="47"/>
        <v>0</v>
      </c>
      <c r="L171" s="61"/>
      <c r="M171" s="61"/>
      <c r="N171">
        <v>2070</v>
      </c>
      <c r="O171" s="61">
        <f t="shared" si="48"/>
        <v>0</v>
      </c>
      <c r="P171" s="61">
        <f t="shared" si="48"/>
        <v>0</v>
      </c>
      <c r="Q171" s="61">
        <f t="shared" si="48"/>
        <v>0</v>
      </c>
      <c r="R171" s="61">
        <f t="shared" si="48"/>
        <v>0</v>
      </c>
      <c r="S171" s="61">
        <f t="shared" si="48"/>
        <v>0</v>
      </c>
      <c r="T171" s="61">
        <f t="shared" si="48"/>
        <v>0</v>
      </c>
      <c r="U171" s="407"/>
      <c r="W171">
        <v>2070</v>
      </c>
      <c r="X171" s="61">
        <f t="shared" si="49"/>
        <v>0</v>
      </c>
      <c r="Y171" s="61">
        <f t="shared" si="49"/>
        <v>0</v>
      </c>
      <c r="Z171" s="61">
        <f t="shared" si="49"/>
        <v>0</v>
      </c>
      <c r="AA171" s="61">
        <f t="shared" si="49"/>
        <v>0</v>
      </c>
      <c r="AB171" s="61">
        <f t="shared" si="49"/>
        <v>0</v>
      </c>
      <c r="AC171" s="61">
        <f t="shared" si="49"/>
        <v>0</v>
      </c>
      <c r="AD171" s="407"/>
      <c r="AG171">
        <v>2070</v>
      </c>
      <c r="AH171" s="61"/>
      <c r="AI171" s="61"/>
      <c r="AJ171" s="61">
        <f t="shared" si="45"/>
        <v>0</v>
      </c>
      <c r="AK171" s="61">
        <f t="shared" si="45"/>
        <v>0</v>
      </c>
      <c r="AL171" s="61">
        <f t="shared" si="45"/>
        <v>0</v>
      </c>
      <c r="AM171" s="61"/>
      <c r="AN171" s="407"/>
    </row>
    <row r="172" spans="5:40">
      <c r="E172">
        <v>2080</v>
      </c>
      <c r="F172" s="431">
        <f t="shared" si="47"/>
        <v>0</v>
      </c>
      <c r="G172" s="431">
        <f t="shared" si="47"/>
        <v>0</v>
      </c>
      <c r="H172" s="431">
        <f t="shared" si="47"/>
        <v>0</v>
      </c>
      <c r="I172" s="431">
        <f t="shared" si="47"/>
        <v>0</v>
      </c>
      <c r="J172" s="431">
        <f t="shared" si="47"/>
        <v>0</v>
      </c>
      <c r="K172" s="431">
        <f t="shared" si="47"/>
        <v>0</v>
      </c>
      <c r="L172" s="61"/>
      <c r="M172" s="61"/>
      <c r="N172">
        <v>2080</v>
      </c>
      <c r="O172" s="61">
        <f t="shared" si="48"/>
        <v>0</v>
      </c>
      <c r="P172" s="61">
        <f t="shared" si="48"/>
        <v>0</v>
      </c>
      <c r="Q172" s="61">
        <f t="shared" si="48"/>
        <v>0</v>
      </c>
      <c r="R172" s="61">
        <f t="shared" si="48"/>
        <v>0</v>
      </c>
      <c r="S172" s="61">
        <f t="shared" si="48"/>
        <v>0</v>
      </c>
      <c r="T172" s="61">
        <f t="shared" si="48"/>
        <v>0</v>
      </c>
      <c r="U172" s="407"/>
      <c r="W172">
        <v>2080</v>
      </c>
      <c r="X172" s="61">
        <f t="shared" si="49"/>
        <v>0</v>
      </c>
      <c r="Y172" s="61">
        <f t="shared" si="49"/>
        <v>0</v>
      </c>
      <c r="Z172" s="61">
        <f t="shared" si="49"/>
        <v>0</v>
      </c>
      <c r="AA172" s="61">
        <f t="shared" si="49"/>
        <v>0</v>
      </c>
      <c r="AB172" s="61">
        <f t="shared" si="49"/>
        <v>0</v>
      </c>
      <c r="AC172" s="61">
        <f t="shared" si="49"/>
        <v>0</v>
      </c>
      <c r="AD172" s="407"/>
      <c r="AG172">
        <v>2080</v>
      </c>
      <c r="AH172" s="61"/>
      <c r="AI172" s="61"/>
      <c r="AJ172" s="61">
        <f t="shared" si="45"/>
        <v>0</v>
      </c>
      <c r="AK172" s="61">
        <f t="shared" si="45"/>
        <v>0</v>
      </c>
      <c r="AL172" s="61">
        <f t="shared" si="45"/>
        <v>0</v>
      </c>
      <c r="AM172" s="61"/>
      <c r="AN172" s="407"/>
    </row>
    <row r="173" spans="5:40">
      <c r="E173">
        <v>2090</v>
      </c>
      <c r="F173" s="431">
        <f t="shared" si="47"/>
        <v>0</v>
      </c>
      <c r="G173" s="431">
        <f t="shared" si="47"/>
        <v>0</v>
      </c>
      <c r="H173" s="431">
        <f t="shared" si="47"/>
        <v>0</v>
      </c>
      <c r="I173" s="431">
        <f t="shared" si="47"/>
        <v>0</v>
      </c>
      <c r="J173" s="431">
        <f t="shared" si="47"/>
        <v>0</v>
      </c>
      <c r="K173" s="431">
        <f t="shared" si="47"/>
        <v>0</v>
      </c>
      <c r="L173" s="61"/>
      <c r="M173" s="61"/>
      <c r="N173">
        <v>2090</v>
      </c>
      <c r="O173" s="61">
        <f t="shared" si="48"/>
        <v>0</v>
      </c>
      <c r="P173" s="61">
        <f t="shared" si="48"/>
        <v>0</v>
      </c>
      <c r="Q173" s="61">
        <f t="shared" si="48"/>
        <v>0</v>
      </c>
      <c r="R173" s="61">
        <f t="shared" si="48"/>
        <v>0</v>
      </c>
      <c r="S173" s="61">
        <f t="shared" si="48"/>
        <v>0</v>
      </c>
      <c r="T173" s="61">
        <f t="shared" si="48"/>
        <v>0</v>
      </c>
      <c r="U173" s="407"/>
      <c r="W173">
        <v>2090</v>
      </c>
      <c r="X173" s="61">
        <f t="shared" si="49"/>
        <v>0</v>
      </c>
      <c r="Y173" s="61">
        <f t="shared" si="49"/>
        <v>0</v>
      </c>
      <c r="Z173" s="61">
        <f t="shared" si="49"/>
        <v>0</v>
      </c>
      <c r="AA173" s="61">
        <f t="shared" si="49"/>
        <v>0</v>
      </c>
      <c r="AB173" s="61">
        <f t="shared" si="49"/>
        <v>0</v>
      </c>
      <c r="AC173" s="61">
        <f t="shared" si="49"/>
        <v>0</v>
      </c>
      <c r="AD173" s="407"/>
      <c r="AG173">
        <v>2090</v>
      </c>
      <c r="AH173" s="61"/>
      <c r="AI173" s="61"/>
      <c r="AJ173" s="61">
        <f t="shared" si="45"/>
        <v>0</v>
      </c>
      <c r="AK173" s="61">
        <f t="shared" si="45"/>
        <v>0</v>
      </c>
      <c r="AL173" s="61">
        <f t="shared" si="45"/>
        <v>0</v>
      </c>
      <c r="AM173" s="61"/>
      <c r="AN173" s="407"/>
    </row>
    <row r="174" spans="5:40">
      <c r="E174">
        <v>2100</v>
      </c>
      <c r="F174" s="431">
        <f t="shared" si="47"/>
        <v>0</v>
      </c>
      <c r="G174" s="431">
        <f t="shared" si="47"/>
        <v>0</v>
      </c>
      <c r="H174" s="431">
        <f t="shared" si="47"/>
        <v>0</v>
      </c>
      <c r="I174" s="431">
        <f t="shared" si="47"/>
        <v>0</v>
      </c>
      <c r="J174" s="431">
        <f t="shared" si="47"/>
        <v>0</v>
      </c>
      <c r="K174" s="431">
        <f t="shared" si="47"/>
        <v>0</v>
      </c>
      <c r="L174" s="61"/>
      <c r="M174" s="61"/>
      <c r="N174">
        <v>2100</v>
      </c>
      <c r="O174" s="61">
        <f t="shared" si="48"/>
        <v>0</v>
      </c>
      <c r="P174" s="61">
        <f t="shared" si="48"/>
        <v>0</v>
      </c>
      <c r="Q174" s="61">
        <f t="shared" si="48"/>
        <v>0</v>
      </c>
      <c r="R174" s="61">
        <f t="shared" si="48"/>
        <v>0</v>
      </c>
      <c r="S174" s="61">
        <f t="shared" si="48"/>
        <v>0</v>
      </c>
      <c r="T174" s="61">
        <f t="shared" si="48"/>
        <v>0</v>
      </c>
      <c r="U174" s="407"/>
      <c r="W174">
        <v>2100</v>
      </c>
      <c r="X174" s="61">
        <f t="shared" si="49"/>
        <v>0</v>
      </c>
      <c r="Y174" s="61">
        <f t="shared" si="49"/>
        <v>0</v>
      </c>
      <c r="Z174" s="61">
        <f t="shared" si="49"/>
        <v>0</v>
      </c>
      <c r="AA174" s="61">
        <f t="shared" si="49"/>
        <v>0</v>
      </c>
      <c r="AB174" s="61">
        <f t="shared" si="49"/>
        <v>0</v>
      </c>
      <c r="AC174" s="61">
        <f t="shared" si="49"/>
        <v>0</v>
      </c>
      <c r="AD174" s="407"/>
      <c r="AG174">
        <v>2100</v>
      </c>
      <c r="AH174" s="61"/>
      <c r="AI174" s="61"/>
      <c r="AJ174" s="61">
        <f t="shared" si="45"/>
        <v>0</v>
      </c>
      <c r="AK174" s="61">
        <f t="shared" si="45"/>
        <v>0</v>
      </c>
      <c r="AL174" s="61">
        <f t="shared" si="45"/>
        <v>0</v>
      </c>
      <c r="AM174" s="61"/>
      <c r="AN174" s="407"/>
    </row>
    <row r="175" spans="5:40">
      <c r="F175" s="581" t="s">
        <v>243</v>
      </c>
      <c r="G175" s="581"/>
      <c r="H175" s="581"/>
      <c r="I175" s="581"/>
      <c r="J175" s="581"/>
      <c r="K175" s="581"/>
      <c r="O175" s="581" t="s">
        <v>243</v>
      </c>
      <c r="P175" s="581"/>
      <c r="Q175" s="581"/>
      <c r="R175" s="581"/>
      <c r="S175" s="581"/>
      <c r="T175" s="581"/>
      <c r="X175" s="581" t="s">
        <v>243</v>
      </c>
      <c r="Y175" s="581"/>
      <c r="Z175" s="581"/>
      <c r="AA175" s="581"/>
      <c r="AB175" s="581"/>
      <c r="AC175" s="581"/>
      <c r="AH175" s="581" t="s">
        <v>243</v>
      </c>
      <c r="AI175" s="581"/>
      <c r="AJ175" s="581"/>
      <c r="AK175" s="581"/>
      <c r="AL175" s="581"/>
      <c r="AM175" s="581"/>
    </row>
    <row r="176" spans="5:40">
      <c r="E176">
        <v>2020</v>
      </c>
      <c r="F176" s="61">
        <f>'Demographic-Economic'!C$56*$C$7</f>
        <v>36037.614999999998</v>
      </c>
      <c r="G176" s="61">
        <f>'Demographic-Economic'!D$56*$C$7</f>
        <v>31430.830000000005</v>
      </c>
      <c r="H176" s="61">
        <f>'Demographic-Economic'!E$56*$C$7</f>
        <v>30325.600000000002</v>
      </c>
      <c r="I176" s="61">
        <f>'Demographic-Economic'!F$56*$C$7</f>
        <v>19163.370000000003</v>
      </c>
      <c r="J176" s="61">
        <f>'Demographic-Economic'!G$56*$C$7</f>
        <v>20890.34</v>
      </c>
      <c r="K176" s="61">
        <f>'Demographic-Economic'!H$56*$C$7</f>
        <v>24903.495000000003</v>
      </c>
      <c r="N176">
        <v>2020</v>
      </c>
      <c r="O176" s="61">
        <f>'Demographic-Economic'!C$56</f>
        <v>360376.14999999997</v>
      </c>
      <c r="P176" s="61">
        <f>'Demographic-Economic'!D$56</f>
        <v>314308.30000000005</v>
      </c>
      <c r="Q176" s="61">
        <f>'Demographic-Economic'!E$56</f>
        <v>303256</v>
      </c>
      <c r="R176" s="61">
        <f>'Demographic-Economic'!F$56</f>
        <v>191633.7</v>
      </c>
      <c r="S176" s="61">
        <f>'Demographic-Economic'!G$56</f>
        <v>208903.4</v>
      </c>
      <c r="T176" s="61">
        <f>'Demographic-Economic'!H$56</f>
        <v>249034.95</v>
      </c>
      <c r="W176">
        <v>2020</v>
      </c>
      <c r="X176" s="61">
        <f>'Demographic-Economic'!C$56</f>
        <v>360376.14999999997</v>
      </c>
      <c r="Y176" s="61">
        <f>'Demographic-Economic'!D$56</f>
        <v>314308.30000000005</v>
      </c>
      <c r="Z176" s="61">
        <f>'Demographic-Economic'!E$56</f>
        <v>303256</v>
      </c>
      <c r="AA176" s="61">
        <f>'Demographic-Economic'!F$56</f>
        <v>191633.7</v>
      </c>
      <c r="AB176" s="61">
        <f>'Demographic-Economic'!G$56</f>
        <v>208903.4</v>
      </c>
      <c r="AC176" s="61">
        <f>'Demographic-Economic'!H$56</f>
        <v>249034.95</v>
      </c>
      <c r="AG176">
        <v>2020</v>
      </c>
      <c r="AH176" s="61">
        <f>'Demographic-Economic'!C$56</f>
        <v>360376.14999999997</v>
      </c>
      <c r="AI176" s="61">
        <f>'Demographic-Economic'!D$56</f>
        <v>314308.30000000005</v>
      </c>
      <c r="AJ176" s="61">
        <f>'Demographic-Economic'!E$56</f>
        <v>303256</v>
      </c>
      <c r="AK176" s="61">
        <f>'Demographic-Economic'!F$56</f>
        <v>191633.7</v>
      </c>
      <c r="AL176" s="61">
        <f>'Demographic-Economic'!G$56</f>
        <v>208903.4</v>
      </c>
      <c r="AM176" s="61">
        <f>'Demographic-Economic'!H$56</f>
        <v>249034.95</v>
      </c>
    </row>
    <row r="177" spans="5:39">
      <c r="E177">
        <v>2021</v>
      </c>
      <c r="F177" s="61">
        <f t="shared" ref="F177:F186" si="50">(1+$C$6)*F176</f>
        <v>37390.437035754163</v>
      </c>
      <c r="G177" s="61">
        <f t="shared" ref="G177:G186" si="51">(1+$C$6)*G176</f>
        <v>32610.717165841674</v>
      </c>
      <c r="H177" s="61">
        <f>(1+$C$6)*H176</f>
        <v>31463.99775266667</v>
      </c>
      <c r="I177" s="61">
        <f t="shared" ref="I177:I186" si="52">(1+$C$6)*I176</f>
        <v>19882.746940325003</v>
      </c>
      <c r="J177" s="61">
        <f t="shared" ref="J177:J186" si="53">(1+$C$6)*J176</f>
        <v>21674.545954983332</v>
      </c>
      <c r="K177" s="61">
        <f t="shared" ref="K177:K186" si="54">(1+$C$6)*K176</f>
        <v>25838.351449387505</v>
      </c>
      <c r="N177">
        <v>2021</v>
      </c>
      <c r="O177" s="61">
        <f t="shared" ref="O177:O186" si="55">(1+$C$6)*O176</f>
        <v>373904.37035754166</v>
      </c>
      <c r="P177" s="61">
        <f t="shared" ref="P177:P186" si="56">(1+$C$6)*P176</f>
        <v>326107.17165841674</v>
      </c>
      <c r="Q177" s="61">
        <f t="shared" ref="Q177:Q186" si="57">(1+$C$6)*Q176</f>
        <v>314639.97752666665</v>
      </c>
      <c r="R177" s="61">
        <f t="shared" ref="R177:R186" si="58">(1+$C$6)*R176</f>
        <v>198827.46940325003</v>
      </c>
      <c r="S177" s="61">
        <f t="shared" ref="S177:S186" si="59">(1+$C$6)*S176</f>
        <v>216745.45954983332</v>
      </c>
      <c r="T177" s="61">
        <f t="shared" ref="T177:T186" si="60">(1+$C$6)*T176</f>
        <v>258383.514493875</v>
      </c>
      <c r="W177">
        <v>2021</v>
      </c>
      <c r="X177" s="61">
        <f t="shared" ref="X177:X186" si="61">(1+$C$6)*X176</f>
        <v>373904.37035754166</v>
      </c>
      <c r="Y177" s="61">
        <f t="shared" ref="Y177:Y186" si="62">(1+$C$6)*Y176</f>
        <v>326107.17165841674</v>
      </c>
      <c r="Z177" s="61">
        <f t="shared" ref="Z177:Z186" si="63">(1+$C$6)*Z176</f>
        <v>314639.97752666665</v>
      </c>
      <c r="AA177" s="61">
        <f t="shared" ref="AA177:AA186" si="64">(1+$C$6)*AA176</f>
        <v>198827.46940325003</v>
      </c>
      <c r="AB177" s="61">
        <f t="shared" ref="AB177:AB186" si="65">(1+$C$6)*AB176</f>
        <v>216745.45954983332</v>
      </c>
      <c r="AC177" s="61">
        <f t="shared" ref="AC177:AC186" si="66">(1+$C$6)*AC176</f>
        <v>258383.514493875</v>
      </c>
      <c r="AG177">
        <v>2021</v>
      </c>
      <c r="AH177" s="61">
        <f t="shared" ref="AH177:AH186" si="67">(1+$C$6)*AH176</f>
        <v>373904.37035754166</v>
      </c>
      <c r="AI177" s="61">
        <f t="shared" ref="AI177:AI186" si="68">(1+$C$6)*AI176</f>
        <v>326107.17165841674</v>
      </c>
      <c r="AJ177" s="61">
        <f t="shared" ref="AJ177:AJ186" si="69">(1+$C$6)*AJ176</f>
        <v>314639.97752666665</v>
      </c>
      <c r="AK177" s="61">
        <f t="shared" ref="AK177:AK186" si="70">(1+$C$6)*AK176</f>
        <v>198827.46940325003</v>
      </c>
      <c r="AL177" s="61">
        <f t="shared" ref="AL177:AL186" si="71">(1+$C$6)*AL176</f>
        <v>216745.45954983332</v>
      </c>
      <c r="AM177" s="61">
        <f t="shared" ref="AM177:AM186" si="72">(1+$C$6)*AM176</f>
        <v>258383.514493875</v>
      </c>
    </row>
    <row r="178" spans="5:39">
      <c r="E178">
        <v>2022</v>
      </c>
      <c r="F178" s="61">
        <f t="shared" si="50"/>
        <v>38794.042883378846</v>
      </c>
      <c r="G178" s="61">
        <f t="shared" si="51"/>
        <v>33834.896312649733</v>
      </c>
      <c r="H178" s="61">
        <f t="shared" ref="H178:H186" si="73">(1+$C$6)*H177</f>
        <v>32645.130008303651</v>
      </c>
      <c r="I178" s="61">
        <f t="shared" si="52"/>
        <v>20629.12869150902</v>
      </c>
      <c r="J178" s="61">
        <f t="shared" si="53"/>
        <v>22488.190348011776</v>
      </c>
      <c r="K178" s="61">
        <f t="shared" si="54"/>
        <v>26808.30163083797</v>
      </c>
      <c r="N178">
        <v>2022</v>
      </c>
      <c r="O178" s="61">
        <f t="shared" si="55"/>
        <v>387940.42883378849</v>
      </c>
      <c r="P178" s="61">
        <f t="shared" si="56"/>
        <v>338348.96312649734</v>
      </c>
      <c r="Q178" s="61">
        <f t="shared" si="57"/>
        <v>326451.30008303648</v>
      </c>
      <c r="R178" s="61">
        <f t="shared" si="58"/>
        <v>206291.2869150902</v>
      </c>
      <c r="S178" s="61">
        <f t="shared" si="59"/>
        <v>224881.90348011776</v>
      </c>
      <c r="T178" s="61">
        <f t="shared" si="60"/>
        <v>268083.01630837965</v>
      </c>
      <c r="W178">
        <v>2022</v>
      </c>
      <c r="X178" s="61">
        <f t="shared" si="61"/>
        <v>387940.42883378849</v>
      </c>
      <c r="Y178" s="61">
        <f t="shared" si="62"/>
        <v>338348.96312649734</v>
      </c>
      <c r="Z178" s="61">
        <f t="shared" si="63"/>
        <v>326451.30008303648</v>
      </c>
      <c r="AA178" s="61">
        <f t="shared" si="64"/>
        <v>206291.2869150902</v>
      </c>
      <c r="AB178" s="61">
        <f t="shared" si="65"/>
        <v>224881.90348011776</v>
      </c>
      <c r="AC178" s="61">
        <f t="shared" si="66"/>
        <v>268083.01630837965</v>
      </c>
      <c r="AG178">
        <v>2022</v>
      </c>
      <c r="AH178" s="61">
        <f t="shared" si="67"/>
        <v>387940.42883378849</v>
      </c>
      <c r="AI178" s="61">
        <f t="shared" si="68"/>
        <v>338348.96312649734</v>
      </c>
      <c r="AJ178" s="61">
        <f t="shared" si="69"/>
        <v>326451.30008303648</v>
      </c>
      <c r="AK178" s="61">
        <f t="shared" si="70"/>
        <v>206291.2869150902</v>
      </c>
      <c r="AL178" s="61">
        <f t="shared" si="71"/>
        <v>224881.90348011776</v>
      </c>
      <c r="AM178" s="61">
        <f t="shared" si="72"/>
        <v>268083.01630837965</v>
      </c>
    </row>
    <row r="179" spans="5:39">
      <c r="E179">
        <v>2023</v>
      </c>
      <c r="F179" s="61">
        <f t="shared" si="50"/>
        <v>40250.338924851822</v>
      </c>
      <c r="G179" s="61">
        <f t="shared" si="51"/>
        <v>35105.030124479679</v>
      </c>
      <c r="H179" s="61">
        <f t="shared" si="73"/>
        <v>33870.600984540361</v>
      </c>
      <c r="I179" s="61">
        <f t="shared" si="52"/>
        <v>21403.528991647694</v>
      </c>
      <c r="J179" s="61">
        <f t="shared" si="53"/>
        <v>23332.378273517515</v>
      </c>
      <c r="K179" s="61">
        <f t="shared" si="54"/>
        <v>27814.662933808268</v>
      </c>
      <c r="N179">
        <v>2023</v>
      </c>
      <c r="O179" s="61">
        <f t="shared" si="55"/>
        <v>402503.38924851822</v>
      </c>
      <c r="P179" s="61">
        <f t="shared" si="56"/>
        <v>351050.30124479678</v>
      </c>
      <c r="Q179" s="61">
        <f t="shared" si="57"/>
        <v>338706.00984540361</v>
      </c>
      <c r="R179" s="61">
        <f t="shared" si="58"/>
        <v>214035.28991647693</v>
      </c>
      <c r="S179" s="61">
        <f t="shared" si="59"/>
        <v>233323.78273517516</v>
      </c>
      <c r="T179" s="61">
        <f t="shared" si="60"/>
        <v>278146.62933808262</v>
      </c>
      <c r="W179">
        <v>2023</v>
      </c>
      <c r="X179" s="61">
        <f t="shared" si="61"/>
        <v>402503.38924851822</v>
      </c>
      <c r="Y179" s="61">
        <f t="shared" si="62"/>
        <v>351050.30124479678</v>
      </c>
      <c r="Z179" s="61">
        <f t="shared" si="63"/>
        <v>338706.00984540361</v>
      </c>
      <c r="AA179" s="61">
        <f t="shared" si="64"/>
        <v>214035.28991647693</v>
      </c>
      <c r="AB179" s="61">
        <f t="shared" si="65"/>
        <v>233323.78273517516</v>
      </c>
      <c r="AC179" s="61">
        <f t="shared" si="66"/>
        <v>278146.62933808262</v>
      </c>
      <c r="AG179">
        <v>2023</v>
      </c>
      <c r="AH179" s="61">
        <f t="shared" si="67"/>
        <v>402503.38924851822</v>
      </c>
      <c r="AI179" s="61">
        <f t="shared" si="68"/>
        <v>351050.30124479678</v>
      </c>
      <c r="AJ179" s="61">
        <f t="shared" si="69"/>
        <v>338706.00984540361</v>
      </c>
      <c r="AK179" s="61">
        <f t="shared" si="70"/>
        <v>214035.28991647693</v>
      </c>
      <c r="AL179" s="61">
        <f t="shared" si="71"/>
        <v>233323.78273517516</v>
      </c>
      <c r="AM179" s="61">
        <f t="shared" si="72"/>
        <v>278146.62933808262</v>
      </c>
    </row>
    <row r="180" spans="5:39">
      <c r="E180">
        <v>2024</v>
      </c>
      <c r="F180" s="61">
        <f t="shared" si="50"/>
        <v>41761.303106141655</v>
      </c>
      <c r="G180" s="61">
        <f t="shared" si="51"/>
        <v>36422.843701160877</v>
      </c>
      <c r="H180" s="61">
        <f t="shared" si="73"/>
        <v>35142.075119999186</v>
      </c>
      <c r="I180" s="61">
        <f t="shared" si="52"/>
        <v>22206.999633719988</v>
      </c>
      <c r="J180" s="61">
        <f t="shared" si="53"/>
        <v>24208.256310256802</v>
      </c>
      <c r="K180" s="61">
        <f t="shared" si="54"/>
        <v>28858.802201457653</v>
      </c>
      <c r="N180">
        <v>2024</v>
      </c>
      <c r="O180" s="61">
        <f t="shared" si="55"/>
        <v>417613.03106141655</v>
      </c>
      <c r="P180" s="61">
        <f t="shared" si="56"/>
        <v>364228.43701160874</v>
      </c>
      <c r="Q180" s="61">
        <f t="shared" si="57"/>
        <v>351420.75119999185</v>
      </c>
      <c r="R180" s="61">
        <f t="shared" si="58"/>
        <v>222069.99633719987</v>
      </c>
      <c r="S180" s="61">
        <f t="shared" si="59"/>
        <v>242082.56310256803</v>
      </c>
      <c r="T180" s="61">
        <f t="shared" si="60"/>
        <v>288588.02201457648</v>
      </c>
      <c r="W180">
        <v>2024</v>
      </c>
      <c r="X180" s="61">
        <f t="shared" si="61"/>
        <v>417613.03106141655</v>
      </c>
      <c r="Y180" s="61">
        <f t="shared" si="62"/>
        <v>364228.43701160874</v>
      </c>
      <c r="Z180" s="61">
        <f t="shared" si="63"/>
        <v>351420.75119999185</v>
      </c>
      <c r="AA180" s="61">
        <f t="shared" si="64"/>
        <v>222069.99633719987</v>
      </c>
      <c r="AB180" s="61">
        <f t="shared" si="65"/>
        <v>242082.56310256803</v>
      </c>
      <c r="AC180" s="61">
        <f t="shared" si="66"/>
        <v>288588.02201457648</v>
      </c>
      <c r="AG180">
        <v>2024</v>
      </c>
      <c r="AH180" s="61">
        <f t="shared" si="67"/>
        <v>417613.03106141655</v>
      </c>
      <c r="AI180" s="61">
        <f t="shared" si="68"/>
        <v>364228.43701160874</v>
      </c>
      <c r="AJ180" s="61">
        <f t="shared" si="69"/>
        <v>351420.75119999185</v>
      </c>
      <c r="AK180" s="61">
        <f t="shared" si="70"/>
        <v>222069.99633719987</v>
      </c>
      <c r="AL180" s="61">
        <f t="shared" si="71"/>
        <v>242082.56310256803</v>
      </c>
      <c r="AM180" s="61">
        <f t="shared" si="72"/>
        <v>288588.02201457648</v>
      </c>
    </row>
    <row r="181" spans="5:39">
      <c r="E181">
        <v>2025</v>
      </c>
      <c r="F181" s="61">
        <f t="shared" si="50"/>
        <v>43328.987623660294</v>
      </c>
      <c r="G181" s="61">
        <f t="shared" si="51"/>
        <v>37790.126901332704</v>
      </c>
      <c r="H181" s="61">
        <f t="shared" si="73"/>
        <v>36461.279334941355</v>
      </c>
      <c r="I181" s="61">
        <f t="shared" si="52"/>
        <v>23040.631894136808</v>
      </c>
      <c r="J181" s="61">
        <f t="shared" si="53"/>
        <v>25117.014078596916</v>
      </c>
      <c r="K181" s="61">
        <f t="shared" si="54"/>
        <v>29942.137587098539</v>
      </c>
      <c r="N181">
        <v>2025</v>
      </c>
      <c r="O181" s="61">
        <f t="shared" si="55"/>
        <v>433289.8762366029</v>
      </c>
      <c r="P181" s="61">
        <f t="shared" si="56"/>
        <v>377901.26901332702</v>
      </c>
      <c r="Q181" s="61">
        <f t="shared" si="57"/>
        <v>364612.79334941355</v>
      </c>
      <c r="R181" s="61">
        <f t="shared" si="58"/>
        <v>230406.31894136808</v>
      </c>
      <c r="S181" s="61">
        <f t="shared" si="59"/>
        <v>251170.14078596918</v>
      </c>
      <c r="T181" s="61">
        <f t="shared" si="60"/>
        <v>299421.37587098533</v>
      </c>
      <c r="W181">
        <v>2025</v>
      </c>
      <c r="X181" s="61">
        <f t="shared" si="61"/>
        <v>433289.8762366029</v>
      </c>
      <c r="Y181" s="61">
        <f t="shared" si="62"/>
        <v>377901.26901332702</v>
      </c>
      <c r="Z181" s="61">
        <f t="shared" si="63"/>
        <v>364612.79334941355</v>
      </c>
      <c r="AA181" s="61">
        <f t="shared" si="64"/>
        <v>230406.31894136808</v>
      </c>
      <c r="AB181" s="61">
        <f t="shared" si="65"/>
        <v>251170.14078596918</v>
      </c>
      <c r="AC181" s="61">
        <f t="shared" si="66"/>
        <v>299421.37587098533</v>
      </c>
      <c r="AG181">
        <v>2025</v>
      </c>
      <c r="AH181" s="61">
        <f t="shared" si="67"/>
        <v>433289.8762366029</v>
      </c>
      <c r="AI181" s="61">
        <f t="shared" si="68"/>
        <v>377901.26901332702</v>
      </c>
      <c r="AJ181" s="61">
        <f t="shared" si="69"/>
        <v>364612.79334941355</v>
      </c>
      <c r="AK181" s="61">
        <f t="shared" si="70"/>
        <v>230406.31894136808</v>
      </c>
      <c r="AL181" s="61">
        <f t="shared" si="71"/>
        <v>251170.14078596918</v>
      </c>
      <c r="AM181" s="61">
        <f t="shared" si="72"/>
        <v>299421.37587098533</v>
      </c>
    </row>
    <row r="182" spans="5:39">
      <c r="E182">
        <v>2026</v>
      </c>
      <c r="F182" s="61">
        <f t="shared" si="50"/>
        <v>44955.521711562818</v>
      </c>
      <c r="G182" s="61">
        <f t="shared" si="51"/>
        <v>39208.736773436314</v>
      </c>
      <c r="H182" s="61">
        <f t="shared" si="73"/>
        <v>37830.005376775611</v>
      </c>
      <c r="I182" s="61">
        <f t="shared" si="52"/>
        <v>23905.558014916125</v>
      </c>
      <c r="J182" s="61">
        <f t="shared" si="53"/>
        <v>26059.885856262379</v>
      </c>
      <c r="K182" s="61">
        <f t="shared" si="54"/>
        <v>31066.140480336897</v>
      </c>
      <c r="N182">
        <v>2026</v>
      </c>
      <c r="O182" s="61">
        <f t="shared" si="55"/>
        <v>449555.21711562813</v>
      </c>
      <c r="P182" s="61">
        <f t="shared" si="56"/>
        <v>392087.36773436313</v>
      </c>
      <c r="Q182" s="61">
        <f t="shared" si="57"/>
        <v>378300.05376775609</v>
      </c>
      <c r="R182" s="61">
        <f t="shared" si="58"/>
        <v>239055.58014916125</v>
      </c>
      <c r="S182" s="61">
        <f t="shared" si="59"/>
        <v>260598.85856262382</v>
      </c>
      <c r="T182" s="61">
        <f t="shared" si="60"/>
        <v>310661.4048033689</v>
      </c>
      <c r="W182">
        <v>2026</v>
      </c>
      <c r="X182" s="61">
        <f t="shared" si="61"/>
        <v>449555.21711562813</v>
      </c>
      <c r="Y182" s="61">
        <f t="shared" si="62"/>
        <v>392087.36773436313</v>
      </c>
      <c r="Z182" s="61">
        <f t="shared" si="63"/>
        <v>378300.05376775609</v>
      </c>
      <c r="AA182" s="61">
        <f t="shared" si="64"/>
        <v>239055.58014916125</v>
      </c>
      <c r="AB182" s="61">
        <f t="shared" si="65"/>
        <v>260598.85856262382</v>
      </c>
      <c r="AC182" s="61">
        <f t="shared" si="66"/>
        <v>310661.4048033689</v>
      </c>
      <c r="AG182">
        <v>2026</v>
      </c>
      <c r="AH182" s="61">
        <f t="shared" si="67"/>
        <v>449555.21711562813</v>
      </c>
      <c r="AI182" s="61">
        <f t="shared" si="68"/>
        <v>392087.36773436313</v>
      </c>
      <c r="AJ182" s="61">
        <f t="shared" si="69"/>
        <v>378300.05376775609</v>
      </c>
      <c r="AK182" s="61">
        <f t="shared" si="70"/>
        <v>239055.58014916125</v>
      </c>
      <c r="AL182" s="61">
        <f t="shared" si="71"/>
        <v>260598.85856262382</v>
      </c>
      <c r="AM182" s="61">
        <f t="shared" si="72"/>
        <v>310661.4048033689</v>
      </c>
    </row>
    <row r="183" spans="5:39">
      <c r="E183">
        <v>2027</v>
      </c>
      <c r="F183" s="61">
        <f t="shared" si="50"/>
        <v>46643.114533680127</v>
      </c>
      <c r="G183" s="61">
        <f t="shared" si="51"/>
        <v>40680.600077963805</v>
      </c>
      <c r="H183" s="61">
        <f t="shared" si="73"/>
        <v>39250.112253615283</v>
      </c>
      <c r="I183" s="61">
        <f t="shared" si="52"/>
        <v>24802.952741497731</v>
      </c>
      <c r="J183" s="61">
        <f t="shared" si="53"/>
        <v>27038.152254734923</v>
      </c>
      <c r="K183" s="61">
        <f t="shared" si="54"/>
        <v>32232.337505518342</v>
      </c>
      <c r="N183">
        <v>2027</v>
      </c>
      <c r="O183" s="61">
        <f t="shared" si="55"/>
        <v>466431.14533680119</v>
      </c>
      <c r="P183" s="61">
        <f t="shared" si="56"/>
        <v>406806.00077963801</v>
      </c>
      <c r="Q183" s="61">
        <f t="shared" si="57"/>
        <v>392501.12253615283</v>
      </c>
      <c r="R183" s="61">
        <f t="shared" si="58"/>
        <v>248029.52741497732</v>
      </c>
      <c r="S183" s="61">
        <f t="shared" si="59"/>
        <v>270381.52254734928</v>
      </c>
      <c r="T183" s="61">
        <f t="shared" si="60"/>
        <v>322323.37505518337</v>
      </c>
      <c r="W183">
        <v>2027</v>
      </c>
      <c r="X183" s="61">
        <f t="shared" si="61"/>
        <v>466431.14533680119</v>
      </c>
      <c r="Y183" s="61">
        <f t="shared" si="62"/>
        <v>406806.00077963801</v>
      </c>
      <c r="Z183" s="61">
        <f t="shared" si="63"/>
        <v>392501.12253615283</v>
      </c>
      <c r="AA183" s="61">
        <f t="shared" si="64"/>
        <v>248029.52741497732</v>
      </c>
      <c r="AB183" s="61">
        <f t="shared" si="65"/>
        <v>270381.52254734928</v>
      </c>
      <c r="AC183" s="61">
        <f t="shared" si="66"/>
        <v>322323.37505518337</v>
      </c>
      <c r="AG183">
        <v>2027</v>
      </c>
      <c r="AH183" s="61">
        <f t="shared" si="67"/>
        <v>466431.14533680119</v>
      </c>
      <c r="AI183" s="61">
        <f t="shared" si="68"/>
        <v>406806.00077963801</v>
      </c>
      <c r="AJ183" s="61">
        <f t="shared" si="69"/>
        <v>392501.12253615283</v>
      </c>
      <c r="AK183" s="61">
        <f t="shared" si="70"/>
        <v>248029.52741497732</v>
      </c>
      <c r="AL183" s="61">
        <f t="shared" si="71"/>
        <v>270381.52254734928</v>
      </c>
      <c r="AM183" s="61">
        <f t="shared" si="72"/>
        <v>322323.37505518337</v>
      </c>
    </row>
    <row r="184" spans="5:39">
      <c r="E184">
        <v>2028</v>
      </c>
      <c r="F184" s="61">
        <f t="shared" si="50"/>
        <v>48394.05818401237</v>
      </c>
      <c r="G184" s="61">
        <f t="shared" si="51"/>
        <v>42207.715904390505</v>
      </c>
      <c r="H184" s="61">
        <f t="shared" si="73"/>
        <v>40723.528759189125</v>
      </c>
      <c r="I184" s="61">
        <f t="shared" si="52"/>
        <v>25734.03491828627</v>
      </c>
      <c r="J184" s="61">
        <f t="shared" si="53"/>
        <v>28053.141958584129</v>
      </c>
      <c r="K184" s="61">
        <f t="shared" si="54"/>
        <v>33442.312595194249</v>
      </c>
      <c r="N184">
        <v>2028</v>
      </c>
      <c r="O184" s="61">
        <f t="shared" si="55"/>
        <v>483940.58184012357</v>
      </c>
      <c r="P184" s="61">
        <f t="shared" si="56"/>
        <v>422077.15904390498</v>
      </c>
      <c r="Q184" s="61">
        <f t="shared" si="57"/>
        <v>407235.28759189125</v>
      </c>
      <c r="R184" s="61">
        <f t="shared" si="58"/>
        <v>257340.34918286273</v>
      </c>
      <c r="S184" s="61">
        <f t="shared" si="59"/>
        <v>280531.4195858413</v>
      </c>
      <c r="T184" s="61">
        <f t="shared" si="60"/>
        <v>334423.12595194241</v>
      </c>
      <c r="W184">
        <v>2028</v>
      </c>
      <c r="X184" s="61">
        <f t="shared" si="61"/>
        <v>483940.58184012357</v>
      </c>
      <c r="Y184" s="61">
        <f t="shared" si="62"/>
        <v>422077.15904390498</v>
      </c>
      <c r="Z184" s="61">
        <f t="shared" si="63"/>
        <v>407235.28759189125</v>
      </c>
      <c r="AA184" s="61">
        <f t="shared" si="64"/>
        <v>257340.34918286273</v>
      </c>
      <c r="AB184" s="61">
        <f t="shared" si="65"/>
        <v>280531.4195858413</v>
      </c>
      <c r="AC184" s="61">
        <f t="shared" si="66"/>
        <v>334423.12595194241</v>
      </c>
      <c r="AG184">
        <v>2028</v>
      </c>
      <c r="AH184" s="61">
        <f t="shared" si="67"/>
        <v>483940.58184012357</v>
      </c>
      <c r="AI184" s="61">
        <f t="shared" si="68"/>
        <v>422077.15904390498</v>
      </c>
      <c r="AJ184" s="61">
        <f t="shared" si="69"/>
        <v>407235.28759189125</v>
      </c>
      <c r="AK184" s="61">
        <f t="shared" si="70"/>
        <v>257340.34918286273</v>
      </c>
      <c r="AL184" s="61">
        <f t="shared" si="71"/>
        <v>280531.4195858413</v>
      </c>
      <c r="AM184" s="61">
        <f t="shared" si="72"/>
        <v>334423.12595194241</v>
      </c>
    </row>
    <row r="185" spans="5:39">
      <c r="E185">
        <v>2029</v>
      </c>
      <c r="F185" s="61">
        <f t="shared" si="50"/>
        <v>50210.730799858378</v>
      </c>
      <c r="G185" s="61">
        <f t="shared" si="51"/>
        <v>43792.158386344738</v>
      </c>
      <c r="H185" s="61">
        <f t="shared" si="73"/>
        <v>42252.256092535121</v>
      </c>
      <c r="I185" s="61">
        <f t="shared" si="52"/>
        <v>26700.069144089637</v>
      </c>
      <c r="J185" s="61">
        <f t="shared" si="53"/>
        <v>29106.233530091078</v>
      </c>
      <c r="K185" s="61">
        <f t="shared" si="54"/>
        <v>34697.709141424013</v>
      </c>
      <c r="N185">
        <v>2029</v>
      </c>
      <c r="O185" s="61">
        <f t="shared" si="55"/>
        <v>502107.30799858359</v>
      </c>
      <c r="P185" s="61">
        <f t="shared" si="56"/>
        <v>437921.5838634473</v>
      </c>
      <c r="Q185" s="61">
        <f t="shared" si="57"/>
        <v>422522.56092535116</v>
      </c>
      <c r="R185" s="61">
        <f t="shared" si="58"/>
        <v>267000.69144089642</v>
      </c>
      <c r="S185" s="61">
        <f t="shared" si="59"/>
        <v>291062.33530091081</v>
      </c>
      <c r="T185" s="61">
        <f t="shared" si="60"/>
        <v>346977.09141424001</v>
      </c>
      <c r="W185">
        <v>2029</v>
      </c>
      <c r="X185" s="61">
        <f t="shared" si="61"/>
        <v>502107.30799858359</v>
      </c>
      <c r="Y185" s="61">
        <f t="shared" si="62"/>
        <v>437921.5838634473</v>
      </c>
      <c r="Z185" s="61">
        <f t="shared" si="63"/>
        <v>422522.56092535116</v>
      </c>
      <c r="AA185" s="61">
        <f t="shared" si="64"/>
        <v>267000.69144089642</v>
      </c>
      <c r="AB185" s="61">
        <f t="shared" si="65"/>
        <v>291062.33530091081</v>
      </c>
      <c r="AC185" s="61">
        <f t="shared" si="66"/>
        <v>346977.09141424001</v>
      </c>
      <c r="AG185">
        <v>2029</v>
      </c>
      <c r="AH185" s="61">
        <f t="shared" si="67"/>
        <v>502107.30799858359</v>
      </c>
      <c r="AI185" s="61">
        <f t="shared" si="68"/>
        <v>437921.5838634473</v>
      </c>
      <c r="AJ185" s="61">
        <f t="shared" si="69"/>
        <v>422522.56092535116</v>
      </c>
      <c r="AK185" s="61">
        <f t="shared" si="70"/>
        <v>267000.69144089642</v>
      </c>
      <c r="AL185" s="61">
        <f t="shared" si="71"/>
        <v>291062.33530091081</v>
      </c>
      <c r="AM185" s="61">
        <f t="shared" si="72"/>
        <v>346977.09141424001</v>
      </c>
    </row>
    <row r="186" spans="5:39">
      <c r="E186">
        <v>2030</v>
      </c>
      <c r="F186" s="61">
        <f t="shared" si="50"/>
        <v>52095.599791809393</v>
      </c>
      <c r="G186" s="61">
        <f t="shared" si="51"/>
        <v>45436.079518702798</v>
      </c>
      <c r="H186" s="61">
        <f t="shared" si="73"/>
        <v>43838.370576035479</v>
      </c>
      <c r="I186" s="61">
        <f t="shared" si="52"/>
        <v>27702.367489701141</v>
      </c>
      <c r="J186" s="61">
        <f t="shared" si="53"/>
        <v>30198.857281616089</v>
      </c>
      <c r="K186" s="61">
        <f t="shared" si="54"/>
        <v>36000.232227835455</v>
      </c>
      <c r="N186">
        <v>2030</v>
      </c>
      <c r="O186" s="61">
        <f t="shared" si="55"/>
        <v>520955.99791809375</v>
      </c>
      <c r="P186" s="61">
        <f t="shared" si="56"/>
        <v>454360.79518702789</v>
      </c>
      <c r="Q186" s="61">
        <f t="shared" si="57"/>
        <v>438383.70576035476</v>
      </c>
      <c r="R186" s="61">
        <f t="shared" si="58"/>
        <v>277023.67489701149</v>
      </c>
      <c r="S186" s="61">
        <f t="shared" si="59"/>
        <v>301988.57281616091</v>
      </c>
      <c r="T186" s="61">
        <f t="shared" si="60"/>
        <v>360002.32227835443</v>
      </c>
      <c r="W186">
        <v>2030</v>
      </c>
      <c r="X186" s="61">
        <f t="shared" si="61"/>
        <v>520955.99791809375</v>
      </c>
      <c r="Y186" s="61">
        <f t="shared" si="62"/>
        <v>454360.79518702789</v>
      </c>
      <c r="Z186" s="61">
        <f t="shared" si="63"/>
        <v>438383.70576035476</v>
      </c>
      <c r="AA186" s="61">
        <f t="shared" si="64"/>
        <v>277023.67489701149</v>
      </c>
      <c r="AB186" s="61">
        <f t="shared" si="65"/>
        <v>301988.57281616091</v>
      </c>
      <c r="AC186" s="61">
        <f t="shared" si="66"/>
        <v>360002.32227835443</v>
      </c>
      <c r="AG186">
        <v>2030</v>
      </c>
      <c r="AH186" s="61">
        <f t="shared" si="67"/>
        <v>520955.99791809375</v>
      </c>
      <c r="AI186" s="61">
        <f t="shared" si="68"/>
        <v>454360.79518702789</v>
      </c>
      <c r="AJ186" s="61">
        <f t="shared" si="69"/>
        <v>438383.70576035476</v>
      </c>
      <c r="AK186" s="61">
        <f t="shared" si="70"/>
        <v>277023.67489701149</v>
      </c>
      <c r="AL186" s="61">
        <f t="shared" si="71"/>
        <v>301988.57281616091</v>
      </c>
      <c r="AM186" s="61">
        <f t="shared" si="72"/>
        <v>360002.32227835443</v>
      </c>
    </row>
    <row r="187" spans="5:39">
      <c r="E187">
        <v>2040</v>
      </c>
      <c r="F187" s="61">
        <f t="shared" ref="F187:K193" si="74">(1+$C$6)^10*F186</f>
        <v>75308.854863685367</v>
      </c>
      <c r="G187" s="61">
        <f t="shared" si="74"/>
        <v>65681.921922834474</v>
      </c>
      <c r="H187" s="61">
        <f t="shared" si="74"/>
        <v>63372.290565126925</v>
      </c>
      <c r="I187" s="61">
        <f t="shared" si="74"/>
        <v>40046.253061671865</v>
      </c>
      <c r="J187" s="61">
        <f t="shared" si="74"/>
        <v>43655.152626305615</v>
      </c>
      <c r="K187" s="61">
        <f t="shared" si="74"/>
        <v>52041.559646872149</v>
      </c>
      <c r="N187">
        <v>2040</v>
      </c>
      <c r="O187" s="61">
        <f t="shared" ref="O187:T193" si="75">(1+$C$6)^10*O186</f>
        <v>753088.54863685335</v>
      </c>
      <c r="P187" s="61">
        <f t="shared" si="75"/>
        <v>656819.2192283445</v>
      </c>
      <c r="Q187" s="61">
        <f t="shared" si="75"/>
        <v>633722.90565126925</v>
      </c>
      <c r="R187" s="61">
        <f t="shared" si="75"/>
        <v>400462.53061671875</v>
      </c>
      <c r="S187" s="61">
        <f t="shared" si="75"/>
        <v>436551.52626305615</v>
      </c>
      <c r="T187" s="61">
        <f t="shared" si="75"/>
        <v>520415.59646872128</v>
      </c>
      <c r="W187">
        <v>2040</v>
      </c>
      <c r="X187" s="61">
        <f t="shared" ref="X187:AC193" si="76">(1+$C$6)^10*X186</f>
        <v>753088.54863685335</v>
      </c>
      <c r="Y187" s="61">
        <f t="shared" si="76"/>
        <v>656819.2192283445</v>
      </c>
      <c r="Z187" s="61">
        <f t="shared" si="76"/>
        <v>633722.90565126925</v>
      </c>
      <c r="AA187" s="61">
        <f t="shared" si="76"/>
        <v>400462.53061671875</v>
      </c>
      <c r="AB187" s="61">
        <f t="shared" si="76"/>
        <v>436551.52626305615</v>
      </c>
      <c r="AC187" s="61">
        <f t="shared" si="76"/>
        <v>520415.59646872128</v>
      </c>
      <c r="AG187">
        <v>2040</v>
      </c>
      <c r="AH187" s="61">
        <f t="shared" ref="AH187:AM193" si="77">(1+$C$6)^10*AH186</f>
        <v>753088.54863685335</v>
      </c>
      <c r="AI187" s="61">
        <f t="shared" si="77"/>
        <v>656819.2192283445</v>
      </c>
      <c r="AJ187" s="61">
        <f t="shared" si="77"/>
        <v>633722.90565126925</v>
      </c>
      <c r="AK187" s="61">
        <f t="shared" si="77"/>
        <v>400462.53061671875</v>
      </c>
      <c r="AL187" s="61">
        <f t="shared" si="77"/>
        <v>436551.52626305615</v>
      </c>
      <c r="AM187" s="61">
        <f t="shared" si="77"/>
        <v>520415.59646872128</v>
      </c>
    </row>
    <row r="188" spans="5:39">
      <c r="E188">
        <v>2050</v>
      </c>
      <c r="F188" s="61">
        <f t="shared" si="74"/>
        <v>108865.69390782411</v>
      </c>
      <c r="G188" s="61">
        <f t="shared" si="74"/>
        <v>94949.100212343576</v>
      </c>
      <c r="H188" s="61">
        <f t="shared" si="74"/>
        <v>91610.321248259919</v>
      </c>
      <c r="I188" s="61">
        <f t="shared" si="74"/>
        <v>57890.44509916594</v>
      </c>
      <c r="J188" s="61">
        <f t="shared" si="74"/>
        <v>63107.432610908734</v>
      </c>
      <c r="K188" s="61">
        <f t="shared" si="74"/>
        <v>75230.734994672326</v>
      </c>
      <c r="N188">
        <v>2050</v>
      </c>
      <c r="O188" s="61">
        <f t="shared" si="75"/>
        <v>1088656.9390782407</v>
      </c>
      <c r="P188" s="61">
        <f t="shared" si="75"/>
        <v>949491.00212343538</v>
      </c>
      <c r="Q188" s="61">
        <f t="shared" si="75"/>
        <v>916103.21248259919</v>
      </c>
      <c r="R188" s="61">
        <f t="shared" si="75"/>
        <v>578904.45099165954</v>
      </c>
      <c r="S188" s="61">
        <f t="shared" si="75"/>
        <v>631074.32610908733</v>
      </c>
      <c r="T188" s="61">
        <f t="shared" si="75"/>
        <v>752307.34994672297</v>
      </c>
      <c r="W188">
        <v>2050</v>
      </c>
      <c r="X188" s="61">
        <f t="shared" si="76"/>
        <v>1088656.9390782407</v>
      </c>
      <c r="Y188" s="61">
        <f t="shared" si="76"/>
        <v>949491.00212343538</v>
      </c>
      <c r="Z188" s="61">
        <f t="shared" si="76"/>
        <v>916103.21248259919</v>
      </c>
      <c r="AA188" s="61">
        <f t="shared" si="76"/>
        <v>578904.45099165954</v>
      </c>
      <c r="AB188" s="61">
        <f t="shared" si="76"/>
        <v>631074.32610908733</v>
      </c>
      <c r="AC188" s="61">
        <f t="shared" si="76"/>
        <v>752307.34994672297</v>
      </c>
      <c r="AG188">
        <v>2050</v>
      </c>
      <c r="AH188" s="61">
        <f t="shared" si="77"/>
        <v>1088656.9390782407</v>
      </c>
      <c r="AI188" s="61">
        <f t="shared" si="77"/>
        <v>949491.00212343538</v>
      </c>
      <c r="AJ188" s="61">
        <f t="shared" si="77"/>
        <v>916103.21248259919</v>
      </c>
      <c r="AK188" s="61">
        <f t="shared" si="77"/>
        <v>578904.45099165954</v>
      </c>
      <c r="AL188" s="61">
        <f t="shared" si="77"/>
        <v>631074.32610908733</v>
      </c>
      <c r="AM188" s="61">
        <f t="shared" si="77"/>
        <v>752307.34994672297</v>
      </c>
    </row>
    <row r="189" spans="5:39">
      <c r="E189">
        <v>2060</v>
      </c>
      <c r="F189" s="61">
        <f t="shared" si="74"/>
        <v>157375.10989225082</v>
      </c>
      <c r="G189" s="61">
        <f t="shared" si="74"/>
        <v>137257.42742006248</v>
      </c>
      <c r="H189" s="61">
        <f t="shared" si="74"/>
        <v>132430.92342677063</v>
      </c>
      <c r="I189" s="61">
        <f t="shared" si="74"/>
        <v>83685.822706521009</v>
      </c>
      <c r="J189" s="61">
        <f t="shared" si="74"/>
        <v>91227.445356372278</v>
      </c>
      <c r="K189" s="61">
        <f t="shared" si="74"/>
        <v>108752.76464122608</v>
      </c>
      <c r="N189">
        <v>2060</v>
      </c>
      <c r="O189" s="61">
        <f t="shared" si="75"/>
        <v>1573751.0989225074</v>
      </c>
      <c r="P189" s="61">
        <f t="shared" si="75"/>
        <v>1372574.2742006241</v>
      </c>
      <c r="Q189" s="61">
        <f t="shared" si="75"/>
        <v>1324309.2342677063</v>
      </c>
      <c r="R189" s="61">
        <f t="shared" si="75"/>
        <v>836858.22706521023</v>
      </c>
      <c r="S189" s="61">
        <f t="shared" si="75"/>
        <v>912274.45356372278</v>
      </c>
      <c r="T189" s="61">
        <f t="shared" si="75"/>
        <v>1087527.6464122604</v>
      </c>
      <c r="W189">
        <v>2060</v>
      </c>
      <c r="X189" s="61">
        <f t="shared" si="76"/>
        <v>1573751.0989225074</v>
      </c>
      <c r="Y189" s="61">
        <f t="shared" si="76"/>
        <v>1372574.2742006241</v>
      </c>
      <c r="Z189" s="61">
        <f t="shared" si="76"/>
        <v>1324309.2342677063</v>
      </c>
      <c r="AA189" s="61">
        <f t="shared" si="76"/>
        <v>836858.22706521023</v>
      </c>
      <c r="AB189" s="61">
        <f t="shared" si="76"/>
        <v>912274.45356372278</v>
      </c>
      <c r="AC189" s="61">
        <f t="shared" si="76"/>
        <v>1087527.6464122604</v>
      </c>
      <c r="AG189">
        <v>2060</v>
      </c>
      <c r="AH189" s="61">
        <f t="shared" si="77"/>
        <v>1573751.0989225074</v>
      </c>
      <c r="AI189" s="61">
        <f t="shared" si="77"/>
        <v>1372574.2742006241</v>
      </c>
      <c r="AJ189" s="61">
        <f t="shared" si="77"/>
        <v>1324309.2342677063</v>
      </c>
      <c r="AK189" s="61">
        <f t="shared" si="77"/>
        <v>836858.22706521023</v>
      </c>
      <c r="AL189" s="61">
        <f t="shared" si="77"/>
        <v>912274.45356372278</v>
      </c>
      <c r="AM189" s="61">
        <f t="shared" si="77"/>
        <v>1087527.6464122604</v>
      </c>
    </row>
    <row r="190" spans="5:39">
      <c r="E190">
        <v>2070</v>
      </c>
      <c r="F190" s="61">
        <f t="shared" si="74"/>
        <v>227499.81490558467</v>
      </c>
      <c r="G190" s="61">
        <f t="shared" si="74"/>
        <v>198417.90327492257</v>
      </c>
      <c r="H190" s="61">
        <f t="shared" si="74"/>
        <v>191440.75952031778</v>
      </c>
      <c r="I190" s="61">
        <f t="shared" si="74"/>
        <v>120975.35111486244</v>
      </c>
      <c r="J190" s="61">
        <f t="shared" si="74"/>
        <v>131877.44203701409</v>
      </c>
      <c r="K190" s="61">
        <f t="shared" si="74"/>
        <v>157211.86052412604</v>
      </c>
      <c r="N190">
        <v>2070</v>
      </c>
      <c r="O190" s="61">
        <f t="shared" si="75"/>
        <v>2274998.1490558456</v>
      </c>
      <c r="P190" s="61">
        <f t="shared" si="75"/>
        <v>1984179.0327492247</v>
      </c>
      <c r="Q190" s="61">
        <f t="shared" si="75"/>
        <v>1914407.5952031778</v>
      </c>
      <c r="R190" s="61">
        <f t="shared" si="75"/>
        <v>1209753.5111486246</v>
      </c>
      <c r="S190" s="61">
        <f t="shared" si="75"/>
        <v>1318774.420370141</v>
      </c>
      <c r="T190" s="61">
        <f t="shared" si="75"/>
        <v>1572118.6052412598</v>
      </c>
      <c r="W190">
        <v>2070</v>
      </c>
      <c r="X190" s="61">
        <f t="shared" si="76"/>
        <v>2274998.1490558456</v>
      </c>
      <c r="Y190" s="61">
        <f t="shared" si="76"/>
        <v>1984179.0327492247</v>
      </c>
      <c r="Z190" s="61">
        <f t="shared" si="76"/>
        <v>1914407.5952031778</v>
      </c>
      <c r="AA190" s="61">
        <f t="shared" si="76"/>
        <v>1209753.5111486246</v>
      </c>
      <c r="AB190" s="61">
        <f t="shared" si="76"/>
        <v>1318774.420370141</v>
      </c>
      <c r="AC190" s="61">
        <f t="shared" si="76"/>
        <v>1572118.6052412598</v>
      </c>
      <c r="AG190">
        <v>2070</v>
      </c>
      <c r="AH190" s="61">
        <f t="shared" si="77"/>
        <v>2274998.1490558456</v>
      </c>
      <c r="AI190" s="61">
        <f t="shared" si="77"/>
        <v>1984179.0327492247</v>
      </c>
      <c r="AJ190" s="61">
        <f t="shared" si="77"/>
        <v>1914407.5952031778</v>
      </c>
      <c r="AK190" s="61">
        <f t="shared" si="77"/>
        <v>1209753.5111486246</v>
      </c>
      <c r="AL190" s="61">
        <f t="shared" si="77"/>
        <v>1318774.420370141</v>
      </c>
      <c r="AM190" s="61">
        <f t="shared" si="77"/>
        <v>1572118.6052412598</v>
      </c>
    </row>
    <row r="191" spans="5:39">
      <c r="E191">
        <v>2080</v>
      </c>
      <c r="F191" s="61">
        <f t="shared" si="74"/>
        <v>328871.35594383953</v>
      </c>
      <c r="G191" s="61">
        <f t="shared" si="74"/>
        <v>286830.8482828376</v>
      </c>
      <c r="H191" s="61">
        <f t="shared" si="74"/>
        <v>276744.76215505652</v>
      </c>
      <c r="I191" s="61">
        <f t="shared" si="74"/>
        <v>174880.70385216933</v>
      </c>
      <c r="J191" s="61">
        <f t="shared" si="74"/>
        <v>190640.65260500245</v>
      </c>
      <c r="K191" s="61">
        <f t="shared" si="74"/>
        <v>227263.82332434115</v>
      </c>
      <c r="N191">
        <v>2080</v>
      </c>
      <c r="O191" s="61">
        <f t="shared" si="75"/>
        <v>3288713.5594383939</v>
      </c>
      <c r="P191" s="61">
        <f t="shared" si="75"/>
        <v>2868308.482828374</v>
      </c>
      <c r="Q191" s="61">
        <f t="shared" si="75"/>
        <v>2767447.6215505656</v>
      </c>
      <c r="R191" s="61">
        <f t="shared" si="75"/>
        <v>1748807.0385216936</v>
      </c>
      <c r="S191" s="61">
        <f t="shared" si="75"/>
        <v>1906406.5260500249</v>
      </c>
      <c r="T191" s="61">
        <f t="shared" si="75"/>
        <v>2272638.2332434109</v>
      </c>
      <c r="W191">
        <v>2080</v>
      </c>
      <c r="X191" s="61">
        <f t="shared" si="76"/>
        <v>3288713.5594383939</v>
      </c>
      <c r="Y191" s="61">
        <f t="shared" si="76"/>
        <v>2868308.482828374</v>
      </c>
      <c r="Z191" s="61">
        <f t="shared" si="76"/>
        <v>2767447.6215505656</v>
      </c>
      <c r="AA191" s="61">
        <f t="shared" si="76"/>
        <v>1748807.0385216936</v>
      </c>
      <c r="AB191" s="61">
        <f t="shared" si="76"/>
        <v>1906406.5260500249</v>
      </c>
      <c r="AC191" s="61">
        <f t="shared" si="76"/>
        <v>2272638.2332434109</v>
      </c>
      <c r="AG191">
        <v>2080</v>
      </c>
      <c r="AH191" s="61">
        <f t="shared" si="77"/>
        <v>3288713.5594383939</v>
      </c>
      <c r="AI191" s="61">
        <f t="shared" si="77"/>
        <v>2868308.482828374</v>
      </c>
      <c r="AJ191" s="61">
        <f t="shared" si="77"/>
        <v>2767447.6215505656</v>
      </c>
      <c r="AK191" s="61">
        <f t="shared" si="77"/>
        <v>1748807.0385216936</v>
      </c>
      <c r="AL191" s="61">
        <f t="shared" si="77"/>
        <v>1906406.5260500249</v>
      </c>
      <c r="AM191" s="61">
        <f t="shared" si="77"/>
        <v>2272638.2332434109</v>
      </c>
    </row>
    <row r="192" spans="5:39">
      <c r="E192">
        <v>2090</v>
      </c>
      <c r="F192" s="61">
        <f t="shared" si="74"/>
        <v>475412.99673244072</v>
      </c>
      <c r="G192" s="61">
        <f t="shared" si="74"/>
        <v>414639.67801664746</v>
      </c>
      <c r="H192" s="61">
        <f t="shared" si="74"/>
        <v>400059.33727049641</v>
      </c>
      <c r="I192" s="61">
        <f t="shared" si="74"/>
        <v>252805.71866902267</v>
      </c>
      <c r="J192" s="61">
        <f t="shared" si="74"/>
        <v>275588.13595626602</v>
      </c>
      <c r="K192" s="61">
        <f t="shared" si="74"/>
        <v>328530.20897918334</v>
      </c>
      <c r="N192">
        <v>2090</v>
      </c>
      <c r="O192" s="61">
        <f t="shared" si="75"/>
        <v>4754129.967324405</v>
      </c>
      <c r="P192" s="61">
        <f t="shared" si="75"/>
        <v>4146396.7801664718</v>
      </c>
      <c r="Q192" s="61">
        <f t="shared" si="75"/>
        <v>4000593.3727049646</v>
      </c>
      <c r="R192" s="61">
        <f t="shared" si="75"/>
        <v>2528057.1866902271</v>
      </c>
      <c r="S192" s="61">
        <f t="shared" si="75"/>
        <v>2755881.3595626606</v>
      </c>
      <c r="T192" s="61">
        <f t="shared" si="75"/>
        <v>3285302.0897918325</v>
      </c>
      <c r="W192">
        <v>2090</v>
      </c>
      <c r="X192" s="61">
        <f t="shared" si="76"/>
        <v>4754129.967324405</v>
      </c>
      <c r="Y192" s="61">
        <f t="shared" si="76"/>
        <v>4146396.7801664718</v>
      </c>
      <c r="Z192" s="61">
        <f t="shared" si="76"/>
        <v>4000593.3727049646</v>
      </c>
      <c r="AA192" s="61">
        <f t="shared" si="76"/>
        <v>2528057.1866902271</v>
      </c>
      <c r="AB192" s="61">
        <f t="shared" si="76"/>
        <v>2755881.3595626606</v>
      </c>
      <c r="AC192" s="61">
        <f t="shared" si="76"/>
        <v>3285302.0897918325</v>
      </c>
      <c r="AG192">
        <v>2090</v>
      </c>
      <c r="AH192" s="61">
        <f t="shared" si="77"/>
        <v>4754129.967324405</v>
      </c>
      <c r="AI192" s="61">
        <f t="shared" si="77"/>
        <v>4146396.7801664718</v>
      </c>
      <c r="AJ192" s="61">
        <f t="shared" si="77"/>
        <v>4000593.3727049646</v>
      </c>
      <c r="AK192" s="61">
        <f t="shared" si="77"/>
        <v>2528057.1866902271</v>
      </c>
      <c r="AL192" s="61">
        <f t="shared" si="77"/>
        <v>2755881.3595626606</v>
      </c>
      <c r="AM192" s="61">
        <f t="shared" si="77"/>
        <v>3285302.0897918325</v>
      </c>
    </row>
    <row r="193" spans="2:40">
      <c r="E193">
        <v>2100</v>
      </c>
      <c r="F193" s="61">
        <f t="shared" si="74"/>
        <v>687252.06186918903</v>
      </c>
      <c r="G193" s="61">
        <f t="shared" si="74"/>
        <v>599398.78717723058</v>
      </c>
      <c r="H193" s="61">
        <f t="shared" si="74"/>
        <v>578321.59890215471</v>
      </c>
      <c r="I193" s="61">
        <f t="shared" si="74"/>
        <v>365453.30607650254</v>
      </c>
      <c r="J193" s="61">
        <f t="shared" si="74"/>
        <v>398387.33051974693</v>
      </c>
      <c r="K193" s="61">
        <f t="shared" si="74"/>
        <v>474919.83824398584</v>
      </c>
      <c r="N193">
        <v>2100</v>
      </c>
      <c r="O193" s="61">
        <f t="shared" si="75"/>
        <v>6872520.6186918877</v>
      </c>
      <c r="P193" s="61">
        <f t="shared" si="75"/>
        <v>5993987.8717723014</v>
      </c>
      <c r="Q193" s="61">
        <f t="shared" si="75"/>
        <v>5783215.9890215481</v>
      </c>
      <c r="R193" s="61">
        <f t="shared" si="75"/>
        <v>3654533.0607650261</v>
      </c>
      <c r="S193" s="61">
        <f t="shared" si="75"/>
        <v>3983873.3051974699</v>
      </c>
      <c r="T193" s="61">
        <f t="shared" si="75"/>
        <v>4749198.3824398573</v>
      </c>
      <c r="W193">
        <v>2100</v>
      </c>
      <c r="X193" s="61">
        <f t="shared" si="76"/>
        <v>6872520.6186918877</v>
      </c>
      <c r="Y193" s="61">
        <f t="shared" si="76"/>
        <v>5993987.8717723014</v>
      </c>
      <c r="Z193" s="61">
        <f t="shared" si="76"/>
        <v>5783215.9890215481</v>
      </c>
      <c r="AA193" s="61">
        <f t="shared" si="76"/>
        <v>3654533.0607650261</v>
      </c>
      <c r="AB193" s="61">
        <f t="shared" si="76"/>
        <v>3983873.3051974699</v>
      </c>
      <c r="AC193" s="61">
        <f t="shared" si="76"/>
        <v>4749198.3824398573</v>
      </c>
      <c r="AG193">
        <v>2100</v>
      </c>
      <c r="AH193" s="61">
        <f t="shared" si="77"/>
        <v>6872520.6186918877</v>
      </c>
      <c r="AI193" s="61">
        <f t="shared" si="77"/>
        <v>5993987.8717723014</v>
      </c>
      <c r="AJ193" s="61">
        <f t="shared" si="77"/>
        <v>5783215.9890215481</v>
      </c>
      <c r="AK193" s="61">
        <f t="shared" si="77"/>
        <v>3654533.0607650261</v>
      </c>
      <c r="AL193" s="61">
        <f t="shared" si="77"/>
        <v>3983873.3051974699</v>
      </c>
      <c r="AM193" s="61">
        <f t="shared" si="77"/>
        <v>4749198.3824398573</v>
      </c>
    </row>
    <row r="194" spans="2:40">
      <c r="B194" s="383"/>
      <c r="F194" s="581" t="s">
        <v>244</v>
      </c>
      <c r="G194" s="581"/>
      <c r="H194" s="581"/>
      <c r="I194" s="581"/>
      <c r="J194" s="581"/>
      <c r="K194" s="581"/>
      <c r="O194" s="581" t="s">
        <v>244</v>
      </c>
      <c r="P194" s="581"/>
      <c r="Q194" s="581"/>
      <c r="R194" s="581"/>
      <c r="S194" s="581"/>
      <c r="T194" s="581"/>
      <c r="X194" s="581" t="s">
        <v>244</v>
      </c>
      <c r="Y194" s="581"/>
      <c r="Z194" s="581"/>
      <c r="AA194" s="581"/>
      <c r="AB194" s="581"/>
      <c r="AC194" s="581"/>
      <c r="AH194" s="581" t="s">
        <v>244</v>
      </c>
      <c r="AI194" s="581"/>
      <c r="AJ194" s="581"/>
      <c r="AK194" s="581"/>
      <c r="AL194" s="581"/>
      <c r="AM194" s="581"/>
    </row>
    <row r="195" spans="2:40">
      <c r="E195">
        <v>2020</v>
      </c>
      <c r="F195" s="320" t="s">
        <v>240</v>
      </c>
      <c r="G195" s="320" t="s">
        <v>240</v>
      </c>
      <c r="H195" s="61">
        <f>H119*H176/'Demographic-Economic'!E$29</f>
        <v>256757532.79481778</v>
      </c>
      <c r="I195" s="61">
        <f>I119*I176/'Demographic-Economic'!F$29</f>
        <v>77540867.772469074</v>
      </c>
      <c r="J195" s="61">
        <f>J119*J176/'Demographic-Economic'!G$29</f>
        <v>54891233.111566767</v>
      </c>
      <c r="K195" s="61"/>
      <c r="L195" s="194">
        <f t="shared" ref="L195:L212" si="78">SUM(H195:K195)/(SUM(F404:K404)*1000)</f>
        <v>3.0008323990977703E-4</v>
      </c>
      <c r="M195" s="194"/>
      <c r="N195">
        <v>2020</v>
      </c>
      <c r="O195" t="s">
        <v>240</v>
      </c>
      <c r="P195" t="s">
        <v>240</v>
      </c>
      <c r="Q195" s="61">
        <f>Q119*Q176/'Demographic-Economic'!E$29</f>
        <v>2381040626.344748</v>
      </c>
      <c r="R195" s="61">
        <f>R119*R176/'Demographic-Economic'!F$29</f>
        <v>719075130.37140954</v>
      </c>
      <c r="S195" s="61">
        <f>S119*S176/'Demographic-Economic'!G$29</f>
        <v>509033774.57379305</v>
      </c>
      <c r="T195" s="61">
        <f>T119*T176/'Demographic-Economic'!H$29</f>
        <v>184356474.23777807</v>
      </c>
      <c r="U195" s="194">
        <f t="shared" ref="U195:U212" si="79">SUM(Q195:T195)/(SUM(O404:T404)*1000)</f>
        <v>2.9249688949713921E-3</v>
      </c>
      <c r="W195">
        <v>2020</v>
      </c>
      <c r="X195" t="s">
        <v>240</v>
      </c>
      <c r="Y195" t="s">
        <v>240</v>
      </c>
      <c r="Z195" s="61">
        <f>Z119*Z176/'Demographic-Economic'!E$29</f>
        <v>2381040626.344748</v>
      </c>
      <c r="AA195" s="61">
        <f>AA119*AA176/'Demographic-Economic'!F$29</f>
        <v>719075130.37140954</v>
      </c>
      <c r="AB195" s="61">
        <f>AB119*AB176/'Demographic-Economic'!G$29</f>
        <v>509033774.57379305</v>
      </c>
      <c r="AC195" s="61">
        <f>AC119*AC176/'Demographic-Economic'!H$29</f>
        <v>184356474.23777807</v>
      </c>
      <c r="AD195" s="194">
        <f t="shared" ref="AD195:AD212" si="80">SUM(Z195:AC195)/(SUM(X404:AC404)*1000)</f>
        <v>2.9249688949713921E-3</v>
      </c>
      <c r="AG195">
        <v>2020</v>
      </c>
      <c r="AH195" t="s">
        <v>240</v>
      </c>
      <c r="AI195" t="s">
        <v>240</v>
      </c>
      <c r="AJ195" s="61">
        <f>AJ119*AJ176/'Demographic-Economic'!E$29</f>
        <v>2567575327.9481773</v>
      </c>
      <c r="AK195" s="61">
        <f>AK119*AK176/'Demographic-Economic'!F$29</f>
        <v>775408677.72469068</v>
      </c>
      <c r="AL195" s="61">
        <f>AL119*AL176/'Demographic-Economic'!G$29</f>
        <v>548912331.11566758</v>
      </c>
      <c r="AM195" s="61"/>
      <c r="AN195" s="194">
        <f t="shared" ref="AN195:AN212" si="81">SUM(AJ195:AM195)/(SUM(AH404:AM404)*1000)</f>
        <v>3.0008323990977697E-3</v>
      </c>
    </row>
    <row r="196" spans="2:40">
      <c r="E196">
        <v>2021</v>
      </c>
      <c r="F196" s="320" t="s">
        <v>240</v>
      </c>
      <c r="G196" s="320" t="s">
        <v>240</v>
      </c>
      <c r="H196" s="61">
        <f>H120*H177/'Demographic-Economic'!E$29</f>
        <v>283108206.16625518</v>
      </c>
      <c r="I196" s="61">
        <f>I120*I177/'Demographic-Economic'!F$29</f>
        <v>73705231.453259677</v>
      </c>
      <c r="J196" s="61">
        <f>J120*J177/'Demographic-Economic'!G$29</f>
        <v>54356296.063832998</v>
      </c>
      <c r="K196" s="61"/>
      <c r="L196" s="194">
        <f t="shared" si="78"/>
        <v>3.0105562992917918E-4</v>
      </c>
      <c r="M196" s="194"/>
      <c r="N196">
        <v>2021</v>
      </c>
      <c r="O196" t="s">
        <v>240</v>
      </c>
      <c r="P196" t="s">
        <v>240</v>
      </c>
      <c r="Q196" s="61">
        <f>Q120*Q177/'Demographic-Economic'!E$29</f>
        <v>2621016373.930613</v>
      </c>
      <c r="R196" s="61">
        <f>R120*R177/'Demographic-Economic'!F$29</f>
        <v>690106833.426355</v>
      </c>
      <c r="S196" s="61">
        <f>S120*S177/'Demographic-Economic'!G$29</f>
        <v>504505557.66798079</v>
      </c>
      <c r="T196" s="61">
        <f>T120*T177/'Demographic-Economic'!H$29</f>
        <v>194754735.99333835</v>
      </c>
      <c r="U196" s="194">
        <f t="shared" si="79"/>
        <v>2.9696874805662569E-3</v>
      </c>
      <c r="W196">
        <v>2021</v>
      </c>
      <c r="X196" t="s">
        <v>240</v>
      </c>
      <c r="Y196" t="s">
        <v>240</v>
      </c>
      <c r="Z196" s="61">
        <f>Z120*Z177/'Demographic-Economic'!E$29</f>
        <v>2617826822.9105387</v>
      </c>
      <c r="AA196" s="61">
        <f>AA120*AA177/'Demographic-Economic'!F$29</f>
        <v>696345139.64619398</v>
      </c>
      <c r="AB196" s="61">
        <f>AB120*AB177/'Demographic-Economic'!G$29</f>
        <v>505010960.69224137</v>
      </c>
      <c r="AC196" s="61">
        <f>AC120*AC177/'Demographic-Economic'!H$29</f>
        <v>196068689.83608311</v>
      </c>
      <c r="AD196" s="194">
        <f t="shared" si="80"/>
        <v>2.9949946482549206E-3</v>
      </c>
      <c r="AG196">
        <v>2021</v>
      </c>
      <c r="AH196" t="s">
        <v>240</v>
      </c>
      <c r="AI196" t="s">
        <v>240</v>
      </c>
      <c r="AJ196" s="61">
        <f>AJ120*AJ177/'Demographic-Economic'!E$29</f>
        <v>2830755061.8068967</v>
      </c>
      <c r="AK196" s="61">
        <f>AK120*AK177/'Demographic-Economic'!F$29</f>
        <v>738026227.98671603</v>
      </c>
      <c r="AL196" s="61">
        <f>AL120*AL177/'Demographic-Economic'!G$29</f>
        <v>543667490.36275005</v>
      </c>
      <c r="AM196" s="61"/>
      <c r="AN196" s="194">
        <f t="shared" si="81"/>
        <v>2.9837800667525572E-3</v>
      </c>
    </row>
    <row r="197" spans="2:40">
      <c r="E197">
        <v>2022</v>
      </c>
      <c r="F197" s="320" t="s">
        <v>240</v>
      </c>
      <c r="G197" s="320" t="s">
        <v>240</v>
      </c>
      <c r="H197" s="61">
        <f>H121*H178/'Demographic-Economic'!E$29</f>
        <v>309613343.0736925</v>
      </c>
      <c r="I197" s="61">
        <f>I121*I178/'Demographic-Economic'!F$29</f>
        <v>70146312.570123792</v>
      </c>
      <c r="J197" s="61">
        <f>J121*J178/'Demographic-Economic'!G$29</f>
        <v>53957324.265191875</v>
      </c>
      <c r="K197" s="61"/>
      <c r="L197" s="194">
        <f t="shared" si="78"/>
        <v>3.0233006240422644E-4</v>
      </c>
      <c r="M197" s="194"/>
      <c r="N197">
        <v>2022</v>
      </c>
      <c r="O197" t="s">
        <v>240</v>
      </c>
      <c r="P197" t="s">
        <v>240</v>
      </c>
      <c r="Q197" s="61">
        <f>Q121*Q178/'Demographic-Economic'!E$29</f>
        <v>2867941950.5185409</v>
      </c>
      <c r="R197" s="61">
        <f>R121*R178/'Demographic-Economic'!F$29</f>
        <v>661478811.64444578</v>
      </c>
      <c r="S197" s="61">
        <f>S121*S178/'Demographic-Economic'!G$29</f>
        <v>500399555.91172087</v>
      </c>
      <c r="T197" s="61">
        <f>T121*T178/'Demographic-Economic'!H$29</f>
        <v>205477984.9368971</v>
      </c>
      <c r="U197" s="194">
        <f t="shared" si="79"/>
        <v>3.0167226600710585E-3</v>
      </c>
      <c r="W197">
        <v>2022</v>
      </c>
      <c r="X197" t="s">
        <v>240</v>
      </c>
      <c r="Y197" t="s">
        <v>240</v>
      </c>
      <c r="Z197" s="61">
        <f>Z121*Z178/'Demographic-Economic'!E$29</f>
        <v>2866430520.163682</v>
      </c>
      <c r="AA197" s="61">
        <f>AA121*AA178/'Demographic-Economic'!F$29</f>
        <v>672043582.64660466</v>
      </c>
      <c r="AB197" s="61">
        <f>AB121*AB178/'Demographic-Economic'!G$29</f>
        <v>500514529.00467557</v>
      </c>
      <c r="AC197" s="61">
        <f>AC121*AC178/'Demographic-Economic'!H$29</f>
        <v>208234747.40472582</v>
      </c>
      <c r="AD197" s="194">
        <f t="shared" si="80"/>
        <v>3.0679847795252522E-3</v>
      </c>
      <c r="AG197">
        <v>2022</v>
      </c>
      <c r="AH197" t="s">
        <v>240</v>
      </c>
      <c r="AI197" t="s">
        <v>240</v>
      </c>
      <c r="AJ197" s="61">
        <f>AJ121*AJ178/'Demographic-Economic'!E$29</f>
        <v>3096323164.2909389</v>
      </c>
      <c r="AK197" s="61">
        <f>AK121*AK178/'Demographic-Economic'!F$29</f>
        <v>703058788.37519813</v>
      </c>
      <c r="AL197" s="61">
        <f>AL121*AL178/'Demographic-Economic'!G$29</f>
        <v>539658986.29740369</v>
      </c>
      <c r="AM197" s="61"/>
      <c r="AN197" s="194">
        <f t="shared" si="81"/>
        <v>2.9727659883525019E-3</v>
      </c>
    </row>
    <row r="198" spans="2:40">
      <c r="E198">
        <v>2023</v>
      </c>
      <c r="F198" s="320" t="s">
        <v>240</v>
      </c>
      <c r="G198" s="320" t="s">
        <v>240</v>
      </c>
      <c r="H198" s="61">
        <f>H122*H179/'Demographic-Economic'!E$29</f>
        <v>336369429.61741602</v>
      </c>
      <c r="I198" s="61">
        <f>I122*I179/'Demographic-Economic'!F$29</f>
        <v>66833486.133233741</v>
      </c>
      <c r="J198" s="61">
        <f>J122*J179/'Demographic-Economic'!G$29</f>
        <v>53683920.574627787</v>
      </c>
      <c r="K198" s="61"/>
      <c r="L198" s="194">
        <f t="shared" si="78"/>
        <v>3.0390194995122714E-4</v>
      </c>
      <c r="M198" s="194"/>
      <c r="N198">
        <v>2023</v>
      </c>
      <c r="O198" t="s">
        <v>240</v>
      </c>
      <c r="P198" t="s">
        <v>240</v>
      </c>
      <c r="Q198" s="61">
        <f>Q122*Q179/'Demographic-Economic'!E$29</f>
        <v>3122072780.8262377</v>
      </c>
      <c r="R198" s="61">
        <f>R122*R179/'Demographic-Economic'!F$29</f>
        <v>633219488.47835171</v>
      </c>
      <c r="S198" s="61">
        <f>S122*S179/'Demographic-Economic'!G$29</f>
        <v>496739075.90862626</v>
      </c>
      <c r="T198" s="61">
        <f>T122*T179/'Demographic-Economic'!H$29</f>
        <v>216540425.28170964</v>
      </c>
      <c r="U198" s="194">
        <f t="shared" si="79"/>
        <v>3.0660398119251517E-3</v>
      </c>
      <c r="W198">
        <v>2023</v>
      </c>
      <c r="X198" t="s">
        <v>240</v>
      </c>
      <c r="Y198" t="s">
        <v>240</v>
      </c>
      <c r="Z198" s="61">
        <f>Z122*Z179/'Demographic-Economic'!E$29</f>
        <v>3126917804.6218238</v>
      </c>
      <c r="AA198" s="61">
        <f>AA122*AA179/'Demographic-Economic'!F$29</f>
        <v>646299935.85425448</v>
      </c>
      <c r="AB198" s="61">
        <f>AB122*AB179/'Demographic-Economic'!G$29</f>
        <v>495617712.52222568</v>
      </c>
      <c r="AC198" s="61">
        <f>AC122*AC179/'Demographic-Economic'!H$29</f>
        <v>220860549.67241991</v>
      </c>
      <c r="AD198" s="194">
        <f t="shared" si="80"/>
        <v>3.1438594157073133E-3</v>
      </c>
      <c r="AG198">
        <v>2023</v>
      </c>
      <c r="AH198" t="s">
        <v>240</v>
      </c>
      <c r="AI198" t="s">
        <v>240</v>
      </c>
      <c r="AJ198" s="61">
        <f>AJ122*AJ179/'Demographic-Economic'!E$29</f>
        <v>3365117709.2216167</v>
      </c>
      <c r="AK198" s="61">
        <f>AK122*AK179/'Demographic-Economic'!F$29</f>
        <v>670262057.81192851</v>
      </c>
      <c r="AL198" s="61">
        <f>AL122*AL179/'Demographic-Economic'!G$29</f>
        <v>536805179.67706919</v>
      </c>
      <c r="AM198" s="61"/>
      <c r="AN198" s="194">
        <f t="shared" si="81"/>
        <v>2.9671664322306647E-3</v>
      </c>
    </row>
    <row r="199" spans="2:40">
      <c r="E199">
        <v>2024</v>
      </c>
      <c r="F199" s="320" t="s">
        <v>240</v>
      </c>
      <c r="G199" s="320" t="s">
        <v>240</v>
      </c>
      <c r="H199" s="61">
        <f>H123*H180/'Demographic-Economic'!E$29</f>
        <v>363465597.65732849</v>
      </c>
      <c r="I199" s="61">
        <f>I123*I180/'Demographic-Economic'!F$29</f>
        <v>63740109.387273476</v>
      </c>
      <c r="J199" s="61">
        <f>J123*J180/'Demographic-Economic'!G$29</f>
        <v>53527222.436318919</v>
      </c>
      <c r="K199" s="61"/>
      <c r="L199" s="194">
        <f t="shared" si="78"/>
        <v>3.0576633972557478E-4</v>
      </c>
      <c r="M199" s="194"/>
      <c r="N199">
        <v>2024</v>
      </c>
      <c r="O199" t="s">
        <v>240</v>
      </c>
      <c r="P199" t="s">
        <v>240</v>
      </c>
      <c r="Q199" s="61">
        <f>Q123*Q180/'Demographic-Economic'!E$29</f>
        <v>3383695340.5161467</v>
      </c>
      <c r="R199" s="61">
        <f>R123*R180/'Demographic-Economic'!F$29</f>
        <v>605348997.23028922</v>
      </c>
      <c r="S199" s="61">
        <f>S123*S180/'Demographic-Economic'!G$29</f>
        <v>493544239.57339209</v>
      </c>
      <c r="T199" s="61">
        <f>T123*T180/'Demographic-Economic'!H$29</f>
        <v>227957230.80607203</v>
      </c>
      <c r="U199" s="194">
        <f t="shared" si="79"/>
        <v>3.1176228161275106E-3</v>
      </c>
      <c r="W199">
        <v>2024</v>
      </c>
      <c r="X199" t="s">
        <v>240</v>
      </c>
      <c r="Y199" t="s">
        <v>240</v>
      </c>
      <c r="Z199" s="61">
        <f>Z123*Z180/'Demographic-Economic'!E$29</f>
        <v>3399369694.6475897</v>
      </c>
      <c r="AA199" s="61">
        <f>AA123*AA180/'Demographic-Economic'!F$29</f>
        <v>619243292.48767626</v>
      </c>
      <c r="AB199" s="61">
        <f>AB123*AB180/'Demographic-Economic'!G$29</f>
        <v>490393887.43378705</v>
      </c>
      <c r="AC199" s="61">
        <f>AC123*AC180/'Demographic-Economic'!H$29</f>
        <v>233953140.55968919</v>
      </c>
      <c r="AD199" s="194">
        <f t="shared" si="80"/>
        <v>3.222558930772116E-3</v>
      </c>
      <c r="AG199">
        <v>2024</v>
      </c>
      <c r="AH199" t="s">
        <v>240</v>
      </c>
      <c r="AI199" t="s">
        <v>240</v>
      </c>
      <c r="AJ199" s="61">
        <f>AJ123*AJ180/'Demographic-Economic'!E$29</f>
        <v>3637928405.7225299</v>
      </c>
      <c r="AK199" s="61">
        <f>AK123*AK180/'Demographic-Economic'!F$29</f>
        <v>639419907.57676995</v>
      </c>
      <c r="AL199" s="61">
        <f>AL123*AL180/'Demographic-Economic'!G$29</f>
        <v>535035510.25370282</v>
      </c>
      <c r="AM199" s="61"/>
      <c r="AN199" s="194">
        <f t="shared" si="81"/>
        <v>2.9664771281145146E-3</v>
      </c>
    </row>
    <row r="200" spans="2:40">
      <c r="E200">
        <v>2025</v>
      </c>
      <c r="F200" s="320" t="s">
        <v>240</v>
      </c>
      <c r="G200" s="320" t="s">
        <v>240</v>
      </c>
      <c r="H200" s="61">
        <f>H124*H181/'Demographic-Economic'!E$29</f>
        <v>390984998.17824262</v>
      </c>
      <c r="I200" s="61">
        <f>I124*I181/'Demographic-Economic'!F$29</f>
        <v>60842906.867733084</v>
      </c>
      <c r="J200" s="61">
        <f>J124*J181/'Demographic-Economic'!G$29</f>
        <v>53479671.759493321</v>
      </c>
      <c r="K200" s="61"/>
      <c r="L200" s="194">
        <f t="shared" si="78"/>
        <v>3.0791831198412171E-4</v>
      </c>
      <c r="M200" s="194"/>
      <c r="N200">
        <v>2025</v>
      </c>
      <c r="O200" t="s">
        <v>240</v>
      </c>
      <c r="P200" t="s">
        <v>240</v>
      </c>
      <c r="Q200" s="61">
        <f>Q124*Q181/'Demographic-Economic'!E$29</f>
        <v>3653125570.5666313</v>
      </c>
      <c r="R200" s="61">
        <f>R124*R181/'Demographic-Economic'!F$29</f>
        <v>577880164.96258974</v>
      </c>
      <c r="S200" s="61">
        <f>S124*S181/'Demographic-Economic'!G$29</f>
        <v>490832411.08081257</v>
      </c>
      <c r="T200" s="61">
        <f>T124*T181/'Demographic-Economic'!H$29</f>
        <v>239744511.49488306</v>
      </c>
      <c r="U200" s="194">
        <f t="shared" si="79"/>
        <v>3.1714707576269868E-3</v>
      </c>
      <c r="W200">
        <v>2025</v>
      </c>
      <c r="X200" t="s">
        <v>240</v>
      </c>
      <c r="Y200" t="s">
        <v>240</v>
      </c>
      <c r="Z200" s="61">
        <f>Z124*Z181/'Demographic-Economic'!E$29</f>
        <v>3683887036.5358024</v>
      </c>
      <c r="AA200" s="61">
        <f>AA124*AA181/'Demographic-Economic'!F$29</f>
        <v>591000442.63377643</v>
      </c>
      <c r="AB200" s="61">
        <f>AB124*AB181/'Demographic-Economic'!G$29</f>
        <v>484915663.41612625</v>
      </c>
      <c r="AC200" s="61">
        <f>AC124*AC181/'Demographic-Economic'!H$29</f>
        <v>247520830.16206059</v>
      </c>
      <c r="AD200" s="194">
        <f t="shared" si="80"/>
        <v>3.3040424716524624E-3</v>
      </c>
      <c r="AG200">
        <v>2025</v>
      </c>
      <c r="AH200" t="s">
        <v>240</v>
      </c>
      <c r="AI200" t="s">
        <v>240</v>
      </c>
      <c r="AJ200" s="61">
        <f>AJ124*AJ181/'Demographic-Economic'!E$29</f>
        <v>3915505381.0337086</v>
      </c>
      <c r="AK200" s="61">
        <f>AK124*AK181/'Demographic-Economic'!F$29</f>
        <v>610340545.10882354</v>
      </c>
      <c r="AL200" s="61">
        <f>AL124*AL181/'Demographic-Economic'!G$29</f>
        <v>534289050.94067764</v>
      </c>
      <c r="AM200" s="61"/>
      <c r="AN200" s="194">
        <f t="shared" si="81"/>
        <v>2.9702868066371815E-3</v>
      </c>
    </row>
    <row r="201" spans="2:40">
      <c r="E201">
        <v>2026</v>
      </c>
      <c r="F201" s="320" t="s">
        <v>240</v>
      </c>
      <c r="G201" s="320" t="s">
        <v>240</v>
      </c>
      <c r="H201" s="61">
        <f>H125*H182/'Demographic-Economic'!E$29</f>
        <v>419005943.86239654</v>
      </c>
      <c r="I201" s="61">
        <f>I125*I182/'Demographic-Economic'!F$29</f>
        <v>58121463.440661147</v>
      </c>
      <c r="J201" s="61">
        <f>J125*J182/'Demographic-Economic'!G$29</f>
        <v>53534825.495951995</v>
      </c>
      <c r="K201" s="61"/>
      <c r="L201" s="194">
        <f t="shared" si="78"/>
        <v>3.1035323437386307E-4</v>
      </c>
      <c r="M201" s="194"/>
      <c r="N201">
        <v>2026</v>
      </c>
      <c r="O201" t="s">
        <v>240</v>
      </c>
      <c r="P201" t="s">
        <v>240</v>
      </c>
      <c r="Q201" s="61">
        <f>Q125*Q182/'Demographic-Economic'!E$29</f>
        <v>3930707442.7343636</v>
      </c>
      <c r="R201" s="61">
        <f>R125*R182/'Demographic-Economic'!F$29</f>
        <v>550819434.25133872</v>
      </c>
      <c r="S201" s="61">
        <f>S125*S182/'Demographic-Economic'!G$29</f>
        <v>488618599.00955009</v>
      </c>
      <c r="T201" s="61">
        <f>T125*T182/'Demographic-Economic'!H$29</f>
        <v>251919285.98480791</v>
      </c>
      <c r="U201" s="194">
        <f t="shared" si="79"/>
        <v>3.2275953269914272E-3</v>
      </c>
      <c r="W201">
        <v>2026</v>
      </c>
      <c r="X201" t="s">
        <v>240</v>
      </c>
      <c r="Y201" t="s">
        <v>240</v>
      </c>
      <c r="Z201" s="61">
        <f>Z125*Z182/'Demographic-Economic'!E$29</f>
        <v>3980594863.5803337</v>
      </c>
      <c r="AA201" s="61">
        <f>AA125*AA182/'Demographic-Economic'!F$29</f>
        <v>561694208.39595878</v>
      </c>
      <c r="AB201" s="61">
        <f>AB125*AB182/'Demographic-Economic'!G$29</f>
        <v>479254098.17466342</v>
      </c>
      <c r="AC201" s="61">
        <f>AC125*AC182/'Demographic-Economic'!H$29</f>
        <v>261573298.18249089</v>
      </c>
      <c r="AD201" s="194">
        <f t="shared" si="80"/>
        <v>3.3882866171183333E-3</v>
      </c>
      <c r="AG201">
        <v>2026</v>
      </c>
      <c r="AH201" t="s">
        <v>240</v>
      </c>
      <c r="AI201" t="s">
        <v>240</v>
      </c>
      <c r="AJ201" s="61">
        <f>AJ125*AJ182/'Demographic-Economic'!E$29</f>
        <v>4198566712.721127</v>
      </c>
      <c r="AK201" s="61">
        <f>AK125*AK182/'Demographic-Economic'!F$29</f>
        <v>582853265.58450878</v>
      </c>
      <c r="AL201" s="61">
        <f>AL125*AL182/'Demographic-Economic'!G$29</f>
        <v>534513286.06246012</v>
      </c>
      <c r="AM201" s="61"/>
      <c r="AN201" s="194">
        <f t="shared" si="81"/>
        <v>2.9782577270340738E-3</v>
      </c>
    </row>
    <row r="202" spans="2:40">
      <c r="E202">
        <v>2027</v>
      </c>
      <c r="F202" s="320" t="s">
        <v>240</v>
      </c>
      <c r="G202" s="320" t="s">
        <v>240</v>
      </c>
      <c r="H202" s="61">
        <f>H126*H183/'Demographic-Economic'!E$29</f>
        <v>447602866.56953698</v>
      </c>
      <c r="I202" s="61">
        <f>I126*I183/'Demographic-Economic'!F$29</f>
        <v>55557804.156644523</v>
      </c>
      <c r="J202" s="61">
        <f>J126*J183/'Demographic-Economic'!G$29</f>
        <v>53687198.940124668</v>
      </c>
      <c r="K202" s="61"/>
      <c r="L202" s="194">
        <f t="shared" si="78"/>
        <v>3.1306692033065216E-4</v>
      </c>
      <c r="M202" s="194"/>
      <c r="N202">
        <v>2027</v>
      </c>
      <c r="O202" t="s">
        <v>240</v>
      </c>
      <c r="P202" t="s">
        <v>240</v>
      </c>
      <c r="Q202" s="61">
        <f>Q126*Q183/'Demographic-Economic'!E$29</f>
        <v>4216811693.5782957</v>
      </c>
      <c r="R202" s="61">
        <f>R126*R183/'Demographic-Economic'!F$29</f>
        <v>524167715.35703295</v>
      </c>
      <c r="S202" s="61">
        <f>S126*S183/'Demographic-Economic'!G$29</f>
        <v>486915830.34873837</v>
      </c>
      <c r="T202" s="61">
        <f>T126*T183/'Demographic-Economic'!H$29</f>
        <v>264499459.97086063</v>
      </c>
      <c r="U202" s="194">
        <f t="shared" si="79"/>
        <v>3.2860187662332547E-3</v>
      </c>
      <c r="W202">
        <v>2027</v>
      </c>
      <c r="X202" t="s">
        <v>240</v>
      </c>
      <c r="Y202" t="s">
        <v>240</v>
      </c>
      <c r="Z202" s="61">
        <f>Z126*Z183/'Demographic-Economic'!E$29</f>
        <v>4289646187.2803926</v>
      </c>
      <c r="AA202" s="61">
        <f>AA126*AA183/'Demographic-Economic'!F$29</f>
        <v>531442047.51806533</v>
      </c>
      <c r="AB202" s="61">
        <f>AB126*AB183/'Demographic-Economic'!G$29</f>
        <v>473478042.51583958</v>
      </c>
      <c r="AC202" s="61">
        <f>AC126*AC183/'Demographic-Economic'!H$29</f>
        <v>276121676.61058199</v>
      </c>
      <c r="AD202" s="194">
        <f t="shared" si="80"/>
        <v>3.4752841378148202E-3</v>
      </c>
      <c r="AG202">
        <v>2027</v>
      </c>
      <c r="AH202" t="s">
        <v>240</v>
      </c>
      <c r="AI202" t="s">
        <v>240</v>
      </c>
      <c r="AJ202" s="61">
        <f>AJ126*AJ183/'Demographic-Economic'!E$29</f>
        <v>4487804926.8401432</v>
      </c>
      <c r="AK202" s="61">
        <f>AK126*AK183/'Demographic-Economic'!F$29</f>
        <v>556805691.43213856</v>
      </c>
      <c r="AL202" s="61">
        <f>AL126*AL183/'Demographic-Economic'!G$29</f>
        <v>535663075.66447687</v>
      </c>
      <c r="AM202" s="61"/>
      <c r="AN202" s="194">
        <f t="shared" si="81"/>
        <v>2.990111103422094E-3</v>
      </c>
    </row>
    <row r="203" spans="2:40">
      <c r="E203">
        <v>2028</v>
      </c>
      <c r="F203" s="320" t="s">
        <v>240</v>
      </c>
      <c r="G203" s="320" t="s">
        <v>240</v>
      </c>
      <c r="H203" s="61">
        <f>H127*H184/'Demographic-Economic'!E$29</f>
        <v>476847125.59506464</v>
      </c>
      <c r="I203" s="61">
        <f>I127*I184/'Demographic-Economic'!F$29</f>
        <v>53136044.311077081</v>
      </c>
      <c r="J203" s="61">
        <f>J127*J184/'Demographic-Economic'!G$29</f>
        <v>53932135.496376775</v>
      </c>
      <c r="K203" s="61"/>
      <c r="L203" s="194">
        <f t="shared" si="78"/>
        <v>3.1605572363221343E-4</v>
      </c>
      <c r="M203" s="194"/>
      <c r="N203">
        <v>2028</v>
      </c>
      <c r="O203" t="s">
        <v>240</v>
      </c>
      <c r="P203" t="s">
        <v>240</v>
      </c>
      <c r="Q203" s="61">
        <f>Q127*Q184/'Demographic-Economic'!E$29</f>
        <v>4511834736.6081324</v>
      </c>
      <c r="R203" s="61">
        <f>R127*R184/'Demographic-Economic'!F$29</f>
        <v>497921165.041556</v>
      </c>
      <c r="S203" s="61">
        <f>S127*S184/'Demographic-Economic'!G$29</f>
        <v>485735494.60473692</v>
      </c>
      <c r="T203" s="61">
        <f>T127*T184/'Demographic-Economic'!H$29</f>
        <v>277503810.5649249</v>
      </c>
      <c r="U203" s="194">
        <f t="shared" si="79"/>
        <v>3.3467722437625445E-3</v>
      </c>
      <c r="W203">
        <v>2028</v>
      </c>
      <c r="X203" t="s">
        <v>240</v>
      </c>
      <c r="Y203" t="s">
        <v>240</v>
      </c>
      <c r="Z203" s="61">
        <f>Z127*Z184/'Demographic-Economic'!E$29</f>
        <v>4611225215.9389</v>
      </c>
      <c r="AA203" s="61">
        <f>AA127*AA184/'Demographic-Economic'!F$29</f>
        <v>500354927.27750051</v>
      </c>
      <c r="AB203" s="61">
        <f>AB127*AB184/'Demographic-Economic'!G$29</f>
        <v>467653616.63476914</v>
      </c>
      <c r="AC203" s="61">
        <f>AC127*AC184/'Demographic-Economic'!H$29</f>
        <v>291178613.12374979</v>
      </c>
      <c r="AD203" s="194">
        <f t="shared" si="80"/>
        <v>3.5650428381803234E-3</v>
      </c>
      <c r="AG203">
        <v>2028</v>
      </c>
      <c r="AH203" t="s">
        <v>240</v>
      </c>
      <c r="AI203" t="s">
        <v>240</v>
      </c>
      <c r="AJ203" s="61">
        <f>AJ127*AJ184/'Demographic-Economic'!E$29</f>
        <v>4783892638.5592594</v>
      </c>
      <c r="AK203" s="61">
        <f>AK127*AK184/'Demographic-Economic'!F$29</f>
        <v>532061418.48110473</v>
      </c>
      <c r="AL203" s="61">
        <f>AL127*AL184/'Demographic-Economic'!G$29</f>
        <v>537699774.93134558</v>
      </c>
      <c r="AM203" s="61"/>
      <c r="AN203" s="194">
        <f t="shared" si="81"/>
        <v>3.0056160307247856E-3</v>
      </c>
    </row>
    <row r="204" spans="2:40">
      <c r="E204">
        <v>2029</v>
      </c>
      <c r="F204" s="320" t="s">
        <v>240</v>
      </c>
      <c r="G204" s="320" t="s">
        <v>240</v>
      </c>
      <c r="H204" s="61">
        <f>H128*H185/'Demographic-Economic'!E$29</f>
        <v>506807695.04894191</v>
      </c>
      <c r="I204" s="61">
        <f>I128*I185/'Demographic-Economic'!F$29</f>
        <v>50842096.596389979</v>
      </c>
      <c r="J204" s="61">
        <f>J128*J185/'Demographic-Economic'!G$29</f>
        <v>54265697.975325607</v>
      </c>
      <c r="K204" s="61"/>
      <c r="L204" s="194">
        <f t="shared" si="78"/>
        <v>3.1931659052539257E-4</v>
      </c>
      <c r="M204" s="194"/>
      <c r="N204">
        <v>2029</v>
      </c>
      <c r="O204" t="s">
        <v>240</v>
      </c>
      <c r="P204" t="s">
        <v>240</v>
      </c>
      <c r="Q204" s="61">
        <f>Q128*Q185/'Demographic-Economic'!E$29</f>
        <v>4816197755.9191742</v>
      </c>
      <c r="R204" s="61">
        <f>R128*R185/'Demographic-Economic'!F$29</f>
        <v>472071891.12282628</v>
      </c>
      <c r="S204" s="61">
        <f>S128*S185/'Demographic-Economic'!G$29</f>
        <v>485087657.47974807</v>
      </c>
      <c r="T204" s="61">
        <f>T128*T185/'Demographic-Economic'!H$29</f>
        <v>290951976.47347206</v>
      </c>
      <c r="U204" s="194">
        <f t="shared" si="79"/>
        <v>3.4098945691097395E-3</v>
      </c>
      <c r="W204">
        <v>2029</v>
      </c>
      <c r="X204" t="s">
        <v>240</v>
      </c>
      <c r="Y204" t="s">
        <v>240</v>
      </c>
      <c r="Z204" s="61">
        <f>Z128*Z185/'Demographic-Economic'!E$29</f>
        <v>4945550017.9695215</v>
      </c>
      <c r="AA204" s="61">
        <f>AA128*AA185/'Demographic-Economic'!F$29</f>
        <v>468536460.61362636</v>
      </c>
      <c r="AB204" s="61">
        <f>AB128*AB185/'Demographic-Economic'!G$29</f>
        <v>461843813.5790633</v>
      </c>
      <c r="AC204" s="61">
        <f>AC128*AC185/'Demographic-Economic'!H$29</f>
        <v>306758317.18820775</v>
      </c>
      <c r="AD204" s="194">
        <f t="shared" si="80"/>
        <v>3.657584469694386E-3</v>
      </c>
      <c r="AG204">
        <v>2029</v>
      </c>
      <c r="AH204" t="s">
        <v>240</v>
      </c>
      <c r="AI204" t="s">
        <v>240</v>
      </c>
      <c r="AJ204" s="61">
        <f>AJ128*AJ185/'Demographic-Economic'!E$29</f>
        <v>5087487479.7595139</v>
      </c>
      <c r="AK204" s="61">
        <f>AK128*AK185/'Demographic-Economic'!F$29</f>
        <v>508498002.25549936</v>
      </c>
      <c r="AL204" s="61">
        <f>AL128*AL185/'Demographic-Economic'!G$29</f>
        <v>540590483.40951502</v>
      </c>
      <c r="AM204" s="61"/>
      <c r="AN204" s="194">
        <f t="shared" si="81"/>
        <v>3.0245809542376388E-3</v>
      </c>
    </row>
    <row r="205" spans="2:40">
      <c r="E205">
        <v>2030</v>
      </c>
      <c r="F205" s="320" t="s">
        <v>240</v>
      </c>
      <c r="G205" s="320" t="s">
        <v>240</v>
      </c>
      <c r="H205" s="61">
        <f>H129*H186/'Demographic-Economic'!E$29</f>
        <v>537551752.89230859</v>
      </c>
      <c r="I205" s="61">
        <f>I129*I186/'Demographic-Economic'!F$29</f>
        <v>48663424.926828697</v>
      </c>
      <c r="J205" s="61">
        <f>J129*J186/'Demographic-Economic'!G$29</f>
        <v>54684577.496699668</v>
      </c>
      <c r="K205" s="61"/>
      <c r="L205" s="194">
        <f t="shared" si="78"/>
        <v>3.2284708385152606E-4</v>
      </c>
      <c r="M205" s="194"/>
      <c r="N205">
        <v>2030</v>
      </c>
      <c r="O205" t="s">
        <v>240</v>
      </c>
      <c r="P205" t="s">
        <v>240</v>
      </c>
      <c r="Q205" s="61">
        <f>Q129*Q186/'Demographic-Economic'!E$29</f>
        <v>5130345979.9731703</v>
      </c>
      <c r="R205" s="61">
        <f>R129*R186/'Demographic-Economic'!F$29</f>
        <v>446608584.02551925</v>
      </c>
      <c r="S205" s="61">
        <f>S129*S186/'Demographic-Economic'!G$29</f>
        <v>484981344.53369695</v>
      </c>
      <c r="T205" s="61">
        <f>T129*T186/'Demographic-Economic'!H$29</f>
        <v>304864453.77577019</v>
      </c>
      <c r="U205" s="194">
        <f t="shared" si="79"/>
        <v>3.4754311780193347E-3</v>
      </c>
      <c r="W205">
        <v>2030</v>
      </c>
      <c r="X205" t="s">
        <v>240</v>
      </c>
      <c r="Y205" t="s">
        <v>240</v>
      </c>
      <c r="Z205" s="61">
        <f>Z129*Z186/'Demographic-Economic'!E$29</f>
        <v>5292874664.79074</v>
      </c>
      <c r="AA205" s="61">
        <f>AA129*AA186/'Demographic-Economic'!F$29</f>
        <v>436082288.67280543</v>
      </c>
      <c r="AB205" s="61">
        <f>AB129*AB186/'Demographic-Economic'!G$29</f>
        <v>456108222.11732423</v>
      </c>
      <c r="AC205" s="61">
        <f>AC129*AC186/'Demographic-Economic'!H$29</f>
        <v>322876591.16968662</v>
      </c>
      <c r="AD205" s="194">
        <f t="shared" si="80"/>
        <v>3.7529437107097188E-3</v>
      </c>
      <c r="AG205">
        <v>2030</v>
      </c>
      <c r="AH205" t="s">
        <v>240</v>
      </c>
      <c r="AI205" t="s">
        <v>240</v>
      </c>
      <c r="AJ205" s="61">
        <f>AJ129*AJ186/'Demographic-Economic'!E$29</f>
        <v>5399236432.4531536</v>
      </c>
      <c r="AK205" s="61">
        <f>AK129*AK186/'Demographic-Economic'!F$29</f>
        <v>486005229.81199598</v>
      </c>
      <c r="AL205" s="61">
        <f>AL129*AL186/'Demographic-Economic'!G$29</f>
        <v>544307403.26301408</v>
      </c>
      <c r="AM205" s="61"/>
      <c r="AN205" s="194">
        <f t="shared" si="81"/>
        <v>3.046847017203693E-3</v>
      </c>
    </row>
    <row r="206" spans="2:40">
      <c r="E206">
        <v>2040</v>
      </c>
      <c r="F206" s="320" t="s">
        <v>240</v>
      </c>
      <c r="G206" s="320" t="s">
        <v>240</v>
      </c>
      <c r="H206" s="61">
        <f>H130*H187/'Demographic-Economic'!E$29</f>
        <v>0</v>
      </c>
      <c r="I206" s="61">
        <f>I130*I187/'Demographic-Economic'!F$29</f>
        <v>0</v>
      </c>
      <c r="J206" s="61">
        <f>J130*J187/'Demographic-Economic'!G$29</f>
        <v>0</v>
      </c>
      <c r="K206" s="61"/>
      <c r="L206" s="194">
        <f t="shared" si="78"/>
        <v>0</v>
      </c>
      <c r="M206" s="194"/>
      <c r="N206">
        <v>2040</v>
      </c>
      <c r="O206" t="s">
        <v>240</v>
      </c>
      <c r="P206" t="s">
        <v>240</v>
      </c>
      <c r="Q206" s="61">
        <f>Q130*Q187/'Demographic-Economic'!E$29</f>
        <v>8747070252.3363705</v>
      </c>
      <c r="R206" s="61">
        <f>R130*R187/'Demographic-Economic'!F$29</f>
        <v>222153669.21408635</v>
      </c>
      <c r="S206" s="61">
        <f>S130*S187/'Demographic-Economic'!G$29</f>
        <v>536984215.39206171</v>
      </c>
      <c r="T206" s="61">
        <f>T130*T187/'Demographic-Economic'!H$29</f>
        <v>459129278.8644284</v>
      </c>
      <c r="U206" s="194">
        <f t="shared" si="79"/>
        <v>4.1927116995501479E-3</v>
      </c>
      <c r="W206">
        <v>2040</v>
      </c>
      <c r="X206" t="s">
        <v>240</v>
      </c>
      <c r="Y206" t="s">
        <v>240</v>
      </c>
      <c r="Z206" s="61">
        <f>Z130*Z187/'Demographic-Economic'!E$29</f>
        <v>9507440747.9771328</v>
      </c>
      <c r="AA206" s="61">
        <f>AA130*AA187/'Demographic-Economic'!F$29</f>
        <v>82605958.721187353</v>
      </c>
      <c r="AB206" s="61">
        <f>AB130*AB187/'Demographic-Economic'!G$29</f>
        <v>421074335.49193251</v>
      </c>
      <c r="AC206" s="61">
        <f>AC130*AC187/'Demographic-Economic'!H$29</f>
        <v>509073738.74010277</v>
      </c>
      <c r="AD206" s="194">
        <f t="shared" si="80"/>
        <v>5.1513706141980316E-3</v>
      </c>
      <c r="AG206">
        <v>2040</v>
      </c>
      <c r="AH206" t="s">
        <v>240</v>
      </c>
      <c r="AI206" t="s">
        <v>240</v>
      </c>
      <c r="AJ206" s="61">
        <f>AJ130*AJ187/'Demographic-Economic'!E$29</f>
        <v>0</v>
      </c>
      <c r="AK206" s="61">
        <f>AK130*AK187/'Demographic-Economic'!F$29</f>
        <v>0</v>
      </c>
      <c r="AL206" s="61">
        <f>AL130*AL187/'Demographic-Economic'!G$29</f>
        <v>0</v>
      </c>
      <c r="AM206" s="61"/>
      <c r="AN206" s="194">
        <f t="shared" si="81"/>
        <v>0</v>
      </c>
    </row>
    <row r="207" spans="2:40">
      <c r="E207">
        <v>2050</v>
      </c>
      <c r="F207" s="320" t="s">
        <v>240</v>
      </c>
      <c r="G207" s="320" t="s">
        <v>240</v>
      </c>
      <c r="H207" s="61">
        <f>H131*H188/'Demographic-Economic'!E$29</f>
        <v>0</v>
      </c>
      <c r="I207" s="61">
        <f>I131*I188/'Demographic-Economic'!F$29</f>
        <v>0</v>
      </c>
      <c r="J207" s="61">
        <f>J131*J188/'Demographic-Economic'!G$29</f>
        <v>0</v>
      </c>
      <c r="K207" s="61"/>
      <c r="L207" s="194">
        <f t="shared" si="78"/>
        <v>0</v>
      </c>
      <c r="M207" s="194"/>
      <c r="N207">
        <v>2050</v>
      </c>
      <c r="O207" t="s">
        <v>240</v>
      </c>
      <c r="P207" t="s">
        <v>240</v>
      </c>
      <c r="Q207" s="61">
        <f>Q131*Q188/'Demographic-Economic'!E$29</f>
        <v>0</v>
      </c>
      <c r="R207" s="61">
        <f>R131*R188/'Demographic-Economic'!F$29</f>
        <v>0</v>
      </c>
      <c r="S207" s="61">
        <f>S131*S188/'Demographic-Economic'!G$29</f>
        <v>0</v>
      </c>
      <c r="T207" s="61">
        <f>T131*T188/'Demographic-Economic'!H$29</f>
        <v>0</v>
      </c>
      <c r="U207" s="194">
        <f t="shared" si="79"/>
        <v>0</v>
      </c>
      <c r="W207">
        <v>2050</v>
      </c>
      <c r="X207" t="s">
        <v>240</v>
      </c>
      <c r="Y207" t="s">
        <v>240</v>
      </c>
      <c r="Z207" s="61">
        <f>Z131*Z188/'Demographic-Economic'!E$29</f>
        <v>0</v>
      </c>
      <c r="AA207" s="61">
        <f>AA131*AA188/'Demographic-Economic'!F$29</f>
        <v>0</v>
      </c>
      <c r="AB207" s="61">
        <f>AB131*AB188/'Demographic-Economic'!G$29</f>
        <v>0</v>
      </c>
      <c r="AC207" s="61">
        <f>AC131*AC188/'Demographic-Economic'!H$29</f>
        <v>0</v>
      </c>
      <c r="AD207" s="194">
        <f t="shared" si="80"/>
        <v>0</v>
      </c>
      <c r="AG207">
        <v>2050</v>
      </c>
      <c r="AH207" t="s">
        <v>240</v>
      </c>
      <c r="AI207" t="s">
        <v>240</v>
      </c>
      <c r="AJ207" s="61">
        <f>AJ131*AJ188/'Demographic-Economic'!E$29</f>
        <v>0</v>
      </c>
      <c r="AK207" s="61">
        <f>AK131*AK188/'Demographic-Economic'!F$29</f>
        <v>0</v>
      </c>
      <c r="AL207" s="61">
        <f>AL131*AL188/'Demographic-Economic'!G$29</f>
        <v>0</v>
      </c>
      <c r="AM207" s="61"/>
      <c r="AN207" s="194">
        <f t="shared" si="81"/>
        <v>0</v>
      </c>
    </row>
    <row r="208" spans="2:40">
      <c r="E208">
        <v>2060</v>
      </c>
      <c r="F208" s="320" t="s">
        <v>240</v>
      </c>
      <c r="G208" s="320" t="s">
        <v>240</v>
      </c>
      <c r="H208" s="61">
        <f>H132*H189/'Demographic-Economic'!E$29</f>
        <v>0</v>
      </c>
      <c r="I208" s="61">
        <f>I132*I189/'Demographic-Economic'!F$29</f>
        <v>0</v>
      </c>
      <c r="J208" s="61">
        <f>J132*J189/'Demographic-Economic'!G$29</f>
        <v>0</v>
      </c>
      <c r="K208" s="61"/>
      <c r="L208" s="194">
        <f t="shared" si="78"/>
        <v>0</v>
      </c>
      <c r="M208" s="194"/>
      <c r="N208">
        <v>2060</v>
      </c>
      <c r="O208" t="s">
        <v>240</v>
      </c>
      <c r="P208" t="s">
        <v>240</v>
      </c>
      <c r="Q208" s="61">
        <f>Q132*Q189/'Demographic-Economic'!E$29</f>
        <v>0</v>
      </c>
      <c r="R208" s="61">
        <f>R132*R189/'Demographic-Economic'!F$29</f>
        <v>0</v>
      </c>
      <c r="S208" s="61">
        <f>S132*S189/'Demographic-Economic'!G$29</f>
        <v>0</v>
      </c>
      <c r="T208" s="61">
        <f>T132*T189/'Demographic-Economic'!H$29</f>
        <v>0</v>
      </c>
      <c r="U208" s="194">
        <f t="shared" si="79"/>
        <v>0</v>
      </c>
      <c r="W208">
        <v>2060</v>
      </c>
      <c r="X208" t="s">
        <v>240</v>
      </c>
      <c r="Y208" t="s">
        <v>240</v>
      </c>
      <c r="Z208" s="61">
        <f>Z132*Z189/'Demographic-Economic'!E$29</f>
        <v>0</v>
      </c>
      <c r="AA208" s="61">
        <f>AA132*AA189/'Demographic-Economic'!F$29</f>
        <v>0</v>
      </c>
      <c r="AB208" s="61">
        <f>AB132*AB189/'Demographic-Economic'!G$29</f>
        <v>0</v>
      </c>
      <c r="AC208" s="61">
        <f>AC132*AC189/'Demographic-Economic'!H$29</f>
        <v>0</v>
      </c>
      <c r="AD208" s="194">
        <f t="shared" si="80"/>
        <v>0</v>
      </c>
      <c r="AG208">
        <v>2060</v>
      </c>
      <c r="AH208" t="s">
        <v>240</v>
      </c>
      <c r="AI208" t="s">
        <v>240</v>
      </c>
      <c r="AJ208" s="61">
        <f>AJ132*AJ189/'Demographic-Economic'!E$29</f>
        <v>0</v>
      </c>
      <c r="AK208" s="61">
        <f>AK132*AK189/'Demographic-Economic'!F$29</f>
        <v>0</v>
      </c>
      <c r="AL208" s="61">
        <f>AL132*AL189/'Demographic-Economic'!G$29</f>
        <v>0</v>
      </c>
      <c r="AM208" s="61"/>
      <c r="AN208" s="194">
        <f t="shared" si="81"/>
        <v>0</v>
      </c>
    </row>
    <row r="209" spans="5:40">
      <c r="E209">
        <v>2070</v>
      </c>
      <c r="F209" s="320" t="s">
        <v>240</v>
      </c>
      <c r="G209" s="320" t="s">
        <v>240</v>
      </c>
      <c r="H209" s="61">
        <f>H133*H190/'Demographic-Economic'!E$29</f>
        <v>0</v>
      </c>
      <c r="I209" s="61">
        <f>I133*I190/'Demographic-Economic'!F$29</f>
        <v>0</v>
      </c>
      <c r="J209" s="61">
        <f>J133*J190/'Demographic-Economic'!G$29</f>
        <v>0</v>
      </c>
      <c r="K209" s="61"/>
      <c r="L209" s="194">
        <f t="shared" si="78"/>
        <v>0</v>
      </c>
      <c r="M209" s="194"/>
      <c r="N209">
        <v>2070</v>
      </c>
      <c r="O209" t="s">
        <v>240</v>
      </c>
      <c r="P209" t="s">
        <v>240</v>
      </c>
      <c r="Q209" s="61">
        <f>Q133*Q190/'Demographic-Economic'!E$29</f>
        <v>0</v>
      </c>
      <c r="R209" s="61">
        <f>R133*R190/'Demographic-Economic'!F$29</f>
        <v>0</v>
      </c>
      <c r="S209" s="61">
        <f>S133*S190/'Demographic-Economic'!G$29</f>
        <v>0</v>
      </c>
      <c r="T209" s="61">
        <f>T133*T190/'Demographic-Economic'!H$29</f>
        <v>0</v>
      </c>
      <c r="U209" s="194">
        <f t="shared" si="79"/>
        <v>0</v>
      </c>
      <c r="W209">
        <v>2070</v>
      </c>
      <c r="X209" t="s">
        <v>240</v>
      </c>
      <c r="Y209" t="s">
        <v>240</v>
      </c>
      <c r="Z209" s="61">
        <f>Z133*Z190/'Demographic-Economic'!E$29</f>
        <v>0</v>
      </c>
      <c r="AA209" s="61">
        <f>AA133*AA190/'Demographic-Economic'!F$29</f>
        <v>0</v>
      </c>
      <c r="AB209" s="61">
        <f>AB133*AB190/'Demographic-Economic'!G$29</f>
        <v>0</v>
      </c>
      <c r="AC209" s="61">
        <f>AC133*AC190/'Demographic-Economic'!H$29</f>
        <v>0</v>
      </c>
      <c r="AD209" s="194">
        <f t="shared" si="80"/>
        <v>0</v>
      </c>
      <c r="AG209">
        <v>2070</v>
      </c>
      <c r="AH209" t="s">
        <v>240</v>
      </c>
      <c r="AI209" t="s">
        <v>240</v>
      </c>
      <c r="AJ209" s="61">
        <f>AJ133*AJ190/'Demographic-Economic'!E$29</f>
        <v>0</v>
      </c>
      <c r="AK209" s="61">
        <f>AK133*AK190/'Demographic-Economic'!F$29</f>
        <v>0</v>
      </c>
      <c r="AL209" s="61">
        <f>AL133*AL190/'Demographic-Economic'!G$29</f>
        <v>0</v>
      </c>
      <c r="AM209" s="61"/>
      <c r="AN209" s="194">
        <f t="shared" si="81"/>
        <v>0</v>
      </c>
    </row>
    <row r="210" spans="5:40">
      <c r="E210">
        <v>2080</v>
      </c>
      <c r="F210" s="320" t="s">
        <v>240</v>
      </c>
      <c r="G210" s="320" t="s">
        <v>240</v>
      </c>
      <c r="H210" s="61">
        <f>H134*H191/'Demographic-Economic'!E$29</f>
        <v>0</v>
      </c>
      <c r="I210" s="61">
        <f>I134*I191/'Demographic-Economic'!F$29</f>
        <v>0</v>
      </c>
      <c r="J210" s="61">
        <f>J134*J191/'Demographic-Economic'!G$29</f>
        <v>0</v>
      </c>
      <c r="K210" s="61"/>
      <c r="L210" s="194">
        <f t="shared" si="78"/>
        <v>0</v>
      </c>
      <c r="M210" s="194"/>
      <c r="N210">
        <v>2080</v>
      </c>
      <c r="O210" t="s">
        <v>240</v>
      </c>
      <c r="P210" t="s">
        <v>240</v>
      </c>
      <c r="Q210" s="61">
        <f>Q134*Q191/'Demographic-Economic'!E$29</f>
        <v>0</v>
      </c>
      <c r="R210" s="61">
        <f>R134*R191/'Demographic-Economic'!F$29</f>
        <v>0</v>
      </c>
      <c r="S210" s="61">
        <f>S134*S191/'Demographic-Economic'!G$29</f>
        <v>0</v>
      </c>
      <c r="T210" s="61">
        <f>T134*T191/'Demographic-Economic'!H$29</f>
        <v>0</v>
      </c>
      <c r="U210" s="194">
        <f t="shared" si="79"/>
        <v>0</v>
      </c>
      <c r="W210">
        <v>2080</v>
      </c>
      <c r="X210" t="s">
        <v>240</v>
      </c>
      <c r="Y210" t="s">
        <v>240</v>
      </c>
      <c r="Z210" s="61">
        <f>Z134*Z191/'Demographic-Economic'!E$29</f>
        <v>0</v>
      </c>
      <c r="AA210" s="61">
        <f>AA134*AA191/'Demographic-Economic'!F$29</f>
        <v>0</v>
      </c>
      <c r="AB210" s="61">
        <f>AB134*AB191/'Demographic-Economic'!G$29</f>
        <v>0</v>
      </c>
      <c r="AC210" s="61">
        <f>AC134*AC191/'Demographic-Economic'!H$29</f>
        <v>0</v>
      </c>
      <c r="AD210" s="194">
        <f t="shared" si="80"/>
        <v>0</v>
      </c>
      <c r="AG210">
        <v>2080</v>
      </c>
      <c r="AH210" t="s">
        <v>240</v>
      </c>
      <c r="AI210" t="s">
        <v>240</v>
      </c>
      <c r="AJ210" s="61">
        <f>AJ134*AJ191/'Demographic-Economic'!E$29</f>
        <v>0</v>
      </c>
      <c r="AK210" s="61">
        <f>AK134*AK191/'Demographic-Economic'!F$29</f>
        <v>0</v>
      </c>
      <c r="AL210" s="61">
        <f>AL134*AL191/'Demographic-Economic'!G$29</f>
        <v>0</v>
      </c>
      <c r="AM210" s="61"/>
      <c r="AN210" s="194">
        <f t="shared" si="81"/>
        <v>0</v>
      </c>
    </row>
    <row r="211" spans="5:40">
      <c r="E211">
        <v>2090</v>
      </c>
      <c r="F211" s="320" t="s">
        <v>240</v>
      </c>
      <c r="G211" s="320" t="s">
        <v>240</v>
      </c>
      <c r="H211" s="61">
        <f>H135*H192/'Demographic-Economic'!E$29</f>
        <v>0</v>
      </c>
      <c r="I211" s="61">
        <f>I135*I192/'Demographic-Economic'!F$29</f>
        <v>0</v>
      </c>
      <c r="J211" s="61">
        <f>J135*J192/'Demographic-Economic'!G$29</f>
        <v>0</v>
      </c>
      <c r="K211" s="61"/>
      <c r="L211" s="194">
        <f t="shared" si="78"/>
        <v>0</v>
      </c>
      <c r="M211" s="194"/>
      <c r="N211">
        <v>2090</v>
      </c>
      <c r="O211" t="s">
        <v>240</v>
      </c>
      <c r="P211" t="s">
        <v>240</v>
      </c>
      <c r="Q211" s="61">
        <f>Q135*Q192/'Demographic-Economic'!E$29</f>
        <v>0</v>
      </c>
      <c r="R211" s="61">
        <f>R135*R192/'Demographic-Economic'!F$29</f>
        <v>0</v>
      </c>
      <c r="S211" s="61">
        <f>S135*S192/'Demographic-Economic'!G$29</f>
        <v>0</v>
      </c>
      <c r="T211" s="61">
        <f>T135*T192/'Demographic-Economic'!H$29</f>
        <v>0</v>
      </c>
      <c r="U211" s="194">
        <f t="shared" si="79"/>
        <v>0</v>
      </c>
      <c r="W211">
        <v>2090</v>
      </c>
      <c r="X211" t="s">
        <v>240</v>
      </c>
      <c r="Y211" t="s">
        <v>240</v>
      </c>
      <c r="Z211" s="61">
        <f>Z135*Z192/'Demographic-Economic'!E$29</f>
        <v>0</v>
      </c>
      <c r="AA211" s="61">
        <f>AA135*AA192/'Demographic-Economic'!F$29</f>
        <v>0</v>
      </c>
      <c r="AB211" s="61">
        <f>AB135*AB192/'Demographic-Economic'!G$29</f>
        <v>0</v>
      </c>
      <c r="AC211" s="61">
        <f>AC135*AC192/'Demographic-Economic'!H$29</f>
        <v>0</v>
      </c>
      <c r="AD211" s="194">
        <f t="shared" si="80"/>
        <v>0</v>
      </c>
      <c r="AG211">
        <v>2090</v>
      </c>
      <c r="AH211" t="s">
        <v>240</v>
      </c>
      <c r="AI211" t="s">
        <v>240</v>
      </c>
      <c r="AJ211" s="61">
        <f>AJ135*AJ192/'Demographic-Economic'!E$29</f>
        <v>0</v>
      </c>
      <c r="AK211" s="61">
        <f>AK135*AK192/'Demographic-Economic'!F$29</f>
        <v>0</v>
      </c>
      <c r="AL211" s="61">
        <f>AL135*AL192/'Demographic-Economic'!G$29</f>
        <v>0</v>
      </c>
      <c r="AM211" s="61"/>
      <c r="AN211" s="194">
        <f t="shared" si="81"/>
        <v>0</v>
      </c>
    </row>
    <row r="212" spans="5:40">
      <c r="E212">
        <v>2100</v>
      </c>
      <c r="F212" s="320" t="s">
        <v>240</v>
      </c>
      <c r="G212" s="320" t="s">
        <v>240</v>
      </c>
      <c r="H212" s="61">
        <f>H136*H193/'Demographic-Economic'!E$29</f>
        <v>0</v>
      </c>
      <c r="I212" s="61">
        <f>I136*I193/'Demographic-Economic'!F$29</f>
        <v>0</v>
      </c>
      <c r="J212" s="61">
        <f>J136*J193/'Demographic-Economic'!G$29</f>
        <v>0</v>
      </c>
      <c r="K212" s="61"/>
      <c r="L212" s="194">
        <f t="shared" si="78"/>
        <v>0</v>
      </c>
      <c r="M212" s="194"/>
      <c r="N212">
        <v>2100</v>
      </c>
      <c r="O212" t="s">
        <v>240</v>
      </c>
      <c r="P212" t="s">
        <v>240</v>
      </c>
      <c r="Q212" s="61">
        <f>Q136*Q193/'Demographic-Economic'!E$29</f>
        <v>0</v>
      </c>
      <c r="R212" s="61">
        <f>R136*R193/'Demographic-Economic'!F$29</f>
        <v>0</v>
      </c>
      <c r="S212" s="61">
        <f>S136*S193/'Demographic-Economic'!G$29</f>
        <v>0</v>
      </c>
      <c r="T212" s="61">
        <f>T136*T193/'Demographic-Economic'!H$29</f>
        <v>0</v>
      </c>
      <c r="U212" s="194">
        <f t="shared" si="79"/>
        <v>0</v>
      </c>
      <c r="W212">
        <v>2100</v>
      </c>
      <c r="X212" t="s">
        <v>240</v>
      </c>
      <c r="Y212" t="s">
        <v>240</v>
      </c>
      <c r="Z212" s="61">
        <f>Z136*Z193/'Demographic-Economic'!E$29</f>
        <v>0</v>
      </c>
      <c r="AA212" s="61">
        <f>AA136*AA193/'Demographic-Economic'!F$29</f>
        <v>0</v>
      </c>
      <c r="AB212" s="61">
        <f>AB136*AB193/'Demographic-Economic'!G$29</f>
        <v>0</v>
      </c>
      <c r="AC212" s="61">
        <f>AC136*AC193/'Demographic-Economic'!H$29</f>
        <v>0</v>
      </c>
      <c r="AD212" s="194">
        <f t="shared" si="80"/>
        <v>0</v>
      </c>
      <c r="AG212">
        <v>2100</v>
      </c>
      <c r="AH212" t="s">
        <v>240</v>
      </c>
      <c r="AI212" t="s">
        <v>240</v>
      </c>
      <c r="AJ212" s="61">
        <f>AJ136*AJ193/'Demographic-Economic'!E$29</f>
        <v>0</v>
      </c>
      <c r="AK212" s="61">
        <f>AK136*AK193/'Demographic-Economic'!F$29</f>
        <v>0</v>
      </c>
      <c r="AL212" s="61">
        <f>AL136*AL193/'Demographic-Economic'!G$29</f>
        <v>0</v>
      </c>
      <c r="AM212" s="61"/>
      <c r="AN212" s="194">
        <f t="shared" si="81"/>
        <v>0</v>
      </c>
    </row>
    <row r="213" spans="5:40">
      <c r="F213" s="581" t="s">
        <v>287</v>
      </c>
      <c r="G213" s="581"/>
      <c r="H213" s="581"/>
      <c r="I213" s="581"/>
      <c r="J213" s="581"/>
      <c r="K213" s="581"/>
      <c r="O213" s="581" t="s">
        <v>287</v>
      </c>
      <c r="P213" s="581"/>
      <c r="Q213" s="581"/>
      <c r="R213" s="581"/>
      <c r="S213" s="581"/>
      <c r="T213" s="581"/>
      <c r="X213" s="581" t="s">
        <v>288</v>
      </c>
      <c r="Y213" s="581"/>
      <c r="Z213" s="581"/>
      <c r="AA213" s="581"/>
      <c r="AB213" s="581"/>
      <c r="AC213" s="581"/>
      <c r="AH213" s="581" t="s">
        <v>288</v>
      </c>
      <c r="AI213" s="581"/>
      <c r="AJ213" s="581"/>
      <c r="AK213" s="581"/>
      <c r="AL213" s="581"/>
      <c r="AM213" s="581"/>
    </row>
    <row r="214" spans="5:40">
      <c r="E214">
        <v>2020</v>
      </c>
      <c r="F214" s="320" t="s">
        <v>240</v>
      </c>
      <c r="G214" s="320" t="s">
        <v>240</v>
      </c>
      <c r="H214" s="62">
        <f>(('Demographic-Economic'!E$23*1000*(1+'Inflation-Interest'!$C$65)*(1+'Inflation-Interest'!$C$66)*(1+'Inflation-Interest'!$C$67)) * AVERAGE('Demographic-Economic'!$C12:$H12)/'V cost Experiment'!H24)*$C$5</f>
        <v>1485.0822843802528</v>
      </c>
      <c r="I214" s="62">
        <f>(('Demographic-Economic'!F$23*1000*(1+'Inflation-Interest'!$C$65)*(1+'Inflation-Interest'!$C$66)*(1+'Inflation-Interest'!$C$67)) * AVERAGE('Demographic-Economic'!$C12:$H12)/'V cost Experiment'!I24)*$C$5</f>
        <v>700.05617365998603</v>
      </c>
      <c r="J214" s="62">
        <f>(('Demographic-Economic'!G$23*1000*(1+'Inflation-Interest'!$C$65)*(1+'Inflation-Interest'!$C$66)*(1+'Inflation-Interest'!$C$67)) * AVERAGE('Demographic-Economic'!$C12:$H12)/'V cost Experiment'!J24)*$C$5</f>
        <v>822.63168389439056</v>
      </c>
      <c r="K214" s="62"/>
      <c r="L214" s="329">
        <f t="shared" ref="L214:L231" si="82">SUMPRODUCT(H214:K214, H24:K24)/SUM(H24:K24)</f>
        <v>1209.1285134157781</v>
      </c>
      <c r="M214" s="329"/>
      <c r="N214">
        <v>2020</v>
      </c>
      <c r="O214" s="320" t="s">
        <v>240</v>
      </c>
      <c r="P214" s="320" t="s">
        <v>240</v>
      </c>
      <c r="Q214" s="170">
        <f>(('Demographic-Economic'!E$23*1000*(1+'Inflation-Interest'!$C$65)*(1+'Inflation-Interest'!$C$66)*(1+'Inflation-Interest'!$C$67)) * AVERAGE('Demographic-Economic'!$C12:$H12)/'V cost Experiment'!Q24)*$C$5</f>
        <v>1485.0822843802528</v>
      </c>
      <c r="R214" s="170">
        <f>(('Demographic-Economic'!F$23*1000*(1+'Inflation-Interest'!$C$65)*(1+'Inflation-Interest'!$C$66)*(1+'Inflation-Interest'!$C$67)) * AVERAGE('Demographic-Economic'!$C12:$H12)/'V cost Experiment'!R24)*$C$5</f>
        <v>700.05617365998603</v>
      </c>
      <c r="S214" s="170">
        <f>(('Demographic-Economic'!G$23*1000*(1+'Inflation-Interest'!$C$65)*(1+'Inflation-Interest'!$C$66)*(1+'Inflation-Interest'!$C$67)) * AVERAGE('Demographic-Economic'!$C12:$H12)/'V cost Experiment'!S24)*$C$5</f>
        <v>822.63168389439056</v>
      </c>
      <c r="T214" s="170">
        <f>(('Demographic-Economic'!H$23*1000*(1+'Inflation-Interest'!$C$65)*(1+'Inflation-Interest'!$C$66)*(1+'Inflation-Interest'!$C$67)) * AVERAGE('Demographic-Economic'!$C12:$H12)/'V cost Experiment'!T24)*$C$5</f>
        <v>227.44146166410471</v>
      </c>
      <c r="U214" s="172">
        <f t="shared" ref="U214:U231" si="83">SUMPRODUCT(Q214:T214, Q24:T24)/SUM(Q24:T24)</f>
        <v>1218.8996901679086</v>
      </c>
      <c r="W214">
        <v>2020</v>
      </c>
      <c r="Z214" s="170">
        <v>3712.7057109506318</v>
      </c>
      <c r="AA214" s="170">
        <v>1750.1404341499649</v>
      </c>
      <c r="AB214" s="170">
        <v>2056.5792097359763</v>
      </c>
      <c r="AC214" s="170">
        <v>568.60365416026173</v>
      </c>
      <c r="AD214" s="172">
        <f t="shared" ref="AD214:AD231" si="84">SUMPRODUCT(Z214:AC214, Z24:AC24)/SUM(Z24:AC24)</f>
        <v>3047.2492254197723</v>
      </c>
      <c r="AG214">
        <v>2020</v>
      </c>
      <c r="AH214" t="s">
        <v>240</v>
      </c>
      <c r="AI214" t="s">
        <v>240</v>
      </c>
      <c r="AJ214" s="170">
        <v>3712.7057109506318</v>
      </c>
      <c r="AK214" s="170">
        <v>1750.1404341499649</v>
      </c>
      <c r="AL214" s="170">
        <v>2056.5792097359763</v>
      </c>
      <c r="AM214" s="170"/>
      <c r="AN214" s="172">
        <f t="shared" ref="AN214:AN231" si="85">SUMPRODUCT(AJ214:AM214, AJ24:AM24)/SUM(AJ24:AM24)</f>
        <v>3022.8212835394461</v>
      </c>
    </row>
    <row r="215" spans="5:40">
      <c r="E215">
        <v>2021</v>
      </c>
      <c r="F215" s="320" t="s">
        <v>240</v>
      </c>
      <c r="G215" s="320" t="s">
        <v>240</v>
      </c>
      <c r="H215" s="62">
        <f t="shared" ref="H215:H224" si="86">H214*(1+$C$6)</f>
        <v>1540.8310357673172</v>
      </c>
      <c r="I215" s="62">
        <f t="shared" ref="I215:I224" si="87">I214*(1+$C$6)</f>
        <v>726.33569903903719</v>
      </c>
      <c r="J215" s="62">
        <f t="shared" ref="J215:J224" si="88">J214*(1+$C$6)</f>
        <v>853.51259178138275</v>
      </c>
      <c r="K215" s="62"/>
      <c r="L215" s="329">
        <f t="shared" si="82"/>
        <v>1254.4612954451329</v>
      </c>
      <c r="M215" s="329"/>
      <c r="N215">
        <v>2021</v>
      </c>
      <c r="O215" s="320" t="s">
        <v>240</v>
      </c>
      <c r="P215" s="320" t="s">
        <v>240</v>
      </c>
      <c r="Q215" s="170">
        <f t="shared" ref="Q215:Q224" si="89">Q214*(1+$C$6)</f>
        <v>1540.8310357673172</v>
      </c>
      <c r="R215" s="170">
        <f t="shared" ref="R215:R224" si="90">R214*(1+$C$6)</f>
        <v>726.33569903903719</v>
      </c>
      <c r="S215" s="170">
        <f t="shared" ref="S215:S224" si="91">S214*(1+$C$6)</f>
        <v>853.51259178138275</v>
      </c>
      <c r="T215" s="170">
        <f t="shared" ref="T215:T224" si="92">T214*(1+$C$6)</f>
        <v>235.97942460042381</v>
      </c>
      <c r="U215" s="172">
        <f t="shared" si="83"/>
        <v>1264.3774418474304</v>
      </c>
      <c r="W215">
        <v>2021</v>
      </c>
      <c r="Z215" s="170">
        <v>3852.077589418293</v>
      </c>
      <c r="AA215" s="170">
        <v>1815.8392475975927</v>
      </c>
      <c r="AB215" s="170">
        <v>2133.7814794534565</v>
      </c>
      <c r="AC215" s="170">
        <v>589.94856150105954</v>
      </c>
      <c r="AD215" s="172">
        <f t="shared" si="84"/>
        <v>3160.943604618576</v>
      </c>
      <c r="AG215">
        <v>2021</v>
      </c>
      <c r="AH215" t="s">
        <v>240</v>
      </c>
      <c r="AI215" t="s">
        <v>240</v>
      </c>
      <c r="AJ215" s="170">
        <v>3852.077589418293</v>
      </c>
      <c r="AK215" s="170">
        <v>1815.8392475975927</v>
      </c>
      <c r="AL215" s="170">
        <v>2133.7814794534565</v>
      </c>
      <c r="AM215" s="170"/>
      <c r="AN215" s="172">
        <f t="shared" si="85"/>
        <v>3136.1532386128329</v>
      </c>
    </row>
    <row r="216" spans="5:40">
      <c r="E216">
        <v>2022</v>
      </c>
      <c r="F216" s="320" t="s">
        <v>240</v>
      </c>
      <c r="G216" s="320" t="s">
        <v>240</v>
      </c>
      <c r="H216" s="62">
        <f t="shared" si="86"/>
        <v>1598.6725488241591</v>
      </c>
      <c r="I216" s="62">
        <f t="shared" si="87"/>
        <v>753.60173590121349</v>
      </c>
      <c r="J216" s="62">
        <f t="shared" si="88"/>
        <v>885.55274321636273</v>
      </c>
      <c r="K216" s="62"/>
      <c r="L216" s="329">
        <f t="shared" si="82"/>
        <v>1301.5584133374937</v>
      </c>
      <c r="M216" s="329"/>
      <c r="N216">
        <v>2022</v>
      </c>
      <c r="O216" s="320" t="s">
        <v>240</v>
      </c>
      <c r="P216" s="320" t="s">
        <v>240</v>
      </c>
      <c r="Q216" s="170">
        <f t="shared" si="89"/>
        <v>1598.6725488241591</v>
      </c>
      <c r="R216" s="170">
        <f t="shared" si="90"/>
        <v>753.60173590121349</v>
      </c>
      <c r="S216" s="170">
        <f t="shared" si="91"/>
        <v>885.55274321636273</v>
      </c>
      <c r="T216" s="170">
        <f t="shared" si="92"/>
        <v>244.83789555040323</v>
      </c>
      <c r="U216" s="172">
        <f t="shared" si="83"/>
        <v>1311.6081913762487</v>
      </c>
      <c r="W216">
        <v>2022</v>
      </c>
      <c r="Z216" s="170">
        <v>3996.6813720603977</v>
      </c>
      <c r="AA216" s="170">
        <v>1884.0043397530333</v>
      </c>
      <c r="AB216" s="170">
        <v>2213.8818580409065</v>
      </c>
      <c r="AC216" s="170">
        <v>612.09473887600802</v>
      </c>
      <c r="AD216" s="172">
        <f t="shared" si="84"/>
        <v>3279.0104820683669</v>
      </c>
      <c r="AG216">
        <v>2022</v>
      </c>
      <c r="AH216" t="s">
        <v>240</v>
      </c>
      <c r="AI216" t="s">
        <v>240</v>
      </c>
      <c r="AJ216" s="170">
        <v>3996.6813720603977</v>
      </c>
      <c r="AK216" s="170">
        <v>1884.0043397530333</v>
      </c>
      <c r="AL216" s="170">
        <v>2213.8818580409065</v>
      </c>
      <c r="AM216" s="170"/>
      <c r="AN216" s="172">
        <f t="shared" si="85"/>
        <v>3253.8947822449959</v>
      </c>
    </row>
    <row r="217" spans="5:40">
      <c r="E217">
        <v>2023</v>
      </c>
      <c r="F217" s="320" t="s">
        <v>240</v>
      </c>
      <c r="G217" s="320" t="s">
        <v>240</v>
      </c>
      <c r="H217" s="62">
        <f t="shared" si="86"/>
        <v>1658.685384079894</v>
      </c>
      <c r="I217" s="62">
        <f t="shared" si="87"/>
        <v>781.89131706549847</v>
      </c>
      <c r="J217" s="62">
        <f t="shared" si="88"/>
        <v>918.79565523608562</v>
      </c>
      <c r="K217" s="62"/>
      <c r="L217" s="329">
        <f t="shared" si="82"/>
        <v>1350.4835812589681</v>
      </c>
      <c r="M217" s="329"/>
      <c r="N217">
        <v>2023</v>
      </c>
      <c r="O217" s="320" t="s">
        <v>240</v>
      </c>
      <c r="P217" s="320" t="s">
        <v>240</v>
      </c>
      <c r="Q217" s="170">
        <f t="shared" si="89"/>
        <v>1658.685384079894</v>
      </c>
      <c r="R217" s="170">
        <f t="shared" si="90"/>
        <v>781.89131706549847</v>
      </c>
      <c r="S217" s="170">
        <f t="shared" si="91"/>
        <v>918.79565523608562</v>
      </c>
      <c r="T217" s="170">
        <f t="shared" si="92"/>
        <v>254.02890611778574</v>
      </c>
      <c r="U217" s="172">
        <f t="shared" si="83"/>
        <v>1360.6571732746786</v>
      </c>
      <c r="W217">
        <v>2023</v>
      </c>
      <c r="Z217" s="170">
        <v>4146.713460199735</v>
      </c>
      <c r="AA217" s="170">
        <v>1954.7282926637456</v>
      </c>
      <c r="AB217" s="170">
        <v>2296.9891380902136</v>
      </c>
      <c r="AC217" s="170">
        <v>635.07226529446427</v>
      </c>
      <c r="AD217" s="172">
        <f t="shared" si="84"/>
        <v>3401.6167813623738</v>
      </c>
      <c r="AG217">
        <v>2023</v>
      </c>
      <c r="AH217" t="s">
        <v>240</v>
      </c>
      <c r="AI217" t="s">
        <v>240</v>
      </c>
      <c r="AJ217" s="170">
        <v>4146.713460199735</v>
      </c>
      <c r="AK217" s="170">
        <v>1954.7282926637456</v>
      </c>
      <c r="AL217" s="170">
        <v>2296.9891380902136</v>
      </c>
      <c r="AM217" s="170"/>
      <c r="AN217" s="172">
        <f t="shared" si="85"/>
        <v>3376.2058996692926</v>
      </c>
    </row>
    <row r="218" spans="5:40">
      <c r="E218">
        <v>2024</v>
      </c>
      <c r="F218" s="320" t="s">
        <v>240</v>
      </c>
      <c r="G218" s="320" t="s">
        <v>240</v>
      </c>
      <c r="H218" s="62">
        <f t="shared" si="86"/>
        <v>1720.9510511604333</v>
      </c>
      <c r="I218" s="62">
        <f t="shared" si="87"/>
        <v>811.24286553203979</v>
      </c>
      <c r="J218" s="62">
        <f t="shared" si="88"/>
        <v>953.28647847060222</v>
      </c>
      <c r="K218" s="62"/>
      <c r="L218" s="329">
        <f t="shared" si="82"/>
        <v>1401.3032795478136</v>
      </c>
      <c r="M218" s="329"/>
      <c r="N218">
        <v>2024</v>
      </c>
      <c r="O218" s="320" t="s">
        <v>240</v>
      </c>
      <c r="P218" s="320" t="s">
        <v>240</v>
      </c>
      <c r="Q218" s="170">
        <f t="shared" si="89"/>
        <v>1720.9510511604333</v>
      </c>
      <c r="R218" s="170">
        <f t="shared" si="90"/>
        <v>811.24286553203979</v>
      </c>
      <c r="S218" s="170">
        <f t="shared" si="91"/>
        <v>953.28647847060222</v>
      </c>
      <c r="T218" s="170">
        <f t="shared" si="92"/>
        <v>263.5649395626923</v>
      </c>
      <c r="U218" s="172">
        <f t="shared" si="83"/>
        <v>1411.5920869789263</v>
      </c>
      <c r="W218">
        <v>2024</v>
      </c>
      <c r="Z218" s="170">
        <v>4302.3776279010826</v>
      </c>
      <c r="AA218" s="170">
        <v>2028.1071638300987</v>
      </c>
      <c r="AB218" s="170">
        <v>2383.216196176505</v>
      </c>
      <c r="AC218" s="170">
        <v>658.9123489067307</v>
      </c>
      <c r="AD218" s="172">
        <f t="shared" si="84"/>
        <v>3528.9353670988676</v>
      </c>
      <c r="AG218">
        <v>2024</v>
      </c>
      <c r="AH218" t="s">
        <v>240</v>
      </c>
      <c r="AI218" t="s">
        <v>240</v>
      </c>
      <c r="AJ218" s="170">
        <v>4302.3776279010826</v>
      </c>
      <c r="AK218" s="170">
        <v>2028.1071638300987</v>
      </c>
      <c r="AL218" s="170">
        <v>2383.216196176505</v>
      </c>
      <c r="AM218" s="170"/>
      <c r="AN218" s="172">
        <f t="shared" si="85"/>
        <v>3503.2533677092101</v>
      </c>
    </row>
    <row r="219" spans="5:40">
      <c r="E219">
        <v>2025</v>
      </c>
      <c r="F219" s="320" t="s">
        <v>240</v>
      </c>
      <c r="G219" s="320" t="s">
        <v>240</v>
      </c>
      <c r="H219" s="62">
        <f t="shared" si="86"/>
        <v>1785.5541194951199</v>
      </c>
      <c r="I219" s="62">
        <f t="shared" si="87"/>
        <v>841.69624666839127</v>
      </c>
      <c r="J219" s="62">
        <f t="shared" si="88"/>
        <v>989.07205846698992</v>
      </c>
      <c r="K219" s="62"/>
      <c r="L219" s="329">
        <f t="shared" si="82"/>
        <v>1454.0868126210671</v>
      </c>
      <c r="M219" s="329"/>
      <c r="N219">
        <v>2025</v>
      </c>
      <c r="O219" s="320" t="s">
        <v>240</v>
      </c>
      <c r="P219" s="320" t="s">
        <v>240</v>
      </c>
      <c r="Q219" s="170">
        <f t="shared" si="89"/>
        <v>1785.5541194951199</v>
      </c>
      <c r="R219" s="170">
        <f t="shared" si="90"/>
        <v>841.69624666839127</v>
      </c>
      <c r="S219" s="170">
        <f t="shared" si="91"/>
        <v>989.07205846698992</v>
      </c>
      <c r="T219" s="170">
        <f t="shared" si="92"/>
        <v>273.45894775642614</v>
      </c>
      <c r="U219" s="172">
        <f t="shared" si="83"/>
        <v>1464.4831970447101</v>
      </c>
      <c r="W219">
        <v>2025</v>
      </c>
      <c r="Z219" s="170">
        <v>4463.8852987377995</v>
      </c>
      <c r="AA219" s="170">
        <v>2104.2406166709775</v>
      </c>
      <c r="AB219" s="170">
        <v>2472.680146167474</v>
      </c>
      <c r="AC219" s="170">
        <v>683.64736939106524</v>
      </c>
      <c r="AD219" s="172">
        <f t="shared" si="84"/>
        <v>3661.1452867820276</v>
      </c>
      <c r="AG219">
        <v>2025</v>
      </c>
      <c r="AH219" t="s">
        <v>240</v>
      </c>
      <c r="AI219" t="s">
        <v>240</v>
      </c>
      <c r="AJ219" s="170">
        <v>4463.8852987377995</v>
      </c>
      <c r="AK219" s="170">
        <v>2104.2406166709775</v>
      </c>
      <c r="AL219" s="170">
        <v>2472.680146167474</v>
      </c>
      <c r="AM219" s="170"/>
      <c r="AN219" s="172">
        <f t="shared" si="85"/>
        <v>3635.2109247058006</v>
      </c>
    </row>
    <row r="220" spans="5:40">
      <c r="E220">
        <v>2026</v>
      </c>
      <c r="F220" s="320" t="s">
        <v>240</v>
      </c>
      <c r="G220" s="320" t="s">
        <v>240</v>
      </c>
      <c r="H220" s="62">
        <f t="shared" si="86"/>
        <v>1852.5823331792005</v>
      </c>
      <c r="I220" s="62">
        <f t="shared" si="87"/>
        <v>873.29282235478377</v>
      </c>
      <c r="J220" s="62">
        <f t="shared" si="88"/>
        <v>1026.2009993151253</v>
      </c>
      <c r="K220" s="62"/>
      <c r="L220" s="329">
        <f t="shared" si="82"/>
        <v>1508.906376337374</v>
      </c>
      <c r="M220" s="329"/>
      <c r="N220">
        <v>2026</v>
      </c>
      <c r="O220" s="320" t="s">
        <v>240</v>
      </c>
      <c r="P220" s="320" t="s">
        <v>240</v>
      </c>
      <c r="Q220" s="170">
        <f t="shared" si="89"/>
        <v>1852.5823331792005</v>
      </c>
      <c r="R220" s="170">
        <f t="shared" si="90"/>
        <v>873.29282235478377</v>
      </c>
      <c r="S220" s="170">
        <f t="shared" si="91"/>
        <v>1026.2009993151253</v>
      </c>
      <c r="T220" s="170">
        <f t="shared" si="92"/>
        <v>283.72436877274589</v>
      </c>
      <c r="U220" s="172">
        <f t="shared" si="83"/>
        <v>1519.4034359171451</v>
      </c>
      <c r="W220">
        <v>2026</v>
      </c>
      <c r="Z220" s="170">
        <v>4631.4558329480005</v>
      </c>
      <c r="AA220" s="170">
        <v>2183.2320558869587</v>
      </c>
      <c r="AB220" s="170">
        <v>2565.5024982878126</v>
      </c>
      <c r="AC220" s="170">
        <v>709.31092193186464</v>
      </c>
      <c r="AD220" s="172">
        <f t="shared" si="84"/>
        <v>3798.4320250055844</v>
      </c>
      <c r="AG220">
        <v>2026</v>
      </c>
      <c r="AH220" t="s">
        <v>240</v>
      </c>
      <c r="AI220" t="s">
        <v>240</v>
      </c>
      <c r="AJ220" s="170">
        <v>4631.4558329480005</v>
      </c>
      <c r="AK220" s="170">
        <v>2183.2320558869587</v>
      </c>
      <c r="AL220" s="170">
        <v>2565.5024982878126</v>
      </c>
      <c r="AM220" s="170"/>
      <c r="AN220" s="172">
        <f t="shared" si="85"/>
        <v>3772.2594588784332</v>
      </c>
    </row>
    <row r="221" spans="5:40">
      <c r="E221">
        <v>2027</v>
      </c>
      <c r="F221" s="320" t="s">
        <v>240</v>
      </c>
      <c r="G221" s="320" t="s">
        <v>240</v>
      </c>
      <c r="H221" s="62">
        <f t="shared" si="86"/>
        <v>1922.1267301481369</v>
      </c>
      <c r="I221" s="62">
        <f t="shared" si="87"/>
        <v>906.07550716196374</v>
      </c>
      <c r="J221" s="62">
        <f t="shared" si="88"/>
        <v>1064.7237296619157</v>
      </c>
      <c r="K221" s="62"/>
      <c r="L221" s="329">
        <f t="shared" si="82"/>
        <v>1565.8371338889435</v>
      </c>
      <c r="M221" s="329"/>
      <c r="N221">
        <v>2027</v>
      </c>
      <c r="O221" s="320" t="s">
        <v>240</v>
      </c>
      <c r="P221" s="320" t="s">
        <v>240</v>
      </c>
      <c r="Q221" s="170">
        <f t="shared" si="89"/>
        <v>1922.1267301481369</v>
      </c>
      <c r="R221" s="170">
        <f t="shared" si="90"/>
        <v>906.07550716196374</v>
      </c>
      <c r="S221" s="170">
        <f t="shared" si="91"/>
        <v>1064.7237296619157</v>
      </c>
      <c r="T221" s="170">
        <f t="shared" si="92"/>
        <v>294.37514513950077</v>
      </c>
      <c r="U221" s="172">
        <f t="shared" si="83"/>
        <v>1576.4285094867444</v>
      </c>
      <c r="W221">
        <v>2027</v>
      </c>
      <c r="Z221" s="170">
        <v>4805.3168253703407</v>
      </c>
      <c r="AA221" s="170">
        <v>2265.1887679049087</v>
      </c>
      <c r="AB221" s="170">
        <v>2661.8093241547886</v>
      </c>
      <c r="AC221" s="170">
        <v>735.93786284875193</v>
      </c>
      <c r="AD221" s="172">
        <f t="shared" si="84"/>
        <v>3940.9877696097615</v>
      </c>
      <c r="AG221">
        <v>2027</v>
      </c>
      <c r="AH221" t="s">
        <v>240</v>
      </c>
      <c r="AI221" t="s">
        <v>240</v>
      </c>
      <c r="AJ221" s="170">
        <v>4805.3168253703407</v>
      </c>
      <c r="AK221" s="170">
        <v>2265.1887679049087</v>
      </c>
      <c r="AL221" s="170">
        <v>2661.8093241547886</v>
      </c>
      <c r="AM221" s="170"/>
      <c r="AN221" s="172">
        <f t="shared" si="85"/>
        <v>3914.5872139498606</v>
      </c>
    </row>
    <row r="222" spans="5:40">
      <c r="E222">
        <v>2028</v>
      </c>
      <c r="F222" s="320" t="s">
        <v>240</v>
      </c>
      <c r="G222" s="320" t="s">
        <v>240</v>
      </c>
      <c r="H222" s="62">
        <f t="shared" si="86"/>
        <v>1994.2817658256229</v>
      </c>
      <c r="I222" s="62">
        <f t="shared" si="87"/>
        <v>940.08882663790121</v>
      </c>
      <c r="J222" s="62">
        <f t="shared" si="88"/>
        <v>1104.6925712036493</v>
      </c>
      <c r="K222" s="62"/>
      <c r="L222" s="329">
        <f t="shared" si="82"/>
        <v>1624.9572995134679</v>
      </c>
      <c r="M222" s="329"/>
      <c r="N222">
        <v>2028</v>
      </c>
      <c r="O222" s="320" t="s">
        <v>240</v>
      </c>
      <c r="P222" s="320" t="s">
        <v>240</v>
      </c>
      <c r="Q222" s="170">
        <f t="shared" si="89"/>
        <v>1994.2817658256229</v>
      </c>
      <c r="R222" s="170">
        <f t="shared" si="90"/>
        <v>940.08882663790121</v>
      </c>
      <c r="S222" s="170">
        <f t="shared" si="91"/>
        <v>1104.6925712036493</v>
      </c>
      <c r="T222" s="170">
        <f t="shared" si="92"/>
        <v>305.42574277541667</v>
      </c>
      <c r="U222" s="172">
        <f t="shared" si="83"/>
        <v>1635.6370056578942</v>
      </c>
      <c r="W222">
        <v>2028</v>
      </c>
      <c r="Z222" s="170">
        <v>4985.7044145640557</v>
      </c>
      <c r="AA222" s="170">
        <v>2350.2220665947525</v>
      </c>
      <c r="AB222" s="170">
        <v>2761.7314280091227</v>
      </c>
      <c r="AC222" s="170">
        <v>763.56435693854166</v>
      </c>
      <c r="AD222" s="172">
        <f t="shared" si="84"/>
        <v>4089.0116895234914</v>
      </c>
      <c r="AG222">
        <v>2028</v>
      </c>
      <c r="AH222" t="s">
        <v>240</v>
      </c>
      <c r="AI222" t="s">
        <v>240</v>
      </c>
      <c r="AJ222" s="170">
        <v>4985.7044145640557</v>
      </c>
      <c r="AK222" s="170">
        <v>2350.2220665947525</v>
      </c>
      <c r="AL222" s="170">
        <v>2761.7314280091227</v>
      </c>
      <c r="AM222" s="170"/>
      <c r="AN222" s="172">
        <f t="shared" si="85"/>
        <v>4062.3900111425723</v>
      </c>
    </row>
    <row r="223" spans="5:40">
      <c r="E223">
        <v>2029</v>
      </c>
      <c r="F223" s="320" t="s">
        <v>240</v>
      </c>
      <c r="G223" s="320" t="s">
        <v>240</v>
      </c>
      <c r="H223" s="62">
        <f t="shared" si="86"/>
        <v>2069.1454414132454</v>
      </c>
      <c r="I223" s="62">
        <f t="shared" si="87"/>
        <v>975.3789777825325</v>
      </c>
      <c r="J223" s="62">
        <f t="shared" si="88"/>
        <v>1146.1618097494916</v>
      </c>
      <c r="K223" s="62"/>
      <c r="L223" s="329">
        <f t="shared" si="82"/>
        <v>1686.3482294882526</v>
      </c>
      <c r="M223" s="329"/>
      <c r="N223">
        <v>2029</v>
      </c>
      <c r="O223" s="320" t="s">
        <v>240</v>
      </c>
      <c r="P223" s="320" t="s">
        <v>240</v>
      </c>
      <c r="Q223" s="170">
        <f t="shared" si="89"/>
        <v>2069.1454414132454</v>
      </c>
      <c r="R223" s="170">
        <f t="shared" si="90"/>
        <v>975.3789777825325</v>
      </c>
      <c r="S223" s="170">
        <f t="shared" si="91"/>
        <v>1146.1618097494916</v>
      </c>
      <c r="T223" s="170">
        <f t="shared" si="92"/>
        <v>316.89117063775348</v>
      </c>
      <c r="U223" s="172">
        <f t="shared" si="83"/>
        <v>1697.1105061599856</v>
      </c>
      <c r="W223">
        <v>2029</v>
      </c>
      <c r="Z223" s="170">
        <v>5172.8636035331119</v>
      </c>
      <c r="AA223" s="170">
        <v>2438.4474444563307</v>
      </c>
      <c r="AB223" s="170">
        <v>2865.4045243737287</v>
      </c>
      <c r="AC223" s="170">
        <v>792.22792659438369</v>
      </c>
      <c r="AD223" s="172">
        <f t="shared" si="84"/>
        <v>4242.7102240476297</v>
      </c>
      <c r="AG223">
        <v>2029</v>
      </c>
      <c r="AH223" t="s">
        <v>240</v>
      </c>
      <c r="AI223" t="s">
        <v>240</v>
      </c>
      <c r="AJ223" s="170">
        <v>5172.8636035331119</v>
      </c>
      <c r="AK223" s="170">
        <v>2438.4474444563307</v>
      </c>
      <c r="AL223" s="170">
        <v>2865.4045243737287</v>
      </c>
      <c r="AM223" s="170"/>
      <c r="AN223" s="172">
        <f t="shared" si="85"/>
        <v>4215.8714868800025</v>
      </c>
    </row>
    <row r="224" spans="5:40">
      <c r="E224">
        <v>2030</v>
      </c>
      <c r="F224" s="320" t="s">
        <v>240</v>
      </c>
      <c r="G224" s="320" t="s">
        <v>240</v>
      </c>
      <c r="H224" s="62">
        <f t="shared" si="86"/>
        <v>2146.8194369960306</v>
      </c>
      <c r="I224" s="62">
        <f t="shared" si="87"/>
        <v>1011.9938917926739</v>
      </c>
      <c r="J224" s="62">
        <f t="shared" si="88"/>
        <v>1189.1877689526461</v>
      </c>
      <c r="K224" s="62"/>
      <c r="L224" s="329">
        <f t="shared" si="82"/>
        <v>1750.0945200048882</v>
      </c>
      <c r="M224" s="329"/>
      <c r="N224">
        <v>2030</v>
      </c>
      <c r="O224" s="320" t="s">
        <v>240</v>
      </c>
      <c r="P224" s="320" t="s">
        <v>240</v>
      </c>
      <c r="Q224" s="170">
        <f t="shared" si="89"/>
        <v>2146.8194369960306</v>
      </c>
      <c r="R224" s="170">
        <f t="shared" si="90"/>
        <v>1011.9938917926739</v>
      </c>
      <c r="S224" s="170">
        <f t="shared" si="91"/>
        <v>1189.1877689526461</v>
      </c>
      <c r="T224" s="170">
        <f t="shared" si="92"/>
        <v>328.78700110751919</v>
      </c>
      <c r="U224" s="172">
        <f t="shared" si="83"/>
        <v>1760.9337018332371</v>
      </c>
      <c r="W224">
        <v>2030</v>
      </c>
      <c r="Z224" s="170">
        <v>5367.048592490075</v>
      </c>
      <c r="AA224" s="170">
        <v>2529.9847294816841</v>
      </c>
      <c r="AB224" s="170">
        <v>2972.969422381615</v>
      </c>
      <c r="AC224" s="170">
        <v>821.967502768798</v>
      </c>
      <c r="AD224" s="172">
        <f t="shared" si="84"/>
        <v>4402.2973833961423</v>
      </c>
      <c r="AG224">
        <v>2030</v>
      </c>
      <c r="AH224" t="s">
        <v>240</v>
      </c>
      <c r="AI224" t="s">
        <v>240</v>
      </c>
      <c r="AJ224" s="170">
        <v>5367.048592490075</v>
      </c>
      <c r="AK224" s="170">
        <v>2529.9847294816841</v>
      </c>
      <c r="AL224" s="170">
        <v>2972.969422381615</v>
      </c>
      <c r="AM224" s="170"/>
      <c r="AN224" s="172">
        <f t="shared" si="85"/>
        <v>4375.2433457133448</v>
      </c>
    </row>
    <row r="225" spans="5:40">
      <c r="E225">
        <v>2040</v>
      </c>
      <c r="F225" s="320" t="s">
        <v>240</v>
      </c>
      <c r="G225" s="320" t="s">
        <v>240</v>
      </c>
      <c r="H225" s="62">
        <f t="shared" ref="H225:J231" si="93">H224*(1+$C$6)^10</f>
        <v>3103.4197522511618</v>
      </c>
      <c r="I225" s="62">
        <f t="shared" si="93"/>
        <v>1462.9277985956285</v>
      </c>
      <c r="J225" s="62">
        <f t="shared" si="93"/>
        <v>1719.0774164347929</v>
      </c>
      <c r="K225" s="62"/>
      <c r="L225" s="329">
        <f t="shared" si="82"/>
        <v>2536.6401335240907</v>
      </c>
      <c r="M225" s="329"/>
      <c r="N225">
        <v>2040</v>
      </c>
      <c r="O225" s="320" t="s">
        <v>240</v>
      </c>
      <c r="P225" s="320" t="s">
        <v>240</v>
      </c>
      <c r="Q225" s="170">
        <f t="shared" ref="Q225:T231" si="94">Q224*(1+$C$6)^10</f>
        <v>3103.4197522511618</v>
      </c>
      <c r="R225" s="170">
        <f t="shared" si="94"/>
        <v>1462.9277985956285</v>
      </c>
      <c r="S225" s="170">
        <f t="shared" si="94"/>
        <v>1719.0774164347929</v>
      </c>
      <c r="T225" s="170">
        <f t="shared" si="94"/>
        <v>475.2910542622343</v>
      </c>
      <c r="U225" s="172">
        <f t="shared" si="83"/>
        <v>2547.7275594484527</v>
      </c>
      <c r="W225">
        <v>2040</v>
      </c>
      <c r="Z225" s="170">
        <v>7758.5493806279028</v>
      </c>
      <c r="AA225" s="170">
        <v>3657.3194964890699</v>
      </c>
      <c r="AB225" s="170">
        <v>4297.6935410869819</v>
      </c>
      <c r="AC225" s="170">
        <v>1188.2276356555858</v>
      </c>
      <c r="AD225" s="172">
        <f t="shared" si="84"/>
        <v>6369.9074559021965</v>
      </c>
      <c r="AG225">
        <v>2040</v>
      </c>
      <c r="AH225" t="s">
        <v>240</v>
      </c>
      <c r="AI225" t="s">
        <v>240</v>
      </c>
      <c r="AJ225" s="170">
        <v>7758.5493806279028</v>
      </c>
      <c r="AK225" s="170">
        <v>3657.3194964890699</v>
      </c>
      <c r="AL225" s="170">
        <v>4297.6935410869819</v>
      </c>
      <c r="AM225" s="170"/>
      <c r="AN225" s="172">
        <f t="shared" si="85"/>
        <v>6341.7202251889876</v>
      </c>
    </row>
    <row r="226" spans="5:40">
      <c r="E226">
        <v>2050</v>
      </c>
      <c r="F226" s="320" t="s">
        <v>240</v>
      </c>
      <c r="G226" s="320" t="s">
        <v>240</v>
      </c>
      <c r="H226" s="62">
        <f t="shared" si="93"/>
        <v>4486.2711752504365</v>
      </c>
      <c r="I226" s="62">
        <f t="shared" si="93"/>
        <v>2114.7931437735429</v>
      </c>
      <c r="J226" s="62">
        <f t="shared" si="93"/>
        <v>2485.080355559729</v>
      </c>
      <c r="K226" s="62"/>
      <c r="L226" s="329">
        <f t="shared" si="82"/>
        <v>3666.9404790498188</v>
      </c>
      <c r="M226" s="329"/>
      <c r="N226">
        <v>2050</v>
      </c>
      <c r="O226" s="320" t="s">
        <v>240</v>
      </c>
      <c r="P226" s="320" t="s">
        <v>240</v>
      </c>
      <c r="Q226" s="170">
        <f t="shared" si="94"/>
        <v>4486.2711752504365</v>
      </c>
      <c r="R226" s="170">
        <f t="shared" si="94"/>
        <v>2114.7931437735429</v>
      </c>
      <c r="S226" s="170">
        <f t="shared" si="94"/>
        <v>2485.080355559729</v>
      </c>
      <c r="T226" s="170">
        <f t="shared" si="94"/>
        <v>687.07578310808071</v>
      </c>
      <c r="U226" s="172">
        <f t="shared" si="83"/>
        <v>3690.6083573772235</v>
      </c>
      <c r="W226">
        <v>2050</v>
      </c>
      <c r="Z226" s="170">
        <v>11215.677938126089</v>
      </c>
      <c r="AA226" s="170">
        <v>5286.982859433856</v>
      </c>
      <c r="AB226" s="170">
        <v>6212.7008888993214</v>
      </c>
      <c r="AC226" s="170">
        <v>1717.6894577702019</v>
      </c>
      <c r="AD226" s="172">
        <f t="shared" si="84"/>
        <v>9231.3603415447196</v>
      </c>
      <c r="AG226">
        <v>2050</v>
      </c>
      <c r="AH226" t="s">
        <v>240</v>
      </c>
      <c r="AI226" t="s">
        <v>240</v>
      </c>
      <c r="AJ226" s="170">
        <v>11215.677938126089</v>
      </c>
      <c r="AK226" s="170">
        <v>5286.982859433856</v>
      </c>
      <c r="AL226" s="170">
        <v>6212.7008888993214</v>
      </c>
      <c r="AM226" s="170"/>
      <c r="AN226" s="172">
        <f t="shared" si="85"/>
        <v>9167.5245113492892</v>
      </c>
    </row>
    <row r="227" spans="5:40">
      <c r="E227">
        <v>2060</v>
      </c>
      <c r="F227" s="320" t="s">
        <v>240</v>
      </c>
      <c r="G227" s="320" t="s">
        <v>240</v>
      </c>
      <c r="H227" s="62">
        <f t="shared" si="93"/>
        <v>6485.3067469469634</v>
      </c>
      <c r="I227" s="62">
        <f t="shared" si="93"/>
        <v>3057.1228773182938</v>
      </c>
      <c r="J227" s="62">
        <f t="shared" si="93"/>
        <v>3592.4062026226488</v>
      </c>
      <c r="K227" s="62"/>
      <c r="L227" s="329">
        <f t="shared" si="82"/>
        <v>5300.8908513220204</v>
      </c>
      <c r="M227" s="329"/>
      <c r="N227">
        <v>2060</v>
      </c>
      <c r="O227" s="320" t="s">
        <v>240</v>
      </c>
      <c r="P227" s="320" t="s">
        <v>240</v>
      </c>
      <c r="Q227" s="170">
        <f t="shared" si="94"/>
        <v>6485.3067469469634</v>
      </c>
      <c r="R227" s="170">
        <f t="shared" si="94"/>
        <v>3057.1228773182938</v>
      </c>
      <c r="S227" s="170">
        <f t="shared" si="94"/>
        <v>3592.4062026226488</v>
      </c>
      <c r="T227" s="170">
        <f t="shared" si="94"/>
        <v>993.22957480517516</v>
      </c>
      <c r="U227" s="172">
        <f t="shared" si="83"/>
        <v>5335.1048889953145</v>
      </c>
      <c r="W227">
        <v>2060</v>
      </c>
      <c r="Z227" s="170">
        <v>16213.266867367405</v>
      </c>
      <c r="AA227" s="170">
        <v>7642.8071932957328</v>
      </c>
      <c r="AB227" s="170">
        <v>8981.0155065566214</v>
      </c>
      <c r="AC227" s="170">
        <v>2483.0739370129381</v>
      </c>
      <c r="AD227" s="172">
        <f t="shared" si="84"/>
        <v>13344.758078110732</v>
      </c>
      <c r="AG227">
        <v>2060</v>
      </c>
      <c r="AH227" t="s">
        <v>240</v>
      </c>
      <c r="AI227" t="s">
        <v>240</v>
      </c>
      <c r="AJ227" s="170">
        <v>16213.266867367405</v>
      </c>
      <c r="AK227" s="170">
        <v>7642.8071932957328</v>
      </c>
      <c r="AL227" s="170">
        <v>8981.0155065566214</v>
      </c>
      <c r="AM227" s="170"/>
      <c r="AN227" s="172">
        <f t="shared" si="85"/>
        <v>13252.477668815085</v>
      </c>
    </row>
    <row r="228" spans="5:40">
      <c r="E228">
        <v>2070</v>
      </c>
      <c r="F228" s="320" t="s">
        <v>240</v>
      </c>
      <c r="G228" s="320" t="s">
        <v>240</v>
      </c>
      <c r="H228" s="62">
        <f t="shared" si="93"/>
        <v>9375.0916872848065</v>
      </c>
      <c r="I228" s="62">
        <f t="shared" si="93"/>
        <v>4419.3448964688323</v>
      </c>
      <c r="J228" s="62">
        <f t="shared" si="93"/>
        <v>5193.1448799107047</v>
      </c>
      <c r="K228" s="62"/>
      <c r="L228" s="329">
        <f t="shared" si="82"/>
        <v>7662.9124410851191</v>
      </c>
      <c r="M228" s="329"/>
      <c r="N228">
        <v>2070</v>
      </c>
      <c r="O228" s="320" t="s">
        <v>240</v>
      </c>
      <c r="P228" s="320" t="s">
        <v>240</v>
      </c>
      <c r="Q228" s="170">
        <f t="shared" si="94"/>
        <v>9375.0916872848065</v>
      </c>
      <c r="R228" s="170">
        <f t="shared" si="94"/>
        <v>4419.3448964688323</v>
      </c>
      <c r="S228" s="170">
        <f t="shared" si="94"/>
        <v>5193.1448799107047</v>
      </c>
      <c r="T228" s="170">
        <f t="shared" si="94"/>
        <v>1435.802297972255</v>
      </c>
      <c r="U228" s="172">
        <f t="shared" si="83"/>
        <v>7712.371896542697</v>
      </c>
      <c r="W228">
        <v>2070</v>
      </c>
      <c r="Z228" s="170">
        <v>23437.729218212011</v>
      </c>
      <c r="AA228" s="170">
        <v>11048.362241172077</v>
      </c>
      <c r="AB228" s="170">
        <v>12982.86219977676</v>
      </c>
      <c r="AC228" s="170">
        <v>3589.5057449306382</v>
      </c>
      <c r="AD228" s="172">
        <f t="shared" si="84"/>
        <v>19291.042877165208</v>
      </c>
      <c r="AG228">
        <v>2070</v>
      </c>
      <c r="AH228" t="s">
        <v>240</v>
      </c>
      <c r="AI228" t="s">
        <v>240</v>
      </c>
      <c r="AJ228" s="170">
        <v>23437.729218212011</v>
      </c>
      <c r="AK228" s="170">
        <v>11048.362241172077</v>
      </c>
      <c r="AL228" s="170">
        <v>12982.86219977676</v>
      </c>
      <c r="AM228" s="170"/>
      <c r="AN228" s="172">
        <f t="shared" si="85"/>
        <v>19157.643281456934</v>
      </c>
    </row>
    <row r="229" spans="5:40">
      <c r="E229">
        <v>2080</v>
      </c>
      <c r="F229" s="320" t="s">
        <v>240</v>
      </c>
      <c r="G229" s="320" t="s">
        <v>240</v>
      </c>
      <c r="H229" s="62">
        <f t="shared" si="93"/>
        <v>13552.534610081946</v>
      </c>
      <c r="I229" s="62">
        <f t="shared" si="93"/>
        <v>6388.5588174582472</v>
      </c>
      <c r="J229" s="62">
        <f t="shared" si="93"/>
        <v>7507.155990337099</v>
      </c>
      <c r="K229" s="62"/>
      <c r="L229" s="329">
        <f t="shared" si="82"/>
        <v>11077.426177355173</v>
      </c>
      <c r="M229" s="329"/>
      <c r="N229">
        <v>2080</v>
      </c>
      <c r="O229" s="320" t="s">
        <v>240</v>
      </c>
      <c r="P229" s="320" t="s">
        <v>240</v>
      </c>
      <c r="Q229" s="170">
        <f t="shared" si="94"/>
        <v>13552.534610081946</v>
      </c>
      <c r="R229" s="170">
        <f t="shared" si="94"/>
        <v>6388.5588174582472</v>
      </c>
      <c r="S229" s="170">
        <f t="shared" si="94"/>
        <v>7507.155990337099</v>
      </c>
      <c r="T229" s="170">
        <f t="shared" si="94"/>
        <v>2075.5808034278307</v>
      </c>
      <c r="U229" s="172">
        <f t="shared" si="83"/>
        <v>11148.924249506697</v>
      </c>
      <c r="W229">
        <v>2080</v>
      </c>
      <c r="Z229" s="170">
        <v>33881.336525204853</v>
      </c>
      <c r="AA229" s="170">
        <v>15971.397043645611</v>
      </c>
      <c r="AB229" s="170">
        <v>18767.889975842747</v>
      </c>
      <c r="AC229" s="170">
        <v>5188.9520085695785</v>
      </c>
      <c r="AD229" s="172">
        <f t="shared" si="84"/>
        <v>27886.930067248726</v>
      </c>
      <c r="AG229">
        <v>2080</v>
      </c>
      <c r="AH229" t="s">
        <v>240</v>
      </c>
      <c r="AI229" t="s">
        <v>240</v>
      </c>
      <c r="AJ229" s="170">
        <v>33881.336525204853</v>
      </c>
      <c r="AK229" s="170">
        <v>15971.397043645611</v>
      </c>
      <c r="AL229" s="170">
        <v>18767.889975842747</v>
      </c>
      <c r="AM229" s="170"/>
      <c r="AN229" s="172">
        <f t="shared" si="85"/>
        <v>27694.089005197107</v>
      </c>
    </row>
    <row r="230" spans="5:40">
      <c r="E230">
        <v>2090</v>
      </c>
      <c r="F230" s="320" t="s">
        <v>240</v>
      </c>
      <c r="G230" s="320" t="s">
        <v>240</v>
      </c>
      <c r="H230" s="62">
        <f t="shared" si="93"/>
        <v>19591.402461330323</v>
      </c>
      <c r="I230" s="62">
        <f t="shared" si="93"/>
        <v>9235.2338910535527</v>
      </c>
      <c r="J230" s="62">
        <f t="shared" si="93"/>
        <v>10852.26627919983</v>
      </c>
      <c r="K230" s="62"/>
      <c r="L230" s="329">
        <f t="shared" si="82"/>
        <v>16013.411566187384</v>
      </c>
      <c r="M230" s="329"/>
      <c r="N230">
        <v>2090</v>
      </c>
      <c r="O230" s="320" t="s">
        <v>240</v>
      </c>
      <c r="P230" s="320" t="s">
        <v>240</v>
      </c>
      <c r="Q230" s="170">
        <f t="shared" si="94"/>
        <v>19591.402461330323</v>
      </c>
      <c r="R230" s="170">
        <f t="shared" si="94"/>
        <v>9235.2338910535527</v>
      </c>
      <c r="S230" s="170">
        <f t="shared" si="94"/>
        <v>10852.26627919983</v>
      </c>
      <c r="T230" s="170">
        <f t="shared" si="94"/>
        <v>3000.4379277301914</v>
      </c>
      <c r="U230" s="172">
        <f t="shared" si="83"/>
        <v>16116.768432414292</v>
      </c>
      <c r="W230">
        <v>2090</v>
      </c>
      <c r="Z230" s="170">
        <v>48978.50615332579</v>
      </c>
      <c r="AA230" s="170">
        <v>23088.084727633872</v>
      </c>
      <c r="AB230" s="170">
        <v>27130.665697999575</v>
      </c>
      <c r="AC230" s="170">
        <v>7501.0948193254808</v>
      </c>
      <c r="AD230" s="172">
        <f t="shared" si="84"/>
        <v>40313.054795817254</v>
      </c>
      <c r="AG230">
        <v>2090</v>
      </c>
      <c r="AH230" t="s">
        <v>240</v>
      </c>
      <c r="AI230" t="s">
        <v>240</v>
      </c>
      <c r="AJ230" s="170">
        <v>48978.50615332579</v>
      </c>
      <c r="AK230" s="170">
        <v>23088.084727633872</v>
      </c>
      <c r="AL230" s="170">
        <v>27130.665697999575</v>
      </c>
      <c r="AM230" s="170"/>
      <c r="AN230" s="172">
        <f t="shared" si="85"/>
        <v>40034.285770950628</v>
      </c>
    </row>
    <row r="231" spans="5:40">
      <c r="E231">
        <v>2100</v>
      </c>
      <c r="F231" s="320" t="s">
        <v>240</v>
      </c>
      <c r="G231" s="320" t="s">
        <v>240</v>
      </c>
      <c r="H231" s="62">
        <f t="shared" si="93"/>
        <v>28321.126744534395</v>
      </c>
      <c r="I231" s="62">
        <f t="shared" si="93"/>
        <v>13350.357640817254</v>
      </c>
      <c r="J231" s="62">
        <f t="shared" si="93"/>
        <v>15687.922769454713</v>
      </c>
      <c r="K231" s="62"/>
      <c r="L231" s="329">
        <f t="shared" si="82"/>
        <v>23148.820482532752</v>
      </c>
      <c r="M231" s="329"/>
      <c r="N231">
        <v>2100</v>
      </c>
      <c r="O231" s="320" t="s">
        <v>240</v>
      </c>
      <c r="P231" s="320" t="s">
        <v>240</v>
      </c>
      <c r="Q231" s="170">
        <f t="shared" si="94"/>
        <v>28321.126744534395</v>
      </c>
      <c r="R231" s="170">
        <f t="shared" si="94"/>
        <v>13350.357640817254</v>
      </c>
      <c r="S231" s="170">
        <f t="shared" si="94"/>
        <v>15687.922769454713</v>
      </c>
      <c r="T231" s="170">
        <f t="shared" si="94"/>
        <v>4337.4017254803894</v>
      </c>
      <c r="U231" s="172">
        <f t="shared" si="83"/>
        <v>23298.232088675184</v>
      </c>
      <c r="W231">
        <v>2100</v>
      </c>
      <c r="Z231" s="170">
        <v>70802.816861335959</v>
      </c>
      <c r="AA231" s="170">
        <v>33375.894102043116</v>
      </c>
      <c r="AB231" s="170">
        <v>39219.806923636781</v>
      </c>
      <c r="AC231" s="170">
        <v>10843.504313700976</v>
      </c>
      <c r="AD231" s="172">
        <f t="shared" si="84"/>
        <v>58276.130899011419</v>
      </c>
      <c r="AG231">
        <v>2100</v>
      </c>
      <c r="AH231" t="s">
        <v>240</v>
      </c>
      <c r="AI231" t="s">
        <v>240</v>
      </c>
      <c r="AJ231" s="170">
        <v>70802.816861335959</v>
      </c>
      <c r="AK231" s="170">
        <v>33375.894102043116</v>
      </c>
      <c r="AL231" s="170">
        <v>39219.806923636781</v>
      </c>
      <c r="AM231" s="170"/>
      <c r="AN231" s="172">
        <f t="shared" si="85"/>
        <v>57873.145308710722</v>
      </c>
    </row>
    <row r="232" spans="5:40">
      <c r="F232" s="581" t="s">
        <v>289</v>
      </c>
      <c r="G232" s="581"/>
      <c r="H232" s="581"/>
      <c r="I232" s="581"/>
      <c r="J232" s="581"/>
      <c r="K232" s="581"/>
      <c r="L232" s="329"/>
      <c r="M232" s="329"/>
      <c r="O232" s="581" t="s">
        <v>290</v>
      </c>
      <c r="P232" s="581"/>
      <c r="Q232" s="581"/>
      <c r="R232" s="581"/>
      <c r="S232" s="581"/>
      <c r="T232" s="581"/>
      <c r="X232" s="581" t="s">
        <v>291</v>
      </c>
      <c r="Y232" s="581"/>
      <c r="Z232" s="581"/>
      <c r="AA232" s="581"/>
      <c r="AB232" s="581"/>
      <c r="AC232" s="581"/>
      <c r="AD232" s="172"/>
      <c r="AH232" s="581" t="s">
        <v>291</v>
      </c>
      <c r="AI232" s="581"/>
      <c r="AJ232" s="581"/>
      <c r="AK232" s="581"/>
      <c r="AL232" s="581"/>
      <c r="AM232" s="581"/>
    </row>
    <row r="233" spans="5:40">
      <c r="E233">
        <v>2020</v>
      </c>
      <c r="F233" s="320"/>
      <c r="G233" s="320"/>
      <c r="H233" s="62">
        <f>(('Demographic-Economic'!E$23*1000*(1+'Inflation-Interest'!$C$65)*(1+'Inflation-Interest'!$C$66)*(1+'Inflation-Interest'!$C$67))*(1-AVERAGE('Demographic-Economic'!$C12:$H12))/'V cost Experiment'!H43)*$C$9</f>
        <v>0</v>
      </c>
      <c r="I233" s="62">
        <f>(('Demographic-Economic'!F$23*1000*(1+'Inflation-Interest'!$C$65)*(1+'Inflation-Interest'!$C$66)*(1+'Inflation-Interest'!$C$67))*(1-AVERAGE('Demographic-Economic'!$C12:$H12))/'V cost Experiment'!I43)*$C$9</f>
        <v>0</v>
      </c>
      <c r="J233" s="62">
        <f>(('Demographic-Economic'!G$23*1000*(1+'Inflation-Interest'!$C$65)*(1+'Inflation-Interest'!$C$66)*(1+'Inflation-Interest'!$C$67))*(1-AVERAGE('Demographic-Economic'!$C12:$H12))/'V cost Experiment'!J43)*$C$9</f>
        <v>0</v>
      </c>
      <c r="K233" s="62"/>
      <c r="L233" s="329">
        <f t="shared" ref="L233:L250" si="95">SUMPRODUCT(H233:K233, H43:K43)/SUM(H43:K43)</f>
        <v>0</v>
      </c>
      <c r="M233" s="329"/>
      <c r="N233">
        <v>2020</v>
      </c>
      <c r="O233" s="320" t="s">
        <v>240</v>
      </c>
      <c r="P233" s="320" t="s">
        <v>240</v>
      </c>
      <c r="Q233" s="170">
        <f>(('Demographic-Economic'!E$23*1000*(1+'Inflation-Interest'!$C$65)*(1+'Inflation-Interest'!$C$66)*(1+'Inflation-Interest'!$C$67))*(1-AVERAGE('Demographic-Economic'!$C12:$H12))/'V cost Experiment'!Q43)*$C$9</f>
        <v>0</v>
      </c>
      <c r="R233" s="170">
        <f>(('Demographic-Economic'!F$23*1000*(1+'Inflation-Interest'!$C$65)*(1+'Inflation-Interest'!$C$66)*(1+'Inflation-Interest'!$C$67))*(1-AVERAGE('Demographic-Economic'!$C12:$H12))/'V cost Experiment'!R43)*$C$9</f>
        <v>0</v>
      </c>
      <c r="S233" s="170">
        <f>(('Demographic-Economic'!G$23*1000*(1+'Inflation-Interest'!$C$65)*(1+'Inflation-Interest'!$C$66)*(1+'Inflation-Interest'!$C$67))*(1-AVERAGE('Demographic-Economic'!$C12:$H12))/'V cost Experiment'!S43)*$C$9</f>
        <v>0</v>
      </c>
      <c r="T233" s="170">
        <f>(('Demographic-Economic'!H$23*1000*(1+'Inflation-Interest'!$C$65)*(1+'Inflation-Interest'!$C$66)*(1+'Inflation-Interest'!$C$67))*(1-AVERAGE('Demographic-Economic'!$C12:$H12))/'V cost Experiment'!T43)*$C$9</f>
        <v>0</v>
      </c>
      <c r="U233" s="172">
        <f t="shared" ref="U233:U250" si="96">SUMPRODUCT(Q233:T233, Q43:T43)/SUM(Q43:T43)</f>
        <v>0</v>
      </c>
      <c r="W233">
        <v>2020</v>
      </c>
      <c r="Z233" s="170">
        <v>1780.0404876791742</v>
      </c>
      <c r="AA233" s="170">
        <v>819.57362796571203</v>
      </c>
      <c r="AB233" s="170">
        <v>855.17687677573451</v>
      </c>
      <c r="AC233" s="170">
        <v>356.92519915203928</v>
      </c>
      <c r="AD233" s="172">
        <f t="shared" ref="AD233:AD250" si="97">SUMPRODUCT(Z233:AC233, Z43:AC43)/SUM(Z43:AC43)</f>
        <v>1435.3323749932013</v>
      </c>
      <c r="AG233">
        <v>2020</v>
      </c>
      <c r="AJ233" s="170">
        <v>1780.0404876791742</v>
      </c>
      <c r="AK233" s="170">
        <v>819.57362796571203</v>
      </c>
      <c r="AL233" s="170">
        <v>855.17687677573451</v>
      </c>
      <c r="AM233" s="170"/>
      <c r="AN233" s="172">
        <f t="shared" ref="AN233:AN250" si="98">SUMPRODUCT(AJ233:AM233, AJ43:AM43)/SUM(AJ43:AM43)</f>
        <v>1423.8261891706568</v>
      </c>
    </row>
    <row r="234" spans="5:40">
      <c r="E234">
        <v>2021</v>
      </c>
      <c r="F234" s="320" t="s">
        <v>240</v>
      </c>
      <c r="G234" s="320" t="s">
        <v>240</v>
      </c>
      <c r="H234" s="62">
        <f t="shared" ref="H234:H243" si="99">H233*(1+$C$6)</f>
        <v>0</v>
      </c>
      <c r="I234" s="62">
        <f t="shared" ref="I234:I243" si="100">I233*(1+$C$6)</f>
        <v>0</v>
      </c>
      <c r="J234" s="62">
        <f t="shared" ref="J234:J243" si="101">J233*(1+$C$6)</f>
        <v>0</v>
      </c>
      <c r="K234" s="62"/>
      <c r="L234" s="329">
        <f t="shared" si="95"/>
        <v>0</v>
      </c>
      <c r="M234" s="329"/>
      <c r="N234">
        <v>2021</v>
      </c>
      <c r="O234" s="320" t="s">
        <v>240</v>
      </c>
      <c r="P234" s="320" t="s">
        <v>240</v>
      </c>
      <c r="Q234" s="170">
        <f t="shared" ref="Q234:Q243" si="102">Q233*(1+$C$6)</f>
        <v>0</v>
      </c>
      <c r="R234" s="170">
        <f t="shared" ref="R234:R243" si="103">R233*(1+$C$6)</f>
        <v>0</v>
      </c>
      <c r="S234" s="170">
        <f t="shared" ref="S234:S243" si="104">S233*(1+$C$6)</f>
        <v>0</v>
      </c>
      <c r="T234" s="170">
        <f t="shared" ref="T234:T243" si="105">T233*(1+$C$6)</f>
        <v>0</v>
      </c>
      <c r="U234" s="172">
        <f t="shared" si="96"/>
        <v>0</v>
      </c>
      <c r="W234">
        <v>2021</v>
      </c>
      <c r="Z234" s="170">
        <v>1846.8617242195774</v>
      </c>
      <c r="AA234" s="170">
        <v>850.33973898152158</v>
      </c>
      <c r="AB234" s="170">
        <v>887.27950408249831</v>
      </c>
      <c r="AC234" s="170">
        <v>370.32387369054089</v>
      </c>
      <c r="AD234" s="172">
        <f t="shared" si="97"/>
        <v>1488.8872118348729</v>
      </c>
      <c r="AG234">
        <v>2021</v>
      </c>
      <c r="AJ234" s="170">
        <v>1846.8617242195774</v>
      </c>
      <c r="AK234" s="170">
        <v>850.33973898152158</v>
      </c>
      <c r="AL234" s="170">
        <v>887.27950408249831</v>
      </c>
      <c r="AM234" s="170"/>
      <c r="AN234" s="172">
        <f t="shared" si="98"/>
        <v>1477.1364015373294</v>
      </c>
    </row>
    <row r="235" spans="5:40">
      <c r="E235">
        <v>2022</v>
      </c>
      <c r="F235" s="320" t="s">
        <v>240</v>
      </c>
      <c r="G235" s="320" t="s">
        <v>240</v>
      </c>
      <c r="H235" s="62">
        <f t="shared" si="99"/>
        <v>0</v>
      </c>
      <c r="I235" s="62">
        <f t="shared" si="100"/>
        <v>0</v>
      </c>
      <c r="J235" s="62">
        <f t="shared" si="101"/>
        <v>0</v>
      </c>
      <c r="K235" s="62"/>
      <c r="L235" s="329">
        <f t="shared" si="95"/>
        <v>0</v>
      </c>
      <c r="M235" s="329"/>
      <c r="N235">
        <v>2022</v>
      </c>
      <c r="O235" s="320" t="s">
        <v>240</v>
      </c>
      <c r="P235" s="320" t="s">
        <v>240</v>
      </c>
      <c r="Q235" s="170">
        <f t="shared" si="102"/>
        <v>0</v>
      </c>
      <c r="R235" s="170">
        <f t="shared" si="103"/>
        <v>0</v>
      </c>
      <c r="S235" s="170">
        <f t="shared" si="104"/>
        <v>0</v>
      </c>
      <c r="T235" s="170">
        <f t="shared" si="105"/>
        <v>0</v>
      </c>
      <c r="U235" s="172">
        <f t="shared" si="96"/>
        <v>0</v>
      </c>
      <c r="W235">
        <v>2022</v>
      </c>
      <c r="Z235" s="170">
        <v>1916.1913742953434</v>
      </c>
      <c r="AA235" s="170">
        <v>882.26078416643873</v>
      </c>
      <c r="AB235" s="170">
        <v>920.58723726616859</v>
      </c>
      <c r="AC235" s="170">
        <v>384.22552330565571</v>
      </c>
      <c r="AD235" s="172">
        <f t="shared" si="97"/>
        <v>1544.5088867578609</v>
      </c>
      <c r="AG235">
        <v>2022</v>
      </c>
      <c r="AJ235" s="170">
        <v>1916.1913742953434</v>
      </c>
      <c r="AK235" s="170">
        <v>882.26078416643873</v>
      </c>
      <c r="AL235" s="170">
        <v>920.58723726616859</v>
      </c>
      <c r="AM235" s="170"/>
      <c r="AN235" s="172">
        <f t="shared" si="98"/>
        <v>1532.5256211923531</v>
      </c>
    </row>
    <row r="236" spans="5:40">
      <c r="E236">
        <v>2023</v>
      </c>
      <c r="F236" s="320" t="s">
        <v>240</v>
      </c>
      <c r="G236" s="320" t="s">
        <v>240</v>
      </c>
      <c r="H236" s="62">
        <f t="shared" si="99"/>
        <v>0</v>
      </c>
      <c r="I236" s="62">
        <f t="shared" si="100"/>
        <v>0</v>
      </c>
      <c r="J236" s="62">
        <f t="shared" si="101"/>
        <v>0</v>
      </c>
      <c r="K236" s="62"/>
      <c r="L236" s="329">
        <f t="shared" si="95"/>
        <v>0</v>
      </c>
      <c r="M236" s="329"/>
      <c r="N236">
        <v>2023</v>
      </c>
      <c r="O236" s="320" t="s">
        <v>240</v>
      </c>
      <c r="P236" s="320" t="s">
        <v>240</v>
      </c>
      <c r="Q236" s="170">
        <f t="shared" si="102"/>
        <v>0</v>
      </c>
      <c r="R236" s="170">
        <f t="shared" si="103"/>
        <v>0</v>
      </c>
      <c r="S236" s="170">
        <f t="shared" si="104"/>
        <v>0</v>
      </c>
      <c r="T236" s="170">
        <f t="shared" si="105"/>
        <v>0</v>
      </c>
      <c r="U236" s="172">
        <f t="shared" si="96"/>
        <v>0</v>
      </c>
      <c r="W236">
        <v>2023</v>
      </c>
      <c r="Z236" s="170">
        <v>1988.1236016602454</v>
      </c>
      <c r="AA236" s="170">
        <v>915.38011878672671</v>
      </c>
      <c r="AB236" s="170">
        <v>955.14531499710949</v>
      </c>
      <c r="AC236" s="170">
        <v>398.64902926261396</v>
      </c>
      <c r="AD236" s="172">
        <f t="shared" si="97"/>
        <v>1602.2764594383382</v>
      </c>
      <c r="AG236">
        <v>2023</v>
      </c>
      <c r="AJ236" s="170">
        <v>1988.1236016602454</v>
      </c>
      <c r="AK236" s="170">
        <v>915.38011878672671</v>
      </c>
      <c r="AL236" s="170">
        <v>955.14531499710949</v>
      </c>
      <c r="AM236" s="170"/>
      <c r="AN236" s="172">
        <f t="shared" si="98"/>
        <v>1590.0689821587414</v>
      </c>
    </row>
    <row r="237" spans="5:40">
      <c r="E237">
        <v>2024</v>
      </c>
      <c r="F237" s="320" t="s">
        <v>240</v>
      </c>
      <c r="G237" s="320" t="s">
        <v>240</v>
      </c>
      <c r="H237" s="62">
        <f t="shared" si="99"/>
        <v>0</v>
      </c>
      <c r="I237" s="62">
        <f t="shared" si="100"/>
        <v>0</v>
      </c>
      <c r="J237" s="62">
        <f t="shared" si="101"/>
        <v>0</v>
      </c>
      <c r="K237" s="62"/>
      <c r="L237" s="329">
        <f t="shared" si="95"/>
        <v>0</v>
      </c>
      <c r="M237" s="329"/>
      <c r="N237">
        <v>2024</v>
      </c>
      <c r="O237" s="320" t="s">
        <v>240</v>
      </c>
      <c r="P237" s="320" t="s">
        <v>240</v>
      </c>
      <c r="Q237" s="170">
        <f t="shared" si="102"/>
        <v>0</v>
      </c>
      <c r="R237" s="170">
        <f t="shared" si="103"/>
        <v>0</v>
      </c>
      <c r="S237" s="170">
        <f t="shared" si="104"/>
        <v>0</v>
      </c>
      <c r="T237" s="170">
        <f t="shared" si="105"/>
        <v>0</v>
      </c>
      <c r="U237" s="172">
        <f t="shared" si="96"/>
        <v>0</v>
      </c>
      <c r="W237">
        <v>2024</v>
      </c>
      <c r="Z237" s="170">
        <v>2062.7561048969028</v>
      </c>
      <c r="AA237" s="170">
        <v>949.74272562921476</v>
      </c>
      <c r="AB237" s="170">
        <v>991.00067416767183</v>
      </c>
      <c r="AC237" s="170">
        <v>413.61398161360813</v>
      </c>
      <c r="AD237" s="172">
        <f t="shared" si="97"/>
        <v>1662.2717880764669</v>
      </c>
      <c r="AG237">
        <v>2024</v>
      </c>
      <c r="AJ237" s="170">
        <v>2062.7561048969028</v>
      </c>
      <c r="AK237" s="170">
        <v>949.74272562921476</v>
      </c>
      <c r="AL237" s="170">
        <v>991.00067416767183</v>
      </c>
      <c r="AM237" s="170"/>
      <c r="AN237" s="172">
        <f t="shared" si="98"/>
        <v>1649.8448426958932</v>
      </c>
    </row>
    <row r="238" spans="5:40">
      <c r="E238">
        <v>2025</v>
      </c>
      <c r="F238" s="320" t="s">
        <v>240</v>
      </c>
      <c r="G238" s="320" t="s">
        <v>240</v>
      </c>
      <c r="H238" s="62">
        <f t="shared" si="99"/>
        <v>0</v>
      </c>
      <c r="I238" s="62">
        <f t="shared" si="100"/>
        <v>0</v>
      </c>
      <c r="J238" s="62">
        <f t="shared" si="101"/>
        <v>0</v>
      </c>
      <c r="K238" s="62"/>
      <c r="L238" s="329">
        <f t="shared" si="95"/>
        <v>0</v>
      </c>
      <c r="M238" s="329"/>
      <c r="N238">
        <v>2025</v>
      </c>
      <c r="O238" s="320" t="s">
        <v>240</v>
      </c>
      <c r="P238" s="320" t="s">
        <v>240</v>
      </c>
      <c r="Q238" s="170">
        <f t="shared" si="102"/>
        <v>0</v>
      </c>
      <c r="R238" s="170">
        <f t="shared" si="103"/>
        <v>0</v>
      </c>
      <c r="S238" s="170">
        <f t="shared" si="104"/>
        <v>0</v>
      </c>
      <c r="T238" s="170">
        <f t="shared" si="105"/>
        <v>0</v>
      </c>
      <c r="U238" s="172">
        <f t="shared" si="96"/>
        <v>0</v>
      </c>
      <c r="W238">
        <v>2025</v>
      </c>
      <c r="Z238" s="170">
        <v>2140.1902501113118</v>
      </c>
      <c r="AA238" s="170">
        <v>985.39527609706408</v>
      </c>
      <c r="AB238" s="170">
        <v>1028.202013642031</v>
      </c>
      <c r="AC238" s="170">
        <v>429.14070580506495</v>
      </c>
      <c r="AD238" s="172">
        <f t="shared" si="97"/>
        <v>1724.5796446010625</v>
      </c>
      <c r="AG238">
        <v>2025</v>
      </c>
      <c r="AJ238" s="170">
        <v>2140.1902501113118</v>
      </c>
      <c r="AK238" s="170">
        <v>985.39527609706408</v>
      </c>
      <c r="AL238" s="170">
        <v>1028.202013642031</v>
      </c>
      <c r="AM238" s="170"/>
      <c r="AN238" s="172">
        <f t="shared" si="98"/>
        <v>1711.9348622399914</v>
      </c>
    </row>
    <row r="239" spans="5:40">
      <c r="E239">
        <v>2026</v>
      </c>
      <c r="F239" s="320" t="s">
        <v>240</v>
      </c>
      <c r="G239" s="320" t="s">
        <v>240</v>
      </c>
      <c r="H239" s="62">
        <f t="shared" si="99"/>
        <v>0</v>
      </c>
      <c r="I239" s="62">
        <f t="shared" si="100"/>
        <v>0</v>
      </c>
      <c r="J239" s="62">
        <f t="shared" si="101"/>
        <v>0</v>
      </c>
      <c r="K239" s="62"/>
      <c r="L239" s="329">
        <f t="shared" si="95"/>
        <v>0</v>
      </c>
      <c r="M239" s="329"/>
      <c r="N239">
        <v>2026</v>
      </c>
      <c r="O239" s="320" t="s">
        <v>240</v>
      </c>
      <c r="P239" s="320" t="s">
        <v>240</v>
      </c>
      <c r="Q239" s="170">
        <f t="shared" si="102"/>
        <v>0</v>
      </c>
      <c r="R239" s="170">
        <f t="shared" si="103"/>
        <v>0</v>
      </c>
      <c r="S239" s="170">
        <f t="shared" si="104"/>
        <v>0</v>
      </c>
      <c r="T239" s="170">
        <f t="shared" si="105"/>
        <v>0</v>
      </c>
      <c r="U239" s="172">
        <f t="shared" si="96"/>
        <v>0</v>
      </c>
      <c r="W239">
        <v>2026</v>
      </c>
      <c r="Z239" s="170">
        <v>2220.5312086086155</v>
      </c>
      <c r="AA239" s="170">
        <v>1022.3861935990178</v>
      </c>
      <c r="AB239" s="170">
        <v>1066.7998603991416</v>
      </c>
      <c r="AC239" s="170">
        <v>445.25029028373228</v>
      </c>
      <c r="AD239" s="172">
        <f t="shared" si="97"/>
        <v>1789.2878358516361</v>
      </c>
      <c r="AG239">
        <v>2026</v>
      </c>
      <c r="AJ239" s="170">
        <v>2220.5312086086155</v>
      </c>
      <c r="AK239" s="170">
        <v>1022.3861935990178</v>
      </c>
      <c r="AL239" s="170">
        <v>1066.7998603991416</v>
      </c>
      <c r="AM239" s="170"/>
      <c r="AN239" s="172">
        <f t="shared" si="98"/>
        <v>1776.4240875008361</v>
      </c>
    </row>
    <row r="240" spans="5:40">
      <c r="E240">
        <v>2027</v>
      </c>
      <c r="F240" s="320" t="s">
        <v>240</v>
      </c>
      <c r="G240" s="320" t="s">
        <v>240</v>
      </c>
      <c r="H240" s="62">
        <f t="shared" si="99"/>
        <v>0</v>
      </c>
      <c r="I240" s="62">
        <f t="shared" si="100"/>
        <v>0</v>
      </c>
      <c r="J240" s="62">
        <f t="shared" si="101"/>
        <v>0</v>
      </c>
      <c r="K240" s="62"/>
      <c r="L240" s="329">
        <f t="shared" si="95"/>
        <v>0</v>
      </c>
      <c r="M240" s="329"/>
      <c r="N240">
        <v>2027</v>
      </c>
      <c r="O240" s="320" t="s">
        <v>240</v>
      </c>
      <c r="P240" s="320" t="s">
        <v>240</v>
      </c>
      <c r="Q240" s="170">
        <f t="shared" si="102"/>
        <v>0</v>
      </c>
      <c r="R240" s="170">
        <f t="shared" si="103"/>
        <v>0</v>
      </c>
      <c r="S240" s="170">
        <f t="shared" si="104"/>
        <v>0</v>
      </c>
      <c r="T240" s="170">
        <f t="shared" si="105"/>
        <v>0</v>
      </c>
      <c r="U240" s="172">
        <f t="shared" si="96"/>
        <v>0</v>
      </c>
      <c r="W240">
        <v>2027</v>
      </c>
      <c r="Z240" s="170">
        <v>2303.8880997371093</v>
      </c>
      <c r="AA240" s="170">
        <v>1060.7657193182304</v>
      </c>
      <c r="AB240" s="170">
        <v>1106.8466381586418</v>
      </c>
      <c r="AC240" s="170">
        <v>461.96461513907502</v>
      </c>
      <c r="AD240" s="172">
        <f t="shared" si="97"/>
        <v>1856.4873305583526</v>
      </c>
      <c r="AG240">
        <v>2027</v>
      </c>
      <c r="AJ240" s="170">
        <v>2303.8880997371093</v>
      </c>
      <c r="AK240" s="170">
        <v>1060.7657193182304</v>
      </c>
      <c r="AL240" s="170">
        <v>1106.8466381586418</v>
      </c>
      <c r="AM240" s="170"/>
      <c r="AN240" s="172">
        <f t="shared" si="98"/>
        <v>1843.4010470860812</v>
      </c>
    </row>
    <row r="241" spans="5:40">
      <c r="E241">
        <v>2028</v>
      </c>
      <c r="F241" s="320" t="s">
        <v>240</v>
      </c>
      <c r="G241" s="320" t="s">
        <v>240</v>
      </c>
      <c r="H241" s="62">
        <f t="shared" si="99"/>
        <v>0</v>
      </c>
      <c r="I241" s="62">
        <f t="shared" si="100"/>
        <v>0</v>
      </c>
      <c r="J241" s="62">
        <f t="shared" si="101"/>
        <v>0</v>
      </c>
      <c r="K241" s="62"/>
      <c r="L241" s="329">
        <f t="shared" si="95"/>
        <v>0</v>
      </c>
      <c r="M241" s="329"/>
      <c r="N241">
        <v>2028</v>
      </c>
      <c r="O241" s="320" t="s">
        <v>240</v>
      </c>
      <c r="P241" s="320" t="s">
        <v>240</v>
      </c>
      <c r="Q241" s="170">
        <f t="shared" si="102"/>
        <v>0</v>
      </c>
      <c r="R241" s="170">
        <f t="shared" si="103"/>
        <v>0</v>
      </c>
      <c r="S241" s="170">
        <f t="shared" si="104"/>
        <v>0</v>
      </c>
      <c r="T241" s="170">
        <f t="shared" si="105"/>
        <v>0</v>
      </c>
      <c r="U241" s="172">
        <f t="shared" si="96"/>
        <v>0</v>
      </c>
      <c r="W241">
        <v>2028</v>
      </c>
      <c r="Z241" s="170">
        <v>2390.3741390944906</v>
      </c>
      <c r="AA241" s="170">
        <v>1100.5859804500039</v>
      </c>
      <c r="AB241" s="170">
        <v>1148.3967385829187</v>
      </c>
      <c r="AC241" s="170">
        <v>479.3063818208833</v>
      </c>
      <c r="AD241" s="172">
        <f t="shared" si="97"/>
        <v>1926.272391951743</v>
      </c>
      <c r="AG241">
        <v>2028</v>
      </c>
      <c r="AJ241" s="170">
        <v>2390.3741390944906</v>
      </c>
      <c r="AK241" s="170">
        <v>1100.5859804500039</v>
      </c>
      <c r="AL241" s="170">
        <v>1148.3967385829187</v>
      </c>
      <c r="AM241" s="170"/>
      <c r="AN241" s="172">
        <f t="shared" si="98"/>
        <v>1912.9578541683472</v>
      </c>
    </row>
    <row r="242" spans="5:40">
      <c r="E242">
        <v>2029</v>
      </c>
      <c r="F242" s="320" t="s">
        <v>240</v>
      </c>
      <c r="G242" s="320" t="s">
        <v>240</v>
      </c>
      <c r="H242" s="62">
        <f t="shared" si="99"/>
        <v>0</v>
      </c>
      <c r="I242" s="62">
        <f t="shared" si="100"/>
        <v>0</v>
      </c>
      <c r="J242" s="62">
        <f t="shared" si="101"/>
        <v>0</v>
      </c>
      <c r="K242" s="62"/>
      <c r="L242" s="329">
        <f t="shared" si="95"/>
        <v>0</v>
      </c>
      <c r="M242" s="329"/>
      <c r="N242">
        <v>2029</v>
      </c>
      <c r="O242" s="320" t="s">
        <v>240</v>
      </c>
      <c r="P242" s="320" t="s">
        <v>240</v>
      </c>
      <c r="Q242" s="170">
        <f t="shared" si="102"/>
        <v>0</v>
      </c>
      <c r="R242" s="170">
        <f t="shared" si="103"/>
        <v>0</v>
      </c>
      <c r="S242" s="170">
        <f t="shared" si="104"/>
        <v>0</v>
      </c>
      <c r="T242" s="170">
        <f t="shared" si="105"/>
        <v>0</v>
      </c>
      <c r="U242" s="172">
        <f t="shared" si="96"/>
        <v>0</v>
      </c>
      <c r="W242">
        <v>2029</v>
      </c>
      <c r="Z242" s="170">
        <v>2480.1067922976486</v>
      </c>
      <c r="AA242" s="170">
        <v>1141.9010610011135</v>
      </c>
      <c r="AB242" s="170">
        <v>1191.5065951520394</v>
      </c>
      <c r="AC242" s="170">
        <v>497.29914397245443</v>
      </c>
      <c r="AD242" s="172">
        <f t="shared" si="97"/>
        <v>1998.7407158569415</v>
      </c>
      <c r="AG242">
        <v>2029</v>
      </c>
      <c r="AJ242" s="170">
        <v>2480.1067922976486</v>
      </c>
      <c r="AK242" s="170">
        <v>1141.9010610011135</v>
      </c>
      <c r="AL242" s="170">
        <v>1191.5065951520394</v>
      </c>
      <c r="AM242" s="170"/>
      <c r="AN242" s="172">
        <f t="shared" si="98"/>
        <v>1985.1903168289796</v>
      </c>
    </row>
    <row r="243" spans="5:40">
      <c r="E243">
        <v>2030</v>
      </c>
      <c r="F243" s="320" t="s">
        <v>240</v>
      </c>
      <c r="G243" s="320" t="s">
        <v>240</v>
      </c>
      <c r="H243" s="62">
        <f t="shared" si="99"/>
        <v>0</v>
      </c>
      <c r="I243" s="62">
        <f t="shared" si="100"/>
        <v>0</v>
      </c>
      <c r="J243" s="62">
        <f t="shared" si="101"/>
        <v>0</v>
      </c>
      <c r="K243" s="62"/>
      <c r="L243" s="329">
        <f t="shared" si="95"/>
        <v>0</v>
      </c>
      <c r="M243" s="329"/>
      <c r="N243">
        <v>2030</v>
      </c>
      <c r="O243" s="320" t="s">
        <v>240</v>
      </c>
      <c r="P243" s="320" t="s">
        <v>240</v>
      </c>
      <c r="Q243" s="170">
        <f t="shared" si="102"/>
        <v>0</v>
      </c>
      <c r="R243" s="170">
        <f t="shared" si="103"/>
        <v>0</v>
      </c>
      <c r="S243" s="170">
        <f t="shared" si="104"/>
        <v>0</v>
      </c>
      <c r="T243" s="170">
        <f t="shared" si="105"/>
        <v>0</v>
      </c>
      <c r="U243" s="172">
        <f t="shared" si="96"/>
        <v>0</v>
      </c>
      <c r="W243">
        <v>2030</v>
      </c>
      <c r="Z243" s="170">
        <v>2573.2079345248421</v>
      </c>
      <c r="AA243" s="170">
        <v>1184.7670752468778</v>
      </c>
      <c r="AB243" s="170">
        <v>1236.2347598118843</v>
      </c>
      <c r="AC243" s="170">
        <v>515.96733942122705</v>
      </c>
      <c r="AD243" s="172">
        <f t="shared" si="97"/>
        <v>2073.9935741590493</v>
      </c>
      <c r="AG243">
        <v>2030</v>
      </c>
      <c r="AJ243" s="170">
        <v>2573.2079345248421</v>
      </c>
      <c r="AK243" s="170">
        <v>1184.7670752468778</v>
      </c>
      <c r="AL243" s="170">
        <v>1236.2347598118843</v>
      </c>
      <c r="AM243" s="170"/>
      <c r="AN243" s="172">
        <f t="shared" si="98"/>
        <v>2060.1980558096934</v>
      </c>
    </row>
    <row r="244" spans="5:40">
      <c r="E244">
        <v>2040</v>
      </c>
      <c r="F244" s="320" t="s">
        <v>240</v>
      </c>
      <c r="G244" s="320" t="s">
        <v>240</v>
      </c>
      <c r="H244" s="62">
        <f t="shared" ref="H244:J250" si="106">H243*(1+$C$6)^10</f>
        <v>0</v>
      </c>
      <c r="I244" s="62">
        <f t="shared" si="106"/>
        <v>0</v>
      </c>
      <c r="J244" s="62">
        <f t="shared" si="106"/>
        <v>0</v>
      </c>
      <c r="K244" s="62"/>
      <c r="L244" s="329">
        <f t="shared" si="95"/>
        <v>0</v>
      </c>
      <c r="M244" s="329"/>
      <c r="N244">
        <v>2040</v>
      </c>
      <c r="O244" s="320" t="s">
        <v>240</v>
      </c>
      <c r="P244" s="320" t="s">
        <v>240</v>
      </c>
      <c r="Q244" s="170">
        <f t="shared" ref="Q244:T250" si="107">Q243*(1+$C$6)^10</f>
        <v>0</v>
      </c>
      <c r="R244" s="170">
        <f t="shared" si="107"/>
        <v>0</v>
      </c>
      <c r="S244" s="170">
        <f t="shared" si="107"/>
        <v>0</v>
      </c>
      <c r="T244" s="170">
        <f t="shared" si="107"/>
        <v>0</v>
      </c>
      <c r="U244" s="172">
        <f t="shared" si="96"/>
        <v>0</v>
      </c>
      <c r="W244">
        <v>2040</v>
      </c>
      <c r="Z244" s="170">
        <v>3719.8025101859439</v>
      </c>
      <c r="AA244" s="170">
        <v>1712.686907792701</v>
      </c>
      <c r="AB244" s="170">
        <v>1787.0880549637795</v>
      </c>
      <c r="AC244" s="170">
        <v>745.8769960257614</v>
      </c>
      <c r="AD244" s="172">
        <f t="shared" si="97"/>
        <v>3002.053152787058</v>
      </c>
      <c r="AG244">
        <v>2040</v>
      </c>
      <c r="AJ244" s="170">
        <v>3719.8025101859439</v>
      </c>
      <c r="AK244" s="170">
        <v>1712.686907792701</v>
      </c>
      <c r="AL244" s="170">
        <v>1787.0880549637795</v>
      </c>
      <c r="AM244" s="170"/>
      <c r="AN244" s="172">
        <f t="shared" si="98"/>
        <v>2985.6851497184634</v>
      </c>
    </row>
    <row r="245" spans="5:40">
      <c r="E245">
        <v>2050</v>
      </c>
      <c r="F245" s="320" t="s">
        <v>240</v>
      </c>
      <c r="G245" s="320" t="s">
        <v>240</v>
      </c>
      <c r="H245" s="62">
        <f t="shared" si="106"/>
        <v>0</v>
      </c>
      <c r="I245" s="62">
        <f t="shared" si="106"/>
        <v>0</v>
      </c>
      <c r="J245" s="62">
        <f t="shared" si="106"/>
        <v>0</v>
      </c>
      <c r="K245" s="62"/>
      <c r="L245" s="329">
        <f t="shared" si="95"/>
        <v>0</v>
      </c>
      <c r="M245" s="329"/>
      <c r="N245">
        <v>2050</v>
      </c>
      <c r="O245" s="320" t="s">
        <v>240</v>
      </c>
      <c r="P245" s="320" t="s">
        <v>240</v>
      </c>
      <c r="Q245" s="170">
        <f t="shared" si="107"/>
        <v>0</v>
      </c>
      <c r="R245" s="170">
        <f t="shared" si="107"/>
        <v>0</v>
      </c>
      <c r="S245" s="170">
        <f t="shared" si="107"/>
        <v>0</v>
      </c>
      <c r="T245" s="170">
        <f t="shared" si="107"/>
        <v>0</v>
      </c>
      <c r="U245" s="172">
        <f t="shared" si="96"/>
        <v>0</v>
      </c>
      <c r="W245">
        <v>2050</v>
      </c>
      <c r="Z245" s="170">
        <v>5377.3076513308361</v>
      </c>
      <c r="AA245" s="170">
        <v>2475.8423030225531</v>
      </c>
      <c r="AB245" s="170">
        <v>2583.3958241719415</v>
      </c>
      <c r="AC245" s="170">
        <v>1078.231993956178</v>
      </c>
      <c r="AD245" s="172">
        <f t="shared" si="97"/>
        <v>4352.8473357374578</v>
      </c>
      <c r="AG245">
        <v>2050</v>
      </c>
      <c r="AJ245" s="170">
        <v>5377.3076513308361</v>
      </c>
      <c r="AK245" s="170">
        <v>2475.8423030225531</v>
      </c>
      <c r="AL245" s="170">
        <v>2583.3958241719415</v>
      </c>
      <c r="AM245" s="170"/>
      <c r="AN245" s="172">
        <f t="shared" si="98"/>
        <v>4316.0752636954912</v>
      </c>
    </row>
    <row r="246" spans="5:40">
      <c r="E246">
        <v>2060</v>
      </c>
      <c r="F246" s="320" t="s">
        <v>240</v>
      </c>
      <c r="G246" s="320" t="s">
        <v>240</v>
      </c>
      <c r="H246" s="62">
        <f t="shared" si="106"/>
        <v>0</v>
      </c>
      <c r="I246" s="62">
        <f t="shared" si="106"/>
        <v>0</v>
      </c>
      <c r="J246" s="62">
        <f t="shared" si="106"/>
        <v>0</v>
      </c>
      <c r="K246" s="62"/>
      <c r="L246" s="329">
        <f t="shared" si="95"/>
        <v>0</v>
      </c>
      <c r="M246" s="329"/>
      <c r="N246">
        <v>2060</v>
      </c>
      <c r="O246" s="320" t="s">
        <v>240</v>
      </c>
      <c r="P246" s="320" t="s">
        <v>240</v>
      </c>
      <c r="Q246" s="170">
        <f t="shared" si="107"/>
        <v>0</v>
      </c>
      <c r="R246" s="170">
        <f t="shared" si="107"/>
        <v>0</v>
      </c>
      <c r="S246" s="170">
        <f t="shared" si="107"/>
        <v>0</v>
      </c>
      <c r="T246" s="170">
        <f t="shared" si="107"/>
        <v>0</v>
      </c>
      <c r="U246" s="172">
        <f t="shared" si="96"/>
        <v>0</v>
      </c>
      <c r="W246">
        <v>2060</v>
      </c>
      <c r="Z246" s="170">
        <v>7773.3797689210487</v>
      </c>
      <c r="AA246" s="170">
        <v>3579.0517703764413</v>
      </c>
      <c r="AB246" s="170">
        <v>3734.5300170361729</v>
      </c>
      <c r="AC246" s="170">
        <v>1558.6809071539749</v>
      </c>
      <c r="AD246" s="172">
        <f t="shared" si="97"/>
        <v>6292.4306383045132</v>
      </c>
      <c r="AG246">
        <v>2060</v>
      </c>
      <c r="AJ246" s="170">
        <v>7773.3797689210487</v>
      </c>
      <c r="AK246" s="170">
        <v>3579.0517703764413</v>
      </c>
      <c r="AL246" s="170">
        <v>3734.5300170361729</v>
      </c>
      <c r="AM246" s="170"/>
      <c r="AN246" s="172">
        <f t="shared" si="98"/>
        <v>6239.2733150850418</v>
      </c>
    </row>
    <row r="247" spans="5:40">
      <c r="E247">
        <v>2070</v>
      </c>
      <c r="F247" s="320" t="s">
        <v>240</v>
      </c>
      <c r="G247" s="320" t="s">
        <v>240</v>
      </c>
      <c r="H247" s="62">
        <f t="shared" si="106"/>
        <v>0</v>
      </c>
      <c r="I247" s="62">
        <f t="shared" si="106"/>
        <v>0</v>
      </c>
      <c r="J247" s="62">
        <f t="shared" si="106"/>
        <v>0</v>
      </c>
      <c r="K247" s="62"/>
      <c r="L247" s="329">
        <f t="shared" si="95"/>
        <v>0</v>
      </c>
      <c r="M247" s="329"/>
      <c r="N247">
        <v>2070</v>
      </c>
      <c r="O247" s="320" t="s">
        <v>240</v>
      </c>
      <c r="P247" s="320" t="s">
        <v>240</v>
      </c>
      <c r="Q247" s="170">
        <f t="shared" si="107"/>
        <v>0</v>
      </c>
      <c r="R247" s="170">
        <f t="shared" si="107"/>
        <v>0</v>
      </c>
      <c r="S247" s="170">
        <f t="shared" si="107"/>
        <v>0</v>
      </c>
      <c r="T247" s="170">
        <f t="shared" si="107"/>
        <v>0</v>
      </c>
      <c r="U247" s="172">
        <f t="shared" si="96"/>
        <v>0</v>
      </c>
      <c r="W247">
        <v>2070</v>
      </c>
      <c r="Z247" s="170">
        <v>11237.116592523082</v>
      </c>
      <c r="AA247" s="170">
        <v>5173.8398521571962</v>
      </c>
      <c r="AB247" s="170">
        <v>5398.5975813886562</v>
      </c>
      <c r="AC247" s="170">
        <v>2253.2128372598431</v>
      </c>
      <c r="AD247" s="172">
        <f t="shared" si="97"/>
        <v>9096.2719994325835</v>
      </c>
      <c r="AG247">
        <v>2070</v>
      </c>
      <c r="AJ247" s="170">
        <v>11237.116592523082</v>
      </c>
      <c r="AK247" s="170">
        <v>5173.8398521571962</v>
      </c>
      <c r="AL247" s="170">
        <v>5398.5975813886562</v>
      </c>
      <c r="AM247" s="170"/>
      <c r="AN247" s="172">
        <f t="shared" si="98"/>
        <v>9019.4283282727265</v>
      </c>
    </row>
    <row r="248" spans="5:40">
      <c r="E248">
        <v>2080</v>
      </c>
      <c r="F248" s="320" t="s">
        <v>240</v>
      </c>
      <c r="G248" s="320" t="s">
        <v>240</v>
      </c>
      <c r="H248" s="62">
        <f t="shared" si="106"/>
        <v>0</v>
      </c>
      <c r="I248" s="62">
        <f t="shared" si="106"/>
        <v>0</v>
      </c>
      <c r="J248" s="62">
        <f t="shared" si="106"/>
        <v>0</v>
      </c>
      <c r="K248" s="62"/>
      <c r="L248" s="329">
        <f t="shared" si="95"/>
        <v>0</v>
      </c>
      <c r="M248" s="329"/>
      <c r="N248">
        <v>2080</v>
      </c>
      <c r="O248" s="320" t="s">
        <v>240</v>
      </c>
      <c r="P248" s="320" t="s">
        <v>240</v>
      </c>
      <c r="Q248" s="170">
        <f t="shared" si="107"/>
        <v>0</v>
      </c>
      <c r="R248" s="170">
        <f t="shared" si="107"/>
        <v>0</v>
      </c>
      <c r="S248" s="170">
        <f t="shared" si="107"/>
        <v>0</v>
      </c>
      <c r="T248" s="170">
        <f t="shared" si="107"/>
        <v>0</v>
      </c>
      <c r="U248" s="172">
        <f t="shared" si="96"/>
        <v>0</v>
      </c>
      <c r="W248">
        <v>2080</v>
      </c>
      <c r="Z248" s="170">
        <v>16244.258362213572</v>
      </c>
      <c r="AA248" s="170">
        <v>7479.2488438786959</v>
      </c>
      <c r="AB248" s="170">
        <v>7804.1562694160957</v>
      </c>
      <c r="AC248" s="170">
        <v>3257.2209402774329</v>
      </c>
      <c r="AD248" s="172">
        <f t="shared" si="97"/>
        <v>13149.475781898489</v>
      </c>
      <c r="AG248">
        <v>2080</v>
      </c>
      <c r="AJ248" s="170">
        <v>16244.258362213572</v>
      </c>
      <c r="AK248" s="170">
        <v>7479.2488438786959</v>
      </c>
      <c r="AL248" s="170">
        <v>7804.1562694160957</v>
      </c>
      <c r="AM248" s="170"/>
      <c r="AN248" s="172">
        <f t="shared" si="98"/>
        <v>13038.391373585748</v>
      </c>
    </row>
    <row r="249" spans="5:40">
      <c r="E249">
        <v>2090</v>
      </c>
      <c r="F249" s="320" t="s">
        <v>240</v>
      </c>
      <c r="G249" s="320" t="s">
        <v>240</v>
      </c>
      <c r="H249" s="62">
        <f t="shared" si="106"/>
        <v>0</v>
      </c>
      <c r="I249" s="62">
        <f t="shared" si="106"/>
        <v>0</v>
      </c>
      <c r="J249" s="62">
        <f t="shared" si="106"/>
        <v>0</v>
      </c>
      <c r="K249" s="62"/>
      <c r="L249" s="329">
        <f t="shared" si="95"/>
        <v>0</v>
      </c>
      <c r="M249" s="329"/>
      <c r="N249">
        <v>2090</v>
      </c>
      <c r="O249" s="320" t="s">
        <v>240</v>
      </c>
      <c r="P249" s="320" t="s">
        <v>240</v>
      </c>
      <c r="Q249" s="170">
        <f t="shared" si="107"/>
        <v>0</v>
      </c>
      <c r="R249" s="170">
        <f t="shared" si="107"/>
        <v>0</v>
      </c>
      <c r="S249" s="170">
        <f t="shared" si="107"/>
        <v>0</v>
      </c>
      <c r="T249" s="170">
        <f t="shared" si="107"/>
        <v>0</v>
      </c>
      <c r="U249" s="172">
        <f t="shared" si="96"/>
        <v>0</v>
      </c>
      <c r="W249">
        <v>2090</v>
      </c>
      <c r="Z249" s="170">
        <v>23482.530199421668</v>
      </c>
      <c r="AA249" s="170">
        <v>10811.923999800141</v>
      </c>
      <c r="AB249" s="170">
        <v>11281.60678014461</v>
      </c>
      <c r="AC249" s="170">
        <v>4708.6045660400723</v>
      </c>
      <c r="AD249" s="172">
        <f t="shared" si="97"/>
        <v>19008.744829697345</v>
      </c>
      <c r="AG249">
        <v>2090</v>
      </c>
      <c r="AJ249" s="170">
        <v>23482.530199421668</v>
      </c>
      <c r="AK249" s="170">
        <v>10811.923999800141</v>
      </c>
      <c r="AL249" s="170">
        <v>11281.60678014461</v>
      </c>
      <c r="AM249" s="170"/>
      <c r="AN249" s="172">
        <f t="shared" si="98"/>
        <v>18848.162369438243</v>
      </c>
    </row>
    <row r="250" spans="5:40">
      <c r="E250">
        <v>2100</v>
      </c>
      <c r="F250" s="320" t="s">
        <v>240</v>
      </c>
      <c r="G250" s="320" t="s">
        <v>240</v>
      </c>
      <c r="H250" s="62">
        <f t="shared" si="106"/>
        <v>0</v>
      </c>
      <c r="I250" s="62">
        <f t="shared" si="106"/>
        <v>0</v>
      </c>
      <c r="J250" s="62">
        <f t="shared" si="106"/>
        <v>0</v>
      </c>
      <c r="K250" s="62"/>
      <c r="L250" s="329">
        <f t="shared" si="95"/>
        <v>0</v>
      </c>
      <c r="M250" s="329"/>
      <c r="N250">
        <v>2100</v>
      </c>
      <c r="O250" s="320" t="s">
        <v>240</v>
      </c>
      <c r="P250" s="320" t="s">
        <v>240</v>
      </c>
      <c r="Q250" s="170">
        <f t="shared" si="107"/>
        <v>0</v>
      </c>
      <c r="R250" s="170">
        <f t="shared" si="107"/>
        <v>0</v>
      </c>
      <c r="S250" s="170">
        <f t="shared" si="107"/>
        <v>0</v>
      </c>
      <c r="T250" s="170">
        <f t="shared" si="107"/>
        <v>0</v>
      </c>
      <c r="U250" s="172">
        <f t="shared" si="96"/>
        <v>0</v>
      </c>
      <c r="W250">
        <v>2100</v>
      </c>
      <c r="Z250" s="170">
        <v>33946.100355646427</v>
      </c>
      <c r="AA250" s="170">
        <v>15629.604391773628</v>
      </c>
      <c r="AB250" s="170">
        <v>16308.572912690723</v>
      </c>
      <c r="AC250" s="170">
        <v>6806.7095741577214</v>
      </c>
      <c r="AD250" s="172">
        <f t="shared" si="97"/>
        <v>27478.842958740152</v>
      </c>
      <c r="AG250">
        <v>2100</v>
      </c>
      <c r="AJ250" s="170">
        <v>33946.100355646427</v>
      </c>
      <c r="AK250" s="170">
        <v>15629.604391773628</v>
      </c>
      <c r="AL250" s="170">
        <v>16308.572912690723</v>
      </c>
      <c r="AM250" s="170"/>
      <c r="AN250" s="172">
        <f t="shared" si="98"/>
        <v>27246.706631648525</v>
      </c>
    </row>
    <row r="251" spans="5:40">
      <c r="F251" s="581" t="s">
        <v>292</v>
      </c>
      <c r="G251" s="581"/>
      <c r="H251" s="581"/>
      <c r="I251" s="581"/>
      <c r="J251" s="581"/>
      <c r="K251" s="581"/>
      <c r="O251" s="581" t="s">
        <v>292</v>
      </c>
      <c r="P251" s="581"/>
      <c r="Q251" s="581"/>
      <c r="R251" s="581"/>
      <c r="S251" s="581"/>
      <c r="T251" s="581"/>
      <c r="X251" s="581" t="s">
        <v>292</v>
      </c>
      <c r="Y251" s="581"/>
      <c r="Z251" s="581"/>
      <c r="AA251" s="581"/>
      <c r="AB251" s="581"/>
      <c r="AC251" s="581"/>
      <c r="AD251" s="172"/>
      <c r="AH251" s="581" t="s">
        <v>292</v>
      </c>
      <c r="AI251" s="581"/>
      <c r="AJ251" s="581"/>
      <c r="AK251" s="581"/>
      <c r="AL251" s="581"/>
      <c r="AM251" s="581"/>
    </row>
    <row r="252" spans="5:40">
      <c r="E252">
        <v>2020</v>
      </c>
      <c r="F252" s="320" t="s">
        <v>240</v>
      </c>
      <c r="G252" s="320" t="s">
        <v>240</v>
      </c>
      <c r="H252" s="63">
        <f>'Demographic-Economic'!E$22*1000*AVERAGE('Demographic-Economic'!$C12:$H12)/H24*(1+'Inflation-Interest'!$C$65)*(1+'Inflation-Interest'!$C$66)*(1+'Inflation-Interest'!$C$67)*$C$5</f>
        <v>370.67754313037551</v>
      </c>
      <c r="I252" s="63">
        <f>'Demographic-Economic'!F$22*1000*AVERAGE('Demographic-Economic'!$C12:$H12)/I24*(1+'Inflation-Interest'!$C$65)*(1+'Inflation-Interest'!$C$66)*(1+'Inflation-Interest'!$C$67)*$C$5</f>
        <v>291.69700311030573</v>
      </c>
      <c r="J252" s="63">
        <f>'Demographic-Economic'!G$22*1000*AVERAGE('Demographic-Economic'!$C12:$H12)/J24*(1+'Inflation-Interest'!$C$65)*(1+'Inflation-Interest'!$C$66)*(1+'Inflation-Interest'!$C$67)*$C$5</f>
        <v>225.15132630049575</v>
      </c>
      <c r="K252" s="63"/>
      <c r="L252" s="63">
        <f t="shared" ref="L252:L269" si="108">SUMPRODUCT(H252:K252, H24:K24)/SUM(H24:K24)</f>
        <v>320.5963123821154</v>
      </c>
      <c r="M252" s="63"/>
      <c r="N252">
        <v>2020</v>
      </c>
      <c r="O252" s="320" t="s">
        <v>240</v>
      </c>
      <c r="P252" s="320" t="s">
        <v>240</v>
      </c>
      <c r="Q252" s="170">
        <f>'Demographic-Economic'!E$22*1000*AVERAGE('Demographic-Economic'!$C12:$H12)/Q24*(1+'Inflation-Interest'!$C$65)*(1+'Inflation-Interest'!$C$66)*(1+'Inflation-Interest'!$C$67)*$C$5</f>
        <v>370.67754313037551</v>
      </c>
      <c r="R252" s="170">
        <f>'Demographic-Economic'!F$22*1000*AVERAGE('Demographic-Economic'!$C12:$H12)/R24*(1+'Inflation-Interest'!$C$65)*(1+'Inflation-Interest'!$C$66)*(1+'Inflation-Interest'!$C$67)*$C$5</f>
        <v>291.69700311030573</v>
      </c>
      <c r="S252" s="170">
        <f>'Demographic-Economic'!G$22*1000*AVERAGE('Demographic-Economic'!$C12:$H12)/S24*(1+'Inflation-Interest'!$C$65)*(1+'Inflation-Interest'!$C$66)*(1+'Inflation-Interest'!$C$67)*$C$5</f>
        <v>225.15132630049575</v>
      </c>
      <c r="T252" s="170">
        <f>'Demographic-Economic'!H$22*1000*AVERAGE('Demographic-Economic'!$C12:$H12)/T24*(1+'Inflation-Interest'!$C$65)*(1+'Inflation-Interest'!$C$66)*(1+'Inflation-Interest'!$C$67)*$C$5</f>
        <v>49.261984892249302</v>
      </c>
      <c r="U252" s="172">
        <f t="shared" ref="U252:U269" si="109">SUMPRODUCT(Q252:T252, Q24:T24)/SUM(Q24:T24)</f>
        <v>322.7126704024214</v>
      </c>
      <c r="W252">
        <v>2020</v>
      </c>
      <c r="Z252" s="170">
        <v>926.69385782593872</v>
      </c>
      <c r="AA252" s="170">
        <v>729.24250777576435</v>
      </c>
      <c r="AB252" s="170">
        <v>562.87831575123937</v>
      </c>
      <c r="AC252" s="170">
        <v>123.15496223062324</v>
      </c>
      <c r="AD252" s="172">
        <f t="shared" ref="AD252:AD269" si="110">SUMPRODUCT(Z252:AC252, Z24:AC24)/SUM(Z24:AC24)</f>
        <v>806.78167600605343</v>
      </c>
      <c r="AG252">
        <v>2020</v>
      </c>
      <c r="AH252" t="s">
        <v>240</v>
      </c>
      <c r="AI252" t="s">
        <v>240</v>
      </c>
      <c r="AJ252" s="170">
        <v>926.69385782593872</v>
      </c>
      <c r="AK252" s="170">
        <v>729.24250777576435</v>
      </c>
      <c r="AL252" s="170">
        <v>562.87831575123937</v>
      </c>
      <c r="AM252" s="170"/>
      <c r="AN252" s="172">
        <f t="shared" ref="AN252:AN269" si="111">SUMPRODUCT(AJ252:AM252, AJ24:AM24)/SUM(AJ24:AM24)</f>
        <v>801.49078095528841</v>
      </c>
    </row>
    <row r="253" spans="5:40">
      <c r="E253">
        <v>2021</v>
      </c>
      <c r="F253" s="320" t="s">
        <v>240</v>
      </c>
      <c r="G253" s="320" t="s">
        <v>240</v>
      </c>
      <c r="H253" s="63">
        <f t="shared" ref="H253:H262" si="112">H252*(1+$C$6)</f>
        <v>384.5924692015372</v>
      </c>
      <c r="I253" s="63">
        <f t="shared" ref="I253:I262" si="113">I252*(1+$C$6)</f>
        <v>302.64706552623068</v>
      </c>
      <c r="J253" s="63">
        <f t="shared" ref="J253:J262" si="114">J252*(1+$C$6)</f>
        <v>233.60331946371113</v>
      </c>
      <c r="K253" s="63"/>
      <c r="L253" s="63">
        <f t="shared" si="108"/>
        <v>332.65929657366667</v>
      </c>
      <c r="M253" s="63"/>
      <c r="N253">
        <v>2021</v>
      </c>
      <c r="O253" s="320" t="s">
        <v>240</v>
      </c>
      <c r="P253" s="320" t="s">
        <v>240</v>
      </c>
      <c r="Q253" s="63">
        <f t="shared" ref="Q253:Q262" si="115">Q252*(1+$C$6)</f>
        <v>384.5924692015372</v>
      </c>
      <c r="R253" s="63">
        <f t="shared" ref="R253:R262" si="116">R252*(1+$C$6)</f>
        <v>302.64706552623068</v>
      </c>
      <c r="S253" s="63">
        <f t="shared" ref="S253:S262" si="117">S252*(1+$C$6)</f>
        <v>233.60331946371113</v>
      </c>
      <c r="T253" s="63">
        <f t="shared" ref="T253:T262" si="118">T252*(1+$C$6)</f>
        <v>51.111238753450266</v>
      </c>
      <c r="U253" s="172">
        <f t="shared" si="109"/>
        <v>334.79277624949145</v>
      </c>
      <c r="W253">
        <v>2021</v>
      </c>
      <c r="Z253" s="170">
        <v>961.48117300384297</v>
      </c>
      <c r="AA253" s="170">
        <v>756.61766381557675</v>
      </c>
      <c r="AB253" s="170">
        <v>584.00829865927778</v>
      </c>
      <c r="AC253" s="170">
        <v>127.77809688362565</v>
      </c>
      <c r="AD253" s="172">
        <f t="shared" si="110"/>
        <v>836.98194062372863</v>
      </c>
      <c r="AG253">
        <v>2021</v>
      </c>
      <c r="AH253" t="s">
        <v>240</v>
      </c>
      <c r="AI253" t="s">
        <v>240</v>
      </c>
      <c r="AJ253" s="170">
        <v>961.48117300384297</v>
      </c>
      <c r="AK253" s="170">
        <v>756.61766381557675</v>
      </c>
      <c r="AL253" s="170">
        <v>584.00829865927778</v>
      </c>
      <c r="AM253" s="170"/>
      <c r="AN253" s="172">
        <f t="shared" si="111"/>
        <v>831.64824143416661</v>
      </c>
    </row>
    <row r="254" spans="5:40">
      <c r="E254">
        <v>2022</v>
      </c>
      <c r="F254" s="320" t="s">
        <v>240</v>
      </c>
      <c r="G254" s="320" t="s">
        <v>240</v>
      </c>
      <c r="H254" s="63">
        <f t="shared" si="112"/>
        <v>399.02975000163855</v>
      </c>
      <c r="I254" s="63">
        <f t="shared" si="113"/>
        <v>314.00818416019746</v>
      </c>
      <c r="J254" s="63">
        <f t="shared" si="114"/>
        <v>242.37259340694595</v>
      </c>
      <c r="K254" s="63"/>
      <c r="L254" s="63">
        <f t="shared" si="108"/>
        <v>345.18424099635484</v>
      </c>
      <c r="M254" s="63"/>
      <c r="N254">
        <v>2022</v>
      </c>
      <c r="O254" s="320" t="s">
        <v>240</v>
      </c>
      <c r="P254" s="320" t="s">
        <v>240</v>
      </c>
      <c r="Q254" s="63">
        <f t="shared" si="115"/>
        <v>399.02975000163855</v>
      </c>
      <c r="R254" s="63">
        <f t="shared" si="116"/>
        <v>314.00818416019746</v>
      </c>
      <c r="S254" s="63">
        <f t="shared" si="117"/>
        <v>242.37259340694595</v>
      </c>
      <c r="T254" s="63">
        <f t="shared" si="118"/>
        <v>53.029912063555827</v>
      </c>
      <c r="U254" s="172">
        <f t="shared" si="109"/>
        <v>347.33215004811893</v>
      </c>
      <c r="W254">
        <v>2022</v>
      </c>
      <c r="Z254" s="170">
        <v>997.5743750040964</v>
      </c>
      <c r="AA254" s="170">
        <v>785.02046040049368</v>
      </c>
      <c r="AB254" s="170">
        <v>605.93148351736488</v>
      </c>
      <c r="AC254" s="170">
        <v>132.57478015888955</v>
      </c>
      <c r="AD254" s="172">
        <f t="shared" si="110"/>
        <v>868.32910118997597</v>
      </c>
      <c r="AG254">
        <v>2022</v>
      </c>
      <c r="AH254" t="s">
        <v>240</v>
      </c>
      <c r="AI254" t="s">
        <v>240</v>
      </c>
      <c r="AJ254" s="170">
        <v>997.5743750040964</v>
      </c>
      <c r="AK254" s="170">
        <v>785.02046040049368</v>
      </c>
      <c r="AL254" s="170">
        <v>605.93148351736488</v>
      </c>
      <c r="AM254" s="170"/>
      <c r="AN254" s="172">
        <f t="shared" si="111"/>
        <v>862.96048459631459</v>
      </c>
    </row>
    <row r="255" spans="5:40">
      <c r="E255">
        <v>2023</v>
      </c>
      <c r="F255" s="320" t="s">
        <v>240</v>
      </c>
      <c r="G255" s="320" t="s">
        <v>240</v>
      </c>
      <c r="H255" s="63">
        <f t="shared" si="112"/>
        <v>414.00899429190838</v>
      </c>
      <c r="I255" s="63">
        <f t="shared" si="113"/>
        <v>325.79578972008449</v>
      </c>
      <c r="J255" s="63">
        <f t="shared" si="114"/>
        <v>251.47105858628154</v>
      </c>
      <c r="K255" s="63"/>
      <c r="L255" s="63">
        <f t="shared" si="108"/>
        <v>358.18820560140955</v>
      </c>
      <c r="M255" s="63"/>
      <c r="N255">
        <v>2023</v>
      </c>
      <c r="O255" s="320" t="s">
        <v>240</v>
      </c>
      <c r="P255" s="320" t="s">
        <v>240</v>
      </c>
      <c r="Q255" s="63">
        <f t="shared" si="115"/>
        <v>414.00899429190838</v>
      </c>
      <c r="R255" s="63">
        <f t="shared" si="116"/>
        <v>325.79578972008449</v>
      </c>
      <c r="S255" s="63">
        <f t="shared" si="117"/>
        <v>251.47105858628154</v>
      </c>
      <c r="T255" s="63">
        <f t="shared" si="118"/>
        <v>55.020610770828327</v>
      </c>
      <c r="U255" s="172">
        <f t="shared" si="109"/>
        <v>360.34797272275762</v>
      </c>
      <c r="W255">
        <v>2023</v>
      </c>
      <c r="Z255" s="170">
        <v>1035.022485729771</v>
      </c>
      <c r="AA255" s="170">
        <v>814.48947430021121</v>
      </c>
      <c r="AB255" s="170">
        <v>628.67764646570379</v>
      </c>
      <c r="AC255" s="170">
        <v>137.5515269270708</v>
      </c>
      <c r="AD255" s="172">
        <f t="shared" si="110"/>
        <v>900.86659288360886</v>
      </c>
      <c r="AG255">
        <v>2023</v>
      </c>
      <c r="AH255" t="s">
        <v>240</v>
      </c>
      <c r="AI255" t="s">
        <v>240</v>
      </c>
      <c r="AJ255" s="170">
        <v>1035.022485729771</v>
      </c>
      <c r="AK255" s="170">
        <v>814.48947430021121</v>
      </c>
      <c r="AL255" s="170">
        <v>628.67764646570379</v>
      </c>
      <c r="AM255" s="170"/>
      <c r="AN255" s="172">
        <f t="shared" si="111"/>
        <v>895.47024943259055</v>
      </c>
    </row>
    <row r="256" spans="5:40">
      <c r="E256">
        <v>2024</v>
      </c>
      <c r="F256" s="320" t="s">
        <v>240</v>
      </c>
      <c r="G256" s="320" t="s">
        <v>240</v>
      </c>
      <c r="H256" s="63">
        <f t="shared" si="112"/>
        <v>429.55054693013136</v>
      </c>
      <c r="I256" s="63">
        <f t="shared" si="113"/>
        <v>338.02589216968505</v>
      </c>
      <c r="J256" s="63">
        <f t="shared" si="114"/>
        <v>260.91107256639509</v>
      </c>
      <c r="K256" s="63"/>
      <c r="L256" s="63">
        <f t="shared" si="108"/>
        <v>371.68893963408112</v>
      </c>
      <c r="M256" s="63"/>
      <c r="N256">
        <v>2024</v>
      </c>
      <c r="O256" s="320" t="s">
        <v>240</v>
      </c>
      <c r="P256" s="320" t="s">
        <v>240</v>
      </c>
      <c r="Q256" s="63">
        <f t="shared" si="115"/>
        <v>429.55054693013136</v>
      </c>
      <c r="R256" s="63">
        <f t="shared" si="116"/>
        <v>338.02589216968505</v>
      </c>
      <c r="S256" s="63">
        <f t="shared" si="117"/>
        <v>260.91107256639509</v>
      </c>
      <c r="T256" s="63">
        <f t="shared" si="118"/>
        <v>57.086038648656249</v>
      </c>
      <c r="U256" s="172">
        <f t="shared" si="109"/>
        <v>373.85807215116211</v>
      </c>
      <c r="W256">
        <v>2024</v>
      </c>
      <c r="Z256" s="170">
        <v>1073.8763673253286</v>
      </c>
      <c r="AA256" s="170">
        <v>845.0647304242126</v>
      </c>
      <c r="AB256" s="170">
        <v>652.27768141598756</v>
      </c>
      <c r="AC256" s="170">
        <v>142.71509662164058</v>
      </c>
      <c r="AD256" s="172">
        <f t="shared" si="110"/>
        <v>934.63944168502701</v>
      </c>
      <c r="AG256">
        <v>2024</v>
      </c>
      <c r="AH256" t="s">
        <v>240</v>
      </c>
      <c r="AI256" t="s">
        <v>240</v>
      </c>
      <c r="AJ256" s="170">
        <v>1073.8763673253286</v>
      </c>
      <c r="AK256" s="170">
        <v>845.0647304242126</v>
      </c>
      <c r="AL256" s="170">
        <v>652.27768141598756</v>
      </c>
      <c r="AM256" s="170"/>
      <c r="AN256" s="172">
        <f t="shared" si="111"/>
        <v>929.22198259985817</v>
      </c>
    </row>
    <row r="257" spans="5:40">
      <c r="E257">
        <v>2025</v>
      </c>
      <c r="F257" s="320" t="s">
        <v>240</v>
      </c>
      <c r="G257" s="320" t="s">
        <v>240</v>
      </c>
      <c r="H257" s="63">
        <f t="shared" si="112"/>
        <v>445.6755165030994</v>
      </c>
      <c r="I257" s="63">
        <f t="shared" si="113"/>
        <v>350.71510247349158</v>
      </c>
      <c r="J257" s="63">
        <f t="shared" si="114"/>
        <v>270.70545680464375</v>
      </c>
      <c r="K257" s="63"/>
      <c r="L257" s="63">
        <f t="shared" si="108"/>
        <v>385.70490171210878</v>
      </c>
      <c r="M257" s="63"/>
      <c r="N257">
        <v>2025</v>
      </c>
      <c r="O257" s="320" t="s">
        <v>240</v>
      </c>
      <c r="P257" s="320" t="s">
        <v>240</v>
      </c>
      <c r="Q257" s="63">
        <f t="shared" si="115"/>
        <v>445.6755165030994</v>
      </c>
      <c r="R257" s="63">
        <f t="shared" si="116"/>
        <v>350.71510247349158</v>
      </c>
      <c r="S257" s="63">
        <f t="shared" si="117"/>
        <v>270.70545680464375</v>
      </c>
      <c r="T257" s="63">
        <f t="shared" si="118"/>
        <v>59.229000967827929</v>
      </c>
      <c r="U257" s="172">
        <f t="shared" si="109"/>
        <v>387.8809484198502</v>
      </c>
      <c r="W257">
        <v>2025</v>
      </c>
      <c r="Z257" s="170">
        <v>1114.1887912577488</v>
      </c>
      <c r="AA257" s="170">
        <v>876.7877561837289</v>
      </c>
      <c r="AB257" s="170">
        <v>676.76364201160925</v>
      </c>
      <c r="AC257" s="170">
        <v>148.07250241956979</v>
      </c>
      <c r="AD257" s="172">
        <f t="shared" si="110"/>
        <v>969.69432632822543</v>
      </c>
      <c r="AG257">
        <v>2025</v>
      </c>
      <c r="AH257" t="s">
        <v>240</v>
      </c>
      <c r="AI257" t="s">
        <v>240</v>
      </c>
      <c r="AJ257" s="170">
        <v>1114.1887912577488</v>
      </c>
      <c r="AK257" s="170">
        <v>876.7877561837289</v>
      </c>
      <c r="AL257" s="170">
        <v>676.76364201160925</v>
      </c>
      <c r="AM257" s="170"/>
      <c r="AN257" s="172">
        <f t="shared" si="111"/>
        <v>964.26189180408994</v>
      </c>
    </row>
    <row r="258" spans="5:40">
      <c r="E258">
        <v>2026</v>
      </c>
      <c r="F258" s="320" t="s">
        <v>240</v>
      </c>
      <c r="G258" s="320" t="s">
        <v>240</v>
      </c>
      <c r="H258" s="63">
        <f t="shared" si="112"/>
        <v>462.40580399636201</v>
      </c>
      <c r="I258" s="63">
        <f t="shared" si="113"/>
        <v>363.88065515776105</v>
      </c>
      <c r="J258" s="63">
        <f t="shared" si="114"/>
        <v>280.86751406520938</v>
      </c>
      <c r="K258" s="63"/>
      <c r="L258" s="63">
        <f t="shared" si="108"/>
        <v>400.25528158537804</v>
      </c>
      <c r="M258" s="63"/>
      <c r="N258">
        <v>2026</v>
      </c>
      <c r="O258" s="320" t="s">
        <v>240</v>
      </c>
      <c r="P258" s="320" t="s">
        <v>240</v>
      </c>
      <c r="Q258" s="63">
        <f t="shared" si="115"/>
        <v>462.40580399636201</v>
      </c>
      <c r="R258" s="63">
        <f t="shared" si="116"/>
        <v>363.88065515776105</v>
      </c>
      <c r="S258" s="63">
        <f t="shared" si="117"/>
        <v>280.86751406520938</v>
      </c>
      <c r="T258" s="63">
        <f t="shared" si="118"/>
        <v>61.452408306659386</v>
      </c>
      <c r="U258" s="172">
        <f t="shared" si="109"/>
        <v>402.43579988153834</v>
      </c>
      <c r="W258">
        <v>2026</v>
      </c>
      <c r="Z258" s="170">
        <v>1156.0145099909053</v>
      </c>
      <c r="AA258" s="170">
        <v>909.70163789440267</v>
      </c>
      <c r="AB258" s="170">
        <v>702.16878516302336</v>
      </c>
      <c r="AC258" s="170">
        <v>153.63102076664842</v>
      </c>
      <c r="AD258" s="172">
        <f t="shared" si="110"/>
        <v>1006.0796429922782</v>
      </c>
      <c r="AG258">
        <v>2026</v>
      </c>
      <c r="AH258" t="s">
        <v>240</v>
      </c>
      <c r="AI258" t="s">
        <v>240</v>
      </c>
      <c r="AJ258" s="170">
        <v>1156.0145099909053</v>
      </c>
      <c r="AK258" s="170">
        <v>909.70163789440267</v>
      </c>
      <c r="AL258" s="170">
        <v>702.16878516302336</v>
      </c>
      <c r="AM258" s="170"/>
      <c r="AN258" s="172">
        <f t="shared" si="111"/>
        <v>1000.6380027264452</v>
      </c>
    </row>
    <row r="259" spans="5:40">
      <c r="E259">
        <v>2027</v>
      </c>
      <c r="F259" s="320" t="s">
        <v>240</v>
      </c>
      <c r="G259" s="320" t="s">
        <v>240</v>
      </c>
      <c r="H259" s="63">
        <f t="shared" si="112"/>
        <v>479.76413254021543</v>
      </c>
      <c r="I259" s="63">
        <f t="shared" si="113"/>
        <v>377.54043171850412</v>
      </c>
      <c r="J259" s="63">
        <f t="shared" si="114"/>
        <v>291.41104648695563</v>
      </c>
      <c r="K259" s="63"/>
      <c r="L259" s="63">
        <f t="shared" si="108"/>
        <v>415.36002347688668</v>
      </c>
      <c r="M259" s="63"/>
      <c r="N259">
        <v>2027</v>
      </c>
      <c r="O259" s="320" t="s">
        <v>240</v>
      </c>
      <c r="P259" s="320" t="s">
        <v>240</v>
      </c>
      <c r="Q259" s="63">
        <f t="shared" si="115"/>
        <v>479.76413254021543</v>
      </c>
      <c r="R259" s="63">
        <f t="shared" si="116"/>
        <v>377.54043171850412</v>
      </c>
      <c r="S259" s="63">
        <f t="shared" si="117"/>
        <v>291.41104648695563</v>
      </c>
      <c r="T259" s="63">
        <f t="shared" si="118"/>
        <v>63.759280504151121</v>
      </c>
      <c r="U259" s="172">
        <f t="shared" si="109"/>
        <v>417.54255005953928</v>
      </c>
      <c r="W259">
        <v>2027</v>
      </c>
      <c r="Z259" s="170">
        <v>1199.4103313505389</v>
      </c>
      <c r="AA259" s="170">
        <v>943.85107929626031</v>
      </c>
      <c r="AB259" s="170">
        <v>728.52761621738898</v>
      </c>
      <c r="AC259" s="170">
        <v>159.39820126037776</v>
      </c>
      <c r="AD259" s="172">
        <f t="shared" si="110"/>
        <v>1043.8455727402163</v>
      </c>
      <c r="AG259">
        <v>2027</v>
      </c>
      <c r="AH259" t="s">
        <v>240</v>
      </c>
      <c r="AI259" t="s">
        <v>240</v>
      </c>
      <c r="AJ259" s="170">
        <v>1199.4103313505389</v>
      </c>
      <c r="AK259" s="170">
        <v>943.85107929626031</v>
      </c>
      <c r="AL259" s="170">
        <v>728.52761621738898</v>
      </c>
      <c r="AM259" s="170"/>
      <c r="AN259" s="172">
        <f t="shared" si="111"/>
        <v>1038.4002193883719</v>
      </c>
    </row>
    <row r="260" spans="5:40">
      <c r="E260">
        <v>2028</v>
      </c>
      <c r="F260" s="320" t="s">
        <v>240</v>
      </c>
      <c r="G260" s="320" t="s">
        <v>240</v>
      </c>
      <c r="H260" s="63">
        <f t="shared" si="112"/>
        <v>497.77407827233134</v>
      </c>
      <c r="I260" s="63">
        <f t="shared" si="113"/>
        <v>391.71298490819032</v>
      </c>
      <c r="J260" s="63">
        <f t="shared" si="114"/>
        <v>302.3503743295372</v>
      </c>
      <c r="K260" s="63"/>
      <c r="L260" s="63">
        <f t="shared" si="108"/>
        <v>431.03985093353293</v>
      </c>
      <c r="M260" s="63"/>
      <c r="N260">
        <v>2028</v>
      </c>
      <c r="O260" s="320" t="s">
        <v>240</v>
      </c>
      <c r="P260" s="320" t="s">
        <v>240</v>
      </c>
      <c r="Q260" s="63">
        <f t="shared" si="115"/>
        <v>497.77407827233134</v>
      </c>
      <c r="R260" s="63">
        <f t="shared" si="116"/>
        <v>391.71298490819032</v>
      </c>
      <c r="S260" s="63">
        <f t="shared" si="117"/>
        <v>302.3503743295372</v>
      </c>
      <c r="T260" s="63">
        <f t="shared" si="118"/>
        <v>66.152750761543203</v>
      </c>
      <c r="U260" s="172">
        <f t="shared" si="109"/>
        <v>433.22187544564093</v>
      </c>
      <c r="W260">
        <v>2028</v>
      </c>
      <c r="Z260" s="170">
        <v>1244.4351956808287</v>
      </c>
      <c r="AA260" s="170">
        <v>979.28246227047589</v>
      </c>
      <c r="AB260" s="170">
        <v>755.87593582384295</v>
      </c>
      <c r="AC260" s="170">
        <v>165.38187690385797</v>
      </c>
      <c r="AD260" s="172">
        <f t="shared" si="110"/>
        <v>1083.044151717108</v>
      </c>
      <c r="AG260">
        <v>2028</v>
      </c>
      <c r="AH260" t="s">
        <v>240</v>
      </c>
      <c r="AI260" t="s">
        <v>240</v>
      </c>
      <c r="AJ260" s="170">
        <v>1244.4351956808287</v>
      </c>
      <c r="AK260" s="170">
        <v>979.28246227047589</v>
      </c>
      <c r="AL260" s="170">
        <v>755.87593582384295</v>
      </c>
      <c r="AM260" s="170"/>
      <c r="AN260" s="172">
        <f t="shared" si="111"/>
        <v>1077.6003878886424</v>
      </c>
    </row>
    <row r="261" spans="5:40">
      <c r="E261">
        <v>2029</v>
      </c>
      <c r="F261" s="320" t="s">
        <v>240</v>
      </c>
      <c r="G261" s="320" t="s">
        <v>240</v>
      </c>
      <c r="H261" s="63">
        <f t="shared" si="112"/>
        <v>516.46010235894278</v>
      </c>
      <c r="I261" s="63">
        <f t="shared" si="113"/>
        <v>406.41756393415636</v>
      </c>
      <c r="J261" s="63">
        <f t="shared" si="114"/>
        <v>313.70035542322273</v>
      </c>
      <c r="K261" s="63"/>
      <c r="L261" s="63">
        <f t="shared" si="108"/>
        <v>447.31629313774317</v>
      </c>
      <c r="M261" s="63"/>
      <c r="N261">
        <v>2029</v>
      </c>
      <c r="O261" s="320" t="s">
        <v>240</v>
      </c>
      <c r="P261" s="320" t="s">
        <v>240</v>
      </c>
      <c r="Q261" s="63">
        <f t="shared" si="115"/>
        <v>516.46010235894278</v>
      </c>
      <c r="R261" s="63">
        <f t="shared" si="116"/>
        <v>406.41756393415636</v>
      </c>
      <c r="S261" s="63">
        <f t="shared" si="117"/>
        <v>313.70035542322273</v>
      </c>
      <c r="T261" s="63">
        <f t="shared" si="118"/>
        <v>68.636069897839235</v>
      </c>
      <c r="U261" s="172">
        <f t="shared" si="109"/>
        <v>449.49523423921823</v>
      </c>
      <c r="W261">
        <v>2029</v>
      </c>
      <c r="Z261" s="170">
        <v>1291.1502558973573</v>
      </c>
      <c r="AA261" s="170">
        <v>1016.043909835391</v>
      </c>
      <c r="AB261" s="170">
        <v>784.25088855805689</v>
      </c>
      <c r="AC261" s="170">
        <v>171.59017474459804</v>
      </c>
      <c r="AD261" s="172">
        <f t="shared" si="110"/>
        <v>1123.7293441259028</v>
      </c>
      <c r="AG261">
        <v>2029</v>
      </c>
      <c r="AH261" t="s">
        <v>240</v>
      </c>
      <c r="AI261" t="s">
        <v>240</v>
      </c>
      <c r="AJ261" s="170">
        <v>1291.1502558973573</v>
      </c>
      <c r="AK261" s="170">
        <v>1016.043909835391</v>
      </c>
      <c r="AL261" s="170">
        <v>784.25088855805689</v>
      </c>
      <c r="AM261" s="170"/>
      <c r="AN261" s="172">
        <f t="shared" si="111"/>
        <v>1118.2923634758586</v>
      </c>
    </row>
    <row r="262" spans="5:40">
      <c r="E262">
        <v>2030</v>
      </c>
      <c r="F262" s="320" t="s">
        <v>240</v>
      </c>
      <c r="G262" s="320" t="s">
        <v>240</v>
      </c>
      <c r="H262" s="63">
        <f t="shared" si="112"/>
        <v>535.84758421807885</v>
      </c>
      <c r="I262" s="63">
        <f t="shared" si="113"/>
        <v>421.67414060294129</v>
      </c>
      <c r="J262" s="63">
        <f t="shared" si="114"/>
        <v>325.47640534884766</v>
      </c>
      <c r="K262" s="63"/>
      <c r="L262" s="63">
        <f t="shared" si="108"/>
        <v>464.21171264899465</v>
      </c>
      <c r="M262" s="63"/>
      <c r="N262">
        <v>2030</v>
      </c>
      <c r="O262" s="320" t="s">
        <v>240</v>
      </c>
      <c r="P262" s="320" t="s">
        <v>240</v>
      </c>
      <c r="Q262" s="63">
        <f t="shared" si="115"/>
        <v>535.84758421807885</v>
      </c>
      <c r="R262" s="63">
        <f t="shared" si="116"/>
        <v>421.67414060294129</v>
      </c>
      <c r="S262" s="63">
        <f t="shared" si="117"/>
        <v>325.47640534884766</v>
      </c>
      <c r="T262" s="63">
        <f t="shared" si="118"/>
        <v>71.212610765079205</v>
      </c>
      <c r="U262" s="172">
        <f t="shared" si="109"/>
        <v>466.38489607633261</v>
      </c>
      <c r="W262">
        <v>2030</v>
      </c>
      <c r="Z262" s="170">
        <v>1339.6189605451975</v>
      </c>
      <c r="AA262" s="170">
        <v>1054.1853515073533</v>
      </c>
      <c r="AB262" s="170">
        <v>813.69101337211919</v>
      </c>
      <c r="AC262" s="170">
        <v>178.03152691269798</v>
      </c>
      <c r="AD262" s="172">
        <f t="shared" si="110"/>
        <v>1165.9571180086718</v>
      </c>
      <c r="AG262">
        <v>2030</v>
      </c>
      <c r="AH262" t="s">
        <v>240</v>
      </c>
      <c r="AI262" t="s">
        <v>240</v>
      </c>
      <c r="AJ262" s="170">
        <v>1339.6189605451975</v>
      </c>
      <c r="AK262" s="170">
        <v>1054.1853515073533</v>
      </c>
      <c r="AL262" s="170">
        <v>813.69101337211919</v>
      </c>
      <c r="AM262" s="170"/>
      <c r="AN262" s="172">
        <f t="shared" si="111"/>
        <v>1160.5320809456302</v>
      </c>
    </row>
    <row r="263" spans="5:40">
      <c r="E263">
        <v>2040</v>
      </c>
      <c r="F263" s="320" t="s">
        <v>240</v>
      </c>
      <c r="G263" s="320" t="s">
        <v>240</v>
      </c>
      <c r="H263" s="63">
        <f t="shared" ref="H263:J269" si="119">H262*(1+$C$6)^10</f>
        <v>774.61567023325244</v>
      </c>
      <c r="I263" s="63">
        <f t="shared" si="119"/>
        <v>609.56773280934351</v>
      </c>
      <c r="J263" s="63">
        <f t="shared" si="119"/>
        <v>470.50529161628191</v>
      </c>
      <c r="K263" s="63"/>
      <c r="L263" s="63">
        <f t="shared" si="108"/>
        <v>672.5813946728648</v>
      </c>
      <c r="M263" s="63"/>
      <c r="N263">
        <v>2040</v>
      </c>
      <c r="O263" s="320" t="s">
        <v>240</v>
      </c>
      <c r="P263" s="320" t="s">
        <v>240</v>
      </c>
      <c r="Q263" s="63">
        <f t="shared" ref="Q263:T269" si="120">Q262*(1+$C$6)^10</f>
        <v>774.61567023325244</v>
      </c>
      <c r="R263" s="63">
        <f t="shared" si="120"/>
        <v>609.56773280934351</v>
      </c>
      <c r="S263" s="63">
        <f t="shared" si="120"/>
        <v>470.50529161628191</v>
      </c>
      <c r="T263" s="63">
        <f t="shared" si="120"/>
        <v>102.94420622861594</v>
      </c>
      <c r="U263" s="172">
        <f t="shared" si="109"/>
        <v>674.49285587798784</v>
      </c>
      <c r="W263">
        <v>2040</v>
      </c>
      <c r="Z263" s="170">
        <v>1936.5391755831317</v>
      </c>
      <c r="AA263" s="170">
        <v>1523.9193320233589</v>
      </c>
      <c r="AB263" s="170">
        <v>1176.2632290407048</v>
      </c>
      <c r="AC263" s="170">
        <v>257.36051557153979</v>
      </c>
      <c r="AD263" s="172">
        <f t="shared" si="110"/>
        <v>1686.3053320781144</v>
      </c>
      <c r="AG263">
        <v>2040</v>
      </c>
      <c r="AH263" t="s">
        <v>240</v>
      </c>
      <c r="AI263" t="s">
        <v>240</v>
      </c>
      <c r="AJ263" s="170">
        <v>1936.5391755831317</v>
      </c>
      <c r="AK263" s="170">
        <v>1523.9193320233589</v>
      </c>
      <c r="AL263" s="170">
        <v>1176.2632290407048</v>
      </c>
      <c r="AM263" s="170"/>
      <c r="AN263" s="172">
        <f t="shared" si="111"/>
        <v>1681.476468882975</v>
      </c>
    </row>
    <row r="264" spans="5:40">
      <c r="E264">
        <v>2050</v>
      </c>
      <c r="F264" s="320" t="s">
        <v>240</v>
      </c>
      <c r="G264" s="320" t="s">
        <v>240</v>
      </c>
      <c r="H264" s="63">
        <f t="shared" si="119"/>
        <v>1119.776321183733</v>
      </c>
      <c r="I264" s="63">
        <f t="shared" si="119"/>
        <v>881.18474694943484</v>
      </c>
      <c r="J264" s="63">
        <f t="shared" si="119"/>
        <v>680.15753461960207</v>
      </c>
      <c r="K264" s="63"/>
      <c r="L264" s="63">
        <f t="shared" si="108"/>
        <v>972.27663829292146</v>
      </c>
      <c r="M264" s="63"/>
      <c r="N264">
        <v>2050</v>
      </c>
      <c r="O264" s="320" t="s">
        <v>240</v>
      </c>
      <c r="P264" s="320" t="s">
        <v>240</v>
      </c>
      <c r="Q264" s="63">
        <f t="shared" si="120"/>
        <v>1119.776321183733</v>
      </c>
      <c r="R264" s="63">
        <f t="shared" si="120"/>
        <v>881.18474694943484</v>
      </c>
      <c r="S264" s="63">
        <f t="shared" si="120"/>
        <v>680.15753461960207</v>
      </c>
      <c r="T264" s="63">
        <f t="shared" si="120"/>
        <v>148.81506915958414</v>
      </c>
      <c r="U264" s="172">
        <f t="shared" si="109"/>
        <v>976.05224957290852</v>
      </c>
      <c r="W264">
        <v>2050</v>
      </c>
      <c r="Z264" s="170">
        <v>2799.4408029593333</v>
      </c>
      <c r="AA264" s="170">
        <v>2202.9618673735872</v>
      </c>
      <c r="AB264" s="170">
        <v>1700.3938365490053</v>
      </c>
      <c r="AC264" s="170">
        <v>372.0376728989603</v>
      </c>
      <c r="AD264" s="172">
        <f t="shared" si="110"/>
        <v>2440.7486810378655</v>
      </c>
      <c r="AG264">
        <v>2050</v>
      </c>
      <c r="AH264" t="s">
        <v>240</v>
      </c>
      <c r="AI264" t="s">
        <v>240</v>
      </c>
      <c r="AJ264" s="170">
        <v>2799.4408029593333</v>
      </c>
      <c r="AK264" s="170">
        <v>2202.9618673735872</v>
      </c>
      <c r="AL264" s="170">
        <v>1700.3938365490053</v>
      </c>
      <c r="AM264" s="170"/>
      <c r="AN264" s="172">
        <f t="shared" si="111"/>
        <v>2430.7248185617245</v>
      </c>
    </row>
    <row r="265" spans="5:40">
      <c r="E265">
        <v>2060</v>
      </c>
      <c r="F265" s="320" t="s">
        <v>240</v>
      </c>
      <c r="G265" s="320" t="s">
        <v>240</v>
      </c>
      <c r="H265" s="63">
        <f t="shared" si="119"/>
        <v>1618.7369526183229</v>
      </c>
      <c r="I265" s="63">
        <f t="shared" si="119"/>
        <v>1273.8314652544177</v>
      </c>
      <c r="J265" s="63">
        <f t="shared" si="119"/>
        <v>983.22862705888076</v>
      </c>
      <c r="K265" s="63"/>
      <c r="L265" s="63">
        <f t="shared" si="108"/>
        <v>1405.5129518264141</v>
      </c>
      <c r="M265" s="63"/>
      <c r="N265">
        <v>2060</v>
      </c>
      <c r="O265" s="320" t="s">
        <v>240</v>
      </c>
      <c r="P265" s="320" t="s">
        <v>240</v>
      </c>
      <c r="Q265" s="63">
        <f t="shared" si="120"/>
        <v>1618.7369526183229</v>
      </c>
      <c r="R265" s="63">
        <f t="shared" si="120"/>
        <v>1273.8314652544177</v>
      </c>
      <c r="S265" s="63">
        <f t="shared" si="120"/>
        <v>983.22862705888076</v>
      </c>
      <c r="T265" s="63">
        <f t="shared" si="120"/>
        <v>215.12550944140258</v>
      </c>
      <c r="U265" s="172">
        <f t="shared" si="109"/>
        <v>1410.9709360523855</v>
      </c>
      <c r="W265">
        <v>2060</v>
      </c>
      <c r="Z265" s="170">
        <v>4046.8423815458082</v>
      </c>
      <c r="AA265" s="170">
        <v>3184.5786631360447</v>
      </c>
      <c r="AB265" s="170">
        <v>2458.0715676472023</v>
      </c>
      <c r="AC265" s="170">
        <v>537.81377360350632</v>
      </c>
      <c r="AD265" s="172">
        <f t="shared" si="110"/>
        <v>3528.3207970265307</v>
      </c>
      <c r="AG265">
        <v>2060</v>
      </c>
      <c r="AH265" t="s">
        <v>240</v>
      </c>
      <c r="AI265" t="s">
        <v>240</v>
      </c>
      <c r="AJ265" s="170">
        <v>4046.8423815458082</v>
      </c>
      <c r="AK265" s="170">
        <v>3184.5786631360447</v>
      </c>
      <c r="AL265" s="170">
        <v>2458.0715676472023</v>
      </c>
      <c r="AM265" s="170"/>
      <c r="AN265" s="172">
        <f t="shared" si="111"/>
        <v>3513.8304061411968</v>
      </c>
    </row>
    <row r="266" spans="5:40">
      <c r="E266">
        <v>2070</v>
      </c>
      <c r="F266" s="320" t="s">
        <v>240</v>
      </c>
      <c r="G266" s="320" t="s">
        <v>240</v>
      </c>
      <c r="H266" s="63">
        <f t="shared" si="119"/>
        <v>2340.0292292322138</v>
      </c>
      <c r="I266" s="63">
        <f t="shared" si="119"/>
        <v>1841.4374596129153</v>
      </c>
      <c r="J266" s="63">
        <f t="shared" si="119"/>
        <v>1421.345032381018</v>
      </c>
      <c r="K266" s="63"/>
      <c r="L266" s="63">
        <f t="shared" si="108"/>
        <v>2031.7948410446563</v>
      </c>
      <c r="M266" s="63"/>
      <c r="N266">
        <v>2070</v>
      </c>
      <c r="O266" s="320" t="s">
        <v>240</v>
      </c>
      <c r="P266" s="320" t="s">
        <v>240</v>
      </c>
      <c r="Q266" s="63">
        <f t="shared" si="120"/>
        <v>2340.0292292322138</v>
      </c>
      <c r="R266" s="63">
        <f t="shared" si="120"/>
        <v>1841.4374596129153</v>
      </c>
      <c r="S266" s="63">
        <f t="shared" si="120"/>
        <v>1421.345032381018</v>
      </c>
      <c r="T266" s="63">
        <f t="shared" si="120"/>
        <v>310.98318922793368</v>
      </c>
      <c r="U266" s="172">
        <f t="shared" si="109"/>
        <v>2039.6848460271235</v>
      </c>
      <c r="W266">
        <v>2070</v>
      </c>
      <c r="Z266" s="170">
        <v>5850.0730730805353</v>
      </c>
      <c r="AA266" s="170">
        <v>4603.5936490322892</v>
      </c>
      <c r="AB266" s="170">
        <v>3553.3625809525456</v>
      </c>
      <c r="AC266" s="170">
        <v>777.457973069834</v>
      </c>
      <c r="AD266" s="172">
        <f t="shared" si="110"/>
        <v>5100.5036870229087</v>
      </c>
      <c r="AG266">
        <v>2070</v>
      </c>
      <c r="AH266" t="s">
        <v>240</v>
      </c>
      <c r="AI266" t="s">
        <v>240</v>
      </c>
      <c r="AJ266" s="170">
        <v>5850.0730730805353</v>
      </c>
      <c r="AK266" s="170">
        <v>4603.5936490322892</v>
      </c>
      <c r="AL266" s="170">
        <v>3553.3625809525456</v>
      </c>
      <c r="AM266" s="170"/>
      <c r="AN266" s="172">
        <f t="shared" si="111"/>
        <v>5079.5565293270047</v>
      </c>
    </row>
    <row r="267" spans="5:40">
      <c r="E267">
        <v>2080</v>
      </c>
      <c r="F267" s="320" t="s">
        <v>240</v>
      </c>
      <c r="G267" s="320" t="s">
        <v>240</v>
      </c>
      <c r="H267" s="63">
        <f t="shared" si="119"/>
        <v>3382.7218096207976</v>
      </c>
      <c r="I267" s="63">
        <f t="shared" si="119"/>
        <v>2661.962755793928</v>
      </c>
      <c r="J267" s="63">
        <f t="shared" si="119"/>
        <v>2054.6815313110446</v>
      </c>
      <c r="K267" s="63"/>
      <c r="L267" s="63">
        <f t="shared" si="108"/>
        <v>2937.1413979012036</v>
      </c>
      <c r="M267" s="63"/>
      <c r="N267">
        <v>2080</v>
      </c>
      <c r="O267" s="320" t="s">
        <v>240</v>
      </c>
      <c r="P267" s="320" t="s">
        <v>240</v>
      </c>
      <c r="Q267" s="63">
        <f t="shared" si="120"/>
        <v>3382.7218096207976</v>
      </c>
      <c r="R267" s="63">
        <f t="shared" si="120"/>
        <v>2661.962755793928</v>
      </c>
      <c r="S267" s="63">
        <f t="shared" si="120"/>
        <v>2054.6815313110446</v>
      </c>
      <c r="T267" s="63">
        <f t="shared" si="120"/>
        <v>449.55404978933711</v>
      </c>
      <c r="U267" s="172">
        <f t="shared" si="109"/>
        <v>2948.5471066841519</v>
      </c>
      <c r="W267">
        <v>2080</v>
      </c>
      <c r="Z267" s="170">
        <v>8456.804524051995</v>
      </c>
      <c r="AA267" s="170">
        <v>6654.9068894848215</v>
      </c>
      <c r="AB267" s="170">
        <v>5136.703828277612</v>
      </c>
      <c r="AC267" s="170">
        <v>1123.8851244733423</v>
      </c>
      <c r="AD267" s="172">
        <f t="shared" si="110"/>
        <v>7373.2348496367931</v>
      </c>
      <c r="AG267">
        <v>2080</v>
      </c>
      <c r="AH267" t="s">
        <v>240</v>
      </c>
      <c r="AI267" t="s">
        <v>240</v>
      </c>
      <c r="AJ267" s="170">
        <v>8456.804524051995</v>
      </c>
      <c r="AK267" s="170">
        <v>6654.9068894848215</v>
      </c>
      <c r="AL267" s="170">
        <v>5136.703828277612</v>
      </c>
      <c r="AM267" s="170"/>
      <c r="AN267" s="172">
        <f t="shared" si="111"/>
        <v>7342.9538572875026</v>
      </c>
    </row>
    <row r="268" spans="5:40">
      <c r="E268">
        <v>2090</v>
      </c>
      <c r="F268" s="320" t="s">
        <v>240</v>
      </c>
      <c r="G268" s="320" t="s">
        <v>240</v>
      </c>
      <c r="H268" s="63">
        <f t="shared" si="119"/>
        <v>4890.0273117693914</v>
      </c>
      <c r="I268" s="63">
        <f t="shared" si="119"/>
        <v>3848.1055526716318</v>
      </c>
      <c r="J268" s="63">
        <f t="shared" si="119"/>
        <v>2970.2261582738552</v>
      </c>
      <c r="K268" s="63"/>
      <c r="L268" s="63">
        <f t="shared" si="108"/>
        <v>4245.9009231608889</v>
      </c>
      <c r="M268" s="63"/>
      <c r="N268">
        <v>2090</v>
      </c>
      <c r="O268" s="320" t="s">
        <v>240</v>
      </c>
      <c r="P268" s="320" t="s">
        <v>240</v>
      </c>
      <c r="Q268" s="63">
        <f t="shared" si="120"/>
        <v>4890.0273117693914</v>
      </c>
      <c r="R268" s="63">
        <f t="shared" si="120"/>
        <v>3848.1055526716318</v>
      </c>
      <c r="S268" s="63">
        <f t="shared" si="120"/>
        <v>2970.2261582738552</v>
      </c>
      <c r="T268" s="63">
        <f t="shared" si="120"/>
        <v>649.87063829314059</v>
      </c>
      <c r="U268" s="172">
        <f t="shared" si="109"/>
        <v>4262.3888966324503</v>
      </c>
      <c r="W268">
        <v>2090</v>
      </c>
      <c r="Z268" s="170">
        <v>12225.06827942348</v>
      </c>
      <c r="AA268" s="170">
        <v>9620.2638816790823</v>
      </c>
      <c r="AB268" s="170">
        <v>7425.5653956846381</v>
      </c>
      <c r="AC268" s="170">
        <v>1624.6765957328507</v>
      </c>
      <c r="AD268" s="172">
        <f t="shared" si="110"/>
        <v>10658.671277155832</v>
      </c>
      <c r="AG268">
        <v>2090</v>
      </c>
      <c r="AH268" t="s">
        <v>240</v>
      </c>
      <c r="AI268" t="s">
        <v>240</v>
      </c>
      <c r="AJ268" s="170">
        <v>12225.06827942348</v>
      </c>
      <c r="AK268" s="170">
        <v>9620.2638816790823</v>
      </c>
      <c r="AL268" s="170">
        <v>7425.5653956846381</v>
      </c>
      <c r="AM268" s="170"/>
      <c r="AN268" s="172">
        <f t="shared" si="111"/>
        <v>10614.897390933687</v>
      </c>
    </row>
    <row r="269" spans="5:40">
      <c r="E269">
        <v>2100</v>
      </c>
      <c r="F269" s="320" t="s">
        <v>240</v>
      </c>
      <c r="G269" s="320" t="s">
        <v>240</v>
      </c>
      <c r="H269" s="63">
        <f t="shared" si="119"/>
        <v>7068.9724002255898</v>
      </c>
      <c r="I269" s="63">
        <f t="shared" si="119"/>
        <v>5562.7811892829423</v>
      </c>
      <c r="J269" s="63">
        <f t="shared" si="119"/>
        <v>4293.7279071491894</v>
      </c>
      <c r="K269" s="63"/>
      <c r="L269" s="63">
        <f t="shared" si="108"/>
        <v>6137.8300214557394</v>
      </c>
      <c r="M269" s="63"/>
      <c r="N269">
        <v>2100</v>
      </c>
      <c r="O269" s="320" t="s">
        <v>240</v>
      </c>
      <c r="P269" s="320" t="s">
        <v>240</v>
      </c>
      <c r="Q269" s="63">
        <f t="shared" si="120"/>
        <v>7068.9724002255898</v>
      </c>
      <c r="R269" s="63">
        <f t="shared" si="120"/>
        <v>5562.7811892829423</v>
      </c>
      <c r="S269" s="63">
        <f t="shared" si="120"/>
        <v>4293.7279071491894</v>
      </c>
      <c r="T269" s="63">
        <f t="shared" si="120"/>
        <v>939.44620610901052</v>
      </c>
      <c r="U269" s="172">
        <f t="shared" si="109"/>
        <v>6161.6648636713653</v>
      </c>
      <c r="W269">
        <v>2100</v>
      </c>
      <c r="Z269" s="170">
        <v>17672.431000563978</v>
      </c>
      <c r="AA269" s="170">
        <v>13906.952973207361</v>
      </c>
      <c r="AB269" s="170">
        <v>10734.319767872974</v>
      </c>
      <c r="AC269" s="170">
        <v>2348.615515272525</v>
      </c>
      <c r="AD269" s="172">
        <f t="shared" si="110"/>
        <v>15408.063856810841</v>
      </c>
      <c r="AG269">
        <v>2100</v>
      </c>
      <c r="AH269" t="s">
        <v>240</v>
      </c>
      <c r="AI269" t="s">
        <v>240</v>
      </c>
      <c r="AJ269" s="170">
        <v>17672.431000563978</v>
      </c>
      <c r="AK269" s="170">
        <v>13906.952973207361</v>
      </c>
      <c r="AL269" s="170">
        <v>10734.319767872974</v>
      </c>
      <c r="AM269" s="170"/>
      <c r="AN269" s="172">
        <f t="shared" si="111"/>
        <v>15344.784784154086</v>
      </c>
    </row>
    <row r="270" spans="5:40">
      <c r="F270" s="581" t="s">
        <v>293</v>
      </c>
      <c r="G270" s="581"/>
      <c r="H270" s="581"/>
      <c r="I270" s="581"/>
      <c r="J270" s="581"/>
      <c r="K270" s="581"/>
      <c r="L270" s="63"/>
      <c r="M270" s="63"/>
      <c r="O270" s="581" t="s">
        <v>293</v>
      </c>
      <c r="P270" s="581"/>
      <c r="Q270" s="581"/>
      <c r="R270" s="581"/>
      <c r="S270" s="581"/>
      <c r="T270" s="581"/>
      <c r="X270" s="581" t="s">
        <v>293</v>
      </c>
      <c r="Y270" s="581"/>
      <c r="Z270" s="581"/>
      <c r="AA270" s="581"/>
      <c r="AB270" s="581"/>
      <c r="AC270" s="581"/>
      <c r="AD270" s="172"/>
      <c r="AH270" s="581" t="s">
        <v>293</v>
      </c>
      <c r="AI270" s="581"/>
      <c r="AJ270" s="581"/>
      <c r="AK270" s="581"/>
      <c r="AL270" s="581"/>
      <c r="AM270" s="581"/>
    </row>
    <row r="271" spans="5:40">
      <c r="E271">
        <v>2020</v>
      </c>
      <c r="F271" s="320" t="s">
        <v>240</v>
      </c>
      <c r="G271" s="320" t="s">
        <v>240</v>
      </c>
      <c r="H271" s="63">
        <f>'Demographic-Economic'!E$22*1000*(1-AVERAGE('Demographic-Economic'!$C12:$H12))/H43*(1+'Inflation-Interest'!$C$65)*(1+'Inflation-Interest'!$C$66)*(1+'Inflation-Interest'!$C$67)*$C$9</f>
        <v>0</v>
      </c>
      <c r="I271" s="63">
        <f>'Demographic-Economic'!F$22*1000*(1-AVERAGE('Demographic-Economic'!$C12:$H12))/I43*(1+'Inflation-Interest'!$C$65)*(1+'Inflation-Interest'!$C$66)*(1+'Inflation-Interest'!$C$67)*$C$9</f>
        <v>0</v>
      </c>
      <c r="J271" s="63">
        <f>'Demographic-Economic'!G$22*1000*(1-AVERAGE('Demographic-Economic'!$C12:$H12))/J43*(1+'Inflation-Interest'!$C$65)*(1+'Inflation-Interest'!$C$66)*(1+'Inflation-Interest'!$C$67)*$C$9</f>
        <v>0</v>
      </c>
      <c r="K271" s="63"/>
      <c r="L271" s="63">
        <f t="shared" ref="L271:L288" si="121">SUMPRODUCT(H271:K271, H43:K43)/SUM(H43:K43)</f>
        <v>0</v>
      </c>
      <c r="M271" s="63"/>
      <c r="N271">
        <v>2020</v>
      </c>
      <c r="O271" s="320" t="s">
        <v>240</v>
      </c>
      <c r="P271" s="320" t="s">
        <v>240</v>
      </c>
      <c r="Q271" s="170">
        <f>'Demographic-Economic'!E$22*1000*(1-AVERAGE('Demographic-Economic'!$C12:$H12))/Q43*(1+'Inflation-Interest'!$C$65)*(1+'Inflation-Interest'!$C$66)*(1+'Inflation-Interest'!$C$67)*$C$9</f>
        <v>0</v>
      </c>
      <c r="R271" s="170">
        <f>'Demographic-Economic'!F$22*1000*(1-AVERAGE('Demographic-Economic'!$C12:$H12))/R43*(1+'Inflation-Interest'!$C$65)*(1+'Inflation-Interest'!$C$66)*(1+'Inflation-Interest'!$C$67)*$C$9</f>
        <v>0</v>
      </c>
      <c r="S271" s="170">
        <f>'Demographic-Economic'!G$22*1000*(1-AVERAGE('Demographic-Economic'!$C12:$H12))/S43*(1+'Inflation-Interest'!$C$65)*(1+'Inflation-Interest'!$C$66)*(1+'Inflation-Interest'!$C$67)*$C$9</f>
        <v>0</v>
      </c>
      <c r="T271" s="170">
        <f>'Demographic-Economic'!H$22*1000*(1-AVERAGE('Demographic-Economic'!$C12:$H12))/T43*(1+'Inflation-Interest'!$C$65)*(1+'Inflation-Interest'!$C$66)*(1+'Inflation-Interest'!$C$67)*$C$9</f>
        <v>0</v>
      </c>
      <c r="U271" s="172">
        <f t="shared" ref="U271:U288" si="122">SUMPRODUCT(Q271:T271, Q43:T43)/SUM(Q43:T43)</f>
        <v>0</v>
      </c>
      <c r="W271">
        <v>2020</v>
      </c>
      <c r="Z271" s="170">
        <v>444.29931027078754</v>
      </c>
      <c r="AA271" s="170">
        <v>341.49712566059407</v>
      </c>
      <c r="AB271" s="170">
        <v>234.05882826692957</v>
      </c>
      <c r="AC271" s="170">
        <v>77.307117355136981</v>
      </c>
      <c r="AD271" s="172">
        <f t="shared" ref="AD271:AD288" si="123">SUMPRODUCT(Z271:AC271,Z43:AC43)/SUM(Z43:AC43)</f>
        <v>380.01481777823557</v>
      </c>
      <c r="AG271">
        <v>2020</v>
      </c>
      <c r="AJ271" s="170">
        <v>444.29931027078754</v>
      </c>
      <c r="AK271" s="170">
        <v>341.49712566059407</v>
      </c>
      <c r="AL271" s="170">
        <v>234.05882826692957</v>
      </c>
      <c r="AM271" s="170"/>
      <c r="AN271" s="172">
        <f t="shared" ref="AN271:AN288" si="124">SUMPRODUCT(AJ271:AM271, AJ43:AM43)/SUM(AJ43:AM43)</f>
        <v>377.52267079672038</v>
      </c>
    </row>
    <row r="272" spans="5:40">
      <c r="E272">
        <v>2021</v>
      </c>
      <c r="F272" s="320" t="s">
        <v>240</v>
      </c>
      <c r="G272" s="320" t="s">
        <v>240</v>
      </c>
      <c r="H272" s="63">
        <f t="shared" ref="H272:H281" si="125">H271*(1+$C$6)</f>
        <v>0</v>
      </c>
      <c r="I272" s="63">
        <f t="shared" ref="I272:I281" si="126">I271*(1+$C$6)</f>
        <v>0</v>
      </c>
      <c r="J272" s="63">
        <f t="shared" ref="J272:J281" si="127">J271*(1+$C$6)</f>
        <v>0</v>
      </c>
      <c r="K272" s="63"/>
      <c r="L272" s="63">
        <f t="shared" si="121"/>
        <v>0</v>
      </c>
      <c r="M272" s="63"/>
      <c r="N272">
        <v>2021</v>
      </c>
      <c r="O272" s="320" t="s">
        <v>240</v>
      </c>
      <c r="P272" s="320" t="s">
        <v>240</v>
      </c>
      <c r="Q272" s="170">
        <f t="shared" ref="Q272:Q281" si="128">Q271*(1+$C$6)</f>
        <v>0</v>
      </c>
      <c r="R272" s="170">
        <f t="shared" ref="R272:R281" si="129">R271*(1+$C$6)</f>
        <v>0</v>
      </c>
      <c r="S272" s="170">
        <f t="shared" ref="S272:S281" si="130">S271*(1+$C$6)</f>
        <v>0</v>
      </c>
      <c r="T272" s="170">
        <f t="shared" ref="T272:T281" si="131">T271*(1+$C$6)</f>
        <v>0</v>
      </c>
      <c r="U272" s="172">
        <f t="shared" si="122"/>
        <v>0</v>
      </c>
      <c r="W272">
        <v>2021</v>
      </c>
      <c r="Z272" s="170">
        <v>460.97793612892769</v>
      </c>
      <c r="AA272" s="170">
        <v>354.3166431769547</v>
      </c>
      <c r="AB272" s="170">
        <v>242.84520163104656</v>
      </c>
      <c r="AC272" s="170">
        <v>80.209162118051026</v>
      </c>
      <c r="AD272" s="172">
        <f t="shared" si="123"/>
        <v>394.24041166396495</v>
      </c>
      <c r="AG272">
        <v>2021</v>
      </c>
      <c r="AJ272" s="170">
        <v>460.97793612892769</v>
      </c>
      <c r="AK272" s="170">
        <v>354.3166431769547</v>
      </c>
      <c r="AL272" s="170">
        <v>242.84520163104656</v>
      </c>
      <c r="AM272" s="170"/>
      <c r="AN272" s="172">
        <f t="shared" si="124"/>
        <v>391.70850313432982</v>
      </c>
    </row>
    <row r="273" spans="5:40">
      <c r="E273">
        <v>2022</v>
      </c>
      <c r="F273" s="320" t="s">
        <v>240</v>
      </c>
      <c r="G273" s="320" t="s">
        <v>240</v>
      </c>
      <c r="H273" s="63">
        <f t="shared" si="125"/>
        <v>0</v>
      </c>
      <c r="I273" s="63">
        <f t="shared" si="126"/>
        <v>0</v>
      </c>
      <c r="J273" s="63">
        <f t="shared" si="127"/>
        <v>0</v>
      </c>
      <c r="K273" s="63"/>
      <c r="L273" s="63">
        <f t="shared" si="121"/>
        <v>0</v>
      </c>
      <c r="M273" s="63"/>
      <c r="N273">
        <v>2022</v>
      </c>
      <c r="O273" s="320" t="s">
        <v>240</v>
      </c>
      <c r="P273" s="320" t="s">
        <v>240</v>
      </c>
      <c r="Q273" s="170">
        <f t="shared" si="128"/>
        <v>0</v>
      </c>
      <c r="R273" s="170">
        <f t="shared" si="129"/>
        <v>0</v>
      </c>
      <c r="S273" s="170">
        <f t="shared" si="130"/>
        <v>0</v>
      </c>
      <c r="T273" s="170">
        <f t="shared" si="131"/>
        <v>0</v>
      </c>
      <c r="U273" s="172">
        <f t="shared" si="122"/>
        <v>0</v>
      </c>
      <c r="W273">
        <v>2022</v>
      </c>
      <c r="Z273" s="170">
        <v>478.28266370292755</v>
      </c>
      <c r="AA273" s="170">
        <v>367.61739469794827</v>
      </c>
      <c r="AB273" s="170">
        <v>251.9614081292747</v>
      </c>
      <c r="AC273" s="170">
        <v>83.220147222994228</v>
      </c>
      <c r="AD273" s="172">
        <f t="shared" si="123"/>
        <v>409.00815070661343</v>
      </c>
      <c r="AG273">
        <v>2022</v>
      </c>
      <c r="AJ273" s="170">
        <v>478.28266370292755</v>
      </c>
      <c r="AK273" s="170">
        <v>367.61739469794827</v>
      </c>
      <c r="AL273" s="170">
        <v>251.9614081292747</v>
      </c>
      <c r="AM273" s="170"/>
      <c r="AN273" s="172">
        <f t="shared" si="124"/>
        <v>406.43878835196017</v>
      </c>
    </row>
    <row r="274" spans="5:40">
      <c r="E274">
        <v>2023</v>
      </c>
      <c r="F274" s="320" t="s">
        <v>240</v>
      </c>
      <c r="G274" s="320" t="s">
        <v>240</v>
      </c>
      <c r="H274" s="63">
        <f t="shared" si="125"/>
        <v>0</v>
      </c>
      <c r="I274" s="63">
        <f t="shared" si="126"/>
        <v>0</v>
      </c>
      <c r="J274" s="63">
        <f t="shared" si="127"/>
        <v>0</v>
      </c>
      <c r="K274" s="63"/>
      <c r="L274" s="63">
        <f t="shared" si="121"/>
        <v>0</v>
      </c>
      <c r="M274" s="63"/>
      <c r="N274">
        <v>2023</v>
      </c>
      <c r="O274" s="320" t="s">
        <v>240</v>
      </c>
      <c r="P274" s="320" t="s">
        <v>240</v>
      </c>
      <c r="Q274" s="170">
        <f t="shared" si="128"/>
        <v>0</v>
      </c>
      <c r="R274" s="170">
        <f t="shared" si="129"/>
        <v>0</v>
      </c>
      <c r="S274" s="170">
        <f t="shared" si="130"/>
        <v>0</v>
      </c>
      <c r="T274" s="170">
        <f t="shared" si="131"/>
        <v>0</v>
      </c>
      <c r="U274" s="172">
        <f t="shared" si="122"/>
        <v>0</v>
      </c>
      <c r="W274">
        <v>2023</v>
      </c>
      <c r="Z274" s="170">
        <v>496.23699632944903</v>
      </c>
      <c r="AA274" s="170">
        <v>381.41744534708033</v>
      </c>
      <c r="AB274" s="170">
        <v>261.41982942260756</v>
      </c>
      <c r="AC274" s="170">
        <v>86.344162199622744</v>
      </c>
      <c r="AD274" s="172">
        <f t="shared" si="123"/>
        <v>424.33860944609984</v>
      </c>
      <c r="AG274">
        <v>2023</v>
      </c>
      <c r="AJ274" s="170">
        <v>496.23699632944903</v>
      </c>
      <c r="AK274" s="170">
        <v>381.41744534708033</v>
      </c>
      <c r="AL274" s="170">
        <v>261.41982942260756</v>
      </c>
      <c r="AM274" s="170"/>
      <c r="AN274" s="172">
        <f t="shared" si="124"/>
        <v>421.73359989927872</v>
      </c>
    </row>
    <row r="275" spans="5:40">
      <c r="E275">
        <v>2024</v>
      </c>
      <c r="F275" s="320" t="s">
        <v>240</v>
      </c>
      <c r="G275" s="320" t="s">
        <v>240</v>
      </c>
      <c r="H275" s="63">
        <f t="shared" si="125"/>
        <v>0</v>
      </c>
      <c r="I275" s="63">
        <f t="shared" si="126"/>
        <v>0</v>
      </c>
      <c r="J275" s="63">
        <f t="shared" si="127"/>
        <v>0</v>
      </c>
      <c r="K275" s="63"/>
      <c r="L275" s="63">
        <f t="shared" si="121"/>
        <v>0</v>
      </c>
      <c r="M275" s="63"/>
      <c r="N275">
        <v>2024</v>
      </c>
      <c r="O275" s="320" t="s">
        <v>240</v>
      </c>
      <c r="P275" s="320" t="s">
        <v>240</v>
      </c>
      <c r="Q275" s="170">
        <f t="shared" si="128"/>
        <v>0</v>
      </c>
      <c r="R275" s="170">
        <f t="shared" si="129"/>
        <v>0</v>
      </c>
      <c r="S275" s="170">
        <f t="shared" si="130"/>
        <v>0</v>
      </c>
      <c r="T275" s="170">
        <f t="shared" si="131"/>
        <v>0</v>
      </c>
      <c r="U275" s="172">
        <f t="shared" si="122"/>
        <v>0</v>
      </c>
      <c r="W275">
        <v>2024</v>
      </c>
      <c r="Z275" s="170">
        <v>514.86531964082633</v>
      </c>
      <c r="AA275" s="170">
        <v>395.73553839753862</v>
      </c>
      <c r="AB275" s="170">
        <v>271.23331196927438</v>
      </c>
      <c r="AC275" s="170">
        <v>89.585450095128081</v>
      </c>
      <c r="AD275" s="172">
        <f t="shared" si="123"/>
        <v>440.25311158186304</v>
      </c>
      <c r="AG275">
        <v>2024</v>
      </c>
      <c r="AJ275" s="170">
        <v>514.86531964082633</v>
      </c>
      <c r="AK275" s="170">
        <v>395.73553839753862</v>
      </c>
      <c r="AL275" s="170">
        <v>271.23331196927438</v>
      </c>
      <c r="AM275" s="170"/>
      <c r="AN275" s="172">
        <f t="shared" si="124"/>
        <v>437.61382200982803</v>
      </c>
    </row>
    <row r="276" spans="5:40">
      <c r="E276">
        <v>2025</v>
      </c>
      <c r="F276" s="320" t="s">
        <v>240</v>
      </c>
      <c r="G276" s="320" t="s">
        <v>240</v>
      </c>
      <c r="H276" s="63">
        <f t="shared" si="125"/>
        <v>0</v>
      </c>
      <c r="I276" s="63">
        <f t="shared" si="126"/>
        <v>0</v>
      </c>
      <c r="J276" s="63">
        <f t="shared" si="127"/>
        <v>0</v>
      </c>
      <c r="K276" s="63"/>
      <c r="L276" s="63">
        <f t="shared" si="121"/>
        <v>0</v>
      </c>
      <c r="M276" s="63"/>
      <c r="N276">
        <v>2025</v>
      </c>
      <c r="O276" s="320" t="s">
        <v>240</v>
      </c>
      <c r="P276" s="320" t="s">
        <v>240</v>
      </c>
      <c r="Q276" s="170">
        <f t="shared" si="128"/>
        <v>0</v>
      </c>
      <c r="R276" s="170">
        <f t="shared" si="129"/>
        <v>0</v>
      </c>
      <c r="S276" s="170">
        <f t="shared" si="130"/>
        <v>0</v>
      </c>
      <c r="T276" s="170">
        <f t="shared" si="131"/>
        <v>0</v>
      </c>
      <c r="U276" s="172">
        <f t="shared" si="122"/>
        <v>0</v>
      </c>
      <c r="W276">
        <v>2025</v>
      </c>
      <c r="Z276" s="170">
        <v>534.19293468570993</v>
      </c>
      <c r="AA276" s="170">
        <v>410.59112072936688</v>
      </c>
      <c r="AB276" s="170">
        <v>281.41518447284096</v>
      </c>
      <c r="AC276" s="170">
        <v>92.948413237157439</v>
      </c>
      <c r="AD276" s="172">
        <f t="shared" si="123"/>
        <v>456.77375948679781</v>
      </c>
      <c r="AG276">
        <v>2025</v>
      </c>
      <c r="AJ276" s="170">
        <v>534.19293468570993</v>
      </c>
      <c r="AK276" s="170">
        <v>410.59112072936688</v>
      </c>
      <c r="AL276" s="170">
        <v>281.41518447284096</v>
      </c>
      <c r="AM276" s="170"/>
      <c r="AN276" s="172">
        <f t="shared" si="124"/>
        <v>454.10117407217695</v>
      </c>
    </row>
    <row r="277" spans="5:40">
      <c r="E277">
        <v>2026</v>
      </c>
      <c r="F277" s="320" t="s">
        <v>240</v>
      </c>
      <c r="G277" s="320" t="s">
        <v>240</v>
      </c>
      <c r="H277" s="63">
        <f t="shared" si="125"/>
        <v>0</v>
      </c>
      <c r="I277" s="63">
        <f t="shared" si="126"/>
        <v>0</v>
      </c>
      <c r="J277" s="63">
        <f t="shared" si="127"/>
        <v>0</v>
      </c>
      <c r="K277" s="63"/>
      <c r="L277" s="63">
        <f t="shared" si="121"/>
        <v>0</v>
      </c>
      <c r="M277" s="63"/>
      <c r="N277">
        <v>2026</v>
      </c>
      <c r="O277" s="320" t="s">
        <v>240</v>
      </c>
      <c r="P277" s="320" t="s">
        <v>240</v>
      </c>
      <c r="Q277" s="170">
        <f t="shared" si="128"/>
        <v>0</v>
      </c>
      <c r="R277" s="170">
        <f t="shared" si="129"/>
        <v>0</v>
      </c>
      <c r="S277" s="170">
        <f t="shared" si="130"/>
        <v>0</v>
      </c>
      <c r="T277" s="170">
        <f t="shared" si="131"/>
        <v>0</v>
      </c>
      <c r="U277" s="172">
        <f t="shared" si="122"/>
        <v>0</v>
      </c>
      <c r="W277">
        <v>2026</v>
      </c>
      <c r="Z277" s="170">
        <v>554.24609229303258</v>
      </c>
      <c r="AA277" s="170">
        <v>426.00436924228006</v>
      </c>
      <c r="AB277" s="170">
        <v>291.9792759852977</v>
      </c>
      <c r="AC277" s="170">
        <v>96.437619213069297</v>
      </c>
      <c r="AD277" s="172">
        <f t="shared" si="123"/>
        <v>473.92346506487598</v>
      </c>
      <c r="AG277">
        <v>2026</v>
      </c>
      <c r="AJ277" s="170">
        <v>554.24609229303258</v>
      </c>
      <c r="AK277" s="170">
        <v>426.00436924228006</v>
      </c>
      <c r="AL277" s="170">
        <v>291.9792759852977</v>
      </c>
      <c r="AM277" s="170"/>
      <c r="AN277" s="172">
        <f t="shared" si="124"/>
        <v>471.21823678599435</v>
      </c>
    </row>
    <row r="278" spans="5:40">
      <c r="E278">
        <v>2027</v>
      </c>
      <c r="F278" s="320" t="s">
        <v>240</v>
      </c>
      <c r="G278" s="320" t="s">
        <v>240</v>
      </c>
      <c r="H278" s="63">
        <f t="shared" si="125"/>
        <v>0</v>
      </c>
      <c r="I278" s="63">
        <f t="shared" si="126"/>
        <v>0</v>
      </c>
      <c r="J278" s="63">
        <f t="shared" si="127"/>
        <v>0</v>
      </c>
      <c r="K278" s="63"/>
      <c r="L278" s="63">
        <f t="shared" si="121"/>
        <v>0</v>
      </c>
      <c r="M278" s="63"/>
      <c r="N278">
        <v>2027</v>
      </c>
      <c r="O278" s="320" t="s">
        <v>240</v>
      </c>
      <c r="P278" s="320" t="s">
        <v>240</v>
      </c>
      <c r="Q278" s="170">
        <f t="shared" si="128"/>
        <v>0</v>
      </c>
      <c r="R278" s="170">
        <f t="shared" si="129"/>
        <v>0</v>
      </c>
      <c r="S278" s="170">
        <f t="shared" si="130"/>
        <v>0</v>
      </c>
      <c r="T278" s="170">
        <f t="shared" si="131"/>
        <v>0</v>
      </c>
      <c r="U278" s="172">
        <f t="shared" si="122"/>
        <v>0</v>
      </c>
      <c r="W278">
        <v>2027</v>
      </c>
      <c r="Z278" s="170">
        <v>575.05202872596942</v>
      </c>
      <c r="AA278" s="170">
        <v>441.99621825999424</v>
      </c>
      <c r="AB278" s="170">
        <v>302.93993468972246</v>
      </c>
      <c r="AC278" s="170">
        <v>100.05780707364524</v>
      </c>
      <c r="AD278" s="172">
        <f t="shared" si="123"/>
        <v>491.7259819467871</v>
      </c>
      <c r="AG278">
        <v>2027</v>
      </c>
      <c r="AJ278" s="170">
        <v>575.05202872596942</v>
      </c>
      <c r="AK278" s="170">
        <v>441.99621825999424</v>
      </c>
      <c r="AL278" s="170">
        <v>302.93993468972246</v>
      </c>
      <c r="AM278" s="170"/>
      <c r="AN278" s="172">
        <f t="shared" si="124"/>
        <v>488.98848003529451</v>
      </c>
    </row>
    <row r="279" spans="5:40">
      <c r="E279">
        <v>2028</v>
      </c>
      <c r="F279" s="320" t="s">
        <v>240</v>
      </c>
      <c r="G279" s="320" t="s">
        <v>240</v>
      </c>
      <c r="H279" s="63">
        <f t="shared" si="125"/>
        <v>0</v>
      </c>
      <c r="I279" s="63">
        <f t="shared" si="126"/>
        <v>0</v>
      </c>
      <c r="J279" s="63">
        <f t="shared" si="127"/>
        <v>0</v>
      </c>
      <c r="K279" s="63"/>
      <c r="L279" s="63">
        <f t="shared" si="121"/>
        <v>0</v>
      </c>
      <c r="M279" s="63"/>
      <c r="N279">
        <v>2028</v>
      </c>
      <c r="O279" s="320" t="s">
        <v>240</v>
      </c>
      <c r="P279" s="320" t="s">
        <v>240</v>
      </c>
      <c r="Q279" s="170">
        <f t="shared" si="128"/>
        <v>0</v>
      </c>
      <c r="R279" s="170">
        <f t="shared" si="129"/>
        <v>0</v>
      </c>
      <c r="S279" s="170">
        <f t="shared" si="130"/>
        <v>0</v>
      </c>
      <c r="T279" s="170">
        <f t="shared" si="131"/>
        <v>0</v>
      </c>
      <c r="U279" s="172">
        <f t="shared" si="122"/>
        <v>0</v>
      </c>
      <c r="W279">
        <v>2028</v>
      </c>
      <c r="Z279" s="170">
        <v>596.63900267431836</v>
      </c>
      <c r="AA279" s="170">
        <v>458.58838796329252</v>
      </c>
      <c r="AB279" s="170">
        <v>314.3120473880291</v>
      </c>
      <c r="AC279" s="170">
        <v>103.81389376968399</v>
      </c>
      <c r="AD279" s="172">
        <f t="shared" si="123"/>
        <v>510.20593902009063</v>
      </c>
      <c r="AG279">
        <v>2028</v>
      </c>
      <c r="AJ279" s="170">
        <v>596.63900267431836</v>
      </c>
      <c r="AK279" s="170">
        <v>458.58838796329252</v>
      </c>
      <c r="AL279" s="170">
        <v>314.3120473880291</v>
      </c>
      <c r="AM279" s="170"/>
      <c r="AN279" s="172">
        <f t="shared" si="124"/>
        <v>507.43629243186649</v>
      </c>
    </row>
    <row r="280" spans="5:40">
      <c r="E280">
        <v>2029</v>
      </c>
      <c r="F280" s="320" t="s">
        <v>240</v>
      </c>
      <c r="G280" s="320" t="s">
        <v>240</v>
      </c>
      <c r="H280" s="63">
        <f t="shared" si="125"/>
        <v>0</v>
      </c>
      <c r="I280" s="63">
        <f t="shared" si="126"/>
        <v>0</v>
      </c>
      <c r="J280" s="63">
        <f t="shared" si="127"/>
        <v>0</v>
      </c>
      <c r="K280" s="63"/>
      <c r="L280" s="63">
        <f t="shared" si="121"/>
        <v>0</v>
      </c>
      <c r="M280" s="63"/>
      <c r="N280">
        <v>2029</v>
      </c>
      <c r="O280" s="320" t="s">
        <v>240</v>
      </c>
      <c r="P280" s="320" t="s">
        <v>240</v>
      </c>
      <c r="Q280" s="170">
        <f t="shared" si="128"/>
        <v>0</v>
      </c>
      <c r="R280" s="170">
        <f t="shared" si="129"/>
        <v>0</v>
      </c>
      <c r="S280" s="170">
        <f t="shared" si="130"/>
        <v>0</v>
      </c>
      <c r="T280" s="170">
        <f t="shared" si="131"/>
        <v>0</v>
      </c>
      <c r="U280" s="172">
        <f t="shared" si="122"/>
        <v>0</v>
      </c>
      <c r="W280">
        <v>2029</v>
      </c>
      <c r="Z280" s="170">
        <v>619.03633363554343</v>
      </c>
      <c r="AA280" s="170">
        <v>475.80341389044457</v>
      </c>
      <c r="AB280" s="170">
        <v>326.11105972026957</v>
      </c>
      <c r="AC280" s="170">
        <v>107.71098083021978</v>
      </c>
      <c r="AD280" s="172">
        <f t="shared" si="123"/>
        <v>529.38887529417184</v>
      </c>
      <c r="AG280">
        <v>2029</v>
      </c>
      <c r="AJ280" s="170">
        <v>619.03633363554343</v>
      </c>
      <c r="AK280" s="170">
        <v>475.80341389044457</v>
      </c>
      <c r="AL280" s="170">
        <v>326.11105972026957</v>
      </c>
      <c r="AM280" s="170"/>
      <c r="AN280" s="172">
        <f t="shared" si="124"/>
        <v>526.58701249904993</v>
      </c>
    </row>
    <row r="281" spans="5:40">
      <c r="E281">
        <v>2030</v>
      </c>
      <c r="F281" s="320" t="s">
        <v>240</v>
      </c>
      <c r="G281" s="320" t="s">
        <v>240</v>
      </c>
      <c r="H281" s="63">
        <f t="shared" si="125"/>
        <v>0</v>
      </c>
      <c r="I281" s="63">
        <f t="shared" si="126"/>
        <v>0</v>
      </c>
      <c r="J281" s="63">
        <f t="shared" si="127"/>
        <v>0</v>
      </c>
      <c r="K281" s="63"/>
      <c r="L281" s="63">
        <f t="shared" si="121"/>
        <v>0</v>
      </c>
      <c r="M281" s="63"/>
      <c r="N281">
        <v>2030</v>
      </c>
      <c r="O281" s="320" t="s">
        <v>240</v>
      </c>
      <c r="P281" s="320" t="s">
        <v>240</v>
      </c>
      <c r="Q281" s="170">
        <f t="shared" si="128"/>
        <v>0</v>
      </c>
      <c r="R281" s="170">
        <f t="shared" si="129"/>
        <v>0</v>
      </c>
      <c r="S281" s="170">
        <f t="shared" si="130"/>
        <v>0</v>
      </c>
      <c r="T281" s="170">
        <f t="shared" si="131"/>
        <v>0</v>
      </c>
      <c r="U281" s="172">
        <f t="shared" si="122"/>
        <v>0</v>
      </c>
      <c r="W281">
        <v>2030</v>
      </c>
      <c r="Z281" s="170">
        <v>642.27444173661036</v>
      </c>
      <c r="AA281" s="170">
        <v>493.66467754504697</v>
      </c>
      <c r="AB281" s="170">
        <v>338.35299714295206</v>
      </c>
      <c r="AC281" s="170">
        <v>111.75436129143554</v>
      </c>
      <c r="AD281" s="172">
        <f t="shared" si="123"/>
        <v>549.30127610540569</v>
      </c>
      <c r="AG281">
        <v>2030</v>
      </c>
      <c r="AJ281" s="170">
        <v>642.27444173661036</v>
      </c>
      <c r="AK281" s="170">
        <v>493.66467754504697</v>
      </c>
      <c r="AL281" s="170">
        <v>338.35299714295206</v>
      </c>
      <c r="AM281" s="170"/>
      <c r="AN281" s="172">
        <f t="shared" si="124"/>
        <v>546.46696148032072</v>
      </c>
    </row>
    <row r="282" spans="5:40">
      <c r="E282">
        <v>2040</v>
      </c>
      <c r="F282" s="320" t="s">
        <v>240</v>
      </c>
      <c r="G282" s="320" t="s">
        <v>240</v>
      </c>
      <c r="H282" s="63">
        <f t="shared" ref="H282:J288" si="132">H281*(1+$C$6)^10</f>
        <v>0</v>
      </c>
      <c r="I282" s="63">
        <f t="shared" si="132"/>
        <v>0</v>
      </c>
      <c r="J282" s="63">
        <f t="shared" si="132"/>
        <v>0</v>
      </c>
      <c r="K282" s="63"/>
      <c r="L282" s="63">
        <f t="shared" si="121"/>
        <v>0</v>
      </c>
      <c r="M282" s="63"/>
      <c r="N282">
        <v>2040</v>
      </c>
      <c r="O282" s="320" t="s">
        <v>240</v>
      </c>
      <c r="P282" s="320" t="s">
        <v>240</v>
      </c>
      <c r="Q282" s="170">
        <f t="shared" ref="Q282:T288" si="133">Q281*(1+$C$6)^10</f>
        <v>0</v>
      </c>
      <c r="R282" s="170">
        <f t="shared" si="133"/>
        <v>0</v>
      </c>
      <c r="S282" s="170">
        <f t="shared" si="133"/>
        <v>0</v>
      </c>
      <c r="T282" s="170">
        <f t="shared" si="133"/>
        <v>0</v>
      </c>
      <c r="U282" s="172">
        <f t="shared" si="122"/>
        <v>0</v>
      </c>
      <c r="W282">
        <v>2040</v>
      </c>
      <c r="Z282" s="170">
        <v>928.46522371744766</v>
      </c>
      <c r="AA282" s="170">
        <v>713.63650099318158</v>
      </c>
      <c r="AB282" s="170">
        <v>489.11955820379501</v>
      </c>
      <c r="AC282" s="170">
        <v>161.55093728671835</v>
      </c>
      <c r="AD282" s="172">
        <f t="shared" si="123"/>
        <v>794.73340449178056</v>
      </c>
      <c r="AG282">
        <v>2040</v>
      </c>
      <c r="AJ282" s="170">
        <v>928.46522371744766</v>
      </c>
      <c r="AK282" s="170">
        <v>713.63650099318158</v>
      </c>
      <c r="AL282" s="170">
        <v>489.11955820379501</v>
      </c>
      <c r="AM282" s="170"/>
      <c r="AN282" s="172">
        <f t="shared" si="124"/>
        <v>791.63998796483122</v>
      </c>
    </row>
    <row r="283" spans="5:40">
      <c r="E283">
        <v>2050</v>
      </c>
      <c r="F283" s="320" t="s">
        <v>240</v>
      </c>
      <c r="G283" s="320" t="s">
        <v>240</v>
      </c>
      <c r="H283" s="63">
        <f t="shared" si="132"/>
        <v>0</v>
      </c>
      <c r="I283" s="63">
        <f t="shared" si="132"/>
        <v>0</v>
      </c>
      <c r="J283" s="63">
        <f t="shared" si="132"/>
        <v>0</v>
      </c>
      <c r="K283" s="63"/>
      <c r="L283" s="63">
        <f t="shared" si="121"/>
        <v>0</v>
      </c>
      <c r="M283" s="63"/>
      <c r="N283">
        <v>2050</v>
      </c>
      <c r="O283" s="320" t="s">
        <v>240</v>
      </c>
      <c r="P283" s="320" t="s">
        <v>240</v>
      </c>
      <c r="Q283" s="170">
        <f t="shared" si="133"/>
        <v>0</v>
      </c>
      <c r="R283" s="170">
        <f t="shared" si="133"/>
        <v>0</v>
      </c>
      <c r="S283" s="170">
        <f t="shared" si="133"/>
        <v>0</v>
      </c>
      <c r="T283" s="170">
        <f t="shared" si="133"/>
        <v>0</v>
      </c>
      <c r="U283" s="172">
        <f t="shared" si="122"/>
        <v>0</v>
      </c>
      <c r="W283">
        <v>2050</v>
      </c>
      <c r="Z283" s="170">
        <v>1342.1796285741141</v>
      </c>
      <c r="AA283" s="170">
        <v>1031.625471124212</v>
      </c>
      <c r="AB283" s="170">
        <v>707.06612395219611</v>
      </c>
      <c r="AC283" s="170">
        <v>233.53634736595572</v>
      </c>
      <c r="AD283" s="172">
        <f t="shared" si="123"/>
        <v>1150.8819935938709</v>
      </c>
      <c r="AG283">
        <v>2050</v>
      </c>
      <c r="AJ283" s="170">
        <v>1342.1796285741141</v>
      </c>
      <c r="AK283" s="170">
        <v>1031.625471124212</v>
      </c>
      <c r="AL283" s="170">
        <v>707.06612395219611</v>
      </c>
      <c r="AM283" s="170"/>
      <c r="AN283" s="172">
        <f t="shared" si="124"/>
        <v>1144.3864970589379</v>
      </c>
    </row>
    <row r="284" spans="5:40">
      <c r="E284">
        <v>2060</v>
      </c>
      <c r="F284" s="320" t="s">
        <v>240</v>
      </c>
      <c r="G284" s="320" t="s">
        <v>240</v>
      </c>
      <c r="H284" s="63">
        <f t="shared" si="132"/>
        <v>0</v>
      </c>
      <c r="I284" s="63">
        <f t="shared" si="132"/>
        <v>0</v>
      </c>
      <c r="J284" s="63">
        <f t="shared" si="132"/>
        <v>0</v>
      </c>
      <c r="K284" s="63"/>
      <c r="L284" s="63">
        <f t="shared" si="121"/>
        <v>0</v>
      </c>
      <c r="M284" s="63"/>
      <c r="N284">
        <v>2060</v>
      </c>
      <c r="O284" s="320" t="s">
        <v>240</v>
      </c>
      <c r="P284" s="320" t="s">
        <v>240</v>
      </c>
      <c r="Q284" s="170">
        <f t="shared" si="133"/>
        <v>0</v>
      </c>
      <c r="R284" s="170">
        <f t="shared" si="133"/>
        <v>0</v>
      </c>
      <c r="S284" s="170">
        <f t="shared" si="133"/>
        <v>0</v>
      </c>
      <c r="T284" s="170">
        <f t="shared" si="133"/>
        <v>0</v>
      </c>
      <c r="U284" s="172">
        <f t="shared" si="122"/>
        <v>0</v>
      </c>
      <c r="W284">
        <v>2060</v>
      </c>
      <c r="Z284" s="170">
        <v>1940.2408505367632</v>
      </c>
      <c r="AA284" s="170">
        <v>1491.3070046040439</v>
      </c>
      <c r="AB284" s="170">
        <v>1022.1274027085171</v>
      </c>
      <c r="AC284" s="170">
        <v>337.59770421038706</v>
      </c>
      <c r="AD284" s="172">
        <f t="shared" si="123"/>
        <v>1663.7029877217469</v>
      </c>
      <c r="AG284">
        <v>2060</v>
      </c>
      <c r="AJ284" s="170">
        <v>1940.2408505367632</v>
      </c>
      <c r="AK284" s="170">
        <v>1491.3070046040439</v>
      </c>
      <c r="AL284" s="170">
        <v>1022.1274027085171</v>
      </c>
      <c r="AM284" s="170"/>
      <c r="AN284" s="172">
        <f t="shared" si="124"/>
        <v>1654.3131657833928</v>
      </c>
    </row>
    <row r="285" spans="5:40">
      <c r="E285">
        <v>2070</v>
      </c>
      <c r="F285" s="320" t="s">
        <v>240</v>
      </c>
      <c r="G285" s="320" t="s">
        <v>240</v>
      </c>
      <c r="H285" s="63">
        <f t="shared" si="132"/>
        <v>0</v>
      </c>
      <c r="I285" s="63">
        <f t="shared" si="132"/>
        <v>0</v>
      </c>
      <c r="J285" s="63">
        <f t="shared" si="132"/>
        <v>0</v>
      </c>
      <c r="K285" s="63"/>
      <c r="L285" s="63">
        <f t="shared" si="121"/>
        <v>0</v>
      </c>
      <c r="M285" s="63"/>
      <c r="N285">
        <v>2070</v>
      </c>
      <c r="O285" s="320" t="s">
        <v>240</v>
      </c>
      <c r="P285" s="320" t="s">
        <v>240</v>
      </c>
      <c r="Q285" s="170">
        <f t="shared" si="133"/>
        <v>0</v>
      </c>
      <c r="R285" s="170">
        <f t="shared" si="133"/>
        <v>0</v>
      </c>
      <c r="S285" s="170">
        <f t="shared" si="133"/>
        <v>0</v>
      </c>
      <c r="T285" s="170">
        <f t="shared" si="133"/>
        <v>0</v>
      </c>
      <c r="U285" s="172">
        <f t="shared" si="122"/>
        <v>0</v>
      </c>
      <c r="W285">
        <v>2070</v>
      </c>
      <c r="Z285" s="170">
        <v>2804.7919056042711</v>
      </c>
      <c r="AA285" s="170">
        <v>2155.8178275275518</v>
      </c>
      <c r="AB285" s="170">
        <v>1477.5766961199984</v>
      </c>
      <c r="AC285" s="170">
        <v>488.02771463033741</v>
      </c>
      <c r="AD285" s="172">
        <f t="shared" si="123"/>
        <v>2405.0316598584477</v>
      </c>
      <c r="AG285">
        <v>2070</v>
      </c>
      <c r="AJ285" s="170">
        <v>2804.7919056042711</v>
      </c>
      <c r="AK285" s="170">
        <v>2155.8178275275518</v>
      </c>
      <c r="AL285" s="170">
        <v>1477.5766961199984</v>
      </c>
      <c r="AM285" s="170"/>
      <c r="AN285" s="172">
        <f t="shared" si="124"/>
        <v>2391.4578313512934</v>
      </c>
    </row>
    <row r="286" spans="5:40">
      <c r="E286">
        <v>2080</v>
      </c>
      <c r="F286" s="320" t="s">
        <v>240</v>
      </c>
      <c r="G286" s="320" t="s">
        <v>240</v>
      </c>
      <c r="H286" s="63">
        <f t="shared" si="132"/>
        <v>0</v>
      </c>
      <c r="I286" s="63">
        <f t="shared" si="132"/>
        <v>0</v>
      </c>
      <c r="J286" s="63">
        <f t="shared" si="132"/>
        <v>0</v>
      </c>
      <c r="K286" s="63"/>
      <c r="L286" s="63">
        <f t="shared" si="121"/>
        <v>0</v>
      </c>
      <c r="M286" s="63"/>
      <c r="N286">
        <v>2080</v>
      </c>
      <c r="O286" s="320" t="s">
        <v>240</v>
      </c>
      <c r="P286" s="320" t="s">
        <v>240</v>
      </c>
      <c r="Q286" s="170">
        <f t="shared" si="133"/>
        <v>0</v>
      </c>
      <c r="R286" s="170">
        <f t="shared" si="133"/>
        <v>0</v>
      </c>
      <c r="S286" s="170">
        <f t="shared" si="133"/>
        <v>0</v>
      </c>
      <c r="T286" s="170">
        <f t="shared" si="133"/>
        <v>0</v>
      </c>
      <c r="U286" s="172">
        <f t="shared" si="122"/>
        <v>0</v>
      </c>
      <c r="W286">
        <v>2080</v>
      </c>
      <c r="Z286" s="170">
        <v>4054.5778796312275</v>
      </c>
      <c r="AA286" s="170">
        <v>3116.4277316055263</v>
      </c>
      <c r="AB286" s="170">
        <v>2135.9694370110615</v>
      </c>
      <c r="AC286" s="170">
        <v>705.48776628790267</v>
      </c>
      <c r="AD286" s="172">
        <f t="shared" si="123"/>
        <v>3476.6886443128024</v>
      </c>
      <c r="AG286">
        <v>2080</v>
      </c>
      <c r="AJ286" s="170">
        <v>4054.5778796312275</v>
      </c>
      <c r="AK286" s="170">
        <v>3116.4277316055263</v>
      </c>
      <c r="AL286" s="170">
        <v>2135.9694370110615</v>
      </c>
      <c r="AM286" s="170"/>
      <c r="AN286" s="172">
        <f t="shared" si="124"/>
        <v>3457.0664596163028</v>
      </c>
    </row>
    <row r="287" spans="5:40">
      <c r="E287">
        <v>2090</v>
      </c>
      <c r="F287" s="320" t="s">
        <v>240</v>
      </c>
      <c r="G287" s="320" t="s">
        <v>240</v>
      </c>
      <c r="H287" s="63">
        <f t="shared" si="132"/>
        <v>0</v>
      </c>
      <c r="I287" s="63">
        <f t="shared" si="132"/>
        <v>0</v>
      </c>
      <c r="J287" s="63">
        <f t="shared" si="132"/>
        <v>0</v>
      </c>
      <c r="K287" s="63"/>
      <c r="L287" s="63">
        <f t="shared" si="121"/>
        <v>0</v>
      </c>
      <c r="M287" s="63"/>
      <c r="N287">
        <v>2090</v>
      </c>
      <c r="O287" s="320" t="s">
        <v>240</v>
      </c>
      <c r="P287" s="320" t="s">
        <v>240</v>
      </c>
      <c r="Q287" s="170">
        <f t="shared" si="133"/>
        <v>0</v>
      </c>
      <c r="R287" s="170">
        <f t="shared" si="133"/>
        <v>0</v>
      </c>
      <c r="S287" s="170">
        <f t="shared" si="133"/>
        <v>0</v>
      </c>
      <c r="T287" s="170">
        <f t="shared" si="133"/>
        <v>0</v>
      </c>
      <c r="U287" s="172">
        <f t="shared" si="122"/>
        <v>0</v>
      </c>
      <c r="W287">
        <v>2090</v>
      </c>
      <c r="Z287" s="170">
        <v>5861.255428307104</v>
      </c>
      <c r="AA287" s="170">
        <v>4505.075374322575</v>
      </c>
      <c r="AB287" s="170">
        <v>3087.7351056129733</v>
      </c>
      <c r="AC287" s="170">
        <v>1019.8457453566817</v>
      </c>
      <c r="AD287" s="172">
        <f t="shared" si="123"/>
        <v>5025.8647864140867</v>
      </c>
      <c r="AG287">
        <v>2090</v>
      </c>
      <c r="AJ287" s="170">
        <v>5861.255428307104</v>
      </c>
      <c r="AK287" s="170">
        <v>4505.075374322575</v>
      </c>
      <c r="AL287" s="170">
        <v>3087.7351056129733</v>
      </c>
      <c r="AM287" s="170"/>
      <c r="AN287" s="172">
        <f t="shared" si="124"/>
        <v>4997.4991611919459</v>
      </c>
    </row>
    <row r="288" spans="5:40">
      <c r="E288">
        <v>2100</v>
      </c>
      <c r="F288" s="320" t="s">
        <v>240</v>
      </c>
      <c r="G288" s="320" t="s">
        <v>240</v>
      </c>
      <c r="H288" s="63">
        <f t="shared" si="132"/>
        <v>0</v>
      </c>
      <c r="I288" s="63">
        <f t="shared" si="132"/>
        <v>0</v>
      </c>
      <c r="J288" s="63">
        <f t="shared" si="132"/>
        <v>0</v>
      </c>
      <c r="K288" s="63"/>
      <c r="L288" s="63">
        <f t="shared" si="121"/>
        <v>0</v>
      </c>
      <c r="M288" s="63"/>
      <c r="N288">
        <v>2100</v>
      </c>
      <c r="O288" s="320" t="s">
        <v>240</v>
      </c>
      <c r="P288" s="320" t="s">
        <v>240</v>
      </c>
      <c r="Q288" s="170">
        <f t="shared" si="133"/>
        <v>0</v>
      </c>
      <c r="R288" s="170">
        <f t="shared" si="133"/>
        <v>0</v>
      </c>
      <c r="S288" s="170">
        <f t="shared" si="133"/>
        <v>0</v>
      </c>
      <c r="T288" s="170">
        <f t="shared" si="133"/>
        <v>0</v>
      </c>
      <c r="U288" s="172">
        <f t="shared" si="122"/>
        <v>0</v>
      </c>
      <c r="W288">
        <v>2100</v>
      </c>
      <c r="Z288" s="170">
        <v>8472.9696199556274</v>
      </c>
      <c r="AA288" s="170">
        <v>6512.4899006952801</v>
      </c>
      <c r="AB288" s="170">
        <v>4463.5976139135109</v>
      </c>
      <c r="AC288" s="170">
        <v>1474.2783560865844</v>
      </c>
      <c r="AD288" s="172">
        <f t="shared" si="123"/>
        <v>7265.3376346013993</v>
      </c>
      <c r="AG288">
        <v>2100</v>
      </c>
      <c r="AJ288" s="170">
        <v>8472.9696199556274</v>
      </c>
      <c r="AK288" s="170">
        <v>6512.4899006952801</v>
      </c>
      <c r="AL288" s="170">
        <v>4463.5976139135109</v>
      </c>
      <c r="AM288" s="170"/>
      <c r="AN288" s="172">
        <f t="shared" si="124"/>
        <v>7224.3325830901604</v>
      </c>
    </row>
    <row r="289" spans="5:40">
      <c r="F289" s="581" t="s">
        <v>294</v>
      </c>
      <c r="G289" s="581"/>
      <c r="H289" s="581"/>
      <c r="I289" s="581"/>
      <c r="J289" s="581"/>
      <c r="K289" s="581"/>
      <c r="L289" s="63"/>
      <c r="M289" s="63"/>
      <c r="O289" s="581" t="s">
        <v>294</v>
      </c>
      <c r="P289" s="581"/>
      <c r="Q289" s="581"/>
      <c r="R289" s="581"/>
      <c r="S289" s="581"/>
      <c r="T289" s="581"/>
      <c r="X289" s="581" t="s">
        <v>294</v>
      </c>
      <c r="Y289" s="581"/>
      <c r="Z289" s="581"/>
      <c r="AA289" s="581"/>
      <c r="AB289" s="581"/>
      <c r="AC289" s="581"/>
      <c r="AD289" s="172"/>
      <c r="AH289" s="581" t="s">
        <v>294</v>
      </c>
      <c r="AI289" s="581"/>
      <c r="AJ289" s="581"/>
      <c r="AK289" s="581"/>
      <c r="AL289" s="581"/>
      <c r="AM289" s="581"/>
    </row>
    <row r="290" spans="5:40">
      <c r="E290">
        <v>2020</v>
      </c>
      <c r="F290" s="320" t="s">
        <v>240</v>
      </c>
      <c r="G290" s="320" t="s">
        <v>240</v>
      </c>
      <c r="H290" s="63">
        <f>('Demographic-Economic'!E$24*1000*AVERAGE('Demographic-Economic'!$C12:$H12)*(1+'Inflation-Interest'!$C$65)*(1+'Inflation-Interest'!$C$66)*(1+'Inflation-Interest'!$C$67))*$C$5/H24</f>
        <v>83.18790904481834</v>
      </c>
      <c r="I290" s="63">
        <f>('Demographic-Economic'!F$24*1000*AVERAGE('Demographic-Economic'!$C12:$H12)*(1+'Inflation-Interest'!$C$65)*(1+'Inflation-Interest'!$C$66)*(1+'Inflation-Interest'!$C$67))*$C$5/I24</f>
        <v>234.95270235112156</v>
      </c>
      <c r="J290" s="63">
        <f>('Demographic-Economic'!G$24*1000*AVERAGE('Demographic-Economic'!$C12:$H12)*(1+'Inflation-Interest'!$C$65)*(1+'Inflation-Interest'!$C$66)*(1+'Inflation-Interest'!$C$67))*$C$5/J24</f>
        <v>198.96918720175819</v>
      </c>
      <c r="K290" s="63"/>
      <c r="L290" s="63">
        <f t="shared" ref="L290:L307" si="134">SUMPRODUCT(H290:K290, H24:K24)/SUM(H24:K24)</f>
        <v>118.6326692413698</v>
      </c>
      <c r="M290" s="63"/>
      <c r="N290">
        <v>2020</v>
      </c>
      <c r="O290" s="320" t="s">
        <v>240</v>
      </c>
      <c r="P290" s="320" t="s">
        <v>240</v>
      </c>
      <c r="Q290" s="170">
        <f>('Demographic-Economic'!E$24*1000*AVERAGE('Demographic-Economic'!$C12:$H12)*(1+'Inflation-Interest'!$C$65)*(1+'Inflation-Interest'!$C$66)*(1+'Inflation-Interest'!$C$67))*$C$5/Q24</f>
        <v>83.18790904481834</v>
      </c>
      <c r="R290" s="170">
        <f>('Demographic-Economic'!F$24*1000*AVERAGE('Demographic-Economic'!$C12:$H12)*(1+'Inflation-Interest'!$C$65)*(1+'Inflation-Interest'!$C$66)*(1+'Inflation-Interest'!$C$67))*$C$5/R24</f>
        <v>234.95270235112156</v>
      </c>
      <c r="S290" s="170">
        <f>('Demographic-Economic'!G$24*1000*AVERAGE('Demographic-Economic'!$C12:$H12)*(1+'Inflation-Interest'!$C$65)*(1+'Inflation-Interest'!$C$66)*(1+'Inflation-Interest'!$C$67))*$C$5/S24</f>
        <v>198.96918720175819</v>
      </c>
      <c r="T290" s="170">
        <f>('Demographic-Economic'!H$24*1000*AVERAGE('Demographic-Economic'!$C12:$H12)*(1+'Inflation-Interest'!$C$65)*(1+'Inflation-Interest'!$C$66)*(1+'Inflation-Interest'!$C$67))*$C$5/T24</f>
        <v>64.890201928041208</v>
      </c>
      <c r="U290" s="172">
        <f t="shared" ref="U290:U307" si="135">SUMPRODUCT(Q290:T290, Q24:T24)/SUM(Q24:T24)</f>
        <v>121.42043549947061</v>
      </c>
      <c r="W290">
        <v>2020</v>
      </c>
      <c r="Z290" s="170">
        <v>207.9697726120458</v>
      </c>
      <c r="AA290" s="170">
        <v>587.38175587780381</v>
      </c>
      <c r="AB290" s="170">
        <v>497.42296800439544</v>
      </c>
      <c r="AC290" s="170">
        <v>162.225504820103</v>
      </c>
      <c r="AD290" s="172">
        <f t="shared" ref="AD290:AD307" si="136">SUMPRODUCT(Z290:AC290, Z24:AC24)/SUM(Z24:AC24)</f>
        <v>303.55108874867653</v>
      </c>
      <c r="AG290">
        <v>2020</v>
      </c>
      <c r="AH290" t="s">
        <v>240</v>
      </c>
      <c r="AI290" t="s">
        <v>240</v>
      </c>
      <c r="AJ290" s="170">
        <v>207.9697726120458</v>
      </c>
      <c r="AK290" s="170">
        <v>587.38175587780381</v>
      </c>
      <c r="AL290" s="170">
        <v>497.42296800439544</v>
      </c>
      <c r="AM290" s="170"/>
      <c r="AN290" s="172">
        <f t="shared" ref="AN290:AN307" si="137">SUMPRODUCT(AJ290:AM290, AJ24:AM24)/SUM(AJ24:AM24)</f>
        <v>296.58167310342446</v>
      </c>
    </row>
    <row r="291" spans="5:40">
      <c r="E291">
        <v>2021</v>
      </c>
      <c r="F291" s="320" t="s">
        <v>240</v>
      </c>
      <c r="G291" s="320" t="s">
        <v>240</v>
      </c>
      <c r="H291" s="63">
        <f t="shared" ref="H291:H300" si="138">H290*(1+$C$6)</f>
        <v>86.310713827103285</v>
      </c>
      <c r="I291" s="63">
        <f t="shared" ref="I291:I300" si="139">I290*(1+$C$6)</f>
        <v>243.77263100346403</v>
      </c>
      <c r="J291" s="63">
        <f t="shared" ref="J291:J300" si="140">J290*(1+$C$6)</f>
        <v>206.43832468165618</v>
      </c>
      <c r="K291" s="63"/>
      <c r="L291" s="63">
        <f t="shared" si="134"/>
        <v>123.15709129055028</v>
      </c>
      <c r="M291" s="63"/>
      <c r="N291">
        <v>2021</v>
      </c>
      <c r="O291" s="320" t="s">
        <v>240</v>
      </c>
      <c r="P291" s="320" t="s">
        <v>240</v>
      </c>
      <c r="Q291" s="63">
        <f t="shared" ref="Q291:Q300" si="141">Q290*(1+$C$6)</f>
        <v>86.310713827103285</v>
      </c>
      <c r="R291" s="63">
        <f t="shared" ref="R291:R300" si="142">R290*(1+$C$6)</f>
        <v>243.77263100346403</v>
      </c>
      <c r="S291" s="63">
        <f t="shared" ref="S291:S300" si="143">S290*(1+$C$6)</f>
        <v>206.43832468165618</v>
      </c>
      <c r="T291" s="63">
        <f t="shared" ref="T291:T300" si="144">T290*(1+$C$6)</f>
        <v>67.326126033251597</v>
      </c>
      <c r="U291" s="172">
        <f t="shared" si="135"/>
        <v>126.02360613196801</v>
      </c>
      <c r="W291">
        <v>2021</v>
      </c>
      <c r="Z291" s="170">
        <v>215.77678456775817</v>
      </c>
      <c r="AA291" s="170">
        <v>609.43157750865998</v>
      </c>
      <c r="AB291" s="170">
        <v>516.09581170414049</v>
      </c>
      <c r="AC291" s="170">
        <v>168.31531508312898</v>
      </c>
      <c r="AD291" s="172">
        <f t="shared" si="136"/>
        <v>315.05901532991993</v>
      </c>
      <c r="AG291">
        <v>2021</v>
      </c>
      <c r="AH291" t="s">
        <v>240</v>
      </c>
      <c r="AI291" t="s">
        <v>240</v>
      </c>
      <c r="AJ291" s="170">
        <v>215.77678456775817</v>
      </c>
      <c r="AK291" s="170">
        <v>609.43157750865998</v>
      </c>
      <c r="AL291" s="170">
        <v>516.09581170414049</v>
      </c>
      <c r="AM291" s="170"/>
      <c r="AN291" s="172">
        <f t="shared" si="137"/>
        <v>307.89272822637565</v>
      </c>
    </row>
    <row r="292" spans="5:40">
      <c r="E292">
        <v>2022</v>
      </c>
      <c r="F292" s="320" t="s">
        <v>240</v>
      </c>
      <c r="G292" s="320" t="s">
        <v>240</v>
      </c>
      <c r="H292" s="63">
        <f t="shared" si="138"/>
        <v>89.550746098577889</v>
      </c>
      <c r="I292" s="63">
        <f t="shared" si="139"/>
        <v>252.92365242747491</v>
      </c>
      <c r="J292" s="63">
        <f t="shared" si="140"/>
        <v>214.18784735826833</v>
      </c>
      <c r="K292" s="63"/>
      <c r="L292" s="63">
        <f t="shared" si="134"/>
        <v>127.84139974505834</v>
      </c>
      <c r="M292" s="63"/>
      <c r="N292">
        <v>2022</v>
      </c>
      <c r="O292" s="320" t="s">
        <v>240</v>
      </c>
      <c r="P292" s="320" t="s">
        <v>240</v>
      </c>
      <c r="Q292" s="63">
        <f t="shared" si="141"/>
        <v>89.550746098577889</v>
      </c>
      <c r="R292" s="63">
        <f t="shared" si="142"/>
        <v>252.92365242747491</v>
      </c>
      <c r="S292" s="63">
        <f t="shared" si="143"/>
        <v>214.18784735826833</v>
      </c>
      <c r="T292" s="63">
        <f t="shared" si="144"/>
        <v>69.853492699434838</v>
      </c>
      <c r="U292" s="172">
        <f t="shared" si="135"/>
        <v>130.79028898638646</v>
      </c>
      <c r="W292">
        <v>2022</v>
      </c>
      <c r="Z292" s="170">
        <v>223.87686524644468</v>
      </c>
      <c r="AA292" s="170">
        <v>632.30913106868718</v>
      </c>
      <c r="AB292" s="170">
        <v>535.46961839567086</v>
      </c>
      <c r="AC292" s="170">
        <v>174.63373174858708</v>
      </c>
      <c r="AD292" s="172">
        <f t="shared" si="136"/>
        <v>326.97720547872115</v>
      </c>
      <c r="AG292">
        <v>2022</v>
      </c>
      <c r="AH292" t="s">
        <v>240</v>
      </c>
      <c r="AI292" t="s">
        <v>240</v>
      </c>
      <c r="AJ292" s="170">
        <v>223.87686524644468</v>
      </c>
      <c r="AK292" s="170">
        <v>632.30913106868718</v>
      </c>
      <c r="AL292" s="170">
        <v>535.46961839567086</v>
      </c>
      <c r="AM292" s="170"/>
      <c r="AN292" s="172">
        <f t="shared" si="137"/>
        <v>319.60374239848363</v>
      </c>
    </row>
    <row r="293" spans="5:40">
      <c r="E293">
        <v>2023</v>
      </c>
      <c r="F293" s="320" t="s">
        <v>240</v>
      </c>
      <c r="G293" s="320" t="s">
        <v>240</v>
      </c>
      <c r="H293" s="63">
        <f t="shared" si="138"/>
        <v>92.91240648149676</v>
      </c>
      <c r="I293" s="63">
        <f t="shared" si="139"/>
        <v>262.41819556989196</v>
      </c>
      <c r="J293" s="63">
        <f t="shared" si="140"/>
        <v>222.22828065822492</v>
      </c>
      <c r="K293" s="63"/>
      <c r="L293" s="63">
        <f t="shared" si="134"/>
        <v>132.69213134029852</v>
      </c>
      <c r="M293" s="63"/>
      <c r="N293">
        <v>2023</v>
      </c>
      <c r="O293" s="320" t="s">
        <v>240</v>
      </c>
      <c r="P293" s="320" t="s">
        <v>240</v>
      </c>
      <c r="Q293" s="63">
        <f t="shared" si="141"/>
        <v>92.91240648149676</v>
      </c>
      <c r="R293" s="63">
        <f t="shared" si="142"/>
        <v>262.41819556989196</v>
      </c>
      <c r="S293" s="63">
        <f t="shared" si="143"/>
        <v>222.22828065822492</v>
      </c>
      <c r="T293" s="63">
        <f t="shared" si="144"/>
        <v>72.475734604127709</v>
      </c>
      <c r="U293" s="172">
        <f t="shared" si="135"/>
        <v>135.726738308759</v>
      </c>
      <c r="W293">
        <v>2023</v>
      </c>
      <c r="Z293" s="170">
        <v>232.28101620374184</v>
      </c>
      <c r="AA293" s="170">
        <v>656.04548892472985</v>
      </c>
      <c r="AB293" s="170">
        <v>555.57070164556239</v>
      </c>
      <c r="AC293" s="170">
        <v>181.18933651031927</v>
      </c>
      <c r="AD293" s="172">
        <f t="shared" si="136"/>
        <v>339.32052445322915</v>
      </c>
      <c r="AG293">
        <v>2023</v>
      </c>
      <c r="AH293" t="s">
        <v>240</v>
      </c>
      <c r="AI293" t="s">
        <v>240</v>
      </c>
      <c r="AJ293" s="170">
        <v>232.28101620374184</v>
      </c>
      <c r="AK293" s="170">
        <v>656.04548892472985</v>
      </c>
      <c r="AL293" s="170">
        <v>555.57070164556239</v>
      </c>
      <c r="AM293" s="170"/>
      <c r="AN293" s="172">
        <f t="shared" si="137"/>
        <v>331.73092524097808</v>
      </c>
    </row>
    <row r="294" spans="5:40">
      <c r="E294">
        <v>2024</v>
      </c>
      <c r="F294" s="320" t="s">
        <v>240</v>
      </c>
      <c r="G294" s="320" t="s">
        <v>240</v>
      </c>
      <c r="H294" s="63">
        <f t="shared" si="138"/>
        <v>96.400260793806751</v>
      </c>
      <c r="I294" s="63">
        <f t="shared" si="139"/>
        <v>272.26915594975605</v>
      </c>
      <c r="J294" s="63">
        <f t="shared" si="140"/>
        <v>230.57054512390081</v>
      </c>
      <c r="K294" s="63"/>
      <c r="L294" s="63">
        <f t="shared" si="134"/>
        <v>137.71599936184793</v>
      </c>
      <c r="M294" s="63"/>
      <c r="N294">
        <v>2024</v>
      </c>
      <c r="O294" s="320" t="s">
        <v>240</v>
      </c>
      <c r="P294" s="320" t="s">
        <v>240</v>
      </c>
      <c r="Q294" s="63">
        <f t="shared" si="141"/>
        <v>96.400260793806751</v>
      </c>
      <c r="R294" s="63">
        <f t="shared" si="142"/>
        <v>272.26915594975605</v>
      </c>
      <c r="S294" s="63">
        <f t="shared" si="143"/>
        <v>230.57054512390081</v>
      </c>
      <c r="T294" s="63">
        <f t="shared" si="144"/>
        <v>75.19641328472116</v>
      </c>
      <c r="U294" s="172">
        <f t="shared" si="135"/>
        <v>140.8394395186678</v>
      </c>
      <c r="W294">
        <v>2024</v>
      </c>
      <c r="Z294" s="170">
        <v>241.00065198451682</v>
      </c>
      <c r="AA294" s="170">
        <v>680.67288987439008</v>
      </c>
      <c r="AB294" s="170">
        <v>576.42636280975216</v>
      </c>
      <c r="AC294" s="170">
        <v>187.99103321180289</v>
      </c>
      <c r="AD294" s="172">
        <f t="shared" si="136"/>
        <v>352.10446113529719</v>
      </c>
      <c r="AG294">
        <v>2024</v>
      </c>
      <c r="AH294" t="s">
        <v>240</v>
      </c>
      <c r="AI294" t="s">
        <v>240</v>
      </c>
      <c r="AJ294" s="170">
        <v>241.00065198451682</v>
      </c>
      <c r="AK294" s="170">
        <v>680.67288987439008</v>
      </c>
      <c r="AL294" s="170">
        <v>576.42636280975216</v>
      </c>
      <c r="AM294" s="170"/>
      <c r="AN294" s="172">
        <f t="shared" si="137"/>
        <v>344.29095117792639</v>
      </c>
    </row>
    <row r="295" spans="5:40">
      <c r="E295">
        <v>2025</v>
      </c>
      <c r="F295" s="320" t="s">
        <v>240</v>
      </c>
      <c r="G295" s="320" t="s">
        <v>240</v>
      </c>
      <c r="H295" s="63">
        <f t="shared" si="138"/>
        <v>100.0190462504556</v>
      </c>
      <c r="I295" s="63">
        <f t="shared" si="139"/>
        <v>282.48991317314659</v>
      </c>
      <c r="J295" s="63">
        <f t="shared" si="140"/>
        <v>239.22597124573113</v>
      </c>
      <c r="K295" s="63"/>
      <c r="L295" s="63">
        <f t="shared" si="134"/>
        <v>142.91990901334034</v>
      </c>
      <c r="M295" s="63"/>
      <c r="N295">
        <v>2025</v>
      </c>
      <c r="O295" s="320" t="s">
        <v>240</v>
      </c>
      <c r="P295" s="320" t="s">
        <v>240</v>
      </c>
      <c r="Q295" s="63">
        <f t="shared" si="141"/>
        <v>100.0190462504556</v>
      </c>
      <c r="R295" s="63">
        <f t="shared" si="142"/>
        <v>282.48991317314659</v>
      </c>
      <c r="S295" s="63">
        <f t="shared" si="143"/>
        <v>239.22597124573113</v>
      </c>
      <c r="T295" s="63">
        <f t="shared" si="144"/>
        <v>78.019223975751856</v>
      </c>
      <c r="U295" s="172">
        <f t="shared" si="135"/>
        <v>146.13511637499155</v>
      </c>
      <c r="W295">
        <v>2025</v>
      </c>
      <c r="Z295" s="170">
        <v>250.04761562613893</v>
      </c>
      <c r="AA295" s="170">
        <v>706.22478293286645</v>
      </c>
      <c r="AB295" s="170">
        <v>598.06492811432793</v>
      </c>
      <c r="AC295" s="170">
        <v>195.04805993937961</v>
      </c>
      <c r="AD295" s="172">
        <f t="shared" si="136"/>
        <v>365.34514739402715</v>
      </c>
      <c r="AG295">
        <v>2025</v>
      </c>
      <c r="AH295" t="s">
        <v>240</v>
      </c>
      <c r="AI295" t="s">
        <v>240</v>
      </c>
      <c r="AJ295" s="170">
        <v>250.04761562613893</v>
      </c>
      <c r="AK295" s="170">
        <v>706.22478293286645</v>
      </c>
      <c r="AL295" s="170">
        <v>598.06492811432793</v>
      </c>
      <c r="AM295" s="170"/>
      <c r="AN295" s="172">
        <f t="shared" si="137"/>
        <v>357.30099310001162</v>
      </c>
    </row>
    <row r="296" spans="5:40">
      <c r="E296">
        <v>2026</v>
      </c>
      <c r="F296" s="320" t="s">
        <v>240</v>
      </c>
      <c r="G296" s="320" t="s">
        <v>240</v>
      </c>
      <c r="H296" s="63">
        <f t="shared" si="138"/>
        <v>103.7736778974925</v>
      </c>
      <c r="I296" s="63">
        <f t="shared" si="139"/>
        <v>293.09434910540551</v>
      </c>
      <c r="J296" s="63">
        <f t="shared" si="140"/>
        <v>248.20631485131983</v>
      </c>
      <c r="K296" s="63"/>
      <c r="L296" s="63">
        <f t="shared" si="134"/>
        <v>148.31097198743484</v>
      </c>
      <c r="M296" s="63"/>
      <c r="N296">
        <v>2026</v>
      </c>
      <c r="O296" s="320" t="s">
        <v>240</v>
      </c>
      <c r="P296" s="320" t="s">
        <v>240</v>
      </c>
      <c r="Q296" s="63">
        <f t="shared" si="141"/>
        <v>103.7736778974925</v>
      </c>
      <c r="R296" s="63">
        <f t="shared" si="142"/>
        <v>293.09434910540551</v>
      </c>
      <c r="S296" s="63">
        <f t="shared" si="143"/>
        <v>248.20631485131983</v>
      </c>
      <c r="T296" s="63">
        <f t="shared" si="144"/>
        <v>80.948000627781596</v>
      </c>
      <c r="U296" s="172">
        <f t="shared" si="135"/>
        <v>151.62073864995395</v>
      </c>
      <c r="W296">
        <v>2026</v>
      </c>
      <c r="Z296" s="170">
        <v>259.43419474373115</v>
      </c>
      <c r="AA296" s="170">
        <v>732.73587276351384</v>
      </c>
      <c r="AB296" s="170">
        <v>620.51578712829973</v>
      </c>
      <c r="AC296" s="170">
        <v>202.37000156945399</v>
      </c>
      <c r="AD296" s="172">
        <f t="shared" si="136"/>
        <v>379.05937755575434</v>
      </c>
      <c r="AG296">
        <v>2026</v>
      </c>
      <c r="AH296" t="s">
        <v>240</v>
      </c>
      <c r="AI296" t="s">
        <v>240</v>
      </c>
      <c r="AJ296" s="170">
        <v>259.43419474373115</v>
      </c>
      <c r="AK296" s="170">
        <v>732.73587276351384</v>
      </c>
      <c r="AL296" s="170">
        <v>620.51578712829973</v>
      </c>
      <c r="AM296" s="170"/>
      <c r="AN296" s="172">
        <f t="shared" si="137"/>
        <v>370.7787550201889</v>
      </c>
    </row>
    <row r="297" spans="5:40">
      <c r="E297">
        <v>2027</v>
      </c>
      <c r="F297" s="320" t="s">
        <v>240</v>
      </c>
      <c r="G297" s="320" t="s">
        <v>240</v>
      </c>
      <c r="H297" s="63">
        <f t="shared" si="138"/>
        <v>107.66925528769946</v>
      </c>
      <c r="I297" s="63">
        <f t="shared" si="139"/>
        <v>304.09686672553153</v>
      </c>
      <c r="J297" s="63">
        <f t="shared" si="140"/>
        <v>257.52377307224265</v>
      </c>
      <c r="K297" s="63"/>
      <c r="L297" s="63">
        <f t="shared" si="134"/>
        <v>153.89652045223067</v>
      </c>
      <c r="M297" s="63"/>
      <c r="N297">
        <v>2027</v>
      </c>
      <c r="O297" s="320" t="s">
        <v>240</v>
      </c>
      <c r="P297" s="320" t="s">
        <v>240</v>
      </c>
      <c r="Q297" s="63">
        <f t="shared" si="141"/>
        <v>107.66925528769946</v>
      </c>
      <c r="R297" s="63">
        <f t="shared" si="142"/>
        <v>304.09686672553153</v>
      </c>
      <c r="S297" s="63">
        <f t="shared" si="143"/>
        <v>257.52377307224265</v>
      </c>
      <c r="T297" s="63">
        <f t="shared" si="144"/>
        <v>83.98672111468133</v>
      </c>
      <c r="U297" s="172">
        <f t="shared" si="135"/>
        <v>157.30353030547238</v>
      </c>
      <c r="W297">
        <v>2027</v>
      </c>
      <c r="Z297" s="170">
        <v>269.17313821924853</v>
      </c>
      <c r="AA297" s="170">
        <v>760.24216681382882</v>
      </c>
      <c r="AB297" s="170">
        <v>643.80943268060685</v>
      </c>
      <c r="AC297" s="170">
        <v>209.96680278670331</v>
      </c>
      <c r="AD297" s="172">
        <f t="shared" si="136"/>
        <v>393.26462814140592</v>
      </c>
      <c r="AG297">
        <v>2027</v>
      </c>
      <c r="AH297" t="s">
        <v>240</v>
      </c>
      <c r="AI297" t="s">
        <v>240</v>
      </c>
      <c r="AJ297" s="170">
        <v>269.17313821924853</v>
      </c>
      <c r="AK297" s="170">
        <v>760.24216681382882</v>
      </c>
      <c r="AL297" s="170">
        <v>643.80943268060685</v>
      </c>
      <c r="AM297" s="170"/>
      <c r="AN297" s="172">
        <f t="shared" si="137"/>
        <v>384.7425040350692</v>
      </c>
    </row>
    <row r="298" spans="5:40">
      <c r="E298">
        <v>2028</v>
      </c>
      <c r="F298" s="320" t="s">
        <v>240</v>
      </c>
      <c r="G298" s="320" t="s">
        <v>240</v>
      </c>
      <c r="H298" s="63">
        <f t="shared" si="138"/>
        <v>111.71106940682029</v>
      </c>
      <c r="I298" s="63">
        <f t="shared" si="139"/>
        <v>315.51240968835236</v>
      </c>
      <c r="J298" s="63">
        <f t="shared" si="140"/>
        <v>267.1910009102304</v>
      </c>
      <c r="K298" s="63"/>
      <c r="L298" s="63">
        <f t="shared" si="134"/>
        <v>159.68412062572912</v>
      </c>
      <c r="M298" s="63"/>
      <c r="N298">
        <v>2028</v>
      </c>
      <c r="O298" s="320" t="s">
        <v>240</v>
      </c>
      <c r="P298" s="320" t="s">
        <v>240</v>
      </c>
      <c r="Q298" s="63">
        <f t="shared" si="141"/>
        <v>111.71106940682029</v>
      </c>
      <c r="R298" s="63">
        <f t="shared" si="142"/>
        <v>315.51240968835236</v>
      </c>
      <c r="S298" s="63">
        <f t="shared" si="143"/>
        <v>267.1910009102304</v>
      </c>
      <c r="T298" s="63">
        <f t="shared" si="144"/>
        <v>87.139512636392212</v>
      </c>
      <c r="U298" s="172">
        <f t="shared" si="135"/>
        <v>163.19097816600208</v>
      </c>
      <c r="W298">
        <v>2028</v>
      </c>
      <c r="Z298" s="170">
        <v>279.27767351705063</v>
      </c>
      <c r="AA298" s="170">
        <v>788.78102422088091</v>
      </c>
      <c r="AB298" s="170">
        <v>667.97750227557628</v>
      </c>
      <c r="AC298" s="170">
        <v>217.84878159098051</v>
      </c>
      <c r="AD298" s="172">
        <f t="shared" si="136"/>
        <v>407.97907803064851</v>
      </c>
      <c r="AG298">
        <v>2028</v>
      </c>
      <c r="AH298" t="s">
        <v>240</v>
      </c>
      <c r="AI298" t="s">
        <v>240</v>
      </c>
      <c r="AJ298" s="170">
        <v>279.27767351705063</v>
      </c>
      <c r="AK298" s="170">
        <v>788.78102422088091</v>
      </c>
      <c r="AL298" s="170">
        <v>667.97750227557628</v>
      </c>
      <c r="AM298" s="170"/>
      <c r="AN298" s="172">
        <f t="shared" si="137"/>
        <v>399.21110185723023</v>
      </c>
    </row>
    <row r="299" spans="5:40">
      <c r="E299">
        <v>2029</v>
      </c>
      <c r="F299" s="320" t="s">
        <v>240</v>
      </c>
      <c r="G299" s="320" t="s">
        <v>240</v>
      </c>
      <c r="H299" s="63">
        <f t="shared" si="138"/>
        <v>115.90460985979448</v>
      </c>
      <c r="I299" s="63">
        <f t="shared" si="139"/>
        <v>327.35648262104502</v>
      </c>
      <c r="J299" s="63">
        <f t="shared" si="140"/>
        <v>277.22112842523302</v>
      </c>
      <c r="K299" s="63"/>
      <c r="L299" s="63">
        <f t="shared" si="134"/>
        <v>165.68158608000485</v>
      </c>
      <c r="M299" s="63"/>
      <c r="N299">
        <v>2029</v>
      </c>
      <c r="O299" s="320" t="s">
        <v>240</v>
      </c>
      <c r="P299" s="320" t="s">
        <v>240</v>
      </c>
      <c r="Q299" s="63">
        <f t="shared" si="141"/>
        <v>115.90460985979448</v>
      </c>
      <c r="R299" s="63">
        <f t="shared" si="142"/>
        <v>327.35648262104502</v>
      </c>
      <c r="S299" s="63">
        <f t="shared" si="143"/>
        <v>277.22112842523302</v>
      </c>
      <c r="T299" s="63">
        <f t="shared" si="144"/>
        <v>90.410657324501841</v>
      </c>
      <c r="U299" s="172">
        <f t="shared" si="135"/>
        <v>169.2908410828681</v>
      </c>
      <c r="W299">
        <v>2029</v>
      </c>
      <c r="Z299" s="170">
        <v>289.76152464948609</v>
      </c>
      <c r="AA299" s="170">
        <v>818.39120655261263</v>
      </c>
      <c r="AB299" s="170">
        <v>693.05282106308289</v>
      </c>
      <c r="AC299" s="170">
        <v>226.02664331125459</v>
      </c>
      <c r="AD299" s="172">
        <f t="shared" si="136"/>
        <v>423.221629206383</v>
      </c>
      <c r="AG299">
        <v>2029</v>
      </c>
      <c r="AH299" t="s">
        <v>240</v>
      </c>
      <c r="AI299" t="s">
        <v>240</v>
      </c>
      <c r="AJ299" s="170">
        <v>289.76152464948609</v>
      </c>
      <c r="AK299" s="170">
        <v>818.39120655261263</v>
      </c>
      <c r="AL299" s="170">
        <v>693.05282106308289</v>
      </c>
      <c r="AM299" s="170"/>
      <c r="AN299" s="172">
        <f t="shared" si="137"/>
        <v>414.20403614449856</v>
      </c>
    </row>
    <row r="300" spans="5:40">
      <c r="E300">
        <v>2030</v>
      </c>
      <c r="F300" s="320" t="s">
        <v>240</v>
      </c>
      <c r="G300" s="320" t="s">
        <v>240</v>
      </c>
      <c r="H300" s="63">
        <f t="shared" si="138"/>
        <v>120.25557232675628</v>
      </c>
      <c r="I300" s="63">
        <f t="shared" si="139"/>
        <v>339.64517218157022</v>
      </c>
      <c r="J300" s="63">
        <f t="shared" si="140"/>
        <v>287.62777856870923</v>
      </c>
      <c r="K300" s="63"/>
      <c r="L300" s="63">
        <f t="shared" si="134"/>
        <v>171.89699089255075</v>
      </c>
      <c r="M300" s="63"/>
      <c r="N300">
        <v>2030</v>
      </c>
      <c r="O300" s="320" t="s">
        <v>240</v>
      </c>
      <c r="P300" s="320" t="s">
        <v>240</v>
      </c>
      <c r="Q300" s="63">
        <f t="shared" si="141"/>
        <v>120.25557232675628</v>
      </c>
      <c r="R300" s="63">
        <f t="shared" si="142"/>
        <v>339.64517218157022</v>
      </c>
      <c r="S300" s="63">
        <f t="shared" si="143"/>
        <v>287.62777856870923</v>
      </c>
      <c r="T300" s="63">
        <f t="shared" si="144"/>
        <v>93.804598058249198</v>
      </c>
      <c r="U300" s="172">
        <f t="shared" si="135"/>
        <v>175.61115958630037</v>
      </c>
      <c r="W300">
        <v>2030</v>
      </c>
      <c r="Z300" s="170">
        <v>300.63893081689059</v>
      </c>
      <c r="AA300" s="170">
        <v>849.11293045392563</v>
      </c>
      <c r="AB300" s="170">
        <v>719.06944642177348</v>
      </c>
      <c r="AC300" s="170">
        <v>234.511495145623</v>
      </c>
      <c r="AD300" s="172">
        <f t="shared" si="136"/>
        <v>439.01192822405625</v>
      </c>
      <c r="AG300">
        <v>2030</v>
      </c>
      <c r="AH300" t="s">
        <v>240</v>
      </c>
      <c r="AI300" t="s">
        <v>240</v>
      </c>
      <c r="AJ300" s="170">
        <v>300.63893081689059</v>
      </c>
      <c r="AK300" s="170">
        <v>849.11293045392563</v>
      </c>
      <c r="AL300" s="170">
        <v>719.06944642177348</v>
      </c>
      <c r="AM300" s="170"/>
      <c r="AN300" s="172">
        <f t="shared" si="137"/>
        <v>429.74145182065052</v>
      </c>
    </row>
    <row r="301" spans="5:40">
      <c r="E301">
        <v>2040</v>
      </c>
      <c r="F301" s="320" t="s">
        <v>240</v>
      </c>
      <c r="G301" s="320" t="s">
        <v>240</v>
      </c>
      <c r="H301" s="63">
        <f t="shared" ref="H301:J307" si="145">H300*(1+$C$6)^10</f>
        <v>173.84019915495747</v>
      </c>
      <c r="I301" s="63">
        <f t="shared" si="145"/>
        <v>490.98751294144392</v>
      </c>
      <c r="J301" s="63">
        <f t="shared" si="145"/>
        <v>415.7917121130975</v>
      </c>
      <c r="K301" s="63"/>
      <c r="L301" s="63">
        <f t="shared" si="134"/>
        <v>248.3399352926449</v>
      </c>
      <c r="M301" s="63"/>
      <c r="N301">
        <v>2040</v>
      </c>
      <c r="O301" s="320" t="s">
        <v>240</v>
      </c>
      <c r="P301" s="320" t="s">
        <v>240</v>
      </c>
      <c r="Q301" s="63">
        <f t="shared" ref="Q301:T307" si="146">Q300*(1+$C$6)^10</f>
        <v>173.84019915495747</v>
      </c>
      <c r="R301" s="63">
        <f t="shared" si="146"/>
        <v>490.98751294144392</v>
      </c>
      <c r="S301" s="63">
        <f t="shared" si="146"/>
        <v>415.7917121130975</v>
      </c>
      <c r="T301" s="63">
        <f t="shared" si="146"/>
        <v>135.60294706167682</v>
      </c>
      <c r="U301" s="172">
        <f t="shared" si="135"/>
        <v>253.27224470717024</v>
      </c>
      <c r="W301">
        <v>2040</v>
      </c>
      <c r="Z301" s="170">
        <v>434.60049788739354</v>
      </c>
      <c r="AA301" s="170">
        <v>1227.4687823536099</v>
      </c>
      <c r="AB301" s="170">
        <v>1039.4792802827444</v>
      </c>
      <c r="AC301" s="170">
        <v>339.00736765419202</v>
      </c>
      <c r="AD301" s="172">
        <f t="shared" si="136"/>
        <v>632.97048964414375</v>
      </c>
      <c r="AG301">
        <v>2040</v>
      </c>
      <c r="AH301" t="s">
        <v>240</v>
      </c>
      <c r="AI301" t="s">
        <v>240</v>
      </c>
      <c r="AJ301" s="170">
        <v>434.60049788739354</v>
      </c>
      <c r="AK301" s="170">
        <v>1227.4687823536099</v>
      </c>
      <c r="AL301" s="170">
        <v>1039.4792802827444</v>
      </c>
      <c r="AM301" s="170"/>
      <c r="AN301" s="172">
        <f t="shared" si="137"/>
        <v>620.82842430737833</v>
      </c>
    </row>
    <row r="302" spans="5:40">
      <c r="E302">
        <v>2050</v>
      </c>
      <c r="F302" s="320" t="s">
        <v>240</v>
      </c>
      <c r="G302" s="320" t="s">
        <v>240</v>
      </c>
      <c r="H302" s="63">
        <f t="shared" si="145"/>
        <v>251.30157594793954</v>
      </c>
      <c r="I302" s="63">
        <f t="shared" si="145"/>
        <v>709.76641980811701</v>
      </c>
      <c r="J302" s="63">
        <f t="shared" si="145"/>
        <v>601.06415563280621</v>
      </c>
      <c r="K302" s="63"/>
      <c r="L302" s="63">
        <f t="shared" si="134"/>
        <v>358.99761627758852</v>
      </c>
      <c r="M302" s="63"/>
      <c r="N302">
        <v>2050</v>
      </c>
      <c r="O302" s="320" t="s">
        <v>240</v>
      </c>
      <c r="P302" s="320" t="s">
        <v>240</v>
      </c>
      <c r="Q302" s="63">
        <f t="shared" si="146"/>
        <v>251.30157594793954</v>
      </c>
      <c r="R302" s="63">
        <f t="shared" si="146"/>
        <v>709.76641980811701</v>
      </c>
      <c r="S302" s="63">
        <f t="shared" si="146"/>
        <v>601.06415563280621</v>
      </c>
      <c r="T302" s="63">
        <f t="shared" si="146"/>
        <v>196.02620375169195</v>
      </c>
      <c r="U302" s="172">
        <f t="shared" si="135"/>
        <v>364.43674375553263</v>
      </c>
      <c r="W302">
        <v>2050</v>
      </c>
      <c r="Z302" s="170">
        <v>628.25393986984864</v>
      </c>
      <c r="AA302" s="170">
        <v>1774.4160495202925</v>
      </c>
      <c r="AB302" s="170">
        <v>1502.6603890820165</v>
      </c>
      <c r="AC302" s="170">
        <v>490.06550937922987</v>
      </c>
      <c r="AD302" s="172">
        <f t="shared" si="136"/>
        <v>909.88955314574662</v>
      </c>
      <c r="AG302">
        <v>2050</v>
      </c>
      <c r="AH302" t="s">
        <v>240</v>
      </c>
      <c r="AI302" t="s">
        <v>240</v>
      </c>
      <c r="AJ302" s="170">
        <v>628.25393986984864</v>
      </c>
      <c r="AK302" s="170">
        <v>1774.4160495202925</v>
      </c>
      <c r="AL302" s="170">
        <v>1502.6603890820165</v>
      </c>
      <c r="AM302" s="170"/>
      <c r="AN302" s="172">
        <f t="shared" si="137"/>
        <v>897.46308494879065</v>
      </c>
    </row>
    <row r="303" spans="5:40">
      <c r="E303">
        <v>2060</v>
      </c>
      <c r="F303" s="320" t="s">
        <v>240</v>
      </c>
      <c r="G303" s="320" t="s">
        <v>240</v>
      </c>
      <c r="H303" s="63">
        <f t="shared" si="145"/>
        <v>363.27893307131592</v>
      </c>
      <c r="I303" s="63">
        <f t="shared" si="145"/>
        <v>1026.0309221903012</v>
      </c>
      <c r="J303" s="63">
        <f t="shared" si="145"/>
        <v>868.89206461216997</v>
      </c>
      <c r="K303" s="63"/>
      <c r="L303" s="63">
        <f t="shared" si="134"/>
        <v>518.96320396926399</v>
      </c>
      <c r="M303" s="63"/>
      <c r="N303">
        <v>2060</v>
      </c>
      <c r="O303" s="320" t="s">
        <v>240</v>
      </c>
      <c r="P303" s="320" t="s">
        <v>240</v>
      </c>
      <c r="Q303" s="63">
        <f t="shared" si="146"/>
        <v>363.27893307131592</v>
      </c>
      <c r="R303" s="63">
        <f t="shared" si="146"/>
        <v>1026.0309221903012</v>
      </c>
      <c r="S303" s="63">
        <f t="shared" si="146"/>
        <v>868.89206461216997</v>
      </c>
      <c r="T303" s="63">
        <f t="shared" si="146"/>
        <v>283.37343243596524</v>
      </c>
      <c r="U303" s="172">
        <f t="shared" si="135"/>
        <v>526.82594983376168</v>
      </c>
      <c r="W303">
        <v>2060</v>
      </c>
      <c r="Z303" s="170">
        <v>908.1973326782894</v>
      </c>
      <c r="AA303" s="170">
        <v>2565.0773054757533</v>
      </c>
      <c r="AB303" s="170">
        <v>2172.2301615304264</v>
      </c>
      <c r="AC303" s="170">
        <v>708.4335810899131</v>
      </c>
      <c r="AD303" s="172">
        <f t="shared" si="136"/>
        <v>1315.3268332388006</v>
      </c>
      <c r="AG303">
        <v>2060</v>
      </c>
      <c r="AH303" t="s">
        <v>240</v>
      </c>
      <c r="AI303" t="s">
        <v>240</v>
      </c>
      <c r="AJ303" s="170">
        <v>908.1973326782894</v>
      </c>
      <c r="AK303" s="170">
        <v>2565.0773054757533</v>
      </c>
      <c r="AL303" s="170">
        <v>2172.2301615304264</v>
      </c>
      <c r="AM303" s="170"/>
      <c r="AN303" s="172">
        <f t="shared" si="137"/>
        <v>1297.3632606212934</v>
      </c>
    </row>
    <row r="304" spans="5:40">
      <c r="E304">
        <v>2070</v>
      </c>
      <c r="F304" s="320" t="s">
        <v>240</v>
      </c>
      <c r="G304" s="320" t="s">
        <v>240</v>
      </c>
      <c r="H304" s="63">
        <f t="shared" si="145"/>
        <v>525.15223080325325</v>
      </c>
      <c r="I304" s="63">
        <f t="shared" si="145"/>
        <v>1483.2195831063473</v>
      </c>
      <c r="J304" s="63">
        <f t="shared" si="145"/>
        <v>1256.0612920781409</v>
      </c>
      <c r="K304" s="63"/>
      <c r="L304" s="63">
        <f t="shared" si="134"/>
        <v>750.20778652133117</v>
      </c>
      <c r="M304" s="63"/>
      <c r="N304">
        <v>2070</v>
      </c>
      <c r="O304" s="320" t="s">
        <v>240</v>
      </c>
      <c r="P304" s="320" t="s">
        <v>240</v>
      </c>
      <c r="Q304" s="63">
        <f t="shared" si="146"/>
        <v>525.15223080325325</v>
      </c>
      <c r="R304" s="63">
        <f t="shared" si="146"/>
        <v>1483.2195831063473</v>
      </c>
      <c r="S304" s="63">
        <f t="shared" si="146"/>
        <v>1256.0612920781409</v>
      </c>
      <c r="T304" s="63">
        <f t="shared" si="146"/>
        <v>409.64167378488787</v>
      </c>
      <c r="U304" s="172">
        <f t="shared" si="135"/>
        <v>761.57408980809339</v>
      </c>
      <c r="W304">
        <v>2070</v>
      </c>
      <c r="Z304" s="170">
        <v>1312.8805770081326</v>
      </c>
      <c r="AA304" s="170">
        <v>3708.0489577658686</v>
      </c>
      <c r="AB304" s="170">
        <v>3140.1532301953544</v>
      </c>
      <c r="AC304" s="170">
        <v>1024.1041844622198</v>
      </c>
      <c r="AD304" s="172">
        <f t="shared" si="136"/>
        <v>1901.4227301067665</v>
      </c>
      <c r="AG304">
        <v>2070</v>
      </c>
      <c r="AH304" t="s">
        <v>240</v>
      </c>
      <c r="AI304" t="s">
        <v>240</v>
      </c>
      <c r="AJ304" s="170">
        <v>1312.8805770081326</v>
      </c>
      <c r="AK304" s="170">
        <v>3708.0489577658686</v>
      </c>
      <c r="AL304" s="170">
        <v>3140.1532301953544</v>
      </c>
      <c r="AM304" s="170"/>
      <c r="AN304" s="172">
        <f t="shared" si="137"/>
        <v>1875.4547771800044</v>
      </c>
    </row>
    <row r="305" spans="5:40">
      <c r="E305">
        <v>2080</v>
      </c>
      <c r="F305" s="320" t="s">
        <v>240</v>
      </c>
      <c r="G305" s="320" t="s">
        <v>240</v>
      </c>
      <c r="H305" s="63">
        <f t="shared" si="145"/>
        <v>759.15457906141114</v>
      </c>
      <c r="I305" s="63">
        <f t="shared" si="145"/>
        <v>2144.1267354924189</v>
      </c>
      <c r="J305" s="63">
        <f t="shared" si="145"/>
        <v>1815.7490828981281</v>
      </c>
      <c r="K305" s="63"/>
      <c r="L305" s="63">
        <f t="shared" si="134"/>
        <v>1084.4925394567435</v>
      </c>
      <c r="M305" s="63"/>
      <c r="N305">
        <v>2080</v>
      </c>
      <c r="O305" s="320" t="s">
        <v>240</v>
      </c>
      <c r="P305" s="320" t="s">
        <v>240</v>
      </c>
      <c r="Q305" s="63">
        <f t="shared" si="146"/>
        <v>759.15457906141114</v>
      </c>
      <c r="R305" s="63">
        <f t="shared" si="146"/>
        <v>2144.1267354924189</v>
      </c>
      <c r="S305" s="63">
        <f t="shared" si="146"/>
        <v>1815.7490828981281</v>
      </c>
      <c r="T305" s="63">
        <f t="shared" si="146"/>
        <v>592.17372446940385</v>
      </c>
      <c r="U305" s="172">
        <f t="shared" si="135"/>
        <v>1100.9235487546534</v>
      </c>
      <c r="W305">
        <v>2080</v>
      </c>
      <c r="Z305" s="170">
        <v>1897.8864476535271</v>
      </c>
      <c r="AA305" s="170">
        <v>5360.3168387310479</v>
      </c>
      <c r="AB305" s="170">
        <v>4539.372707245323</v>
      </c>
      <c r="AC305" s="170">
        <v>1480.4343111735097</v>
      </c>
      <c r="AD305" s="172">
        <f t="shared" si="136"/>
        <v>2748.6768362082703</v>
      </c>
      <c r="AG305">
        <v>2080</v>
      </c>
      <c r="AH305" t="s">
        <v>240</v>
      </c>
      <c r="AI305" t="s">
        <v>240</v>
      </c>
      <c r="AJ305" s="170">
        <v>1897.8864476535271</v>
      </c>
      <c r="AK305" s="170">
        <v>5360.3168387310479</v>
      </c>
      <c r="AL305" s="170">
        <v>4539.372707245323</v>
      </c>
      <c r="AM305" s="170"/>
      <c r="AN305" s="172">
        <f t="shared" si="137"/>
        <v>2711.1378347209311</v>
      </c>
    </row>
    <row r="306" spans="5:40">
      <c r="E306">
        <v>2090</v>
      </c>
      <c r="F306" s="320" t="s">
        <v>240</v>
      </c>
      <c r="G306" s="320" t="s">
        <v>240</v>
      </c>
      <c r="H306" s="63">
        <f t="shared" si="145"/>
        <v>1097.4259292936781</v>
      </c>
      <c r="I306" s="63">
        <f t="shared" si="145"/>
        <v>3099.5272110857445</v>
      </c>
      <c r="J306" s="63">
        <f t="shared" si="145"/>
        <v>2624.8279067581416</v>
      </c>
      <c r="K306" s="63"/>
      <c r="L306" s="63">
        <f t="shared" si="134"/>
        <v>1567.7310863313669</v>
      </c>
      <c r="M306" s="63"/>
      <c r="N306">
        <v>2090</v>
      </c>
      <c r="O306" s="320" t="s">
        <v>240</v>
      </c>
      <c r="P306" s="320" t="s">
        <v>240</v>
      </c>
      <c r="Q306" s="63">
        <f t="shared" si="146"/>
        <v>1097.4259292936781</v>
      </c>
      <c r="R306" s="63">
        <f t="shared" si="146"/>
        <v>3099.5272110857445</v>
      </c>
      <c r="S306" s="63">
        <f t="shared" si="146"/>
        <v>2624.8279067581416</v>
      </c>
      <c r="T306" s="63">
        <f t="shared" si="146"/>
        <v>856.04015019260476</v>
      </c>
      <c r="U306" s="172">
        <f t="shared" si="135"/>
        <v>1591.4835817326143</v>
      </c>
      <c r="W306">
        <v>2090</v>
      </c>
      <c r="Z306" s="170">
        <v>2743.5648232341941</v>
      </c>
      <c r="AA306" s="170">
        <v>7748.8180277143629</v>
      </c>
      <c r="AB306" s="170">
        <v>6562.069766895358</v>
      </c>
      <c r="AC306" s="170">
        <v>2140.1003754815119</v>
      </c>
      <c r="AD306" s="172">
        <f t="shared" si="136"/>
        <v>3973.4585214954668</v>
      </c>
      <c r="AG306">
        <v>2090</v>
      </c>
      <c r="AH306" t="s">
        <v>240</v>
      </c>
      <c r="AI306" t="s">
        <v>240</v>
      </c>
      <c r="AJ306" s="170">
        <v>2743.5648232341941</v>
      </c>
      <c r="AK306" s="170">
        <v>7748.8180277143629</v>
      </c>
      <c r="AL306" s="170">
        <v>6562.069766895358</v>
      </c>
      <c r="AM306" s="170"/>
      <c r="AN306" s="172">
        <f t="shared" si="137"/>
        <v>3919.1925330811796</v>
      </c>
    </row>
    <row r="307" spans="5:40">
      <c r="E307">
        <v>2100</v>
      </c>
      <c r="F307" s="320" t="s">
        <v>240</v>
      </c>
      <c r="G307" s="320" t="s">
        <v>240</v>
      </c>
      <c r="H307" s="63">
        <f t="shared" si="145"/>
        <v>1586.4274595762777</v>
      </c>
      <c r="I307" s="63">
        <f t="shared" si="145"/>
        <v>4480.6441584035474</v>
      </c>
      <c r="J307" s="63">
        <f t="shared" si="145"/>
        <v>3794.4238028194959</v>
      </c>
      <c r="K307" s="63"/>
      <c r="L307" s="63">
        <f t="shared" si="134"/>
        <v>2266.2956817396894</v>
      </c>
      <c r="M307" s="63"/>
      <c r="N307">
        <v>2100</v>
      </c>
      <c r="O307" s="320" t="s">
        <v>240</v>
      </c>
      <c r="P307" s="320" t="s">
        <v>240</v>
      </c>
      <c r="Q307" s="63">
        <f t="shared" si="146"/>
        <v>1586.4274595762777</v>
      </c>
      <c r="R307" s="63">
        <f t="shared" si="146"/>
        <v>4480.6441584035474</v>
      </c>
      <c r="S307" s="63">
        <f t="shared" si="146"/>
        <v>3794.4238028194959</v>
      </c>
      <c r="T307" s="63">
        <f t="shared" si="146"/>
        <v>1237.4826988454795</v>
      </c>
      <c r="U307" s="172">
        <f t="shared" si="135"/>
        <v>2300.6320409710142</v>
      </c>
      <c r="W307">
        <v>2100</v>
      </c>
      <c r="Z307" s="170">
        <v>3966.0686489406926</v>
      </c>
      <c r="AA307" s="170">
        <v>11201.610396008869</v>
      </c>
      <c r="AB307" s="170">
        <v>9486.0595070487452</v>
      </c>
      <c r="AC307" s="170">
        <v>3093.7067471136988</v>
      </c>
      <c r="AD307" s="172">
        <f t="shared" si="136"/>
        <v>5743.9901315662119</v>
      </c>
      <c r="AG307">
        <v>2100</v>
      </c>
      <c r="AH307" t="s">
        <v>240</v>
      </c>
      <c r="AI307" t="s">
        <v>240</v>
      </c>
      <c r="AJ307" s="170">
        <v>3966.0686489406926</v>
      </c>
      <c r="AK307" s="170">
        <v>11201.610396008869</v>
      </c>
      <c r="AL307" s="170">
        <v>9486.0595070487452</v>
      </c>
      <c r="AM307" s="170"/>
      <c r="AN307" s="172">
        <f t="shared" si="137"/>
        <v>5665.5437855819482</v>
      </c>
    </row>
    <row r="308" spans="5:40">
      <c r="F308" s="581" t="s">
        <v>295</v>
      </c>
      <c r="G308" s="581"/>
      <c r="H308" s="581"/>
      <c r="I308" s="581"/>
      <c r="J308" s="581"/>
      <c r="K308" s="581"/>
      <c r="L308" s="426"/>
      <c r="M308" s="63"/>
      <c r="O308" s="581" t="s">
        <v>295</v>
      </c>
      <c r="P308" s="581"/>
      <c r="Q308" s="581"/>
      <c r="R308" s="581"/>
      <c r="S308" s="581"/>
      <c r="T308" s="581"/>
      <c r="X308" s="581" t="s">
        <v>295</v>
      </c>
      <c r="Y308" s="581"/>
      <c r="Z308" s="581"/>
      <c r="AA308" s="581"/>
      <c r="AB308" s="581"/>
      <c r="AC308" s="581"/>
      <c r="AD308" s="172"/>
      <c r="AH308" s="581" t="s">
        <v>295</v>
      </c>
      <c r="AI308" s="581"/>
      <c r="AJ308" s="581"/>
      <c r="AK308" s="581"/>
      <c r="AL308" s="581"/>
      <c r="AM308" s="581"/>
    </row>
    <row r="309" spans="5:40">
      <c r="E309">
        <v>2020</v>
      </c>
      <c r="F309" s="320" t="s">
        <v>240</v>
      </c>
      <c r="G309" s="320" t="s">
        <v>240</v>
      </c>
      <c r="H309" s="63">
        <f>('Demographic-Economic'!E$24*1000*(1-AVERAGE('Demographic-Economic'!$C12:$H12))*(1+'Inflation-Interest'!$C$65)*(1+'Inflation-Interest'!$C$66)*(1+'Inflation-Interest'!$C$67))*$C$9/H43</f>
        <v>0</v>
      </c>
      <c r="I309" s="63">
        <f>('Demographic-Economic'!F$24*1000*(1-AVERAGE('Demographic-Economic'!$C12:$H12))*(1+'Inflation-Interest'!$C$65)*(1+'Inflation-Interest'!$C$66)*(1+'Inflation-Interest'!$C$67))*$C$9/I43</f>
        <v>0</v>
      </c>
      <c r="J309" s="63">
        <f>('Demographic-Economic'!G$24*1000*(1-AVERAGE('Demographic-Economic'!$C12:$H12))*(1+'Inflation-Interest'!$C$65)*(1+'Inflation-Interest'!$C$66)*(1+'Inflation-Interest'!$C$67))*$C$9/J43</f>
        <v>0</v>
      </c>
      <c r="K309" s="63"/>
      <c r="L309" s="63">
        <f t="shared" ref="L309:L326" si="147">SUMPRODUCT(H309:K309, H43:K43)/SUM(H43:K43)</f>
        <v>0</v>
      </c>
      <c r="M309" s="63"/>
      <c r="N309">
        <v>2020</v>
      </c>
      <c r="O309" s="320" t="s">
        <v>240</v>
      </c>
      <c r="P309" s="320" t="s">
        <v>240</v>
      </c>
      <c r="Q309" s="170">
        <f>('Demographic-Economic'!E$24*1000*(1-AVERAGE('Demographic-Economic'!$C12:$H12))*(1+'Inflation-Interest'!$C$65)*(1+'Inflation-Interest'!$C$66)*(1+'Inflation-Interest'!$C$67))*$C$9/Q43</f>
        <v>0</v>
      </c>
      <c r="R309" s="170">
        <f>('Demographic-Economic'!F$24*1000*(1-AVERAGE('Demographic-Economic'!$C12:$H12))*(1+'Inflation-Interest'!$C$65)*(1+'Inflation-Interest'!$C$66)*(1+'Inflation-Interest'!$C$67))*$C$9/R43</f>
        <v>0</v>
      </c>
      <c r="S309" s="170">
        <f>('Demographic-Economic'!G$24*1000*(1-AVERAGE('Demographic-Economic'!$C12:$H12))*(1+'Inflation-Interest'!$C$65)*(1+'Inflation-Interest'!$C$66)*(1+'Inflation-Interest'!$C$67))*$C$9/S43</f>
        <v>0</v>
      </c>
      <c r="T309" s="170">
        <f>('Demographic-Economic'!H$24*1000*(1-AVERAGE('Demographic-Economic'!$C12:$H12))*(1+'Inflation-Interest'!$C$65)*(1+'Inflation-Interest'!$C$66)*(1+'Inflation-Interest'!$C$67))*$C$9/T43</f>
        <v>0</v>
      </c>
      <c r="U309" s="172">
        <f t="shared" ref="U309:U326" si="148">SUMPRODUCT(Q309:T309, Q43:T43)/SUM(Q43:T43)</f>
        <v>0</v>
      </c>
      <c r="W309">
        <v>2020</v>
      </c>
      <c r="Z309" s="170">
        <v>99.710196359216766</v>
      </c>
      <c r="AA309" s="170">
        <v>275.06512464495847</v>
      </c>
      <c r="AB309" s="170">
        <v>206.84086379980764</v>
      </c>
      <c r="AC309" s="170">
        <v>101.83256859467089</v>
      </c>
      <c r="AD309" s="172">
        <f t="shared" ref="AD309:AD326" si="149">SUMPRODUCT(Z309:AC309, Z43:AC43)/SUM(Z43:AC43)</f>
        <v>142.98033174014205</v>
      </c>
      <c r="AG309">
        <v>2020</v>
      </c>
      <c r="AJ309" s="170">
        <v>99.710196359216766</v>
      </c>
      <c r="AK309" s="170">
        <v>275.06512464495847</v>
      </c>
      <c r="AL309" s="170">
        <v>206.84086379980764</v>
      </c>
      <c r="AM309" s="170"/>
      <c r="AN309" s="172">
        <f t="shared" ref="AN309:AN326" si="150">SUMPRODUCT(AJ309:AM309, AJ43:AM43)/SUM(AJ43:AM43)</f>
        <v>139.6975585993805</v>
      </c>
    </row>
    <row r="310" spans="5:40">
      <c r="E310">
        <v>2021</v>
      </c>
      <c r="F310" s="320" t="s">
        <v>240</v>
      </c>
      <c r="G310" s="320" t="s">
        <v>240</v>
      </c>
      <c r="H310" s="63">
        <f t="shared" ref="H310:H319" si="151">H309*(1+$C$6)</f>
        <v>0</v>
      </c>
      <c r="I310" s="63">
        <f t="shared" ref="I310:I319" si="152">I309*(1+$C$6)</f>
        <v>0</v>
      </c>
      <c r="J310" s="63">
        <f t="shared" ref="J310:J319" si="153">J309*(1+$C$6)</f>
        <v>0</v>
      </c>
      <c r="K310" s="63"/>
      <c r="L310" s="63">
        <f t="shared" si="147"/>
        <v>0</v>
      </c>
      <c r="M310" s="63"/>
      <c r="N310">
        <v>2021</v>
      </c>
      <c r="O310" s="320" t="s">
        <v>240</v>
      </c>
      <c r="P310" s="320" t="s">
        <v>240</v>
      </c>
      <c r="Q310" s="63">
        <f t="shared" ref="Q310:Q319" si="154">Q309*(1+$C$6)</f>
        <v>0</v>
      </c>
      <c r="R310" s="63">
        <f t="shared" ref="R310:R319" si="155">R309*(1+$C$6)</f>
        <v>0</v>
      </c>
      <c r="S310" s="63">
        <f t="shared" ref="S310:S319" si="156">S309*(1+$C$6)</f>
        <v>0</v>
      </c>
      <c r="T310" s="63">
        <f t="shared" ref="T310:T319" si="157">T309*(1+$C$6)</f>
        <v>0</v>
      </c>
      <c r="U310" s="172">
        <f t="shared" si="148"/>
        <v>0</v>
      </c>
      <c r="W310">
        <v>2021</v>
      </c>
      <c r="Z310" s="170">
        <v>103.45323403871147</v>
      </c>
      <c r="AA310" s="170">
        <v>285.39084020319302</v>
      </c>
      <c r="AB310" s="170">
        <v>214.60549745946591</v>
      </c>
      <c r="AC310" s="170">
        <v>105.65527835924101</v>
      </c>
      <c r="AD310" s="172">
        <f t="shared" si="149"/>
        <v>148.40104651427617</v>
      </c>
      <c r="AG310">
        <v>2021</v>
      </c>
      <c r="AJ310" s="170">
        <v>103.45323403871147</v>
      </c>
      <c r="AK310" s="170">
        <v>285.39084020319302</v>
      </c>
      <c r="AL310" s="170">
        <v>214.60549745946591</v>
      </c>
      <c r="AM310" s="170"/>
      <c r="AN310" s="172">
        <f t="shared" si="150"/>
        <v>145.01828259928527</v>
      </c>
    </row>
    <row r="311" spans="5:40">
      <c r="E311">
        <v>2022</v>
      </c>
      <c r="F311" s="320" t="s">
        <v>240</v>
      </c>
      <c r="G311" s="320" t="s">
        <v>240</v>
      </c>
      <c r="H311" s="63">
        <f t="shared" si="151"/>
        <v>0</v>
      </c>
      <c r="I311" s="63">
        <f t="shared" si="152"/>
        <v>0</v>
      </c>
      <c r="J311" s="63">
        <f t="shared" si="153"/>
        <v>0</v>
      </c>
      <c r="K311" s="63"/>
      <c r="L311" s="63">
        <f t="shared" si="147"/>
        <v>0</v>
      </c>
      <c r="M311" s="63"/>
      <c r="N311">
        <v>2022</v>
      </c>
      <c r="O311" s="320" t="s">
        <v>240</v>
      </c>
      <c r="P311" s="320" t="s">
        <v>240</v>
      </c>
      <c r="Q311" s="63">
        <f t="shared" si="154"/>
        <v>0</v>
      </c>
      <c r="R311" s="63">
        <f t="shared" si="155"/>
        <v>0</v>
      </c>
      <c r="S311" s="63">
        <f t="shared" si="156"/>
        <v>0</v>
      </c>
      <c r="T311" s="63">
        <f t="shared" si="157"/>
        <v>0</v>
      </c>
      <c r="U311" s="172">
        <f t="shared" si="148"/>
        <v>0</v>
      </c>
      <c r="W311">
        <v>2022</v>
      </c>
      <c r="Z311" s="170">
        <v>107.33678223349634</v>
      </c>
      <c r="AA311" s="170">
        <v>296.1041745187207</v>
      </c>
      <c r="AB311" s="170">
        <v>222.66160899617972</v>
      </c>
      <c r="AC311" s="170">
        <v>109.62148946278162</v>
      </c>
      <c r="AD311" s="172">
        <f t="shared" si="149"/>
        <v>154.01573199929956</v>
      </c>
      <c r="AG311">
        <v>2022</v>
      </c>
      <c r="AJ311" s="170">
        <v>107.33678223349634</v>
      </c>
      <c r="AK311" s="170">
        <v>296.1041745187207</v>
      </c>
      <c r="AL311" s="170">
        <v>222.66160899617972</v>
      </c>
      <c r="AM311" s="170"/>
      <c r="AN311" s="172">
        <f t="shared" si="150"/>
        <v>150.52758513497574</v>
      </c>
    </row>
    <row r="312" spans="5:40">
      <c r="E312">
        <v>2023</v>
      </c>
      <c r="F312" s="320" t="s">
        <v>240</v>
      </c>
      <c r="G312" s="320" t="s">
        <v>240</v>
      </c>
      <c r="H312" s="63">
        <f t="shared" si="151"/>
        <v>0</v>
      </c>
      <c r="I312" s="63">
        <f t="shared" si="152"/>
        <v>0</v>
      </c>
      <c r="J312" s="63">
        <f t="shared" si="153"/>
        <v>0</v>
      </c>
      <c r="K312" s="63"/>
      <c r="L312" s="63">
        <f t="shared" si="147"/>
        <v>0</v>
      </c>
      <c r="M312" s="63"/>
      <c r="N312">
        <v>2023</v>
      </c>
      <c r="O312" s="320" t="s">
        <v>240</v>
      </c>
      <c r="P312" s="320" t="s">
        <v>240</v>
      </c>
      <c r="Q312" s="63">
        <f t="shared" si="154"/>
        <v>0</v>
      </c>
      <c r="R312" s="63">
        <f t="shared" si="155"/>
        <v>0</v>
      </c>
      <c r="S312" s="63">
        <f t="shared" si="156"/>
        <v>0</v>
      </c>
      <c r="T312" s="63">
        <f t="shared" si="157"/>
        <v>0</v>
      </c>
      <c r="U312" s="172">
        <f t="shared" si="148"/>
        <v>0</v>
      </c>
      <c r="W312">
        <v>2023</v>
      </c>
      <c r="Z312" s="170">
        <v>111.36611559122326</v>
      </c>
      <c r="AA312" s="170">
        <v>307.21967847667469</v>
      </c>
      <c r="AB312" s="170">
        <v>231.02014024655548</v>
      </c>
      <c r="AC312" s="170">
        <v>113.73658882597323</v>
      </c>
      <c r="AD312" s="172">
        <f t="shared" si="149"/>
        <v>159.83143413289781</v>
      </c>
      <c r="AG312">
        <v>2023</v>
      </c>
      <c r="AJ312" s="170">
        <v>111.36611559122326</v>
      </c>
      <c r="AK312" s="170">
        <v>307.21967847667469</v>
      </c>
      <c r="AL312" s="170">
        <v>231.02014024655548</v>
      </c>
      <c r="AM312" s="170"/>
      <c r="AN312" s="172">
        <f t="shared" si="150"/>
        <v>156.23308243734982</v>
      </c>
    </row>
    <row r="313" spans="5:40">
      <c r="E313">
        <v>2024</v>
      </c>
      <c r="F313" s="320" t="s">
        <v>240</v>
      </c>
      <c r="G313" s="320" t="s">
        <v>240</v>
      </c>
      <c r="H313" s="63">
        <f t="shared" si="151"/>
        <v>0</v>
      </c>
      <c r="I313" s="63">
        <f t="shared" si="152"/>
        <v>0</v>
      </c>
      <c r="J313" s="63">
        <f t="shared" si="153"/>
        <v>0</v>
      </c>
      <c r="K313" s="63"/>
      <c r="L313" s="63">
        <f t="shared" si="147"/>
        <v>0</v>
      </c>
      <c r="M313" s="63"/>
      <c r="N313">
        <v>2024</v>
      </c>
      <c r="O313" s="320" t="s">
        <v>240</v>
      </c>
      <c r="P313" s="320" t="s">
        <v>240</v>
      </c>
      <c r="Q313" s="63">
        <f t="shared" si="154"/>
        <v>0</v>
      </c>
      <c r="R313" s="63">
        <f t="shared" si="155"/>
        <v>0</v>
      </c>
      <c r="S313" s="63">
        <f t="shared" si="156"/>
        <v>0</v>
      </c>
      <c r="T313" s="63">
        <f t="shared" si="157"/>
        <v>0</v>
      </c>
      <c r="U313" s="172">
        <f t="shared" si="148"/>
        <v>0</v>
      </c>
      <c r="W313">
        <v>2024</v>
      </c>
      <c r="Z313" s="170">
        <v>115.54670676542146</v>
      </c>
      <c r="AA313" s="170">
        <v>318.75244919029035</v>
      </c>
      <c r="AB313" s="170">
        <v>239.69244379462765</v>
      </c>
      <c r="AC313" s="170">
        <v>118.00616559000957</v>
      </c>
      <c r="AD313" s="172">
        <f t="shared" si="149"/>
        <v>165.85549218551995</v>
      </c>
      <c r="AG313">
        <v>2024</v>
      </c>
      <c r="AJ313" s="170">
        <v>115.54670676542146</v>
      </c>
      <c r="AK313" s="170">
        <v>318.75244919029035</v>
      </c>
      <c r="AL313" s="170">
        <v>239.69244379462765</v>
      </c>
      <c r="AM313" s="170"/>
      <c r="AN313" s="172">
        <f t="shared" si="150"/>
        <v>162.14261161452905</v>
      </c>
    </row>
    <row r="314" spans="5:40">
      <c r="E314">
        <v>2025</v>
      </c>
      <c r="F314" s="320" t="s">
        <v>240</v>
      </c>
      <c r="G314" s="320" t="s">
        <v>240</v>
      </c>
      <c r="H314" s="63">
        <f t="shared" si="151"/>
        <v>0</v>
      </c>
      <c r="I314" s="63">
        <f t="shared" si="152"/>
        <v>0</v>
      </c>
      <c r="J314" s="63">
        <f t="shared" si="153"/>
        <v>0</v>
      </c>
      <c r="K314" s="63"/>
      <c r="L314" s="63">
        <f t="shared" si="147"/>
        <v>0</v>
      </c>
      <c r="M314" s="63"/>
      <c r="N314">
        <v>2025</v>
      </c>
      <c r="O314" s="320" t="s">
        <v>240</v>
      </c>
      <c r="P314" s="320" t="s">
        <v>240</v>
      </c>
      <c r="Q314" s="63">
        <f t="shared" si="154"/>
        <v>0</v>
      </c>
      <c r="R314" s="63">
        <f t="shared" si="155"/>
        <v>0</v>
      </c>
      <c r="S314" s="63">
        <f t="shared" si="156"/>
        <v>0</v>
      </c>
      <c r="T314" s="63">
        <f t="shared" si="157"/>
        <v>0</v>
      </c>
      <c r="U314" s="172">
        <f t="shared" si="148"/>
        <v>0</v>
      </c>
      <c r="W314">
        <v>2025</v>
      </c>
      <c r="Z314" s="170">
        <v>119.88423384847307</v>
      </c>
      <c r="AA314" s="170">
        <v>330.71815050585286</v>
      </c>
      <c r="AB314" s="170">
        <v>248.69029839097482</v>
      </c>
      <c r="AC314" s="170">
        <v>122.43601870778721</v>
      </c>
      <c r="AD314" s="172">
        <f t="shared" si="149"/>
        <v>172.09554800359012</v>
      </c>
      <c r="AG314">
        <v>2025</v>
      </c>
      <c r="AJ314" s="170">
        <v>119.88423384847307</v>
      </c>
      <c r="AK314" s="170">
        <v>330.71815050585286</v>
      </c>
      <c r="AL314" s="170">
        <v>248.69029839097482</v>
      </c>
      <c r="AM314" s="170"/>
      <c r="AN314" s="172">
        <f t="shared" si="150"/>
        <v>168.2642463037777</v>
      </c>
    </row>
    <row r="315" spans="5:40">
      <c r="E315">
        <v>2026</v>
      </c>
      <c r="F315" s="320" t="s">
        <v>240</v>
      </c>
      <c r="G315" s="320" t="s">
        <v>240</v>
      </c>
      <c r="H315" s="63">
        <f t="shared" si="151"/>
        <v>0</v>
      </c>
      <c r="I315" s="63">
        <f t="shared" si="152"/>
        <v>0</v>
      </c>
      <c r="J315" s="63">
        <f t="shared" si="153"/>
        <v>0</v>
      </c>
      <c r="K315" s="63"/>
      <c r="L315" s="63">
        <f t="shared" si="147"/>
        <v>0</v>
      </c>
      <c r="M315" s="63"/>
      <c r="N315">
        <v>2026</v>
      </c>
      <c r="O315" s="320" t="s">
        <v>240</v>
      </c>
      <c r="P315" s="320" t="s">
        <v>240</v>
      </c>
      <c r="Q315" s="63">
        <f t="shared" si="154"/>
        <v>0</v>
      </c>
      <c r="R315" s="63">
        <f t="shared" si="155"/>
        <v>0</v>
      </c>
      <c r="S315" s="63">
        <f t="shared" si="156"/>
        <v>0</v>
      </c>
      <c r="T315" s="63">
        <f t="shared" si="157"/>
        <v>0</v>
      </c>
      <c r="U315" s="172">
        <f t="shared" si="148"/>
        <v>0</v>
      </c>
      <c r="W315">
        <v>2026</v>
      </c>
      <c r="Z315" s="170">
        <v>124.38458808361655</v>
      </c>
      <c r="AA315" s="170">
        <v>343.13303427738384</v>
      </c>
      <c r="AB315" s="170">
        <v>258.0259249506567</v>
      </c>
      <c r="AC315" s="170">
        <v>127.03216482006195</v>
      </c>
      <c r="AD315" s="172">
        <f t="shared" si="149"/>
        <v>178.55955532730815</v>
      </c>
      <c r="AG315">
        <v>2026</v>
      </c>
      <c r="AJ315" s="170">
        <v>124.38458808361655</v>
      </c>
      <c r="AK315" s="170">
        <v>343.13303427738384</v>
      </c>
      <c r="AL315" s="170">
        <v>258.0259249506567</v>
      </c>
      <c r="AM315" s="170"/>
      <c r="AN315" s="172">
        <f t="shared" si="150"/>
        <v>174.60631187528855</v>
      </c>
    </row>
    <row r="316" spans="5:40">
      <c r="E316">
        <v>2027</v>
      </c>
      <c r="F316" s="320" t="s">
        <v>240</v>
      </c>
      <c r="G316" s="320" t="s">
        <v>240</v>
      </c>
      <c r="H316" s="63">
        <f t="shared" si="151"/>
        <v>0</v>
      </c>
      <c r="I316" s="63">
        <f t="shared" si="152"/>
        <v>0</v>
      </c>
      <c r="J316" s="63">
        <f t="shared" si="153"/>
        <v>0</v>
      </c>
      <c r="K316" s="63"/>
      <c r="L316" s="63">
        <f t="shared" si="147"/>
        <v>0</v>
      </c>
      <c r="M316" s="63"/>
      <c r="N316">
        <v>2027</v>
      </c>
      <c r="O316" s="320" t="s">
        <v>240</v>
      </c>
      <c r="P316" s="320" t="s">
        <v>240</v>
      </c>
      <c r="Q316" s="63">
        <f t="shared" si="154"/>
        <v>0</v>
      </c>
      <c r="R316" s="63">
        <f t="shared" si="155"/>
        <v>0</v>
      </c>
      <c r="S316" s="63">
        <f t="shared" si="156"/>
        <v>0</v>
      </c>
      <c r="T316" s="63">
        <f t="shared" si="157"/>
        <v>0</v>
      </c>
      <c r="U316" s="172">
        <f t="shared" si="148"/>
        <v>0</v>
      </c>
      <c r="W316">
        <v>2027</v>
      </c>
      <c r="Z316" s="170">
        <v>129.05388186645212</v>
      </c>
      <c r="AA316" s="170">
        <v>356.01396243996163</v>
      </c>
      <c r="AB316" s="170">
        <v>267.71200315170023</v>
      </c>
      <c r="AC316" s="170">
        <v>131.80084642726973</v>
      </c>
      <c r="AD316" s="172">
        <f t="shared" si="149"/>
        <v>185.25578925446791</v>
      </c>
      <c r="AG316">
        <v>2027</v>
      </c>
      <c r="AJ316" s="170">
        <v>129.05388186645212</v>
      </c>
      <c r="AK316" s="170">
        <v>356.01396243996163</v>
      </c>
      <c r="AL316" s="170">
        <v>267.71200315170023</v>
      </c>
      <c r="AM316" s="170"/>
      <c r="AN316" s="172">
        <f t="shared" si="150"/>
        <v>181.17740033211362</v>
      </c>
    </row>
    <row r="317" spans="5:40">
      <c r="E317">
        <v>2028</v>
      </c>
      <c r="F317" s="320" t="s">
        <v>240</v>
      </c>
      <c r="G317" s="320" t="s">
        <v>240</v>
      </c>
      <c r="H317" s="63">
        <f t="shared" si="151"/>
        <v>0</v>
      </c>
      <c r="I317" s="63">
        <f t="shared" si="152"/>
        <v>0</v>
      </c>
      <c r="J317" s="63">
        <f t="shared" si="153"/>
        <v>0</v>
      </c>
      <c r="K317" s="63"/>
      <c r="L317" s="63">
        <f t="shared" si="147"/>
        <v>0</v>
      </c>
      <c r="M317" s="63"/>
      <c r="N317">
        <v>2028</v>
      </c>
      <c r="O317" s="320" t="s">
        <v>240</v>
      </c>
      <c r="P317" s="320" t="s">
        <v>240</v>
      </c>
      <c r="Q317" s="63">
        <f t="shared" si="154"/>
        <v>0</v>
      </c>
      <c r="R317" s="63">
        <f t="shared" si="155"/>
        <v>0</v>
      </c>
      <c r="S317" s="63">
        <f t="shared" si="156"/>
        <v>0</v>
      </c>
      <c r="T317" s="63">
        <f t="shared" si="157"/>
        <v>0</v>
      </c>
      <c r="U317" s="172">
        <f t="shared" si="148"/>
        <v>0</v>
      </c>
      <c r="W317">
        <v>2028</v>
      </c>
      <c r="Z317" s="170">
        <v>133.89845704681719</v>
      </c>
      <c r="AA317" s="170">
        <v>369.37842991165576</v>
      </c>
      <c r="AB317" s="170">
        <v>277.7616886566791</v>
      </c>
      <c r="AC317" s="170">
        <v>136.74854036811075</v>
      </c>
      <c r="AD317" s="172">
        <f t="shared" si="149"/>
        <v>192.19285592111999</v>
      </c>
      <c r="AG317">
        <v>2028</v>
      </c>
      <c r="AJ317" s="170">
        <v>133.89845704681719</v>
      </c>
      <c r="AK317" s="170">
        <v>369.37842991165576</v>
      </c>
      <c r="AL317" s="170">
        <v>277.7616886566791</v>
      </c>
      <c r="AM317" s="170"/>
      <c r="AN317" s="172">
        <f t="shared" si="150"/>
        <v>187.98638502810823</v>
      </c>
    </row>
    <row r="318" spans="5:40">
      <c r="E318">
        <v>2029</v>
      </c>
      <c r="F318" s="320" t="s">
        <v>240</v>
      </c>
      <c r="G318" s="320" t="s">
        <v>240</v>
      </c>
      <c r="H318" s="63">
        <f t="shared" si="151"/>
        <v>0</v>
      </c>
      <c r="I318" s="63">
        <f t="shared" si="152"/>
        <v>0</v>
      </c>
      <c r="J318" s="63">
        <f t="shared" si="153"/>
        <v>0</v>
      </c>
      <c r="K318" s="63"/>
      <c r="L318" s="63">
        <f t="shared" si="147"/>
        <v>0</v>
      </c>
      <c r="M318" s="63"/>
      <c r="N318">
        <v>2029</v>
      </c>
      <c r="O318" s="320" t="s">
        <v>240</v>
      </c>
      <c r="P318" s="320" t="s">
        <v>240</v>
      </c>
      <c r="Q318" s="63">
        <f t="shared" si="154"/>
        <v>0</v>
      </c>
      <c r="R318" s="63">
        <f t="shared" si="155"/>
        <v>0</v>
      </c>
      <c r="S318" s="63">
        <f t="shared" si="156"/>
        <v>0</v>
      </c>
      <c r="T318" s="63">
        <f t="shared" si="157"/>
        <v>0</v>
      </c>
      <c r="U318" s="172">
        <f t="shared" si="148"/>
        <v>0</v>
      </c>
      <c r="W318">
        <v>2029</v>
      </c>
      <c r="Z318" s="170">
        <v>138.92489354230716</v>
      </c>
      <c r="AA318" s="170">
        <v>383.24458835518107</v>
      </c>
      <c r="AB318" s="170">
        <v>288.18863098077696</v>
      </c>
      <c r="AC318" s="170">
        <v>141.88196661641265</v>
      </c>
      <c r="AD318" s="172">
        <f t="shared" si="149"/>
        <v>199.37970246742233</v>
      </c>
      <c r="AG318">
        <v>2029</v>
      </c>
      <c r="AJ318" s="170">
        <v>138.92489354230716</v>
      </c>
      <c r="AK318" s="170">
        <v>383.24458835518107</v>
      </c>
      <c r="AL318" s="170">
        <v>288.18863098077696</v>
      </c>
      <c r="AM318" s="170"/>
      <c r="AN318" s="172">
        <f t="shared" si="150"/>
        <v>195.04243530774011</v>
      </c>
    </row>
    <row r="319" spans="5:40">
      <c r="E319">
        <v>2030</v>
      </c>
      <c r="F319" s="320" t="s">
        <v>240</v>
      </c>
      <c r="G319" s="320" t="s">
        <v>240</v>
      </c>
      <c r="H319" s="63">
        <f t="shared" si="151"/>
        <v>0</v>
      </c>
      <c r="I319" s="63">
        <f t="shared" si="152"/>
        <v>0</v>
      </c>
      <c r="J319" s="63">
        <f t="shared" si="153"/>
        <v>0</v>
      </c>
      <c r="K319" s="63"/>
      <c r="L319" s="63">
        <f t="shared" si="147"/>
        <v>0</v>
      </c>
      <c r="M319" s="63"/>
      <c r="N319">
        <v>2030</v>
      </c>
      <c r="O319" s="320" t="s">
        <v>240</v>
      </c>
      <c r="P319" s="320" t="s">
        <v>240</v>
      </c>
      <c r="Q319" s="63">
        <f t="shared" si="154"/>
        <v>0</v>
      </c>
      <c r="R319" s="63">
        <f t="shared" si="155"/>
        <v>0</v>
      </c>
      <c r="S319" s="63">
        <f t="shared" si="156"/>
        <v>0</v>
      </c>
      <c r="T319" s="63">
        <f t="shared" si="157"/>
        <v>0</v>
      </c>
      <c r="U319" s="172">
        <f t="shared" si="148"/>
        <v>0</v>
      </c>
      <c r="W319">
        <v>2030</v>
      </c>
      <c r="Z319" s="170">
        <v>144.14001827514076</v>
      </c>
      <c r="AA319" s="170">
        <v>397.63127083154427</v>
      </c>
      <c r="AB319" s="170">
        <v>299.00699203060287</v>
      </c>
      <c r="AC319" s="170">
        <v>147.2080974082206</v>
      </c>
      <c r="AD319" s="172">
        <f t="shared" si="149"/>
        <v>206.82562735311097</v>
      </c>
      <c r="AG319">
        <v>2030</v>
      </c>
      <c r="AJ319" s="170">
        <v>144.14001827514076</v>
      </c>
      <c r="AK319" s="170">
        <v>397.63127083154427</v>
      </c>
      <c r="AL319" s="170">
        <v>299.00699203060287</v>
      </c>
      <c r="AM319" s="170"/>
      <c r="AN319" s="172">
        <f t="shared" si="150"/>
        <v>202.35503115710472</v>
      </c>
    </row>
    <row r="320" spans="5:40">
      <c r="E320">
        <v>2040</v>
      </c>
      <c r="F320" s="320" t="s">
        <v>240</v>
      </c>
      <c r="G320" s="320" t="s">
        <v>240</v>
      </c>
      <c r="H320" s="63">
        <f t="shared" ref="H320:J326" si="158">H319*(1+$C$6)^10</f>
        <v>0</v>
      </c>
      <c r="I320" s="63">
        <f t="shared" si="158"/>
        <v>0</v>
      </c>
      <c r="J320" s="63">
        <f t="shared" si="158"/>
        <v>0</v>
      </c>
      <c r="K320" s="63"/>
      <c r="L320" s="63">
        <f t="shared" si="147"/>
        <v>0</v>
      </c>
      <c r="M320" s="63"/>
      <c r="N320">
        <v>2040</v>
      </c>
      <c r="O320" s="320" t="s">
        <v>240</v>
      </c>
      <c r="P320" s="320" t="s">
        <v>240</v>
      </c>
      <c r="Q320" s="63">
        <f t="shared" ref="Q320:T326" si="159">Q319*(1+$C$6)^10</f>
        <v>0</v>
      </c>
      <c r="R320" s="63">
        <f t="shared" si="159"/>
        <v>0</v>
      </c>
      <c r="S320" s="63">
        <f t="shared" si="159"/>
        <v>0</v>
      </c>
      <c r="T320" s="63">
        <f t="shared" si="159"/>
        <v>0</v>
      </c>
      <c r="U320" s="172">
        <f t="shared" si="148"/>
        <v>0</v>
      </c>
      <c r="W320">
        <v>2040</v>
      </c>
      <c r="Z320" s="170">
        <v>208.36730471885625</v>
      </c>
      <c r="AA320" s="170">
        <v>574.81161142180747</v>
      </c>
      <c r="AB320" s="170">
        <v>432.24138422531644</v>
      </c>
      <c r="AC320" s="170">
        <v>212.80248786420393</v>
      </c>
      <c r="AD320" s="172">
        <f t="shared" si="149"/>
        <v>298.3106218123595</v>
      </c>
      <c r="AG320">
        <v>2040</v>
      </c>
      <c r="AJ320" s="170">
        <v>208.36730471885625</v>
      </c>
      <c r="AK320" s="170">
        <v>574.81161142180747</v>
      </c>
      <c r="AL320" s="170">
        <v>432.24138422531644</v>
      </c>
      <c r="AM320" s="170"/>
      <c r="AN320" s="172">
        <f t="shared" si="150"/>
        <v>292.28634205830377</v>
      </c>
    </row>
    <row r="321" spans="5:40">
      <c r="E321">
        <v>2050</v>
      </c>
      <c r="F321" s="320" t="s">
        <v>240</v>
      </c>
      <c r="G321" s="320" t="s">
        <v>240</v>
      </c>
      <c r="H321" s="63">
        <f t="shared" si="158"/>
        <v>0</v>
      </c>
      <c r="I321" s="63">
        <f t="shared" si="158"/>
        <v>0</v>
      </c>
      <c r="J321" s="63">
        <f t="shared" si="158"/>
        <v>0</v>
      </c>
      <c r="K321" s="63"/>
      <c r="L321" s="63">
        <f t="shared" si="147"/>
        <v>0</v>
      </c>
      <c r="M321" s="63"/>
      <c r="N321">
        <v>2050</v>
      </c>
      <c r="O321" s="320" t="s">
        <v>240</v>
      </c>
      <c r="P321" s="320" t="s">
        <v>240</v>
      </c>
      <c r="Q321" s="63">
        <f t="shared" si="159"/>
        <v>0</v>
      </c>
      <c r="R321" s="63">
        <f t="shared" si="159"/>
        <v>0</v>
      </c>
      <c r="S321" s="63">
        <f t="shared" si="159"/>
        <v>0</v>
      </c>
      <c r="T321" s="63">
        <f t="shared" si="159"/>
        <v>0</v>
      </c>
      <c r="U321" s="172">
        <f t="shared" si="148"/>
        <v>0</v>
      </c>
      <c r="W321">
        <v>2050</v>
      </c>
      <c r="Z321" s="170">
        <v>301.21359907783938</v>
      </c>
      <c r="AA321" s="170">
        <v>830.94166093720492</v>
      </c>
      <c r="AB321" s="170">
        <v>624.84362980346498</v>
      </c>
      <c r="AC321" s="170">
        <v>307.62505350242913</v>
      </c>
      <c r="AD321" s="172">
        <f t="shared" si="149"/>
        <v>429.03864335156749</v>
      </c>
      <c r="AG321">
        <v>2050</v>
      </c>
      <c r="AJ321" s="170">
        <v>301.21359907783938</v>
      </c>
      <c r="AK321" s="170">
        <v>830.94166093720492</v>
      </c>
      <c r="AL321" s="170">
        <v>624.84362980346498</v>
      </c>
      <c r="AM321" s="170"/>
      <c r="AN321" s="172">
        <f t="shared" si="150"/>
        <v>422.52608282987933</v>
      </c>
    </row>
    <row r="322" spans="5:40">
      <c r="E322">
        <v>2060</v>
      </c>
      <c r="F322" s="320" t="s">
        <v>240</v>
      </c>
      <c r="G322" s="320" t="s">
        <v>240</v>
      </c>
      <c r="H322" s="63">
        <f t="shared" si="158"/>
        <v>0</v>
      </c>
      <c r="I322" s="63">
        <f t="shared" si="158"/>
        <v>0</v>
      </c>
      <c r="J322" s="63">
        <f t="shared" si="158"/>
        <v>0</v>
      </c>
      <c r="K322" s="63"/>
      <c r="L322" s="63">
        <f t="shared" si="147"/>
        <v>0</v>
      </c>
      <c r="M322" s="63"/>
      <c r="N322">
        <v>2060</v>
      </c>
      <c r="O322" s="320" t="s">
        <v>240</v>
      </c>
      <c r="P322" s="320" t="s">
        <v>240</v>
      </c>
      <c r="Q322" s="63">
        <f t="shared" si="159"/>
        <v>0</v>
      </c>
      <c r="R322" s="63">
        <f t="shared" si="159"/>
        <v>0</v>
      </c>
      <c r="S322" s="63">
        <f t="shared" si="159"/>
        <v>0</v>
      </c>
      <c r="T322" s="63">
        <f t="shared" si="159"/>
        <v>0</v>
      </c>
      <c r="U322" s="172">
        <f t="shared" si="148"/>
        <v>0</v>
      </c>
      <c r="W322">
        <v>2060</v>
      </c>
      <c r="Z322" s="170">
        <v>435.4312323223844</v>
      </c>
      <c r="AA322" s="170">
        <v>1201.2005849589657</v>
      </c>
      <c r="AB322" s="170">
        <v>903.26742407073311</v>
      </c>
      <c r="AC322" s="170">
        <v>444.69956386393767</v>
      </c>
      <c r="AD322" s="172">
        <f t="shared" si="149"/>
        <v>620.21378105249471</v>
      </c>
      <c r="AG322">
        <v>2060</v>
      </c>
      <c r="AJ322" s="170">
        <v>435.4312323223844</v>
      </c>
      <c r="AK322" s="170">
        <v>1201.2005849589657</v>
      </c>
      <c r="AL322" s="170">
        <v>903.26742407073311</v>
      </c>
      <c r="AM322" s="170"/>
      <c r="AN322" s="172">
        <f t="shared" si="150"/>
        <v>610.79929159313951</v>
      </c>
    </row>
    <row r="323" spans="5:40">
      <c r="E323">
        <v>2070</v>
      </c>
      <c r="F323" s="320" t="s">
        <v>240</v>
      </c>
      <c r="G323" s="320" t="s">
        <v>240</v>
      </c>
      <c r="H323" s="63">
        <f t="shared" si="158"/>
        <v>0</v>
      </c>
      <c r="I323" s="63">
        <f t="shared" si="158"/>
        <v>0</v>
      </c>
      <c r="J323" s="63">
        <f t="shared" si="158"/>
        <v>0</v>
      </c>
      <c r="K323" s="63"/>
      <c r="L323" s="63">
        <f t="shared" si="147"/>
        <v>0</v>
      </c>
      <c r="M323" s="63"/>
      <c r="N323">
        <v>2070</v>
      </c>
      <c r="O323" s="320" t="s">
        <v>240</v>
      </c>
      <c r="P323" s="320" t="s">
        <v>240</v>
      </c>
      <c r="Q323" s="63">
        <f t="shared" si="159"/>
        <v>0</v>
      </c>
      <c r="R323" s="63">
        <f t="shared" si="159"/>
        <v>0</v>
      </c>
      <c r="S323" s="63">
        <f t="shared" si="159"/>
        <v>0</v>
      </c>
      <c r="T323" s="63">
        <f t="shared" si="159"/>
        <v>0</v>
      </c>
      <c r="U323" s="172">
        <f t="shared" si="148"/>
        <v>0</v>
      </c>
      <c r="W323">
        <v>2070</v>
      </c>
      <c r="Z323" s="170">
        <v>629.45484089114427</v>
      </c>
      <c r="AA323" s="170">
        <v>1736.4430177665645</v>
      </c>
      <c r="AB323" s="170">
        <v>1305.7539526233211</v>
      </c>
      <c r="AC323" s="170">
        <v>642.85304414978282</v>
      </c>
      <c r="AD323" s="172">
        <f t="shared" si="149"/>
        <v>896.57456308015003</v>
      </c>
      <c r="AG323">
        <v>2070</v>
      </c>
      <c r="AJ323" s="170">
        <v>629.45484089114427</v>
      </c>
      <c r="AK323" s="170">
        <v>1736.4430177665645</v>
      </c>
      <c r="AL323" s="170">
        <v>1305.7539526233211</v>
      </c>
      <c r="AM323" s="170"/>
      <c r="AN323" s="172">
        <f t="shared" si="150"/>
        <v>882.96507546231567</v>
      </c>
    </row>
    <row r="324" spans="5:40">
      <c r="E324">
        <v>2080</v>
      </c>
      <c r="F324" s="320" t="s">
        <v>240</v>
      </c>
      <c r="G324" s="320" t="s">
        <v>240</v>
      </c>
      <c r="H324" s="63">
        <f t="shared" si="158"/>
        <v>0</v>
      </c>
      <c r="I324" s="63">
        <f t="shared" si="158"/>
        <v>0</v>
      </c>
      <c r="J324" s="63">
        <f t="shared" si="158"/>
        <v>0</v>
      </c>
      <c r="K324" s="63"/>
      <c r="L324" s="63">
        <f t="shared" si="147"/>
        <v>0</v>
      </c>
      <c r="M324" s="63"/>
      <c r="N324">
        <v>2080</v>
      </c>
      <c r="O324" s="320" t="s">
        <v>240</v>
      </c>
      <c r="P324" s="320" t="s">
        <v>240</v>
      </c>
      <c r="Q324" s="63">
        <f t="shared" si="159"/>
        <v>0</v>
      </c>
      <c r="R324" s="63">
        <f t="shared" si="159"/>
        <v>0</v>
      </c>
      <c r="S324" s="63">
        <f t="shared" si="159"/>
        <v>0</v>
      </c>
      <c r="T324" s="63">
        <f t="shared" si="159"/>
        <v>0</v>
      </c>
      <c r="U324" s="172">
        <f t="shared" si="148"/>
        <v>0</v>
      </c>
      <c r="W324">
        <v>2080</v>
      </c>
      <c r="Z324" s="170">
        <v>909.9333426499536</v>
      </c>
      <c r="AA324" s="170">
        <v>2510.1838874422933</v>
      </c>
      <c r="AB324" s="170">
        <v>1887.5842738882075</v>
      </c>
      <c r="AC324" s="170">
        <v>929.30164532179663</v>
      </c>
      <c r="AD324" s="172">
        <f t="shared" si="149"/>
        <v>1296.0788226895663</v>
      </c>
      <c r="AG324">
        <v>2080</v>
      </c>
      <c r="AJ324" s="170">
        <v>909.9333426499536</v>
      </c>
      <c r="AK324" s="170">
        <v>2510.1838874422933</v>
      </c>
      <c r="AL324" s="170">
        <v>1887.5842738882075</v>
      </c>
      <c r="AM324" s="170"/>
      <c r="AN324" s="172">
        <f t="shared" si="150"/>
        <v>1276.4050895551652</v>
      </c>
    </row>
    <row r="325" spans="5:40">
      <c r="E325">
        <v>2090</v>
      </c>
      <c r="F325" s="320" t="s">
        <v>240</v>
      </c>
      <c r="G325" s="320" t="s">
        <v>240</v>
      </c>
      <c r="H325" s="63">
        <f t="shared" si="158"/>
        <v>0</v>
      </c>
      <c r="I325" s="63">
        <f t="shared" si="158"/>
        <v>0</v>
      </c>
      <c r="J325" s="63">
        <f t="shared" si="158"/>
        <v>0</v>
      </c>
      <c r="K325" s="63"/>
      <c r="L325" s="63">
        <f t="shared" si="147"/>
        <v>0</v>
      </c>
      <c r="M325" s="63"/>
      <c r="N325">
        <v>2090</v>
      </c>
      <c r="O325" s="320" t="s">
        <v>240</v>
      </c>
      <c r="P325" s="320" t="s">
        <v>240</v>
      </c>
      <c r="Q325" s="63">
        <f t="shared" si="159"/>
        <v>0</v>
      </c>
      <c r="R325" s="63">
        <f t="shared" si="159"/>
        <v>0</v>
      </c>
      <c r="S325" s="63">
        <f t="shared" si="159"/>
        <v>0</v>
      </c>
      <c r="T325" s="63">
        <f t="shared" si="159"/>
        <v>0</v>
      </c>
      <c r="U325" s="172">
        <f t="shared" si="148"/>
        <v>0</v>
      </c>
      <c r="W325">
        <v>2090</v>
      </c>
      <c r="Z325" s="170">
        <v>1315.3901348886529</v>
      </c>
      <c r="AA325" s="170">
        <v>3628.6956060783159</v>
      </c>
      <c r="AB325" s="170">
        <v>2728.6721084564883</v>
      </c>
      <c r="AC325" s="170">
        <v>1343.388750908025</v>
      </c>
      <c r="AD325" s="172">
        <f t="shared" si="149"/>
        <v>1873.598007123255</v>
      </c>
      <c r="AG325">
        <v>2090</v>
      </c>
      <c r="AJ325" s="170">
        <v>1315.3901348886529</v>
      </c>
      <c r="AK325" s="170">
        <v>3628.6956060783159</v>
      </c>
      <c r="AL325" s="170">
        <v>2728.6721084564883</v>
      </c>
      <c r="AM325" s="170"/>
      <c r="AN325" s="172">
        <f t="shared" si="150"/>
        <v>1845.1578640177634</v>
      </c>
    </row>
    <row r="326" spans="5:40">
      <c r="E326">
        <v>2100</v>
      </c>
      <c r="F326" s="320" t="s">
        <v>240</v>
      </c>
      <c r="G326" s="320" t="s">
        <v>240</v>
      </c>
      <c r="H326" s="63">
        <f t="shared" si="158"/>
        <v>0</v>
      </c>
      <c r="I326" s="63">
        <f t="shared" si="158"/>
        <v>0</v>
      </c>
      <c r="J326" s="63">
        <f t="shared" si="158"/>
        <v>0</v>
      </c>
      <c r="K326" s="63"/>
      <c r="L326" s="63">
        <f t="shared" si="147"/>
        <v>0</v>
      </c>
      <c r="M326" s="63"/>
      <c r="N326">
        <v>2100</v>
      </c>
      <c r="O326" s="320" t="s">
        <v>240</v>
      </c>
      <c r="P326" s="320" t="s">
        <v>240</v>
      </c>
      <c r="Q326" s="63">
        <f t="shared" si="159"/>
        <v>0</v>
      </c>
      <c r="R326" s="63">
        <f t="shared" si="159"/>
        <v>0</v>
      </c>
      <c r="S326" s="63">
        <f t="shared" si="159"/>
        <v>0</v>
      </c>
      <c r="T326" s="63">
        <f t="shared" si="159"/>
        <v>0</v>
      </c>
      <c r="U326" s="172">
        <f t="shared" si="148"/>
        <v>0</v>
      </c>
      <c r="W326">
        <v>2100</v>
      </c>
      <c r="Z326" s="170">
        <v>1901.5142383105383</v>
      </c>
      <c r="AA326" s="170">
        <v>5245.6044624638216</v>
      </c>
      <c r="AB326" s="170">
        <v>3944.5398960286889</v>
      </c>
      <c r="AC326" s="170">
        <v>1941.9887451520635</v>
      </c>
      <c r="AD326" s="172">
        <f t="shared" si="149"/>
        <v>2708.4537073228826</v>
      </c>
      <c r="AG326">
        <v>2100</v>
      </c>
      <c r="AJ326" s="170">
        <v>1901.5142383105383</v>
      </c>
      <c r="AK326" s="170">
        <v>5245.6044624638216</v>
      </c>
      <c r="AL326" s="170">
        <v>3944.5398960286889</v>
      </c>
      <c r="AM326" s="170"/>
      <c r="AN326" s="172">
        <f t="shared" si="150"/>
        <v>2667.3409335378947</v>
      </c>
    </row>
    <row r="327" spans="5:40">
      <c r="F327" s="581" t="s">
        <v>296</v>
      </c>
      <c r="G327" s="581"/>
      <c r="H327" s="581"/>
      <c r="I327" s="581"/>
      <c r="J327" s="581"/>
      <c r="K327" s="581"/>
      <c r="O327" s="581" t="s">
        <v>297</v>
      </c>
      <c r="P327" s="581"/>
      <c r="Q327" s="581"/>
      <c r="R327" s="581"/>
      <c r="S327" s="581"/>
      <c r="T327" s="581"/>
      <c r="X327" s="581" t="s">
        <v>297</v>
      </c>
      <c r="Y327" s="581"/>
      <c r="Z327" s="581"/>
      <c r="AA327" s="581"/>
      <c r="AB327" s="581"/>
      <c r="AC327" s="581"/>
      <c r="AD327" s="172"/>
      <c r="AH327" s="581" t="s">
        <v>297</v>
      </c>
      <c r="AI327" s="581"/>
      <c r="AJ327" s="581"/>
      <c r="AK327" s="581"/>
      <c r="AL327" s="581"/>
      <c r="AM327" s="581"/>
    </row>
    <row r="328" spans="5:40">
      <c r="E328">
        <v>2020</v>
      </c>
      <c r="F328" s="320" t="s">
        <v>240</v>
      </c>
      <c r="G328" s="320" t="s">
        <v>240</v>
      </c>
      <c r="H328" s="179">
        <f>'Demographic-Economic'!E30*$C$5</f>
        <v>7191.6</v>
      </c>
      <c r="I328" s="179">
        <f>'Demographic-Economic'!F30*$C$5</f>
        <v>4861.5</v>
      </c>
      <c r="J328" s="179">
        <f>'Demographic-Economic'!G30*$C$5</f>
        <v>6151.8</v>
      </c>
      <c r="K328" s="179"/>
      <c r="L328" s="330">
        <f t="shared" ref="L328:L345" si="160">SUMPRODUCT(H328:K328, H24:K24)/SUM(H24:K24)</f>
        <v>6403.417592343013</v>
      </c>
      <c r="M328" s="330"/>
      <c r="N328">
        <v>2020</v>
      </c>
      <c r="O328" s="320" t="s">
        <v>240</v>
      </c>
      <c r="P328" s="320" t="s">
        <v>240</v>
      </c>
      <c r="Q328" s="179">
        <f>'Demographic-Economic'!E30*$C$5</f>
        <v>7191.6</v>
      </c>
      <c r="R328" s="179">
        <f>'Demographic-Economic'!F30*$C$5</f>
        <v>4861.5</v>
      </c>
      <c r="S328" s="179">
        <f>'Demographic-Economic'!G30*$C$5</f>
        <v>6151.8</v>
      </c>
      <c r="T328" s="179">
        <f>'Demographic-Economic'!H30*$C$5</f>
        <v>6934</v>
      </c>
      <c r="U328" s="172">
        <f t="shared" ref="U328:U345" si="161">SUMPRODUCT(Q328:T328, Q24:T24)/SUM(Q24:T24)</f>
        <v>6701.3111210934276</v>
      </c>
      <c r="W328">
        <v>2020</v>
      </c>
      <c r="Z328" s="170">
        <v>17979</v>
      </c>
      <c r="AA328" s="170">
        <v>12153.75</v>
      </c>
      <c r="AB328" s="170">
        <v>15379.5</v>
      </c>
      <c r="AC328" s="170">
        <v>17335</v>
      </c>
      <c r="AD328" s="172">
        <f t="shared" ref="AD328:AD345" si="162">SUMPRODUCT(Z328:AC328, Z24:AC24)/SUM(Z24:AC24)</f>
        <v>16753.277802733573</v>
      </c>
      <c r="AG328">
        <v>2020</v>
      </c>
      <c r="AH328" t="s">
        <v>240</v>
      </c>
      <c r="AI328" t="s">
        <v>240</v>
      </c>
      <c r="AJ328" s="170">
        <v>17979</v>
      </c>
      <c r="AK328" s="170">
        <v>12153.75</v>
      </c>
      <c r="AL328" s="170">
        <v>15379.5</v>
      </c>
      <c r="AM328" s="170"/>
      <c r="AN328" s="172">
        <f t="shared" ref="AN328:AN345" si="163">SUMPRODUCT(AJ328:AM328, AJ24:AM24)/SUM(AJ24:AM24)</f>
        <v>16008.543980857536</v>
      </c>
    </row>
    <row r="329" spans="5:40">
      <c r="E329">
        <v>2021</v>
      </c>
      <c r="F329" s="320" t="s">
        <v>240</v>
      </c>
      <c r="G329" s="320" t="s">
        <v>240</v>
      </c>
      <c r="H329" s="179">
        <f t="shared" ref="H329:H338" si="164">H328*(1+$C$6)</f>
        <v>7461.5666710000005</v>
      </c>
      <c r="I329" s="179">
        <f t="shared" ref="I329:I338" si="165">I328*(1+$C$6)</f>
        <v>5043.9966587500003</v>
      </c>
      <c r="J329" s="179">
        <f t="shared" ref="J329:J338" si="166">J328*(1+$C$6)</f>
        <v>6382.7334455</v>
      </c>
      <c r="K329" s="179"/>
      <c r="L329" s="330">
        <f t="shared" si="160"/>
        <v>6644.1089214607373</v>
      </c>
      <c r="M329" s="330"/>
      <c r="N329">
        <v>2021</v>
      </c>
      <c r="O329" s="320" t="s">
        <v>240</v>
      </c>
      <c r="P329" s="320" t="s">
        <v>240</v>
      </c>
      <c r="Q329" s="179">
        <f t="shared" ref="Q329:Q338" si="167">Q328*(1+$C$6)</f>
        <v>7461.5666710000005</v>
      </c>
      <c r="R329" s="179">
        <f t="shared" ref="R329:R338" si="168">R328*(1+$C$6)</f>
        <v>5043.9966587500003</v>
      </c>
      <c r="S329" s="179">
        <f t="shared" ref="S329:S338" si="169">S328*(1+$C$6)</f>
        <v>6382.7334455</v>
      </c>
      <c r="T329" s="179">
        <f t="shared" ref="T329:T338" si="170">T328*(1+$C$6)</f>
        <v>7194.2965816666665</v>
      </c>
      <c r="U329" s="172">
        <f t="shared" si="161"/>
        <v>6952.158337442499</v>
      </c>
      <c r="W329">
        <v>2021</v>
      </c>
      <c r="Z329" s="170">
        <v>18653.916677500001</v>
      </c>
      <c r="AA329" s="170">
        <v>12609.991646875</v>
      </c>
      <c r="AB329" s="170">
        <v>15956.833613750001</v>
      </c>
      <c r="AC329" s="170">
        <v>17985.741454166666</v>
      </c>
      <c r="AD329" s="172">
        <f t="shared" si="162"/>
        <v>17380.395843606242</v>
      </c>
      <c r="AG329">
        <v>2021</v>
      </c>
      <c r="AH329" t="s">
        <v>240</v>
      </c>
      <c r="AI329" t="s">
        <v>240</v>
      </c>
      <c r="AJ329" s="170">
        <v>18653.916677500001</v>
      </c>
      <c r="AK329" s="170">
        <v>12609.991646875</v>
      </c>
      <c r="AL329" s="170">
        <v>15956.833613750001</v>
      </c>
      <c r="AM329" s="170"/>
      <c r="AN329" s="172">
        <f t="shared" si="163"/>
        <v>16610.27230365184</v>
      </c>
    </row>
    <row r="330" spans="5:40">
      <c r="E330">
        <v>2022</v>
      </c>
      <c r="F330" s="320" t="s">
        <v>240</v>
      </c>
      <c r="G330" s="320" t="s">
        <v>240</v>
      </c>
      <c r="H330" s="179">
        <f t="shared" si="164"/>
        <v>7741.667665857115</v>
      </c>
      <c r="I330" s="179">
        <f t="shared" si="165"/>
        <v>5233.3440899889265</v>
      </c>
      <c r="J330" s="179">
        <f t="shared" si="166"/>
        <v>6622.3359400995323</v>
      </c>
      <c r="K330" s="179"/>
      <c r="L330" s="330">
        <f t="shared" si="160"/>
        <v>6894.0153819496472</v>
      </c>
      <c r="M330" s="330"/>
      <c r="N330">
        <v>2022</v>
      </c>
      <c r="O330" s="320" t="s">
        <v>240</v>
      </c>
      <c r="P330" s="320" t="s">
        <v>240</v>
      </c>
      <c r="Q330" s="179">
        <f t="shared" si="167"/>
        <v>7741.667665857115</v>
      </c>
      <c r="R330" s="179">
        <f t="shared" si="168"/>
        <v>5233.3440899889265</v>
      </c>
      <c r="S330" s="179">
        <f t="shared" si="169"/>
        <v>6622.3359400995323</v>
      </c>
      <c r="T330" s="179">
        <f t="shared" si="170"/>
        <v>7464.3644800952816</v>
      </c>
      <c r="U330" s="172">
        <f t="shared" si="161"/>
        <v>7212.5473675034982</v>
      </c>
      <c r="W330">
        <v>2022</v>
      </c>
      <c r="Z330" s="170">
        <v>19354.169164642786</v>
      </c>
      <c r="AA330" s="170">
        <v>13083.360224972315</v>
      </c>
      <c r="AB330" s="170">
        <v>16555.839850248831</v>
      </c>
      <c r="AC330" s="170">
        <v>18660.911200238203</v>
      </c>
      <c r="AD330" s="172">
        <f t="shared" si="162"/>
        <v>18031.343991230078</v>
      </c>
      <c r="AG330">
        <v>2022</v>
      </c>
      <c r="AH330" t="s">
        <v>240</v>
      </c>
      <c r="AI330" t="s">
        <v>240</v>
      </c>
      <c r="AJ330" s="170">
        <v>19354.169164642786</v>
      </c>
      <c r="AK330" s="170">
        <v>13083.360224972315</v>
      </c>
      <c r="AL330" s="170">
        <v>16555.839850248831</v>
      </c>
      <c r="AM330" s="170"/>
      <c r="AN330" s="172">
        <f t="shared" si="163"/>
        <v>17235.0346464924</v>
      </c>
    </row>
    <row r="331" spans="5:40">
      <c r="E331">
        <v>2023</v>
      </c>
      <c r="F331" s="320" t="s">
        <v>240</v>
      </c>
      <c r="G331" s="320" t="s">
        <v>240</v>
      </c>
      <c r="H331" s="179">
        <f t="shared" si="164"/>
        <v>8032.2834186436694</v>
      </c>
      <c r="I331" s="179">
        <f t="shared" si="165"/>
        <v>5429.7994660070362</v>
      </c>
      <c r="J331" s="179">
        <f t="shared" si="166"/>
        <v>6870.9329126775856</v>
      </c>
      <c r="K331" s="179"/>
      <c r="L331" s="330">
        <f t="shared" si="160"/>
        <v>7153.4766035037464</v>
      </c>
      <c r="M331" s="330"/>
      <c r="N331">
        <v>2023</v>
      </c>
      <c r="O331" s="320" t="s">
        <v>240</v>
      </c>
      <c r="P331" s="320" t="s">
        <v>240</v>
      </c>
      <c r="Q331" s="179">
        <f t="shared" si="167"/>
        <v>8032.2834186436694</v>
      </c>
      <c r="R331" s="179">
        <f t="shared" si="168"/>
        <v>5429.7994660070362</v>
      </c>
      <c r="S331" s="179">
        <f t="shared" si="169"/>
        <v>6870.9329126775856</v>
      </c>
      <c r="T331" s="179">
        <f t="shared" si="170"/>
        <v>7744.5705023743249</v>
      </c>
      <c r="U331" s="172">
        <f t="shared" si="161"/>
        <v>7482.8347006574149</v>
      </c>
      <c r="W331">
        <v>2023</v>
      </c>
      <c r="Z331" s="170">
        <v>20080.708546609174</v>
      </c>
      <c r="AA331" s="170">
        <v>13574.498665017589</v>
      </c>
      <c r="AB331" s="170">
        <v>17177.332281693965</v>
      </c>
      <c r="AC331" s="170">
        <v>19361.42625593581</v>
      </c>
      <c r="AD331" s="172">
        <f t="shared" si="162"/>
        <v>18707.023945619188</v>
      </c>
      <c r="AG331">
        <v>2023</v>
      </c>
      <c r="AH331" t="s">
        <v>240</v>
      </c>
      <c r="AI331" t="s">
        <v>240</v>
      </c>
      <c r="AJ331" s="170">
        <v>20080.708546609174</v>
      </c>
      <c r="AK331" s="170">
        <v>13574.498665017589</v>
      </c>
      <c r="AL331" s="170">
        <v>17177.332281693965</v>
      </c>
      <c r="AM331" s="170"/>
      <c r="AN331" s="172">
        <f t="shared" si="163"/>
        <v>17883.681943681113</v>
      </c>
    </row>
    <row r="332" spans="5:40">
      <c r="E332">
        <v>2024</v>
      </c>
      <c r="F332" s="320" t="s">
        <v>240</v>
      </c>
      <c r="G332" s="320" t="s">
        <v>240</v>
      </c>
      <c r="H332" s="179">
        <f t="shared" si="164"/>
        <v>8333.8086446100369</v>
      </c>
      <c r="I332" s="179">
        <f t="shared" si="165"/>
        <v>5633.6296131280524</v>
      </c>
      <c r="J332" s="179">
        <f t="shared" si="166"/>
        <v>7128.8620084420754</v>
      </c>
      <c r="K332" s="179"/>
      <c r="L332" s="330">
        <f t="shared" si="160"/>
        <v>7422.8459736883024</v>
      </c>
      <c r="M332" s="330"/>
      <c r="N332">
        <v>2024</v>
      </c>
      <c r="O332" s="320" t="s">
        <v>240</v>
      </c>
      <c r="P332" s="320" t="s">
        <v>240</v>
      </c>
      <c r="Q332" s="179">
        <f t="shared" si="167"/>
        <v>8333.8086446100369</v>
      </c>
      <c r="R332" s="179">
        <f t="shared" si="168"/>
        <v>5633.6296131280524</v>
      </c>
      <c r="S332" s="179">
        <f t="shared" si="169"/>
        <v>7128.8620084420754</v>
      </c>
      <c r="T332" s="179">
        <f t="shared" si="170"/>
        <v>8035.2952252247051</v>
      </c>
      <c r="U332" s="172">
        <f t="shared" si="161"/>
        <v>7763.3902547004191</v>
      </c>
      <c r="W332">
        <v>2024</v>
      </c>
      <c r="Z332" s="170">
        <v>20834.521611525095</v>
      </c>
      <c r="AA332" s="170">
        <v>14084.074032820128</v>
      </c>
      <c r="AB332" s="170">
        <v>17822.155021105187</v>
      </c>
      <c r="AC332" s="170">
        <v>20088.238063061763</v>
      </c>
      <c r="AD332" s="172">
        <f t="shared" si="162"/>
        <v>19408.370353343533</v>
      </c>
      <c r="AG332">
        <v>2024</v>
      </c>
      <c r="AH332" t="s">
        <v>240</v>
      </c>
      <c r="AI332" t="s">
        <v>240</v>
      </c>
      <c r="AJ332" s="170">
        <v>20834.521611525095</v>
      </c>
      <c r="AK332" s="170">
        <v>14084.074032820128</v>
      </c>
      <c r="AL332" s="170">
        <v>17822.155021105187</v>
      </c>
      <c r="AM332" s="170"/>
      <c r="AN332" s="172">
        <f t="shared" si="163"/>
        <v>18557.099192668538</v>
      </c>
    </row>
    <row r="333" spans="5:40">
      <c r="E333">
        <v>2025</v>
      </c>
      <c r="F333" s="320" t="s">
        <v>240</v>
      </c>
      <c r="G333" s="320" t="s">
        <v>240</v>
      </c>
      <c r="H333" s="179">
        <f t="shared" si="164"/>
        <v>8646.6528762881608</v>
      </c>
      <c r="I333" s="179">
        <f t="shared" si="165"/>
        <v>5845.111374113535</v>
      </c>
      <c r="J333" s="179">
        <f t="shared" si="166"/>
        <v>7396.4735475206508</v>
      </c>
      <c r="K333" s="179"/>
      <c r="L333" s="330">
        <f t="shared" si="160"/>
        <v>7702.4910325680339</v>
      </c>
      <c r="M333" s="330"/>
      <c r="N333">
        <v>2025</v>
      </c>
      <c r="O333" s="320" t="s">
        <v>240</v>
      </c>
      <c r="P333" s="320" t="s">
        <v>240</v>
      </c>
      <c r="Q333" s="179">
        <f t="shared" si="167"/>
        <v>8646.6528762881608</v>
      </c>
      <c r="R333" s="179">
        <f t="shared" si="168"/>
        <v>5845.111374113535</v>
      </c>
      <c r="S333" s="179">
        <f t="shared" si="169"/>
        <v>7396.4735475206508</v>
      </c>
      <c r="T333" s="179">
        <f t="shared" si="170"/>
        <v>8336.9335119002862</v>
      </c>
      <c r="U333" s="172">
        <f t="shared" si="161"/>
        <v>8054.5979006971957</v>
      </c>
      <c r="W333">
        <v>2025</v>
      </c>
      <c r="Z333" s="170">
        <v>21616.632190720404</v>
      </c>
      <c r="AA333" s="170">
        <v>14612.778435283835</v>
      </c>
      <c r="AB333" s="170">
        <v>18491.183868801625</v>
      </c>
      <c r="AC333" s="170">
        <v>20842.333779750716</v>
      </c>
      <c r="AD333" s="172">
        <f t="shared" si="162"/>
        <v>20136.352098724343</v>
      </c>
      <c r="AG333">
        <v>2025</v>
      </c>
      <c r="AH333" t="s">
        <v>240</v>
      </c>
      <c r="AI333" t="s">
        <v>240</v>
      </c>
      <c r="AJ333" s="170">
        <v>21616.632190720404</v>
      </c>
      <c r="AK333" s="170">
        <v>14612.778435283835</v>
      </c>
      <c r="AL333" s="170">
        <v>18491.183868801625</v>
      </c>
      <c r="AM333" s="170"/>
      <c r="AN333" s="172">
        <f t="shared" si="163"/>
        <v>19256.206507705498</v>
      </c>
    </row>
    <row r="334" spans="5:40">
      <c r="E334">
        <v>2026</v>
      </c>
      <c r="F334" s="320" t="s">
        <v>240</v>
      </c>
      <c r="G334" s="320" t="s">
        <v>240</v>
      </c>
      <c r="H334" s="179">
        <f t="shared" si="164"/>
        <v>8971.2410197199551</v>
      </c>
      <c r="I334" s="179">
        <f t="shared" si="165"/>
        <v>6064.5319841716118</v>
      </c>
      <c r="J334" s="179">
        <f t="shared" si="166"/>
        <v>7674.1310007666198</v>
      </c>
      <c r="K334" s="179"/>
      <c r="L334" s="330">
        <f t="shared" si="160"/>
        <v>7992.7939015366064</v>
      </c>
      <c r="M334" s="330"/>
      <c r="N334">
        <v>2026</v>
      </c>
      <c r="O334" s="320" t="s">
        <v>240</v>
      </c>
      <c r="P334" s="320" t="s">
        <v>240</v>
      </c>
      <c r="Q334" s="179">
        <f t="shared" si="167"/>
        <v>8971.2410197199551</v>
      </c>
      <c r="R334" s="179">
        <f t="shared" si="168"/>
        <v>6064.5319841716118</v>
      </c>
      <c r="S334" s="179">
        <f t="shared" si="169"/>
        <v>7674.1310007666198</v>
      </c>
      <c r="T334" s="179">
        <f t="shared" si="170"/>
        <v>8649.8950484924299</v>
      </c>
      <c r="U334" s="172">
        <f t="shared" si="161"/>
        <v>8356.8560042295485</v>
      </c>
      <c r="W334">
        <v>2026</v>
      </c>
      <c r="Z334" s="170">
        <v>22428.102549299889</v>
      </c>
      <c r="AA334" s="170">
        <v>15161.329960429028</v>
      </c>
      <c r="AB334" s="170">
        <v>19185.327501916548</v>
      </c>
      <c r="AC334" s="170">
        <v>21624.737621231074</v>
      </c>
      <c r="AD334" s="172">
        <f t="shared" si="162"/>
        <v>20891.973652007899</v>
      </c>
      <c r="AG334">
        <v>2026</v>
      </c>
      <c r="AH334" t="s">
        <v>240</v>
      </c>
      <c r="AI334" t="s">
        <v>240</v>
      </c>
      <c r="AJ334" s="170">
        <v>22428.102549299889</v>
      </c>
      <c r="AK334" s="170">
        <v>15161.329960429028</v>
      </c>
      <c r="AL334" s="170">
        <v>19185.327501916548</v>
      </c>
      <c r="AM334" s="170"/>
      <c r="AN334" s="172">
        <f t="shared" si="163"/>
        <v>19981.960245120008</v>
      </c>
    </row>
    <row r="335" spans="5:40">
      <c r="E335">
        <v>2027</v>
      </c>
      <c r="F335" s="320" t="s">
        <v>240</v>
      </c>
      <c r="G335" s="320" t="s">
        <v>240</v>
      </c>
      <c r="H335" s="179">
        <f t="shared" si="164"/>
        <v>9308.0139315660599</v>
      </c>
      <c r="I335" s="179">
        <f t="shared" si="165"/>
        <v>6292.1894610807603</v>
      </c>
      <c r="J335" s="179">
        <f t="shared" si="166"/>
        <v>7962.2114834262311</v>
      </c>
      <c r="K335" s="179"/>
      <c r="L335" s="330">
        <f t="shared" si="160"/>
        <v>8294.1517442209515</v>
      </c>
      <c r="M335" s="330"/>
      <c r="N335">
        <v>2027</v>
      </c>
      <c r="O335" s="320" t="s">
        <v>240</v>
      </c>
      <c r="P335" s="320" t="s">
        <v>240</v>
      </c>
      <c r="Q335" s="179">
        <f t="shared" si="167"/>
        <v>9308.0139315660599</v>
      </c>
      <c r="R335" s="179">
        <f t="shared" si="168"/>
        <v>6292.1894610807603</v>
      </c>
      <c r="S335" s="179">
        <f t="shared" si="169"/>
        <v>7962.2114834262311</v>
      </c>
      <c r="T335" s="179">
        <f t="shared" si="170"/>
        <v>8974.6049003669614</v>
      </c>
      <c r="U335" s="172">
        <f t="shared" si="161"/>
        <v>8670.5779840017203</v>
      </c>
      <c r="W335">
        <v>2027</v>
      </c>
      <c r="Z335" s="170">
        <v>23270.034828915148</v>
      </c>
      <c r="AA335" s="170">
        <v>15730.473652701899</v>
      </c>
      <c r="AB335" s="170">
        <v>19905.528708565576</v>
      </c>
      <c r="AC335" s="170">
        <v>22436.512250917403</v>
      </c>
      <c r="AD335" s="172">
        <f t="shared" si="162"/>
        <v>21676.27647451849</v>
      </c>
      <c r="AG335">
        <v>2027</v>
      </c>
      <c r="AH335" t="s">
        <v>240</v>
      </c>
      <c r="AI335" t="s">
        <v>240</v>
      </c>
      <c r="AJ335" s="170">
        <v>23270.034828915148</v>
      </c>
      <c r="AK335" s="170">
        <v>15730.473652701899</v>
      </c>
      <c r="AL335" s="170">
        <v>19905.528708565576</v>
      </c>
      <c r="AM335" s="170"/>
      <c r="AN335" s="172">
        <f t="shared" si="163"/>
        <v>20735.354197963057</v>
      </c>
    </row>
    <row r="336" spans="5:40">
      <c r="E336">
        <v>2028</v>
      </c>
      <c r="F336" s="320" t="s">
        <v>240</v>
      </c>
      <c r="G336" s="320" t="s">
        <v>240</v>
      </c>
      <c r="H336" s="179">
        <f t="shared" si="164"/>
        <v>9657.4290178787742</v>
      </c>
      <c r="I336" s="179">
        <f t="shared" si="165"/>
        <v>6528.393009958515</v>
      </c>
      <c r="J336" s="179">
        <f t="shared" si="166"/>
        <v>8261.1062673378165</v>
      </c>
      <c r="K336" s="179"/>
      <c r="L336" s="330">
        <f t="shared" si="160"/>
        <v>8606.97725792651</v>
      </c>
      <c r="M336" s="330"/>
      <c r="N336">
        <v>2028</v>
      </c>
      <c r="O336" s="320" t="s">
        <v>240</v>
      </c>
      <c r="P336" s="320" t="s">
        <v>240</v>
      </c>
      <c r="Q336" s="179">
        <f t="shared" si="167"/>
        <v>9657.4290178787742</v>
      </c>
      <c r="R336" s="179">
        <f t="shared" si="168"/>
        <v>6528.393009958515</v>
      </c>
      <c r="S336" s="179">
        <f t="shared" si="169"/>
        <v>8261.1062673378165</v>
      </c>
      <c r="T336" s="179">
        <f t="shared" si="170"/>
        <v>9311.5040894893209</v>
      </c>
      <c r="U336" s="172">
        <f t="shared" si="161"/>
        <v>8996.1928887940048</v>
      </c>
      <c r="W336">
        <v>2028</v>
      </c>
      <c r="Z336" s="170">
        <v>24143.572544696934</v>
      </c>
      <c r="AA336" s="170">
        <v>16320.982524896284</v>
      </c>
      <c r="AB336" s="170">
        <v>20652.765668344538</v>
      </c>
      <c r="AC336" s="170">
        <v>23278.7602237233</v>
      </c>
      <c r="AD336" s="172">
        <f t="shared" si="162"/>
        <v>22490.340480893399</v>
      </c>
      <c r="AG336">
        <v>2028</v>
      </c>
      <c r="AH336" t="s">
        <v>240</v>
      </c>
      <c r="AI336" t="s">
        <v>240</v>
      </c>
      <c r="AJ336" s="170">
        <v>24143.572544696934</v>
      </c>
      <c r="AK336" s="170">
        <v>16320.982524896284</v>
      </c>
      <c r="AL336" s="170">
        <v>20652.765668344538</v>
      </c>
      <c r="AM336" s="170"/>
      <c r="AN336" s="172">
        <f t="shared" si="163"/>
        <v>21517.420858532019</v>
      </c>
    </row>
    <row r="337" spans="5:40">
      <c r="E337">
        <v>2029</v>
      </c>
      <c r="F337" s="320" t="s">
        <v>240</v>
      </c>
      <c r="G337" s="320" t="s">
        <v>240</v>
      </c>
      <c r="H337" s="179">
        <f t="shared" si="164"/>
        <v>10019.960855352429</v>
      </c>
      <c r="I337" s="179">
        <f t="shared" si="165"/>
        <v>6773.4634432248495</v>
      </c>
      <c r="J337" s="179">
        <f t="shared" si="166"/>
        <v>8571.2213123584552</v>
      </c>
      <c r="K337" s="179"/>
      <c r="L337" s="330">
        <f t="shared" si="160"/>
        <v>8931.6991945585578</v>
      </c>
      <c r="M337" s="330"/>
      <c r="N337">
        <v>2029</v>
      </c>
      <c r="O337" s="320" t="s">
        <v>240</v>
      </c>
      <c r="P337" s="320" t="s">
        <v>240</v>
      </c>
      <c r="Q337" s="179">
        <f t="shared" si="167"/>
        <v>10019.960855352429</v>
      </c>
      <c r="R337" s="179">
        <f t="shared" si="168"/>
        <v>6773.4634432248495</v>
      </c>
      <c r="S337" s="179">
        <f t="shared" si="169"/>
        <v>8571.2213123584552</v>
      </c>
      <c r="T337" s="179">
        <f t="shared" si="170"/>
        <v>9661.0501934220083</v>
      </c>
      <c r="U337" s="172">
        <f t="shared" si="161"/>
        <v>9334.1459937796553</v>
      </c>
      <c r="W337">
        <v>2029</v>
      </c>
      <c r="Z337" s="170">
        <v>25049.902138381069</v>
      </c>
      <c r="AA337" s="170">
        <v>16933.65860806212</v>
      </c>
      <c r="AB337" s="170">
        <v>21428.053280896136</v>
      </c>
      <c r="AC337" s="170">
        <v>24152.625483555021</v>
      </c>
      <c r="AD337" s="172">
        <f t="shared" si="162"/>
        <v>23335.285558665666</v>
      </c>
      <c r="AG337">
        <v>2029</v>
      </c>
      <c r="AH337" t="s">
        <v>240</v>
      </c>
      <c r="AI337" t="s">
        <v>240</v>
      </c>
      <c r="AJ337" s="170">
        <v>25049.902138381069</v>
      </c>
      <c r="AK337" s="170">
        <v>16933.65860806212</v>
      </c>
      <c r="AL337" s="170">
        <v>21428.053280896136</v>
      </c>
      <c r="AM337" s="170"/>
      <c r="AN337" s="172">
        <f t="shared" si="163"/>
        <v>22329.232747916027</v>
      </c>
    </row>
    <row r="338" spans="5:40">
      <c r="E338">
        <v>2030</v>
      </c>
      <c r="F338" s="320" t="s">
        <v>240</v>
      </c>
      <c r="G338" s="320" t="s">
        <v>240</v>
      </c>
      <c r="H338" s="179">
        <f t="shared" si="164"/>
        <v>10396.101835894979</v>
      </c>
      <c r="I338" s="179">
        <f t="shared" si="165"/>
        <v>7027.7336163306409</v>
      </c>
      <c r="J338" s="179">
        <f t="shared" si="166"/>
        <v>8892.9778177399639</v>
      </c>
      <c r="K338" s="179"/>
      <c r="L338" s="330">
        <f t="shared" si="160"/>
        <v>9268.7629103306863</v>
      </c>
      <c r="M338" s="330"/>
      <c r="N338">
        <v>2030</v>
      </c>
      <c r="O338" s="320" t="s">
        <v>240</v>
      </c>
      <c r="P338" s="320" t="s">
        <v>240</v>
      </c>
      <c r="Q338" s="179">
        <f t="shared" si="167"/>
        <v>10396.101835894979</v>
      </c>
      <c r="R338" s="179">
        <f t="shared" si="168"/>
        <v>7027.7336163306409</v>
      </c>
      <c r="S338" s="179">
        <f t="shared" si="169"/>
        <v>8892.9778177399639</v>
      </c>
      <c r="T338" s="179">
        <f t="shared" si="170"/>
        <v>10023.71796680791</v>
      </c>
      <c r="U338" s="172">
        <f t="shared" si="161"/>
        <v>9684.8994172385446</v>
      </c>
      <c r="W338">
        <v>2030</v>
      </c>
      <c r="Z338" s="170">
        <v>25990.254589737444</v>
      </c>
      <c r="AA338" s="170">
        <v>17569.334040826598</v>
      </c>
      <c r="AB338" s="170">
        <v>22232.44454434991</v>
      </c>
      <c r="AC338" s="170">
        <v>25059.294917019775</v>
      </c>
      <c r="AD338" s="172">
        <f t="shared" si="162"/>
        <v>24212.273145672003</v>
      </c>
      <c r="AG338">
        <v>2030</v>
      </c>
      <c r="AH338" t="s">
        <v>240</v>
      </c>
      <c r="AI338" t="s">
        <v>240</v>
      </c>
      <c r="AJ338" s="170">
        <v>25990.254589737444</v>
      </c>
      <c r="AK338" s="170">
        <v>17569.334040826598</v>
      </c>
      <c r="AL338" s="170">
        <v>22232.44454434991</v>
      </c>
      <c r="AM338" s="170"/>
      <c r="AN338" s="172">
        <f t="shared" si="163"/>
        <v>23171.903812239365</v>
      </c>
    </row>
    <row r="339" spans="5:40">
      <c r="E339">
        <v>2040</v>
      </c>
      <c r="F339" s="320" t="s">
        <v>240</v>
      </c>
      <c r="G339" s="320" t="s">
        <v>240</v>
      </c>
      <c r="H339" s="330">
        <f t="shared" ref="H339:J345" si="171">H338*($C$6+1)^10</f>
        <v>15028.496215348314</v>
      </c>
      <c r="I339" s="330">
        <f t="shared" si="171"/>
        <v>10159.21830342564</v>
      </c>
      <c r="J339" s="330">
        <f t="shared" si="171"/>
        <v>12855.595836473072</v>
      </c>
      <c r="K339" s="330"/>
      <c r="L339" s="330">
        <f t="shared" si="160"/>
        <v>13425.118761053634</v>
      </c>
      <c r="M339" s="330"/>
      <c r="N339">
        <v>2040</v>
      </c>
      <c r="O339" s="320" t="s">
        <v>240</v>
      </c>
      <c r="P339" s="320" t="s">
        <v>240</v>
      </c>
      <c r="Q339" s="330">
        <f t="shared" ref="Q339:T345" si="172">Q338*($C$6+1)^10</f>
        <v>15028.496215348314</v>
      </c>
      <c r="R339" s="330">
        <f t="shared" si="172"/>
        <v>10159.21830342564</v>
      </c>
      <c r="S339" s="330">
        <f t="shared" si="172"/>
        <v>12855.595836473072</v>
      </c>
      <c r="T339" s="330">
        <f t="shared" si="172"/>
        <v>14490.181984151675</v>
      </c>
      <c r="U339" s="172">
        <f t="shared" si="161"/>
        <v>14006.807418864339</v>
      </c>
      <c r="W339">
        <v>2040</v>
      </c>
      <c r="Z339" s="170">
        <v>37571.240538370781</v>
      </c>
      <c r="AA339" s="170">
        <v>25398.045758564091</v>
      </c>
      <c r="AB339" s="170">
        <v>32138.989591182682</v>
      </c>
      <c r="AC339" s="170">
        <v>36225.454960379189</v>
      </c>
      <c r="AD339" s="172">
        <f t="shared" si="162"/>
        <v>35019.107054432701</v>
      </c>
      <c r="AG339">
        <v>2040</v>
      </c>
      <c r="AH339" t="s">
        <v>240</v>
      </c>
      <c r="AI339" t="s">
        <v>240</v>
      </c>
      <c r="AJ339" s="170">
        <v>37571.240538370781</v>
      </c>
      <c r="AK339" s="170">
        <v>25398.045758564091</v>
      </c>
      <c r="AL339" s="170">
        <v>32138.989591182682</v>
      </c>
      <c r="AM339" s="170"/>
      <c r="AN339" s="172">
        <f t="shared" si="163"/>
        <v>33563.025508428218</v>
      </c>
    </row>
    <row r="340" spans="5:40">
      <c r="E340">
        <v>2050</v>
      </c>
      <c r="F340" s="320" t="s">
        <v>240</v>
      </c>
      <c r="G340" s="320" t="s">
        <v>240</v>
      </c>
      <c r="H340" s="330">
        <f t="shared" si="171"/>
        <v>21725.037139874759</v>
      </c>
      <c r="I340" s="330">
        <f t="shared" si="171"/>
        <v>14686.059855317475</v>
      </c>
      <c r="J340" s="330">
        <f t="shared" si="171"/>
        <v>18583.915050486892</v>
      </c>
      <c r="K340" s="330"/>
      <c r="L340" s="330">
        <f t="shared" si="160"/>
        <v>19407.211440972489</v>
      </c>
      <c r="M340" s="330"/>
      <c r="N340">
        <v>2050</v>
      </c>
      <c r="O340" s="320" t="s">
        <v>240</v>
      </c>
      <c r="P340" s="320" t="s">
        <v>240</v>
      </c>
      <c r="Q340" s="330">
        <f t="shared" si="172"/>
        <v>21725.037139874759</v>
      </c>
      <c r="R340" s="330">
        <f t="shared" si="172"/>
        <v>14686.059855317475</v>
      </c>
      <c r="S340" s="330">
        <f t="shared" si="172"/>
        <v>18583.915050486892</v>
      </c>
      <c r="T340" s="330">
        <f t="shared" si="172"/>
        <v>20946.855710536121</v>
      </c>
      <c r="U340" s="172">
        <f t="shared" si="161"/>
        <v>20269.201528722682</v>
      </c>
      <c r="W340">
        <v>2050</v>
      </c>
      <c r="Z340" s="170">
        <v>54312.592849686895</v>
      </c>
      <c r="AA340" s="170">
        <v>36715.149638293675</v>
      </c>
      <c r="AB340" s="170">
        <v>46459.787626217236</v>
      </c>
      <c r="AC340" s="170">
        <v>52367.139276340306</v>
      </c>
      <c r="AD340" s="172">
        <f t="shared" si="162"/>
        <v>50687.301683909653</v>
      </c>
      <c r="AG340">
        <v>2050</v>
      </c>
      <c r="AH340" t="s">
        <v>240</v>
      </c>
      <c r="AI340" t="s">
        <v>240</v>
      </c>
      <c r="AJ340" s="170">
        <v>54312.592849686895</v>
      </c>
      <c r="AK340" s="170">
        <v>36715.149638293675</v>
      </c>
      <c r="AL340" s="170">
        <v>46459.787626217236</v>
      </c>
      <c r="AM340" s="170"/>
      <c r="AN340" s="172">
        <f t="shared" si="163"/>
        <v>48518.359072579202</v>
      </c>
    </row>
    <row r="341" spans="5:40">
      <c r="E341">
        <v>2060</v>
      </c>
      <c r="F341" s="320" t="s">
        <v>240</v>
      </c>
      <c r="G341" s="320" t="s">
        <v>240</v>
      </c>
      <c r="H341" s="330">
        <f t="shared" si="171"/>
        <v>31405.486747697112</v>
      </c>
      <c r="I341" s="330">
        <f t="shared" si="171"/>
        <v>21230.014714935416</v>
      </c>
      <c r="J341" s="330">
        <f t="shared" si="171"/>
        <v>26864.713467723883</v>
      </c>
      <c r="K341" s="330"/>
      <c r="L341" s="330">
        <f t="shared" si="160"/>
        <v>28054.862129581201</v>
      </c>
      <c r="M341" s="330"/>
      <c r="N341">
        <v>2060</v>
      </c>
      <c r="O341" s="320" t="s">
        <v>240</v>
      </c>
      <c r="P341" s="320" t="s">
        <v>240</v>
      </c>
      <c r="Q341" s="330">
        <f t="shared" si="172"/>
        <v>31405.486747697112</v>
      </c>
      <c r="R341" s="330">
        <f t="shared" si="172"/>
        <v>21230.014714935416</v>
      </c>
      <c r="S341" s="330">
        <f t="shared" si="172"/>
        <v>26864.713467723883</v>
      </c>
      <c r="T341" s="330">
        <f t="shared" si="172"/>
        <v>30280.555802398878</v>
      </c>
      <c r="U341" s="172">
        <f t="shared" si="161"/>
        <v>29300.945996006336</v>
      </c>
      <c r="W341">
        <v>2060</v>
      </c>
      <c r="Z341" s="170">
        <v>78513.71686924278</v>
      </c>
      <c r="AA341" s="170">
        <v>53075.036787338518</v>
      </c>
      <c r="AB341" s="170">
        <v>67161.78366930972</v>
      </c>
      <c r="AC341" s="170">
        <v>75701.389505997198</v>
      </c>
      <c r="AD341" s="172">
        <f t="shared" si="162"/>
        <v>73273.033830115106</v>
      </c>
      <c r="AG341">
        <v>2060</v>
      </c>
      <c r="AH341" t="s">
        <v>240</v>
      </c>
      <c r="AI341" t="s">
        <v>240</v>
      </c>
      <c r="AJ341" s="170">
        <v>78513.71686924278</v>
      </c>
      <c r="AK341" s="170">
        <v>53075.036787338518</v>
      </c>
      <c r="AL341" s="170">
        <v>67161.78366930972</v>
      </c>
      <c r="AM341" s="170"/>
      <c r="AN341" s="172">
        <f t="shared" si="163"/>
        <v>70137.633048146788</v>
      </c>
    </row>
    <row r="342" spans="5:40">
      <c r="E342">
        <v>2070</v>
      </c>
      <c r="F342" s="320" t="s">
        <v>240</v>
      </c>
      <c r="G342" s="320" t="s">
        <v>240</v>
      </c>
      <c r="H342" s="330">
        <f t="shared" si="171"/>
        <v>45399.443577911639</v>
      </c>
      <c r="I342" s="330">
        <f t="shared" si="171"/>
        <v>30689.887501253888</v>
      </c>
      <c r="J342" s="330">
        <f t="shared" si="171"/>
        <v>38835.349157711331</v>
      </c>
      <c r="K342" s="330"/>
      <c r="L342" s="330">
        <f t="shared" si="160"/>
        <v>40555.815630891535</v>
      </c>
      <c r="M342" s="330"/>
      <c r="N342">
        <v>2070</v>
      </c>
      <c r="O342" s="320" t="s">
        <v>240</v>
      </c>
      <c r="P342" s="320" t="s">
        <v>240</v>
      </c>
      <c r="Q342" s="330">
        <f t="shared" si="172"/>
        <v>45399.443577911639</v>
      </c>
      <c r="R342" s="330">
        <f t="shared" si="172"/>
        <v>30689.887501253888</v>
      </c>
      <c r="S342" s="330">
        <f t="shared" si="172"/>
        <v>38835.349157711331</v>
      </c>
      <c r="T342" s="330">
        <f t="shared" si="172"/>
        <v>43773.255154519065</v>
      </c>
      <c r="U342" s="172">
        <f t="shared" si="161"/>
        <v>42357.141451490774</v>
      </c>
      <c r="W342">
        <v>2070</v>
      </c>
      <c r="Z342" s="170">
        <v>113498.6089447791</v>
      </c>
      <c r="AA342" s="170">
        <v>76724.718753134686</v>
      </c>
      <c r="AB342" s="170">
        <v>97088.372894278335</v>
      </c>
      <c r="AC342" s="170">
        <v>109433.13788629767</v>
      </c>
      <c r="AD342" s="172">
        <f t="shared" si="162"/>
        <v>105922.73228806586</v>
      </c>
      <c r="AG342">
        <v>2070</v>
      </c>
      <c r="AH342" t="s">
        <v>240</v>
      </c>
      <c r="AI342" t="s">
        <v>240</v>
      </c>
      <c r="AJ342" s="170">
        <v>113498.6089447791</v>
      </c>
      <c r="AK342" s="170">
        <v>76724.718753134686</v>
      </c>
      <c r="AL342" s="170">
        <v>97088.372894278335</v>
      </c>
      <c r="AM342" s="170"/>
      <c r="AN342" s="172">
        <f t="shared" si="163"/>
        <v>101390.22967033302</v>
      </c>
    </row>
    <row r="343" spans="5:40">
      <c r="E343">
        <v>2080</v>
      </c>
      <c r="F343" s="320" t="s">
        <v>240</v>
      </c>
      <c r="G343" s="320" t="s">
        <v>240</v>
      </c>
      <c r="H343" s="330">
        <f t="shared" si="171"/>
        <v>65628.961389529126</v>
      </c>
      <c r="I343" s="330">
        <f t="shared" si="171"/>
        <v>44364.980782467865</v>
      </c>
      <c r="J343" s="330">
        <f t="shared" si="171"/>
        <v>56139.975064812454</v>
      </c>
      <c r="K343" s="330"/>
      <c r="L343" s="330">
        <f t="shared" si="160"/>
        <v>58627.063426293142</v>
      </c>
      <c r="M343" s="330"/>
      <c r="N343">
        <v>2080</v>
      </c>
      <c r="O343" s="320" t="s">
        <v>240</v>
      </c>
      <c r="P343" s="320" t="s">
        <v>240</v>
      </c>
      <c r="Q343" s="330">
        <f t="shared" si="172"/>
        <v>65628.961389529126</v>
      </c>
      <c r="R343" s="330">
        <f t="shared" si="172"/>
        <v>44364.980782467865</v>
      </c>
      <c r="S343" s="330">
        <f t="shared" si="172"/>
        <v>56139.975064812454</v>
      </c>
      <c r="T343" s="330">
        <f t="shared" si="172"/>
        <v>63278.160391984391</v>
      </c>
      <c r="U343" s="172">
        <f t="shared" si="161"/>
        <v>61231.041215738718</v>
      </c>
      <c r="W343">
        <v>2080</v>
      </c>
      <c r="Z343" s="170">
        <v>164072.40347382281</v>
      </c>
      <c r="AA343" s="170">
        <v>110912.45195616961</v>
      </c>
      <c r="AB343" s="170">
        <v>140349.93766203115</v>
      </c>
      <c r="AC343" s="170">
        <v>158195.40097996098</v>
      </c>
      <c r="AD343" s="172">
        <f t="shared" si="162"/>
        <v>153120.79531717196</v>
      </c>
      <c r="AG343">
        <v>2080</v>
      </c>
      <c r="AH343" t="s">
        <v>240</v>
      </c>
      <c r="AI343" t="s">
        <v>240</v>
      </c>
      <c r="AJ343" s="170">
        <v>164072.40347382281</v>
      </c>
      <c r="AK343" s="170">
        <v>110912.45195616961</v>
      </c>
      <c r="AL343" s="170">
        <v>140349.93766203115</v>
      </c>
      <c r="AM343" s="170"/>
      <c r="AN343" s="172">
        <f t="shared" si="163"/>
        <v>146568.65687991027</v>
      </c>
    </row>
    <row r="344" spans="5:40">
      <c r="E344">
        <v>2090</v>
      </c>
      <c r="F344" s="320" t="s">
        <v>240</v>
      </c>
      <c r="G344" s="320" t="s">
        <v>240</v>
      </c>
      <c r="H344" s="330">
        <f t="shared" si="171"/>
        <v>94872.54101862789</v>
      </c>
      <c r="I344" s="330">
        <f t="shared" si="171"/>
        <v>64133.552778527664</v>
      </c>
      <c r="J344" s="330">
        <f t="shared" si="171"/>
        <v>81155.361510428134</v>
      </c>
      <c r="K344" s="330"/>
      <c r="L344" s="330">
        <f t="shared" si="160"/>
        <v>84750.670465434305</v>
      </c>
      <c r="M344" s="330"/>
      <c r="N344">
        <v>2090</v>
      </c>
      <c r="O344" s="320" t="s">
        <v>240</v>
      </c>
      <c r="P344" s="320" t="s">
        <v>240</v>
      </c>
      <c r="Q344" s="330">
        <f t="shared" si="172"/>
        <v>94872.54101862789</v>
      </c>
      <c r="R344" s="330">
        <f t="shared" si="172"/>
        <v>64133.552778527664</v>
      </c>
      <c r="S344" s="330">
        <f t="shared" si="172"/>
        <v>81155.361510428134</v>
      </c>
      <c r="T344" s="330">
        <f t="shared" si="172"/>
        <v>91474.247653257378</v>
      </c>
      <c r="U344" s="172">
        <f t="shared" si="161"/>
        <v>88514.953556468972</v>
      </c>
      <c r="W344">
        <v>2090</v>
      </c>
      <c r="Z344" s="170">
        <v>237181.35254656972</v>
      </c>
      <c r="AA344" s="170">
        <v>160333.8819463191</v>
      </c>
      <c r="AB344" s="170">
        <v>202888.40377607039</v>
      </c>
      <c r="AC344" s="170">
        <v>228685.61913314345</v>
      </c>
      <c r="AD344" s="172">
        <f t="shared" si="162"/>
        <v>221349.82219680605</v>
      </c>
      <c r="AG344">
        <v>2090</v>
      </c>
      <c r="AH344" t="s">
        <v>240</v>
      </c>
      <c r="AI344" t="s">
        <v>240</v>
      </c>
      <c r="AJ344" s="170">
        <v>237181.35254656972</v>
      </c>
      <c r="AK344" s="170">
        <v>160333.8819463191</v>
      </c>
      <c r="AL344" s="170">
        <v>202888.40377607039</v>
      </c>
      <c r="AM344" s="170"/>
      <c r="AN344" s="172">
        <f t="shared" si="163"/>
        <v>211878.11931613216</v>
      </c>
    </row>
    <row r="345" spans="5:40">
      <c r="E345">
        <v>2100</v>
      </c>
      <c r="F345" s="320" t="s">
        <v>240</v>
      </c>
      <c r="G345" s="320" t="s">
        <v>240</v>
      </c>
      <c r="H345" s="330">
        <f t="shared" si="171"/>
        <v>137146.75424937136</v>
      </c>
      <c r="I345" s="330">
        <f t="shared" si="171"/>
        <v>92710.793951737985</v>
      </c>
      <c r="J345" s="330">
        <f t="shared" si="171"/>
        <v>117317.34284321744</v>
      </c>
      <c r="K345" s="330"/>
      <c r="L345" s="330">
        <f t="shared" si="160"/>
        <v>122514.68391165136</v>
      </c>
      <c r="M345" s="330"/>
      <c r="N345">
        <v>2100</v>
      </c>
      <c r="O345" s="320" t="s">
        <v>240</v>
      </c>
      <c r="P345" s="320" t="s">
        <v>240</v>
      </c>
      <c r="Q345" s="330">
        <f t="shared" si="172"/>
        <v>137146.75424937136</v>
      </c>
      <c r="R345" s="330">
        <f t="shared" si="172"/>
        <v>92710.793951737985</v>
      </c>
      <c r="S345" s="330">
        <f t="shared" si="172"/>
        <v>117317.34284321744</v>
      </c>
      <c r="T345" s="330">
        <f t="shared" si="172"/>
        <v>132234.21685927204</v>
      </c>
      <c r="U345" s="172">
        <f t="shared" si="161"/>
        <v>127956.29222600894</v>
      </c>
      <c r="W345">
        <v>2100</v>
      </c>
      <c r="Z345" s="170">
        <v>342866.88562342839</v>
      </c>
      <c r="AA345" s="170">
        <v>231776.98487934488</v>
      </c>
      <c r="AB345" s="170">
        <v>293293.35710804368</v>
      </c>
      <c r="AC345" s="170">
        <v>330585.54214818013</v>
      </c>
      <c r="AD345" s="172">
        <f t="shared" si="162"/>
        <v>319980.99072741013</v>
      </c>
      <c r="AG345">
        <v>2100</v>
      </c>
      <c r="AH345" t="s">
        <v>240</v>
      </c>
      <c r="AI345" t="s">
        <v>240</v>
      </c>
      <c r="AJ345" s="170">
        <v>342866.88562342839</v>
      </c>
      <c r="AK345" s="170">
        <v>231776.98487934488</v>
      </c>
      <c r="AL345" s="170">
        <v>293293.35710804368</v>
      </c>
      <c r="AM345" s="170"/>
      <c r="AN345" s="172">
        <f t="shared" si="163"/>
        <v>306288.79598537413</v>
      </c>
    </row>
    <row r="346" spans="5:40">
      <c r="F346" s="581" t="s">
        <v>298</v>
      </c>
      <c r="G346" s="581"/>
      <c r="H346" s="581"/>
      <c r="I346" s="581"/>
      <c r="J346" s="581"/>
      <c r="K346" s="581"/>
      <c r="L346" s="330"/>
      <c r="M346" s="330"/>
      <c r="O346" s="581" t="s">
        <v>299</v>
      </c>
      <c r="P346" s="581"/>
      <c r="Q346" s="581"/>
      <c r="R346" s="581"/>
      <c r="S346" s="581"/>
      <c r="T346" s="581"/>
      <c r="X346" s="581" t="s">
        <v>299</v>
      </c>
      <c r="Y346" s="581"/>
      <c r="Z346" s="581"/>
      <c r="AA346" s="581"/>
      <c r="AB346" s="581"/>
      <c r="AC346" s="581"/>
      <c r="AD346" s="172"/>
      <c r="AH346" s="581" t="s">
        <v>299</v>
      </c>
      <c r="AI346" s="581"/>
      <c r="AJ346" s="581"/>
      <c r="AK346" s="581"/>
      <c r="AL346" s="581"/>
      <c r="AM346" s="581"/>
    </row>
    <row r="347" spans="5:40">
      <c r="E347">
        <v>2020</v>
      </c>
      <c r="F347" s="320"/>
      <c r="G347" s="320"/>
      <c r="H347" s="330">
        <f>'Demographic-Economic'!E30*$C$9</f>
        <v>0</v>
      </c>
      <c r="I347" s="330">
        <f>'Demographic-Economic'!F30*$C$9</f>
        <v>0</v>
      </c>
      <c r="J347" s="330">
        <f>'Demographic-Economic'!G30*$C$9</f>
        <v>0</v>
      </c>
      <c r="K347" s="330"/>
      <c r="L347" s="330">
        <f t="shared" ref="L347:L364" si="173">SUMPRODUCT(H347:K347, H43:K43)/SUM(H43:K43)</f>
        <v>0</v>
      </c>
      <c r="M347" s="330"/>
      <c r="N347">
        <v>2020</v>
      </c>
      <c r="O347" s="320" t="s">
        <v>240</v>
      </c>
      <c r="P347" s="320" t="s">
        <v>240</v>
      </c>
      <c r="Q347" s="179">
        <f>'Demographic-Economic'!E30*$C$9</f>
        <v>0</v>
      </c>
      <c r="R347" s="179">
        <f>'Demographic-Economic'!F30*$C$9</f>
        <v>0</v>
      </c>
      <c r="S347" s="179">
        <f>'Demographic-Economic'!G30*$C$9</f>
        <v>0</v>
      </c>
      <c r="T347" s="179">
        <f>'Demographic-Economic'!H30*$C$9</f>
        <v>0</v>
      </c>
      <c r="U347" s="330">
        <f t="shared" ref="U347:U364" si="174">SUMPRODUCT(Q347:T347, Q43:T43)/SUM(Q43:T43)</f>
        <v>0</v>
      </c>
      <c r="W347">
        <v>2020</v>
      </c>
      <c r="Z347" s="170">
        <v>8989.5</v>
      </c>
      <c r="AA347" s="170">
        <v>6076.875</v>
      </c>
      <c r="AB347" s="170">
        <v>7689.75</v>
      </c>
      <c r="AC347" s="170">
        <v>8667.5</v>
      </c>
      <c r="AD347" s="172">
        <f t="shared" ref="AD347:AD364" si="175">SUMPRODUCT(Z347:AC347, Z43:AC43)/SUM(Z43:AC43)</f>
        <v>8349.8005818056699</v>
      </c>
      <c r="AG347">
        <v>2020</v>
      </c>
      <c r="AJ347" s="170">
        <v>8989.5</v>
      </c>
      <c r="AK347" s="170">
        <v>6076.875</v>
      </c>
      <c r="AL347" s="170">
        <v>7689.75</v>
      </c>
      <c r="AM347" s="170"/>
      <c r="AN347" s="172">
        <f t="shared" ref="AN347:AN364" si="176">SUMPRODUCT(AJ347:AM347, AJ43:AM43)/SUM(AJ43:AM43)</f>
        <v>8070.3866714013739</v>
      </c>
    </row>
    <row r="348" spans="5:40">
      <c r="E348">
        <v>2021</v>
      </c>
      <c r="F348" s="320"/>
      <c r="G348" s="320"/>
      <c r="H348" s="330">
        <f t="shared" ref="H348:H357" si="177">H347*(1+$C$6)</f>
        <v>0</v>
      </c>
      <c r="I348" s="330">
        <f t="shared" ref="I348:I357" si="178">I347*(1+$C$6)</f>
        <v>0</v>
      </c>
      <c r="J348" s="330">
        <f t="shared" ref="J348:J357" si="179">J347*(1+$C$6)</f>
        <v>0</v>
      </c>
      <c r="K348" s="330"/>
      <c r="L348" s="330">
        <f t="shared" si="173"/>
        <v>0</v>
      </c>
      <c r="M348" s="330"/>
      <c r="N348">
        <v>2021</v>
      </c>
      <c r="O348" s="320" t="s">
        <v>240</v>
      </c>
      <c r="P348" s="320" t="s">
        <v>240</v>
      </c>
      <c r="Q348" s="330">
        <f t="shared" ref="Q348:Q357" si="180">Q347*(1+$C$6)</f>
        <v>0</v>
      </c>
      <c r="R348" s="330">
        <f t="shared" ref="R348:R357" si="181">R347*(1+$C$6)</f>
        <v>0</v>
      </c>
      <c r="S348" s="330">
        <f t="shared" ref="S348:S357" si="182">S347*(1+$C$6)</f>
        <v>0</v>
      </c>
      <c r="T348" s="330">
        <f t="shared" ref="T348:T357" si="183">T347*(1+$C$6)</f>
        <v>0</v>
      </c>
      <c r="U348" s="330">
        <f t="shared" si="174"/>
        <v>0</v>
      </c>
      <c r="W348">
        <v>2021</v>
      </c>
      <c r="Z348" s="170">
        <v>9326.9583387500006</v>
      </c>
      <c r="AA348" s="170">
        <v>6304.9958234374999</v>
      </c>
      <c r="AB348" s="170">
        <v>7978.4168068750005</v>
      </c>
      <c r="AC348" s="170">
        <v>8992.8707270833329</v>
      </c>
      <c r="AD348" s="172">
        <f t="shared" si="175"/>
        <v>8662.3495264249868</v>
      </c>
      <c r="AG348">
        <v>2021</v>
      </c>
      <c r="AJ348" s="170">
        <v>9326.9583387500006</v>
      </c>
      <c r="AK348" s="170">
        <v>6304.9958234374999</v>
      </c>
      <c r="AL348" s="170">
        <v>7978.4168068750005</v>
      </c>
      <c r="AM348" s="170"/>
      <c r="AN348" s="172">
        <f t="shared" si="176"/>
        <v>8373.4020135381925</v>
      </c>
    </row>
    <row r="349" spans="5:40">
      <c r="E349">
        <v>2022</v>
      </c>
      <c r="F349" s="320"/>
      <c r="G349" s="320"/>
      <c r="H349" s="330">
        <f t="shared" si="177"/>
        <v>0</v>
      </c>
      <c r="I349" s="330">
        <f t="shared" si="178"/>
        <v>0</v>
      </c>
      <c r="J349" s="330">
        <f t="shared" si="179"/>
        <v>0</v>
      </c>
      <c r="K349" s="330"/>
      <c r="L349" s="330">
        <f t="shared" si="173"/>
        <v>0</v>
      </c>
      <c r="M349" s="330"/>
      <c r="N349">
        <v>2022</v>
      </c>
      <c r="O349" s="320" t="s">
        <v>240</v>
      </c>
      <c r="P349" s="320" t="s">
        <v>240</v>
      </c>
      <c r="Q349" s="330">
        <f t="shared" si="180"/>
        <v>0</v>
      </c>
      <c r="R349" s="330">
        <f t="shared" si="181"/>
        <v>0</v>
      </c>
      <c r="S349" s="330">
        <f t="shared" si="182"/>
        <v>0</v>
      </c>
      <c r="T349" s="330">
        <f t="shared" si="183"/>
        <v>0</v>
      </c>
      <c r="U349" s="330">
        <f t="shared" si="174"/>
        <v>0</v>
      </c>
      <c r="W349">
        <v>2022</v>
      </c>
      <c r="Z349" s="170">
        <v>9677.0845823213931</v>
      </c>
      <c r="AA349" s="170">
        <v>6541.6801124861577</v>
      </c>
      <c r="AB349" s="170">
        <v>8277.9199251244154</v>
      </c>
      <c r="AC349" s="170">
        <v>9330.4556001191013</v>
      </c>
      <c r="AD349" s="172">
        <f t="shared" si="175"/>
        <v>8986.7771280936522</v>
      </c>
      <c r="AG349">
        <v>2022</v>
      </c>
      <c r="AJ349" s="170">
        <v>9677.0845823213931</v>
      </c>
      <c r="AK349" s="170">
        <v>6541.6801124861577</v>
      </c>
      <c r="AL349" s="170">
        <v>8277.9199251244154</v>
      </c>
      <c r="AM349" s="170"/>
      <c r="AN349" s="172">
        <f t="shared" si="176"/>
        <v>8688.0053243508592</v>
      </c>
    </row>
    <row r="350" spans="5:40">
      <c r="E350">
        <v>2023</v>
      </c>
      <c r="F350" s="320"/>
      <c r="G350" s="320"/>
      <c r="H350" s="330">
        <f t="shared" si="177"/>
        <v>0</v>
      </c>
      <c r="I350" s="330">
        <f t="shared" si="178"/>
        <v>0</v>
      </c>
      <c r="J350" s="330">
        <f t="shared" si="179"/>
        <v>0</v>
      </c>
      <c r="K350" s="330"/>
      <c r="L350" s="330">
        <f t="shared" si="173"/>
        <v>0</v>
      </c>
      <c r="M350" s="330"/>
      <c r="N350">
        <v>2023</v>
      </c>
      <c r="O350" s="320" t="s">
        <v>240</v>
      </c>
      <c r="P350" s="320" t="s">
        <v>240</v>
      </c>
      <c r="Q350" s="330">
        <f t="shared" si="180"/>
        <v>0</v>
      </c>
      <c r="R350" s="330">
        <f t="shared" si="181"/>
        <v>0</v>
      </c>
      <c r="S350" s="330">
        <f t="shared" si="182"/>
        <v>0</v>
      </c>
      <c r="T350" s="330">
        <f t="shared" si="183"/>
        <v>0</v>
      </c>
      <c r="U350" s="330">
        <f t="shared" si="174"/>
        <v>0</v>
      </c>
      <c r="W350">
        <v>2023</v>
      </c>
      <c r="Z350" s="170">
        <v>10040.354273304587</v>
      </c>
      <c r="AA350" s="170">
        <v>6787.2493325087944</v>
      </c>
      <c r="AB350" s="170">
        <v>8588.6661408469827</v>
      </c>
      <c r="AC350" s="170">
        <v>9680.7131279679052</v>
      </c>
      <c r="AD350" s="172">
        <f t="shared" si="175"/>
        <v>9323.5329068342562</v>
      </c>
      <c r="AG350">
        <v>2023</v>
      </c>
      <c r="AJ350" s="170">
        <v>10040.354273304587</v>
      </c>
      <c r="AK350" s="170">
        <v>6787.2493325087944</v>
      </c>
      <c r="AL350" s="170">
        <v>8588.6661408469827</v>
      </c>
      <c r="AM350" s="170"/>
      <c r="AN350" s="172">
        <f t="shared" si="176"/>
        <v>9014.6243803152192</v>
      </c>
    </row>
    <row r="351" spans="5:40">
      <c r="E351">
        <v>2024</v>
      </c>
      <c r="F351" s="320"/>
      <c r="G351" s="320"/>
      <c r="H351" s="330">
        <f t="shared" si="177"/>
        <v>0</v>
      </c>
      <c r="I351" s="330">
        <f t="shared" si="178"/>
        <v>0</v>
      </c>
      <c r="J351" s="330">
        <f t="shared" si="179"/>
        <v>0</v>
      </c>
      <c r="K351" s="330"/>
      <c r="L351" s="330">
        <f t="shared" si="173"/>
        <v>0</v>
      </c>
      <c r="M351" s="330"/>
      <c r="N351">
        <v>2024</v>
      </c>
      <c r="O351" s="320" t="s">
        <v>240</v>
      </c>
      <c r="P351" s="320" t="s">
        <v>240</v>
      </c>
      <c r="Q351" s="330">
        <f t="shared" si="180"/>
        <v>0</v>
      </c>
      <c r="R351" s="330">
        <f t="shared" si="181"/>
        <v>0</v>
      </c>
      <c r="S351" s="330">
        <f t="shared" si="182"/>
        <v>0</v>
      </c>
      <c r="T351" s="330">
        <f t="shared" si="183"/>
        <v>0</v>
      </c>
      <c r="U351" s="330">
        <f t="shared" si="174"/>
        <v>0</v>
      </c>
      <c r="W351">
        <v>2024</v>
      </c>
      <c r="Z351" s="170">
        <v>10417.260805762548</v>
      </c>
      <c r="AA351" s="170">
        <v>7042.0370164100641</v>
      </c>
      <c r="AB351" s="170">
        <v>8911.0775105525936</v>
      </c>
      <c r="AC351" s="170">
        <v>10044.119031530881</v>
      </c>
      <c r="AD351" s="172">
        <f t="shared" si="175"/>
        <v>9673.0828066377471</v>
      </c>
      <c r="AG351">
        <v>2024</v>
      </c>
      <c r="AJ351" s="170">
        <v>10417.260805762548</v>
      </c>
      <c r="AK351" s="170">
        <v>7042.0370164100641</v>
      </c>
      <c r="AL351" s="170">
        <v>8911.0775105525936</v>
      </c>
      <c r="AM351" s="170"/>
      <c r="AN351" s="172">
        <f t="shared" si="176"/>
        <v>9353.7040733545655</v>
      </c>
    </row>
    <row r="352" spans="5:40">
      <c r="E352">
        <v>2025</v>
      </c>
      <c r="F352" s="320"/>
      <c r="G352" s="320"/>
      <c r="H352" s="330">
        <f t="shared" si="177"/>
        <v>0</v>
      </c>
      <c r="I352" s="330">
        <f t="shared" si="178"/>
        <v>0</v>
      </c>
      <c r="J352" s="330">
        <f t="shared" si="179"/>
        <v>0</v>
      </c>
      <c r="K352" s="330"/>
      <c r="L352" s="330">
        <f t="shared" si="173"/>
        <v>0</v>
      </c>
      <c r="M352" s="330"/>
      <c r="N352">
        <v>2025</v>
      </c>
      <c r="O352" s="320" t="s">
        <v>240</v>
      </c>
      <c r="P352" s="320" t="s">
        <v>240</v>
      </c>
      <c r="Q352" s="330">
        <f t="shared" si="180"/>
        <v>0</v>
      </c>
      <c r="R352" s="330">
        <f t="shared" si="181"/>
        <v>0</v>
      </c>
      <c r="S352" s="330">
        <f t="shared" si="182"/>
        <v>0</v>
      </c>
      <c r="T352" s="330">
        <f t="shared" si="183"/>
        <v>0</v>
      </c>
      <c r="U352" s="330">
        <f t="shared" si="174"/>
        <v>0</v>
      </c>
      <c r="W352">
        <v>2025</v>
      </c>
      <c r="Z352" s="170">
        <v>10808.316095360202</v>
      </c>
      <c r="AA352" s="170">
        <v>7306.3892176419176</v>
      </c>
      <c r="AB352" s="170">
        <v>9245.5919344008125</v>
      </c>
      <c r="AC352" s="170">
        <v>10421.166889875358</v>
      </c>
      <c r="AD352" s="172">
        <f t="shared" si="175"/>
        <v>10035.909839326549</v>
      </c>
      <c r="AG352">
        <v>2025</v>
      </c>
      <c r="AJ352" s="170">
        <v>10808.316095360202</v>
      </c>
      <c r="AK352" s="170">
        <v>7306.3892176419176</v>
      </c>
      <c r="AL352" s="170">
        <v>9245.5919344008125</v>
      </c>
      <c r="AM352" s="170"/>
      <c r="AN352" s="172">
        <f t="shared" si="176"/>
        <v>9705.7069392149315</v>
      </c>
    </row>
    <row r="353" spans="5:40">
      <c r="E353">
        <v>2026</v>
      </c>
      <c r="F353" s="320"/>
      <c r="G353" s="320"/>
      <c r="H353" s="330">
        <f t="shared" si="177"/>
        <v>0</v>
      </c>
      <c r="I353" s="330">
        <f t="shared" si="178"/>
        <v>0</v>
      </c>
      <c r="J353" s="330">
        <f t="shared" si="179"/>
        <v>0</v>
      </c>
      <c r="K353" s="330"/>
      <c r="L353" s="330">
        <f t="shared" si="173"/>
        <v>0</v>
      </c>
      <c r="M353" s="330"/>
      <c r="N353">
        <v>2026</v>
      </c>
      <c r="O353" s="320" t="s">
        <v>240</v>
      </c>
      <c r="P353" s="320" t="s">
        <v>240</v>
      </c>
      <c r="Q353" s="330">
        <f t="shared" si="180"/>
        <v>0</v>
      </c>
      <c r="R353" s="330">
        <f t="shared" si="181"/>
        <v>0</v>
      </c>
      <c r="S353" s="330">
        <f t="shared" si="182"/>
        <v>0</v>
      </c>
      <c r="T353" s="330">
        <f t="shared" si="183"/>
        <v>0</v>
      </c>
      <c r="U353" s="330">
        <f t="shared" si="174"/>
        <v>0</v>
      </c>
      <c r="W353">
        <v>2026</v>
      </c>
      <c r="Z353" s="170">
        <v>11214.051274649944</v>
      </c>
      <c r="AA353" s="170">
        <v>7580.6649802145139</v>
      </c>
      <c r="AB353" s="170">
        <v>9592.6637509582742</v>
      </c>
      <c r="AC353" s="170">
        <v>10812.368810615537</v>
      </c>
      <c r="AD353" s="172">
        <f t="shared" si="175"/>
        <v>10412.514756829405</v>
      </c>
      <c r="AG353">
        <v>2026</v>
      </c>
      <c r="AJ353" s="170">
        <v>11214.051274649944</v>
      </c>
      <c r="AK353" s="170">
        <v>7580.6649802145139</v>
      </c>
      <c r="AL353" s="170">
        <v>9592.6637509582742</v>
      </c>
      <c r="AM353" s="170"/>
      <c r="AN353" s="172">
        <f t="shared" si="176"/>
        <v>10071.113721945112</v>
      </c>
    </row>
    <row r="354" spans="5:40">
      <c r="E354">
        <v>2027</v>
      </c>
      <c r="F354" s="320"/>
      <c r="G354" s="320"/>
      <c r="H354" s="330">
        <f t="shared" si="177"/>
        <v>0</v>
      </c>
      <c r="I354" s="330">
        <f t="shared" si="178"/>
        <v>0</v>
      </c>
      <c r="J354" s="330">
        <f t="shared" si="179"/>
        <v>0</v>
      </c>
      <c r="K354" s="330"/>
      <c r="L354" s="330">
        <f t="shared" si="173"/>
        <v>0</v>
      </c>
      <c r="M354" s="330"/>
      <c r="N354">
        <v>2027</v>
      </c>
      <c r="O354" s="320" t="s">
        <v>240</v>
      </c>
      <c r="P354" s="320" t="s">
        <v>240</v>
      </c>
      <c r="Q354" s="330">
        <f t="shared" si="180"/>
        <v>0</v>
      </c>
      <c r="R354" s="330">
        <f t="shared" si="181"/>
        <v>0</v>
      </c>
      <c r="S354" s="330">
        <f t="shared" si="182"/>
        <v>0</v>
      </c>
      <c r="T354" s="330">
        <f t="shared" si="183"/>
        <v>0</v>
      </c>
      <c r="U354" s="330">
        <f t="shared" si="174"/>
        <v>0</v>
      </c>
      <c r="W354">
        <v>2027</v>
      </c>
      <c r="Z354" s="170">
        <v>11635.017414457574</v>
      </c>
      <c r="AA354" s="170">
        <v>7865.2368263509497</v>
      </c>
      <c r="AB354" s="170">
        <v>9952.7643542827882</v>
      </c>
      <c r="AC354" s="170">
        <v>11218.256125458702</v>
      </c>
      <c r="AD354" s="172">
        <f t="shared" si="175"/>
        <v>10803.416751867935</v>
      </c>
      <c r="AG354">
        <v>2027</v>
      </c>
      <c r="AJ354" s="170">
        <v>11635.017414457574</v>
      </c>
      <c r="AK354" s="170">
        <v>7865.2368263509497</v>
      </c>
      <c r="AL354" s="170">
        <v>9952.7643542827882</v>
      </c>
      <c r="AM354" s="170"/>
      <c r="AN354" s="172">
        <f t="shared" si="176"/>
        <v>10450.423973313709</v>
      </c>
    </row>
    <row r="355" spans="5:40">
      <c r="E355">
        <v>2028</v>
      </c>
      <c r="F355" s="320"/>
      <c r="G355" s="320"/>
      <c r="H355" s="330">
        <f t="shared" si="177"/>
        <v>0</v>
      </c>
      <c r="I355" s="330">
        <f t="shared" si="178"/>
        <v>0</v>
      </c>
      <c r="J355" s="330">
        <f t="shared" si="179"/>
        <v>0</v>
      </c>
      <c r="K355" s="330"/>
      <c r="L355" s="330">
        <f t="shared" si="173"/>
        <v>0</v>
      </c>
      <c r="M355" s="330"/>
      <c r="N355">
        <v>2028</v>
      </c>
      <c r="O355" s="320" t="s">
        <v>240</v>
      </c>
      <c r="P355" s="320" t="s">
        <v>240</v>
      </c>
      <c r="Q355" s="330">
        <f t="shared" si="180"/>
        <v>0</v>
      </c>
      <c r="R355" s="330">
        <f t="shared" si="181"/>
        <v>0</v>
      </c>
      <c r="S355" s="330">
        <f t="shared" si="182"/>
        <v>0</v>
      </c>
      <c r="T355" s="330">
        <f t="shared" si="183"/>
        <v>0</v>
      </c>
      <c r="U355" s="330">
        <f t="shared" si="174"/>
        <v>0</v>
      </c>
      <c r="W355">
        <v>2028</v>
      </c>
      <c r="Z355" s="170">
        <v>12071.786272348467</v>
      </c>
      <c r="AA355" s="170">
        <v>8160.4912624481422</v>
      </c>
      <c r="AB355" s="170">
        <v>10326.382834172269</v>
      </c>
      <c r="AC355" s="170">
        <v>11639.38011186165</v>
      </c>
      <c r="AD355" s="172">
        <f t="shared" si="175"/>
        <v>11209.154187105629</v>
      </c>
      <c r="AG355">
        <v>2028</v>
      </c>
      <c r="AJ355" s="170">
        <v>12071.786272348467</v>
      </c>
      <c r="AK355" s="170">
        <v>8160.4912624481422</v>
      </c>
      <c r="AL355" s="170">
        <v>10326.382834172269</v>
      </c>
      <c r="AM355" s="170"/>
      <c r="AN355" s="172">
        <f t="shared" si="176"/>
        <v>10844.156686387656</v>
      </c>
    </row>
    <row r="356" spans="5:40">
      <c r="E356">
        <v>2029</v>
      </c>
      <c r="F356" s="320"/>
      <c r="G356" s="320"/>
      <c r="H356" s="330">
        <f t="shared" si="177"/>
        <v>0</v>
      </c>
      <c r="I356" s="330">
        <f t="shared" si="178"/>
        <v>0</v>
      </c>
      <c r="J356" s="330">
        <f t="shared" si="179"/>
        <v>0</v>
      </c>
      <c r="K356" s="330"/>
      <c r="L356" s="330">
        <f t="shared" si="173"/>
        <v>0</v>
      </c>
      <c r="M356" s="330"/>
      <c r="N356">
        <v>2029</v>
      </c>
      <c r="O356" s="320" t="s">
        <v>240</v>
      </c>
      <c r="P356" s="320" t="s">
        <v>240</v>
      </c>
      <c r="Q356" s="330">
        <f t="shared" si="180"/>
        <v>0</v>
      </c>
      <c r="R356" s="330">
        <f t="shared" si="181"/>
        <v>0</v>
      </c>
      <c r="S356" s="330">
        <f t="shared" si="182"/>
        <v>0</v>
      </c>
      <c r="T356" s="330">
        <f t="shared" si="183"/>
        <v>0</v>
      </c>
      <c r="U356" s="330">
        <f t="shared" si="174"/>
        <v>0</v>
      </c>
      <c r="W356">
        <v>2029</v>
      </c>
      <c r="Z356" s="170">
        <v>12524.951069190534</v>
      </c>
      <c r="AA356" s="170">
        <v>8466.82930403106</v>
      </c>
      <c r="AB356" s="170">
        <v>10714.026640448068</v>
      </c>
      <c r="AC356" s="170">
        <v>12076.31274177751</v>
      </c>
      <c r="AD356" s="172">
        <f t="shared" si="175"/>
        <v>11630.285352891557</v>
      </c>
      <c r="AG356">
        <v>2029</v>
      </c>
      <c r="AJ356" s="170">
        <v>12524.951069190534</v>
      </c>
      <c r="AK356" s="170">
        <v>8466.82930403106</v>
      </c>
      <c r="AL356" s="170">
        <v>10714.026640448068</v>
      </c>
      <c r="AM356" s="170"/>
      <c r="AN356" s="172">
        <f t="shared" si="176"/>
        <v>11252.850962821647</v>
      </c>
    </row>
    <row r="357" spans="5:40">
      <c r="E357">
        <v>2030</v>
      </c>
      <c r="F357" s="320"/>
      <c r="G357" s="320"/>
      <c r="H357" s="330">
        <f t="shared" si="177"/>
        <v>0</v>
      </c>
      <c r="I357" s="330">
        <f t="shared" si="178"/>
        <v>0</v>
      </c>
      <c r="J357" s="330">
        <f t="shared" si="179"/>
        <v>0</v>
      </c>
      <c r="K357" s="330"/>
      <c r="L357" s="330">
        <f t="shared" si="173"/>
        <v>0</v>
      </c>
      <c r="M357" s="330"/>
      <c r="N357">
        <v>2030</v>
      </c>
      <c r="O357" s="320" t="s">
        <v>240</v>
      </c>
      <c r="P357" s="320" t="s">
        <v>240</v>
      </c>
      <c r="Q357" s="330">
        <f t="shared" si="180"/>
        <v>0</v>
      </c>
      <c r="R357" s="330">
        <f t="shared" si="181"/>
        <v>0</v>
      </c>
      <c r="S357" s="330">
        <f t="shared" si="182"/>
        <v>0</v>
      </c>
      <c r="T357" s="330">
        <f t="shared" si="183"/>
        <v>0</v>
      </c>
      <c r="U357" s="330">
        <f t="shared" si="174"/>
        <v>0</v>
      </c>
      <c r="W357">
        <v>2030</v>
      </c>
      <c r="Z357" s="170">
        <v>12995.127294868722</v>
      </c>
      <c r="AA357" s="170">
        <v>8784.6670204132988</v>
      </c>
      <c r="AB357" s="170">
        <v>11116.222272174955</v>
      </c>
      <c r="AC357" s="170">
        <v>12529.647458509888</v>
      </c>
      <c r="AD357" s="172">
        <f t="shared" si="175"/>
        <v>12067.389253836423</v>
      </c>
      <c r="AG357">
        <v>2030</v>
      </c>
      <c r="AJ357" s="170">
        <v>12995.127294868722</v>
      </c>
      <c r="AK357" s="170">
        <v>8784.6670204132988</v>
      </c>
      <c r="AL357" s="170">
        <v>11116.222272174955</v>
      </c>
      <c r="AM357" s="170"/>
      <c r="AN357" s="172">
        <f t="shared" si="176"/>
        <v>11677.066713679393</v>
      </c>
    </row>
    <row r="358" spans="5:40">
      <c r="E358">
        <v>2040</v>
      </c>
      <c r="F358" s="320"/>
      <c r="G358" s="320"/>
      <c r="H358" s="330">
        <f t="shared" ref="H358:J364" si="184">H357*(1+$C$6)^10</f>
        <v>0</v>
      </c>
      <c r="I358" s="330">
        <f t="shared" si="184"/>
        <v>0</v>
      </c>
      <c r="J358" s="330">
        <f t="shared" si="184"/>
        <v>0</v>
      </c>
      <c r="K358" s="330"/>
      <c r="L358" s="330">
        <f t="shared" si="173"/>
        <v>0</v>
      </c>
      <c r="M358" s="330"/>
      <c r="N358">
        <v>2040</v>
      </c>
      <c r="O358" s="320" t="s">
        <v>240</v>
      </c>
      <c r="P358" s="320" t="s">
        <v>240</v>
      </c>
      <c r="Q358" s="330">
        <f t="shared" ref="Q358:T364" si="185">Q357*(1+$C$6)^10</f>
        <v>0</v>
      </c>
      <c r="R358" s="330">
        <f t="shared" si="185"/>
        <v>0</v>
      </c>
      <c r="S358" s="330">
        <f t="shared" si="185"/>
        <v>0</v>
      </c>
      <c r="T358" s="330">
        <f t="shared" si="185"/>
        <v>0</v>
      </c>
      <c r="U358" s="330">
        <f t="shared" si="174"/>
        <v>0</v>
      </c>
      <c r="W358">
        <v>2040</v>
      </c>
      <c r="Z358" s="170">
        <v>18785.62026918539</v>
      </c>
      <c r="AA358" s="170">
        <v>12699.022879282045</v>
      </c>
      <c r="AB358" s="170">
        <v>16069.494795591341</v>
      </c>
      <c r="AC358" s="170">
        <v>18112.727480189595</v>
      </c>
      <c r="AD358" s="172">
        <f t="shared" si="175"/>
        <v>17453.739681308933</v>
      </c>
      <c r="AG358">
        <v>2040</v>
      </c>
      <c r="AJ358" s="170">
        <v>18785.62026918539</v>
      </c>
      <c r="AK358" s="170">
        <v>12699.022879282045</v>
      </c>
      <c r="AL358" s="170">
        <v>16069.494795591341</v>
      </c>
      <c r="AM358" s="170"/>
      <c r="AN358" s="172">
        <f t="shared" si="176"/>
        <v>16907.146879246924</v>
      </c>
    </row>
    <row r="359" spans="5:40">
      <c r="E359">
        <v>2050</v>
      </c>
      <c r="F359" s="320"/>
      <c r="G359" s="320"/>
      <c r="H359" s="330">
        <f t="shared" si="184"/>
        <v>0</v>
      </c>
      <c r="I359" s="330">
        <f t="shared" si="184"/>
        <v>0</v>
      </c>
      <c r="J359" s="330">
        <f t="shared" si="184"/>
        <v>0</v>
      </c>
      <c r="K359" s="330"/>
      <c r="L359" s="330">
        <f t="shared" si="173"/>
        <v>0</v>
      </c>
      <c r="M359" s="330"/>
      <c r="N359">
        <v>2050</v>
      </c>
      <c r="O359" s="320" t="s">
        <v>240</v>
      </c>
      <c r="P359" s="320" t="s">
        <v>240</v>
      </c>
      <c r="Q359" s="330">
        <f t="shared" si="185"/>
        <v>0</v>
      </c>
      <c r="R359" s="330">
        <f t="shared" si="185"/>
        <v>0</v>
      </c>
      <c r="S359" s="330">
        <f t="shared" si="185"/>
        <v>0</v>
      </c>
      <c r="T359" s="330">
        <f t="shared" si="185"/>
        <v>0</v>
      </c>
      <c r="U359" s="330">
        <f t="shared" si="174"/>
        <v>0</v>
      </c>
      <c r="W359">
        <v>2050</v>
      </c>
      <c r="Z359" s="170">
        <v>27156.296424843447</v>
      </c>
      <c r="AA359" s="170">
        <v>18357.574819146837</v>
      </c>
      <c r="AB359" s="170">
        <v>23229.893813108618</v>
      </c>
      <c r="AC359" s="170">
        <v>26183.569638170153</v>
      </c>
      <c r="AD359" s="172">
        <f t="shared" si="175"/>
        <v>25263.46248423661</v>
      </c>
      <c r="AG359">
        <v>2050</v>
      </c>
      <c r="AJ359" s="170">
        <v>27156.296424843447</v>
      </c>
      <c r="AK359" s="170">
        <v>18357.574819146837</v>
      </c>
      <c r="AL359" s="170">
        <v>23229.893813108618</v>
      </c>
      <c r="AM359" s="170"/>
      <c r="AN359" s="172">
        <f t="shared" si="176"/>
        <v>24440.794915051589</v>
      </c>
    </row>
    <row r="360" spans="5:40">
      <c r="E360">
        <v>2060</v>
      </c>
      <c r="F360" s="320"/>
      <c r="G360" s="320"/>
      <c r="H360" s="330">
        <f t="shared" si="184"/>
        <v>0</v>
      </c>
      <c r="I360" s="330">
        <f t="shared" si="184"/>
        <v>0</v>
      </c>
      <c r="J360" s="330">
        <f t="shared" si="184"/>
        <v>0</v>
      </c>
      <c r="K360" s="330"/>
      <c r="L360" s="330">
        <f t="shared" si="173"/>
        <v>0</v>
      </c>
      <c r="M360" s="330"/>
      <c r="N360">
        <v>2060</v>
      </c>
      <c r="O360" s="320" t="s">
        <v>240</v>
      </c>
      <c r="P360" s="320" t="s">
        <v>240</v>
      </c>
      <c r="Q360" s="330">
        <f t="shared" si="185"/>
        <v>0</v>
      </c>
      <c r="R360" s="330">
        <f t="shared" si="185"/>
        <v>0</v>
      </c>
      <c r="S360" s="330">
        <f t="shared" si="185"/>
        <v>0</v>
      </c>
      <c r="T360" s="330">
        <f t="shared" si="185"/>
        <v>0</v>
      </c>
      <c r="U360" s="330">
        <f t="shared" si="174"/>
        <v>0</v>
      </c>
      <c r="W360">
        <v>2060</v>
      </c>
      <c r="Z360" s="170">
        <v>39256.85843462139</v>
      </c>
      <c r="AA360" s="170">
        <v>26537.518393669259</v>
      </c>
      <c r="AB360" s="170">
        <v>33580.89183465486</v>
      </c>
      <c r="AC360" s="170">
        <v>37850.694752998599</v>
      </c>
      <c r="AD360" s="172">
        <f t="shared" si="175"/>
        <v>36520.597462794933</v>
      </c>
      <c r="AG360">
        <v>2060</v>
      </c>
      <c r="AJ360" s="170">
        <v>39256.85843462139</v>
      </c>
      <c r="AK360" s="170">
        <v>26537.518393669259</v>
      </c>
      <c r="AL360" s="170">
        <v>33580.89183465486</v>
      </c>
      <c r="AM360" s="170"/>
      <c r="AN360" s="172">
        <f t="shared" si="176"/>
        <v>35331.357818441014</v>
      </c>
    </row>
    <row r="361" spans="5:40">
      <c r="E361">
        <v>2070</v>
      </c>
      <c r="F361" s="320"/>
      <c r="G361" s="320"/>
      <c r="H361" s="330">
        <f t="shared" si="184"/>
        <v>0</v>
      </c>
      <c r="I361" s="330">
        <f t="shared" si="184"/>
        <v>0</v>
      </c>
      <c r="J361" s="330">
        <f t="shared" si="184"/>
        <v>0</v>
      </c>
      <c r="K361" s="330"/>
      <c r="L361" s="330">
        <f t="shared" si="173"/>
        <v>0</v>
      </c>
      <c r="M361" s="330"/>
      <c r="N361">
        <v>2070</v>
      </c>
      <c r="O361" s="320" t="s">
        <v>240</v>
      </c>
      <c r="P361" s="320" t="s">
        <v>240</v>
      </c>
      <c r="Q361" s="330">
        <f t="shared" si="185"/>
        <v>0</v>
      </c>
      <c r="R361" s="330">
        <f t="shared" si="185"/>
        <v>0</v>
      </c>
      <c r="S361" s="330">
        <f t="shared" si="185"/>
        <v>0</v>
      </c>
      <c r="T361" s="330">
        <f t="shared" si="185"/>
        <v>0</v>
      </c>
      <c r="U361" s="330">
        <f t="shared" si="174"/>
        <v>0</v>
      </c>
      <c r="W361">
        <v>2070</v>
      </c>
      <c r="Z361" s="170">
        <v>56749.304472389551</v>
      </c>
      <c r="AA361" s="170">
        <v>38362.359376567343</v>
      </c>
      <c r="AB361" s="170">
        <v>48544.186447139167</v>
      </c>
      <c r="AC361" s="170">
        <v>54716.568943148835</v>
      </c>
      <c r="AD361" s="172">
        <f t="shared" si="175"/>
        <v>52793.794194747192</v>
      </c>
      <c r="AG361">
        <v>2070</v>
      </c>
      <c r="AJ361" s="170">
        <v>56749.304472389551</v>
      </c>
      <c r="AK361" s="170">
        <v>38362.359376567343</v>
      </c>
      <c r="AL361" s="170">
        <v>48544.186447139167</v>
      </c>
      <c r="AM361" s="170"/>
      <c r="AN361" s="172">
        <f t="shared" si="176"/>
        <v>51074.641787774213</v>
      </c>
    </row>
    <row r="362" spans="5:40">
      <c r="E362">
        <v>2080</v>
      </c>
      <c r="F362" s="320"/>
      <c r="G362" s="320"/>
      <c r="H362" s="330">
        <f t="shared" si="184"/>
        <v>0</v>
      </c>
      <c r="I362" s="330">
        <f t="shared" si="184"/>
        <v>0</v>
      </c>
      <c r="J362" s="330">
        <f t="shared" si="184"/>
        <v>0</v>
      </c>
      <c r="K362" s="330"/>
      <c r="L362" s="330">
        <f t="shared" si="173"/>
        <v>0</v>
      </c>
      <c r="M362" s="330"/>
      <c r="N362">
        <v>2080</v>
      </c>
      <c r="O362" s="320" t="s">
        <v>240</v>
      </c>
      <c r="P362" s="320" t="s">
        <v>240</v>
      </c>
      <c r="Q362" s="330">
        <f t="shared" si="185"/>
        <v>0</v>
      </c>
      <c r="R362" s="330">
        <f t="shared" si="185"/>
        <v>0</v>
      </c>
      <c r="S362" s="330">
        <f t="shared" si="185"/>
        <v>0</v>
      </c>
      <c r="T362" s="330">
        <f t="shared" si="185"/>
        <v>0</v>
      </c>
      <c r="U362" s="330">
        <f t="shared" si="174"/>
        <v>0</v>
      </c>
      <c r="W362">
        <v>2080</v>
      </c>
      <c r="Z362" s="170">
        <v>82036.201736911404</v>
      </c>
      <c r="AA362" s="170">
        <v>55456.225978084804</v>
      </c>
      <c r="AB362" s="170">
        <v>70174.968831015576</v>
      </c>
      <c r="AC362" s="170">
        <v>79097.700489980489</v>
      </c>
      <c r="AD362" s="172">
        <f t="shared" si="175"/>
        <v>76318.157399170275</v>
      </c>
      <c r="AG362">
        <v>2080</v>
      </c>
      <c r="AJ362" s="170">
        <v>82036.201736911404</v>
      </c>
      <c r="AK362" s="170">
        <v>55456.225978084804</v>
      </c>
      <c r="AL362" s="170">
        <v>70174.968831015576</v>
      </c>
      <c r="AM362" s="170"/>
      <c r="AN362" s="172">
        <f t="shared" si="176"/>
        <v>73832.968638071907</v>
      </c>
    </row>
    <row r="363" spans="5:40">
      <c r="E363">
        <v>2090</v>
      </c>
      <c r="F363" s="320"/>
      <c r="G363" s="320"/>
      <c r="H363" s="330">
        <f t="shared" si="184"/>
        <v>0</v>
      </c>
      <c r="I363" s="330">
        <f t="shared" si="184"/>
        <v>0</v>
      </c>
      <c r="J363" s="330">
        <f t="shared" si="184"/>
        <v>0</v>
      </c>
      <c r="K363" s="330"/>
      <c r="L363" s="330">
        <f t="shared" si="173"/>
        <v>0</v>
      </c>
      <c r="M363" s="330"/>
      <c r="N363">
        <v>2090</v>
      </c>
      <c r="O363" s="320" t="s">
        <v>240</v>
      </c>
      <c r="P363" s="320" t="s">
        <v>240</v>
      </c>
      <c r="Q363" s="330">
        <f t="shared" si="185"/>
        <v>0</v>
      </c>
      <c r="R363" s="330">
        <f t="shared" si="185"/>
        <v>0</v>
      </c>
      <c r="S363" s="330">
        <f t="shared" si="185"/>
        <v>0</v>
      </c>
      <c r="T363" s="330">
        <f t="shared" si="185"/>
        <v>0</v>
      </c>
      <c r="U363" s="330">
        <f t="shared" si="174"/>
        <v>0</v>
      </c>
      <c r="W363">
        <v>2090</v>
      </c>
      <c r="Z363" s="170">
        <v>118590.67627328486</v>
      </c>
      <c r="AA363" s="170">
        <v>80166.940973159552</v>
      </c>
      <c r="AB363" s="170">
        <v>101444.2018880352</v>
      </c>
      <c r="AC363" s="170">
        <v>114342.80956657173</v>
      </c>
      <c r="AD363" s="172">
        <f t="shared" si="175"/>
        <v>110324.73110985538</v>
      </c>
      <c r="AG363">
        <v>2090</v>
      </c>
      <c r="AJ363" s="170">
        <v>118590.67627328486</v>
      </c>
      <c r="AK363" s="170">
        <v>80166.940973159552</v>
      </c>
      <c r="AL363" s="170">
        <v>101444.2018880352</v>
      </c>
      <c r="AM363" s="170"/>
      <c r="AN363" s="172">
        <f t="shared" si="176"/>
        <v>106732.16819731847</v>
      </c>
    </row>
    <row r="364" spans="5:40">
      <c r="E364">
        <v>2100</v>
      </c>
      <c r="F364" s="320"/>
      <c r="G364" s="320"/>
      <c r="H364" s="330">
        <f t="shared" si="184"/>
        <v>0</v>
      </c>
      <c r="I364" s="330">
        <f t="shared" si="184"/>
        <v>0</v>
      </c>
      <c r="J364" s="330">
        <f t="shared" si="184"/>
        <v>0</v>
      </c>
      <c r="K364" s="330"/>
      <c r="L364" s="330">
        <f t="shared" si="173"/>
        <v>0</v>
      </c>
      <c r="M364" s="330"/>
      <c r="N364">
        <v>2100</v>
      </c>
      <c r="O364" s="320" t="s">
        <v>240</v>
      </c>
      <c r="P364" s="320" t="s">
        <v>240</v>
      </c>
      <c r="Q364" s="330">
        <f t="shared" si="185"/>
        <v>0</v>
      </c>
      <c r="R364" s="330">
        <f t="shared" si="185"/>
        <v>0</v>
      </c>
      <c r="S364" s="330">
        <f t="shared" si="185"/>
        <v>0</v>
      </c>
      <c r="T364" s="330">
        <f t="shared" si="185"/>
        <v>0</v>
      </c>
      <c r="U364" s="330">
        <f t="shared" si="174"/>
        <v>0</v>
      </c>
      <c r="W364">
        <v>2100</v>
      </c>
      <c r="Z364" s="170">
        <v>171433.44281171419</v>
      </c>
      <c r="AA364" s="170">
        <v>115888.49243967244</v>
      </c>
      <c r="AB364" s="170">
        <v>146646.67855402184</v>
      </c>
      <c r="AC364" s="170">
        <v>165292.77107409007</v>
      </c>
      <c r="AD364" s="172">
        <f t="shared" si="175"/>
        <v>159484.27883027247</v>
      </c>
      <c r="AG364">
        <v>2100</v>
      </c>
      <c r="AJ364" s="170">
        <v>171433.44281171419</v>
      </c>
      <c r="AK364" s="170">
        <v>115888.49243967244</v>
      </c>
      <c r="AL364" s="170">
        <v>146646.67855402184</v>
      </c>
      <c r="AM364" s="170"/>
      <c r="AN364" s="172">
        <f t="shared" si="176"/>
        <v>154290.90741214671</v>
      </c>
    </row>
    <row r="365" spans="5:40">
      <c r="F365" s="581" t="s">
        <v>249</v>
      </c>
      <c r="G365" s="581"/>
      <c r="H365" s="581"/>
      <c r="I365" s="581"/>
      <c r="J365" s="581"/>
      <c r="K365" s="581"/>
      <c r="O365" s="581" t="s">
        <v>249</v>
      </c>
      <c r="P365" s="581"/>
      <c r="Q365" s="581"/>
      <c r="R365" s="581"/>
      <c r="S365" s="581"/>
      <c r="T365" s="581"/>
      <c r="X365" s="581" t="s">
        <v>249</v>
      </c>
      <c r="Y365" s="581"/>
      <c r="Z365" s="581"/>
      <c r="AA365" s="581"/>
      <c r="AB365" s="581"/>
      <c r="AC365" s="581"/>
      <c r="AH365" s="581" t="s">
        <v>249</v>
      </c>
      <c r="AI365" s="581"/>
      <c r="AJ365" s="581"/>
      <c r="AK365" s="581"/>
      <c r="AL365" s="581"/>
      <c r="AM365" s="581"/>
    </row>
    <row r="366" spans="5:40">
      <c r="E366">
        <v>2020</v>
      </c>
      <c r="F366" s="320" t="s">
        <v>240</v>
      </c>
      <c r="G366" s="320" t="s">
        <v>240</v>
      </c>
      <c r="H366" s="179">
        <f t="shared" ref="H366:J383" si="186">SUM($L214,$L252,$L290,$L328)*H138 + SUM($L233,$L271,$L309,$L347)*H157</f>
        <v>132181914.16313089</v>
      </c>
      <c r="I366" s="179">
        <f t="shared" si="186"/>
        <v>63612351.453214213</v>
      </c>
      <c r="J366" s="179">
        <f t="shared" si="186"/>
        <v>40197839.778503947</v>
      </c>
      <c r="K366" s="179"/>
      <c r="L366" s="433">
        <f t="shared" ref="L366:L383" si="187">SUM(H366:K366)/(SUM(F404:K404)*1000)</f>
        <v>1.8196084749382598E-4</v>
      </c>
      <c r="M366" s="194"/>
      <c r="N366">
        <v>2020</v>
      </c>
      <c r="O366" s="320" t="s">
        <v>240</v>
      </c>
      <c r="P366" s="320" t="s">
        <v>240</v>
      </c>
      <c r="Q366" s="179">
        <f t="shared" ref="Q366:T383" si="188">SUM($U214,$U252,$U290,$U328)*Q138 + SUM($U233,$U271,$U309,$U347)*Q157</f>
        <v>127337375.56186149</v>
      </c>
      <c r="R366" s="179">
        <f t="shared" si="188"/>
        <v>61280924.388598666</v>
      </c>
      <c r="S366" s="179">
        <f t="shared" si="188"/>
        <v>38724567.222817786</v>
      </c>
      <c r="T366" s="179">
        <f t="shared" si="188"/>
        <v>13570047.182038629</v>
      </c>
      <c r="U366" s="433">
        <f t="shared" ref="U366:U383" si="189">SUM(Q366:T366)/(SUM(O404:T404)*1000)</f>
        <v>1.8575501919844189E-4</v>
      </c>
      <c r="W366">
        <v>2020</v>
      </c>
      <c r="X366" t="s">
        <v>240</v>
      </c>
      <c r="Y366" t="s">
        <v>240</v>
      </c>
      <c r="Z366" s="179">
        <f t="shared" ref="Z366:AC383" si="190">SUM($AD214,$AD252,$AD290,$AD328)*Z138 + SUM($AD233,$AD271,$AD309,$AD347)*Z157</f>
        <v>361324053.73446035</v>
      </c>
      <c r="AA366" s="179">
        <f t="shared" si="190"/>
        <v>174379402.54077473</v>
      </c>
      <c r="AB366" s="179">
        <f t="shared" si="190"/>
        <v>111882073.75364551</v>
      </c>
      <c r="AC366" s="179">
        <f t="shared" si="190"/>
        <v>37423521.279412806</v>
      </c>
      <c r="AD366" s="433">
        <f t="shared" ref="AD366:AD383" si="191">SUM(Z366:AC366)/(SUM(X404:AC404)*1000)</f>
        <v>5.2817371711841754E-4</v>
      </c>
      <c r="AG366">
        <v>2020</v>
      </c>
      <c r="AH366" t="s">
        <v>240</v>
      </c>
      <c r="AI366" t="s">
        <v>240</v>
      </c>
      <c r="AJ366" s="179">
        <f t="shared" ref="AJ366:AM383" si="192">SUM($AN214,$AN252,$AN290,$AN328)*AJ138 + SUM($AN233,$AN271,$AN309,$AN347)*AJ157</f>
        <v>371606746.44482362</v>
      </c>
      <c r="AK366" s="179">
        <f t="shared" si="192"/>
        <v>179751128.57228407</v>
      </c>
      <c r="AL366" s="179">
        <f t="shared" si="192"/>
        <v>116726733.54814923</v>
      </c>
      <c r="AM366" s="179"/>
      <c r="AN366" s="433">
        <f t="shared" ref="AN366:AN383" si="193">SUM(AJ366:AM366)/(SUM(AH404:AM404)*1000)</f>
        <v>5.1512418760245749E-4</v>
      </c>
    </row>
    <row r="367" spans="5:40">
      <c r="E367">
        <v>2021</v>
      </c>
      <c r="F367" s="320" t="s">
        <v>240</v>
      </c>
      <c r="G367" s="320" t="s">
        <v>240</v>
      </c>
      <c r="H367" s="179">
        <f t="shared" si="186"/>
        <v>145753749.00380266</v>
      </c>
      <c r="I367" s="179">
        <f t="shared" si="186"/>
        <v>60468269.570386007</v>
      </c>
      <c r="J367" s="179">
        <f t="shared" si="186"/>
        <v>39807785.319293894</v>
      </c>
      <c r="K367" s="179"/>
      <c r="L367" s="433">
        <f t="shared" si="187"/>
        <v>1.8014131762321528E-4</v>
      </c>
      <c r="M367" s="194"/>
      <c r="N367">
        <v>2021</v>
      </c>
      <c r="O367" s="320" t="s">
        <v>240</v>
      </c>
      <c r="P367" s="320" t="s">
        <v>240</v>
      </c>
      <c r="Q367" s="179">
        <f t="shared" si="188"/>
        <v>140155345.04155365</v>
      </c>
      <c r="R367" s="179">
        <f t="shared" si="188"/>
        <v>58805535.42043855</v>
      </c>
      <c r="S367" s="179">
        <f t="shared" si="188"/>
        <v>38375740.654248983</v>
      </c>
      <c r="T367" s="179">
        <f t="shared" si="188"/>
        <v>14333816.259466572</v>
      </c>
      <c r="U367" s="433">
        <f t="shared" si="189"/>
        <v>1.8636186462304757E-4</v>
      </c>
      <c r="W367">
        <v>2021</v>
      </c>
      <c r="X367" t="s">
        <v>240</v>
      </c>
      <c r="Y367" t="s">
        <v>240</v>
      </c>
      <c r="Z367" s="179">
        <f t="shared" si="190"/>
        <v>397211518.05132186</v>
      </c>
      <c r="AA367" s="179">
        <f t="shared" si="190"/>
        <v>168848154.11767972</v>
      </c>
      <c r="AB367" s="179">
        <f t="shared" si="190"/>
        <v>110985326.93677869</v>
      </c>
      <c r="AC367" s="179">
        <f t="shared" si="190"/>
        <v>39796543.336489275</v>
      </c>
      <c r="AD367" s="433">
        <f t="shared" si="191"/>
        <v>5.3469540396045923E-4</v>
      </c>
      <c r="AG367">
        <v>2021</v>
      </c>
      <c r="AH367" t="s">
        <v>240</v>
      </c>
      <c r="AI367" t="s">
        <v>240</v>
      </c>
      <c r="AJ367" s="179">
        <f t="shared" si="192"/>
        <v>409702599.81508017</v>
      </c>
      <c r="AK367" s="179">
        <f t="shared" si="192"/>
        <v>171087703.20703489</v>
      </c>
      <c r="AL367" s="179">
        <f t="shared" si="192"/>
        <v>115613018.67932545</v>
      </c>
      <c r="AM367" s="179"/>
      <c r="AN367" s="433">
        <f t="shared" si="193"/>
        <v>5.0527422000719009E-4</v>
      </c>
    </row>
    <row r="368" spans="5:40">
      <c r="E368">
        <v>2022</v>
      </c>
      <c r="F368" s="320" t="s">
        <v>240</v>
      </c>
      <c r="G368" s="320" t="s">
        <v>240</v>
      </c>
      <c r="H368" s="179">
        <f t="shared" si="186"/>
        <v>159410458.71663919</v>
      </c>
      <c r="I368" s="179">
        <f t="shared" si="186"/>
        <v>57552466.241248071</v>
      </c>
      <c r="J368" s="179">
        <f t="shared" si="186"/>
        <v>39518316.261441208</v>
      </c>
      <c r="K368" s="179"/>
      <c r="L368" s="433">
        <f t="shared" si="187"/>
        <v>1.7878476807530337E-4</v>
      </c>
      <c r="M368" s="194"/>
      <c r="N368">
        <v>2022</v>
      </c>
      <c r="O368" s="320" t="s">
        <v>240</v>
      </c>
      <c r="P368" s="320" t="s">
        <v>240</v>
      </c>
      <c r="Q368" s="179">
        <f t="shared" si="188"/>
        <v>153345481.7722584</v>
      </c>
      <c r="R368" s="179">
        <f t="shared" si="188"/>
        <v>56360977.290644564</v>
      </c>
      <c r="S368" s="179">
        <f t="shared" si="188"/>
        <v>38059968.81479615</v>
      </c>
      <c r="T368" s="179">
        <f t="shared" si="188"/>
        <v>15121671.540716629</v>
      </c>
      <c r="U368" s="433">
        <f t="shared" si="189"/>
        <v>1.8725020762165072E-4</v>
      </c>
      <c r="W368">
        <v>2022</v>
      </c>
      <c r="X368" t="s">
        <v>240</v>
      </c>
      <c r="Y368" t="s">
        <v>240</v>
      </c>
      <c r="Z368" s="179">
        <f t="shared" si="190"/>
        <v>434893020.86810517</v>
      </c>
      <c r="AA368" s="179">
        <f t="shared" si="190"/>
        <v>162940598.43757221</v>
      </c>
      <c r="AB368" s="179">
        <f t="shared" si="190"/>
        <v>109987050.90522142</v>
      </c>
      <c r="AC368" s="179">
        <f t="shared" si="190"/>
        <v>42262033.572704419</v>
      </c>
      <c r="AD368" s="433">
        <f t="shared" si="191"/>
        <v>5.4182276586922401E-4</v>
      </c>
      <c r="AG368">
        <v>2022</v>
      </c>
      <c r="AH368" t="s">
        <v>240</v>
      </c>
      <c r="AI368" t="s">
        <v>240</v>
      </c>
      <c r="AJ368" s="179">
        <f t="shared" si="192"/>
        <v>448156929.12399316</v>
      </c>
      <c r="AK368" s="179">
        <f t="shared" si="192"/>
        <v>162988156.60558048</v>
      </c>
      <c r="AL368" s="179">
        <f t="shared" si="192"/>
        <v>114765194.30094628</v>
      </c>
      <c r="AM368" s="179"/>
      <c r="AN368" s="433">
        <f t="shared" si="193"/>
        <v>4.9733602918843132E-4</v>
      </c>
    </row>
    <row r="369" spans="5:40">
      <c r="E369">
        <v>2023</v>
      </c>
      <c r="F369" s="320" t="s">
        <v>240</v>
      </c>
      <c r="G369" s="320" t="s">
        <v>240</v>
      </c>
      <c r="H369" s="179">
        <f t="shared" si="186"/>
        <v>173202315.56731537</v>
      </c>
      <c r="I369" s="179">
        <f t="shared" si="186"/>
        <v>54839468.898950957</v>
      </c>
      <c r="J369" s="179">
        <f t="shared" si="186"/>
        <v>39321699.962481819</v>
      </c>
      <c r="K369" s="179"/>
      <c r="L369" s="433">
        <f t="shared" si="187"/>
        <v>1.7783896974830785E-4</v>
      </c>
      <c r="M369" s="194"/>
      <c r="N369">
        <v>2023</v>
      </c>
      <c r="O369" s="320" t="s">
        <v>240</v>
      </c>
      <c r="P369" s="320" t="s">
        <v>240</v>
      </c>
      <c r="Q369" s="179">
        <f t="shared" si="188"/>
        <v>166921951.34339502</v>
      </c>
      <c r="R369" s="179">
        <f t="shared" si="188"/>
        <v>53949404.164837435</v>
      </c>
      <c r="S369" s="179">
        <f t="shared" si="188"/>
        <v>37778928.829250231</v>
      </c>
      <c r="T369" s="179">
        <f t="shared" si="188"/>
        <v>15934677.936496977</v>
      </c>
      <c r="U369" s="433">
        <f t="shared" si="189"/>
        <v>1.8840212697193462E-4</v>
      </c>
      <c r="W369">
        <v>2023</v>
      </c>
      <c r="X369" t="s">
        <v>240</v>
      </c>
      <c r="Y369" t="s">
        <v>240</v>
      </c>
      <c r="Z369" s="179">
        <f t="shared" si="190"/>
        <v>474380043.17947412</v>
      </c>
      <c r="AA369" s="179">
        <f t="shared" si="190"/>
        <v>156687701.52157032</v>
      </c>
      <c r="AB369" s="179">
        <f t="shared" si="190"/>
        <v>108903196.79300952</v>
      </c>
      <c r="AC369" s="179">
        <f t="shared" si="190"/>
        <v>44821278.57290554</v>
      </c>
      <c r="AD369" s="433">
        <f t="shared" si="191"/>
        <v>5.4954197543969165E-4</v>
      </c>
      <c r="AG369">
        <v>2023</v>
      </c>
      <c r="AH369" t="s">
        <v>240</v>
      </c>
      <c r="AI369" t="s">
        <v>240</v>
      </c>
      <c r="AJ369" s="179">
        <f t="shared" si="192"/>
        <v>487092749.05150598</v>
      </c>
      <c r="AK369" s="179">
        <f t="shared" si="192"/>
        <v>155394846.8742232</v>
      </c>
      <c r="AL369" s="179">
        <f t="shared" si="192"/>
        <v>114165544.29254749</v>
      </c>
      <c r="AM369" s="179"/>
      <c r="AN369" s="433">
        <f t="shared" si="193"/>
        <v>4.9103783522860454E-4</v>
      </c>
    </row>
    <row r="370" spans="5:40">
      <c r="E370">
        <v>2024</v>
      </c>
      <c r="F370" s="320" t="s">
        <v>240</v>
      </c>
      <c r="G370" s="320" t="s">
        <v>240</v>
      </c>
      <c r="H370" s="179">
        <f t="shared" si="186"/>
        <v>187175745.44821972</v>
      </c>
      <c r="I370" s="179">
        <f t="shared" si="186"/>
        <v>52307144.849939615</v>
      </c>
      <c r="J370" s="179">
        <f t="shared" si="186"/>
        <v>39211355.30934526</v>
      </c>
      <c r="K370" s="179"/>
      <c r="L370" s="433">
        <f t="shared" si="187"/>
        <v>1.7726124872286084E-4</v>
      </c>
      <c r="M370" s="194"/>
      <c r="N370">
        <v>2024</v>
      </c>
      <c r="O370" s="320" t="s">
        <v>240</v>
      </c>
      <c r="P370" s="320" t="s">
        <v>240</v>
      </c>
      <c r="Q370" s="179">
        <f t="shared" si="188"/>
        <v>180900550.63513103</v>
      </c>
      <c r="R370" s="179">
        <f t="shared" si="188"/>
        <v>51572289.593980737</v>
      </c>
      <c r="S370" s="179">
        <f t="shared" si="188"/>
        <v>37534065.510198653</v>
      </c>
      <c r="T370" s="179">
        <f t="shared" si="188"/>
        <v>16773970.803557519</v>
      </c>
      <c r="U370" s="433">
        <f t="shared" si="189"/>
        <v>1.8980276179392491E-4</v>
      </c>
      <c r="W370">
        <v>2024</v>
      </c>
      <c r="X370" t="s">
        <v>240</v>
      </c>
      <c r="Y370" t="s">
        <v>240</v>
      </c>
      <c r="Z370" s="179">
        <f t="shared" si="190"/>
        <v>515686385.9197467</v>
      </c>
      <c r="AA370" s="179">
        <f t="shared" si="190"/>
        <v>150120303.71671295</v>
      </c>
      <c r="AB370" s="179">
        <f t="shared" si="190"/>
        <v>107749732.74942702</v>
      </c>
      <c r="AC370" s="179">
        <f t="shared" si="190"/>
        <v>47475796.632140338</v>
      </c>
      <c r="AD370" s="433">
        <f t="shared" si="191"/>
        <v>5.5784250792938076E-4</v>
      </c>
      <c r="AG370">
        <v>2024</v>
      </c>
      <c r="AH370" t="s">
        <v>240</v>
      </c>
      <c r="AI370" t="s">
        <v>240</v>
      </c>
      <c r="AJ370" s="179">
        <f t="shared" si="192"/>
        <v>526625901.07844496</v>
      </c>
      <c r="AK370" s="179">
        <f t="shared" si="192"/>
        <v>148256858.53734565</v>
      </c>
      <c r="AL370" s="179">
        <f t="shared" si="192"/>
        <v>113798784.58751905</v>
      </c>
      <c r="AM370" s="179"/>
      <c r="AN370" s="433">
        <f t="shared" si="193"/>
        <v>4.8616358296163796E-4</v>
      </c>
    </row>
    <row r="371" spans="5:40">
      <c r="E371">
        <v>2025</v>
      </c>
      <c r="F371" s="320" t="s">
        <v>240</v>
      </c>
      <c r="G371" s="320" t="s">
        <v>240</v>
      </c>
      <c r="H371" s="179">
        <f t="shared" si="186"/>
        <v>201374054.21658924</v>
      </c>
      <c r="I371" s="179">
        <f t="shared" si="186"/>
        <v>49936180.883093379</v>
      </c>
      <c r="J371" s="179">
        <f t="shared" si="186"/>
        <v>39181678.560562924</v>
      </c>
      <c r="K371" s="179"/>
      <c r="L371" s="433">
        <f t="shared" si="187"/>
        <v>1.7701650203779792E-4</v>
      </c>
      <c r="M371" s="194"/>
      <c r="N371">
        <v>2025</v>
      </c>
      <c r="O371" s="320" t="s">
        <v>240</v>
      </c>
      <c r="P371" s="320" t="s">
        <v>240</v>
      </c>
      <c r="Q371" s="179">
        <f t="shared" si="188"/>
        <v>195298625.96283948</v>
      </c>
      <c r="R371" s="179">
        <f t="shared" si="188"/>
        <v>49230508.897253513</v>
      </c>
      <c r="S371" s="179">
        <f t="shared" si="188"/>
        <v>37326623.367673561</v>
      </c>
      <c r="T371" s="179">
        <f t="shared" si="188"/>
        <v>17640753.660733264</v>
      </c>
      <c r="U371" s="433">
        <f t="shared" si="189"/>
        <v>1.9143980760132187E-4</v>
      </c>
      <c r="W371">
        <v>2025</v>
      </c>
      <c r="X371" t="s">
        <v>240</v>
      </c>
      <c r="Y371" t="s">
        <v>240</v>
      </c>
      <c r="Z371" s="179">
        <f t="shared" si="190"/>
        <v>558828897.37644637</v>
      </c>
      <c r="AA371" s="179">
        <f t="shared" si="190"/>
        <v>143268665.97626102</v>
      </c>
      <c r="AB371" s="179">
        <f t="shared" si="190"/>
        <v>106542449.23082545</v>
      </c>
      <c r="AC371" s="179">
        <f t="shared" si="190"/>
        <v>50227362.591028541</v>
      </c>
      <c r="AD371" s="433">
        <f t="shared" si="191"/>
        <v>5.66716733436406E-4</v>
      </c>
      <c r="AG371">
        <v>2025</v>
      </c>
      <c r="AH371" t="s">
        <v>240</v>
      </c>
      <c r="AI371" t="s">
        <v>240</v>
      </c>
      <c r="AJ371" s="179">
        <f t="shared" si="192"/>
        <v>566866373.96688056</v>
      </c>
      <c r="AK371" s="179">
        <f t="shared" si="192"/>
        <v>141529073.8244212</v>
      </c>
      <c r="AL371" s="179">
        <f t="shared" si="192"/>
        <v>113651741.35019074</v>
      </c>
      <c r="AM371" s="179"/>
      <c r="AN371" s="433">
        <f t="shared" si="193"/>
        <v>4.8253968152992265E-4</v>
      </c>
    </row>
    <row r="372" spans="5:40">
      <c r="E372">
        <v>2026</v>
      </c>
      <c r="F372" s="320" t="s">
        <v>240</v>
      </c>
      <c r="G372" s="320" t="s">
        <v>240</v>
      </c>
      <c r="H372" s="179">
        <f t="shared" si="186"/>
        <v>215838030.80393717</v>
      </c>
      <c r="I372" s="179">
        <f t="shared" si="186"/>
        <v>47709655.110298976</v>
      </c>
      <c r="J372" s="179">
        <f t="shared" si="186"/>
        <v>39227900.269451119</v>
      </c>
      <c r="K372" s="179"/>
      <c r="L372" s="433">
        <f t="shared" si="187"/>
        <v>1.7707569269799565E-4</v>
      </c>
      <c r="M372" s="194"/>
      <c r="N372">
        <v>2026</v>
      </c>
      <c r="O372" s="320" t="s">
        <v>240</v>
      </c>
      <c r="P372" s="320" t="s">
        <v>240</v>
      </c>
      <c r="Q372" s="179">
        <f t="shared" si="188"/>
        <v>210134999.50015357</v>
      </c>
      <c r="R372" s="179">
        <f t="shared" si="188"/>
        <v>46924416.072702892</v>
      </c>
      <c r="S372" s="179">
        <f t="shared" si="188"/>
        <v>37157676.655968532</v>
      </c>
      <c r="T372" s="179">
        <f t="shared" si="188"/>
        <v>18536296.329767685</v>
      </c>
      <c r="U372" s="433">
        <f t="shared" si="189"/>
        <v>1.933031131214267E-4</v>
      </c>
      <c r="W372">
        <v>2026</v>
      </c>
      <c r="X372" t="s">
        <v>240</v>
      </c>
      <c r="Y372" t="s">
        <v>240</v>
      </c>
      <c r="Z372" s="179">
        <f t="shared" si="190"/>
        <v>603828121.05355263</v>
      </c>
      <c r="AA372" s="179">
        <f t="shared" si="190"/>
        <v>136162076.92914528</v>
      </c>
      <c r="AB372" s="179">
        <f t="shared" si="190"/>
        <v>105296791.15977913</v>
      </c>
      <c r="AC372" s="179">
        <f t="shared" si="190"/>
        <v>53078028.42815423</v>
      </c>
      <c r="AD372" s="433">
        <f t="shared" si="191"/>
        <v>5.7615958015819516E-4</v>
      </c>
      <c r="AG372">
        <v>2026</v>
      </c>
      <c r="AH372" t="s">
        <v>240</v>
      </c>
      <c r="AI372" t="s">
        <v>240</v>
      </c>
      <c r="AJ372" s="179">
        <f t="shared" si="192"/>
        <v>607919432.96699452</v>
      </c>
      <c r="AK372" s="179">
        <f t="shared" si="192"/>
        <v>135171388.51242971</v>
      </c>
      <c r="AL372" s="179">
        <f t="shared" si="192"/>
        <v>113713079.80141747</v>
      </c>
      <c r="AM372" s="179"/>
      <c r="AN372" s="433">
        <f t="shared" si="193"/>
        <v>4.8002537139561638E-4</v>
      </c>
    </row>
    <row r="373" spans="5:40">
      <c r="E373">
        <v>2027</v>
      </c>
      <c r="F373" s="320" t="s">
        <v>240</v>
      </c>
      <c r="G373" s="320" t="s">
        <v>240</v>
      </c>
      <c r="H373" s="179">
        <f t="shared" si="186"/>
        <v>230606451.73854068</v>
      </c>
      <c r="I373" s="179">
        <f t="shared" si="186"/>
        <v>45612682.784711905</v>
      </c>
      <c r="J373" s="179">
        <f t="shared" si="186"/>
        <v>39345967.140696399</v>
      </c>
      <c r="K373" s="179"/>
      <c r="L373" s="433">
        <f t="shared" si="187"/>
        <v>1.774146942520654E-4</v>
      </c>
      <c r="M373" s="194"/>
      <c r="N373">
        <v>2027</v>
      </c>
      <c r="O373" s="320" t="s">
        <v>240</v>
      </c>
      <c r="P373" s="320" t="s">
        <v>240</v>
      </c>
      <c r="Q373" s="179">
        <f t="shared" si="188"/>
        <v>225429904.8076776</v>
      </c>
      <c r="R373" s="179">
        <f t="shared" si="188"/>
        <v>44653914.684822969</v>
      </c>
      <c r="S373" s="179">
        <f t="shared" si="188"/>
        <v>37028157.2361321</v>
      </c>
      <c r="T373" s="179">
        <f t="shared" si="188"/>
        <v>19461933.509881664</v>
      </c>
      <c r="U373" s="433">
        <f t="shared" si="189"/>
        <v>1.9538435534349123E-4</v>
      </c>
      <c r="W373">
        <v>2027</v>
      </c>
      <c r="X373" t="s">
        <v>240</v>
      </c>
      <c r="Y373" t="s">
        <v>240</v>
      </c>
      <c r="Z373" s="179">
        <f t="shared" si="190"/>
        <v>650708859.54275429</v>
      </c>
      <c r="AA373" s="179">
        <f t="shared" si="190"/>
        <v>128828523.80089539</v>
      </c>
      <c r="AB373" s="179">
        <f t="shared" si="190"/>
        <v>104027718.24568853</v>
      </c>
      <c r="AC373" s="179">
        <f t="shared" si="190"/>
        <v>56030139.770149089</v>
      </c>
      <c r="AD373" s="433">
        <f t="shared" si="191"/>
        <v>5.8616825520845656E-4</v>
      </c>
      <c r="AG373">
        <v>2027</v>
      </c>
      <c r="AH373" t="s">
        <v>240</v>
      </c>
      <c r="AI373" t="s">
        <v>240</v>
      </c>
      <c r="AJ373" s="179">
        <f t="shared" si="192"/>
        <v>649886591.455652</v>
      </c>
      <c r="AK373" s="179">
        <f t="shared" si="192"/>
        <v>129148047.33324064</v>
      </c>
      <c r="AL373" s="179">
        <f t="shared" si="192"/>
        <v>113973074.94776191</v>
      </c>
      <c r="AM373" s="179"/>
      <c r="AN373" s="433">
        <f t="shared" si="193"/>
        <v>4.7850561222236195E-4</v>
      </c>
    </row>
    <row r="374" spans="5:40">
      <c r="E374">
        <v>2028</v>
      </c>
      <c r="F374" s="320" t="s">
        <v>240</v>
      </c>
      <c r="G374" s="320" t="s">
        <v>240</v>
      </c>
      <c r="H374" s="179">
        <f t="shared" si="186"/>
        <v>245716506.36979911</v>
      </c>
      <c r="I374" s="179">
        <f t="shared" si="186"/>
        <v>43632121.814023204</v>
      </c>
      <c r="J374" s="179">
        <f t="shared" si="186"/>
        <v>39532444.01106941</v>
      </c>
      <c r="K374" s="179"/>
      <c r="L374" s="433">
        <f t="shared" si="187"/>
        <v>1.7801339389424131E-4</v>
      </c>
      <c r="M374" s="194"/>
      <c r="N374">
        <v>2028</v>
      </c>
      <c r="O374" s="320" t="s">
        <v>240</v>
      </c>
      <c r="P374" s="320" t="s">
        <v>240</v>
      </c>
      <c r="Q374" s="179">
        <f t="shared" si="188"/>
        <v>241204931.89639542</v>
      </c>
      <c r="R374" s="179">
        <f t="shared" si="188"/>
        <v>42418522.471832</v>
      </c>
      <c r="S374" s="179">
        <f t="shared" si="188"/>
        <v>36938880.145285249</v>
      </c>
      <c r="T374" s="179">
        <f t="shared" si="188"/>
        <v>20419063.78359887</v>
      </c>
      <c r="U374" s="433">
        <f t="shared" si="189"/>
        <v>1.9767677584628626E-4</v>
      </c>
      <c r="W374">
        <v>2028</v>
      </c>
      <c r="X374" t="s">
        <v>240</v>
      </c>
      <c r="Y374" t="s">
        <v>240</v>
      </c>
      <c r="Z374" s="179">
        <f t="shared" si="190"/>
        <v>699500653.797961</v>
      </c>
      <c r="AA374" s="179">
        <f t="shared" si="190"/>
        <v>121294427.50477198</v>
      </c>
      <c r="AB374" s="179">
        <f t="shared" si="190"/>
        <v>102749593.56355935</v>
      </c>
      <c r="AC374" s="179">
        <f t="shared" si="190"/>
        <v>59086348.612899669</v>
      </c>
      <c r="AD374" s="433">
        <f t="shared" si="191"/>
        <v>5.967420123593523E-4</v>
      </c>
      <c r="AG374">
        <v>2028</v>
      </c>
      <c r="AH374" t="s">
        <v>240</v>
      </c>
      <c r="AI374" t="s">
        <v>240</v>
      </c>
      <c r="AJ374" s="179">
        <f t="shared" si="192"/>
        <v>692866452.35352039</v>
      </c>
      <c r="AK374" s="179">
        <f t="shared" si="192"/>
        <v>123427078.68642232</v>
      </c>
      <c r="AL374" s="179">
        <f t="shared" si="192"/>
        <v>114423417.1268734</v>
      </c>
      <c r="AM374" s="179"/>
      <c r="AN374" s="433">
        <f t="shared" si="193"/>
        <v>4.7788575473981854E-4</v>
      </c>
    </row>
    <row r="375" spans="5:40">
      <c r="E375">
        <v>2029</v>
      </c>
      <c r="F375" s="320" t="s">
        <v>240</v>
      </c>
      <c r="G375" s="320" t="s">
        <v>240</v>
      </c>
      <c r="H375" s="179">
        <f t="shared" si="186"/>
        <v>261204157.99630666</v>
      </c>
      <c r="I375" s="179">
        <f t="shared" si="186"/>
        <v>41756326.718611866</v>
      </c>
      <c r="J375" s="179">
        <f t="shared" si="186"/>
        <v>39784432.166866787</v>
      </c>
      <c r="K375" s="179"/>
      <c r="L375" s="433">
        <f t="shared" si="187"/>
        <v>1.7885498918559497E-4</v>
      </c>
      <c r="M375" s="194"/>
      <c r="N375">
        <v>2029</v>
      </c>
      <c r="O375" s="320" t="s">
        <v>240</v>
      </c>
      <c r="P375" s="320" t="s">
        <v>240</v>
      </c>
      <c r="Q375" s="179">
        <f t="shared" si="188"/>
        <v>257482981.94449443</v>
      </c>
      <c r="R375" s="179">
        <f t="shared" si="188"/>
        <v>40217429.643902756</v>
      </c>
      <c r="S375" s="179">
        <f t="shared" si="188"/>
        <v>36890566.851970084</v>
      </c>
      <c r="T375" s="179">
        <f t="shared" si="188"/>
        <v>21409149.042966109</v>
      </c>
      <c r="U375" s="433">
        <f t="shared" si="189"/>
        <v>2.0017496553351502E-4</v>
      </c>
      <c r="W375">
        <v>2029</v>
      </c>
      <c r="X375" t="s">
        <v>240</v>
      </c>
      <c r="Y375" t="s">
        <v>240</v>
      </c>
      <c r="Z375" s="179">
        <f t="shared" si="190"/>
        <v>750238180.44978523</v>
      </c>
      <c r="AA375" s="179">
        <f t="shared" si="190"/>
        <v>113584439.91428861</v>
      </c>
      <c r="AB375" s="179">
        <f t="shared" si="190"/>
        <v>101476099.48271358</v>
      </c>
      <c r="AC375" s="179">
        <f t="shared" si="190"/>
        <v>62249622.645691909</v>
      </c>
      <c r="AD375" s="433">
        <f t="shared" si="191"/>
        <v>6.0788195829185852E-4</v>
      </c>
      <c r="AG375">
        <v>2029</v>
      </c>
      <c r="AH375" t="s">
        <v>240</v>
      </c>
      <c r="AI375" t="s">
        <v>240</v>
      </c>
      <c r="AJ375" s="179">
        <f t="shared" si="192"/>
        <v>736955441.61616254</v>
      </c>
      <c r="AK375" s="179">
        <f t="shared" si="192"/>
        <v>117979812.15774181</v>
      </c>
      <c r="AL375" s="179">
        <f t="shared" si="192"/>
        <v>115057046.59868376</v>
      </c>
      <c r="AM375" s="179"/>
      <c r="AN375" s="433">
        <f t="shared" si="193"/>
        <v>4.780874960228938E-4</v>
      </c>
    </row>
    <row r="376" spans="5:40">
      <c r="E376">
        <v>2030</v>
      </c>
      <c r="F376" s="320" t="s">
        <v>240</v>
      </c>
      <c r="G376" s="320" t="s">
        <v>240</v>
      </c>
      <c r="H376" s="179">
        <f t="shared" si="186"/>
        <v>277104452.95642585</v>
      </c>
      <c r="I376" s="179">
        <f t="shared" si="186"/>
        <v>39974942.117228255</v>
      </c>
      <c r="J376" s="179">
        <f t="shared" si="186"/>
        <v>40099500.996651001</v>
      </c>
      <c r="K376" s="179"/>
      <c r="L376" s="433">
        <f t="shared" si="187"/>
        <v>1.7992543147840365E-4</v>
      </c>
      <c r="M376" s="194"/>
      <c r="N376">
        <v>2030</v>
      </c>
      <c r="O376" s="320" t="s">
        <v>240</v>
      </c>
      <c r="P376" s="320" t="s">
        <v>240</v>
      </c>
      <c r="Q376" s="179">
        <f t="shared" si="188"/>
        <v>274288231.55265301</v>
      </c>
      <c r="R376" s="179">
        <f t="shared" si="188"/>
        <v>38049551.015288912</v>
      </c>
      <c r="S376" s="179">
        <f t="shared" si="188"/>
        <v>36883866.243269257</v>
      </c>
      <c r="T376" s="179">
        <f t="shared" si="188"/>
        <v>22433714.319534421</v>
      </c>
      <c r="U376" s="433">
        <f t="shared" si="189"/>
        <v>2.0287468791222222E-4</v>
      </c>
      <c r="W376">
        <v>2030</v>
      </c>
      <c r="X376" t="s">
        <v>240</v>
      </c>
      <c r="Y376" t="s">
        <v>240</v>
      </c>
      <c r="Z376" s="179">
        <f t="shared" si="190"/>
        <v>802961572.37426269</v>
      </c>
      <c r="AA376" s="179">
        <f t="shared" si="190"/>
        <v>105721299.503737</v>
      </c>
      <c r="AB376" s="179">
        <f t="shared" si="190"/>
        <v>100220179.24458863</v>
      </c>
      <c r="AC376" s="179">
        <f t="shared" si="190"/>
        <v>65523251.634982072</v>
      </c>
      <c r="AD376" s="433">
        <f t="shared" si="191"/>
        <v>6.1959089064935586E-4</v>
      </c>
      <c r="AG376">
        <v>2030</v>
      </c>
      <c r="AH376" t="s">
        <v>240</v>
      </c>
      <c r="AI376" t="s">
        <v>240</v>
      </c>
      <c r="AJ376" s="179">
        <f t="shared" si="192"/>
        <v>782248452.06128812</v>
      </c>
      <c r="AK376" s="179">
        <f t="shared" si="192"/>
        <v>112780465.3467861</v>
      </c>
      <c r="AL376" s="179">
        <f t="shared" si="192"/>
        <v>115868012.46382388</v>
      </c>
      <c r="AM376" s="179"/>
      <c r="AN376" s="433">
        <f t="shared" si="193"/>
        <v>4.7904577196465474E-4</v>
      </c>
    </row>
    <row r="377" spans="5:40">
      <c r="E377">
        <v>2040</v>
      </c>
      <c r="F377" s="320" t="s">
        <v>240</v>
      </c>
      <c r="G377" s="320" t="s">
        <v>240</v>
      </c>
      <c r="H377" s="179">
        <f t="shared" si="186"/>
        <v>0</v>
      </c>
      <c r="I377" s="179">
        <f t="shared" si="186"/>
        <v>0</v>
      </c>
      <c r="J377" s="179">
        <f t="shared" si="186"/>
        <v>0</v>
      </c>
      <c r="K377" s="179"/>
      <c r="L377" s="433">
        <f t="shared" si="187"/>
        <v>0</v>
      </c>
      <c r="M377" s="194"/>
      <c r="N377">
        <v>2040</v>
      </c>
      <c r="O377" s="320" t="s">
        <v>240</v>
      </c>
      <c r="P377" s="320" t="s">
        <v>240</v>
      </c>
      <c r="Q377" s="179">
        <f t="shared" si="188"/>
        <v>467873438.07672071</v>
      </c>
      <c r="R377" s="179">
        <f t="shared" si="188"/>
        <v>18935693.542440567</v>
      </c>
      <c r="S377" s="179">
        <f t="shared" si="188"/>
        <v>40858101.255089082</v>
      </c>
      <c r="T377" s="179">
        <f t="shared" si="188"/>
        <v>33801396.169656843</v>
      </c>
      <c r="U377" s="433">
        <f t="shared" si="189"/>
        <v>2.3622643084706332E-4</v>
      </c>
      <c r="W377">
        <v>2040</v>
      </c>
      <c r="X377" t="s">
        <v>240</v>
      </c>
      <c r="Y377" t="s">
        <v>240</v>
      </c>
      <c r="Z377" s="179">
        <f t="shared" si="190"/>
        <v>1443117920.9406607</v>
      </c>
      <c r="AA377" s="179">
        <f t="shared" si="190"/>
        <v>20037362.092099808</v>
      </c>
      <c r="AB377" s="179">
        <f t="shared" si="190"/>
        <v>92572421.694000438</v>
      </c>
      <c r="AC377" s="179">
        <f t="shared" si="190"/>
        <v>103365056.44180077</v>
      </c>
      <c r="AD377" s="433">
        <f t="shared" si="191"/>
        <v>8.1239956807687384E-4</v>
      </c>
      <c r="AG377">
        <v>2040</v>
      </c>
      <c r="AH377" t="s">
        <v>240</v>
      </c>
      <c r="AI377" t="s">
        <v>240</v>
      </c>
      <c r="AJ377" s="179">
        <f t="shared" si="192"/>
        <v>0</v>
      </c>
      <c r="AK377" s="179">
        <f t="shared" si="192"/>
        <v>0</v>
      </c>
      <c r="AL377" s="179">
        <f t="shared" si="192"/>
        <v>0</v>
      </c>
      <c r="AM377" s="179">
        <f t="shared" si="192"/>
        <v>0</v>
      </c>
      <c r="AN377" s="433">
        <f t="shared" si="193"/>
        <v>0</v>
      </c>
    </row>
    <row r="378" spans="5:40">
      <c r="E378">
        <v>2050</v>
      </c>
      <c r="F378" s="320" t="s">
        <v>240</v>
      </c>
      <c r="G378" s="320" t="s">
        <v>240</v>
      </c>
      <c r="H378" s="179">
        <f t="shared" si="186"/>
        <v>0</v>
      </c>
      <c r="I378" s="179">
        <f t="shared" si="186"/>
        <v>0</v>
      </c>
      <c r="J378" s="179">
        <f t="shared" si="186"/>
        <v>0</v>
      </c>
      <c r="K378" s="179"/>
      <c r="L378" s="433">
        <f t="shared" si="187"/>
        <v>0</v>
      </c>
      <c r="M378" s="194"/>
      <c r="N378">
        <v>2050</v>
      </c>
      <c r="O378" s="320" t="s">
        <v>240</v>
      </c>
      <c r="P378" s="320" t="s">
        <v>240</v>
      </c>
      <c r="Q378" s="179">
        <f t="shared" si="188"/>
        <v>0</v>
      </c>
      <c r="R378" s="179">
        <f t="shared" si="188"/>
        <v>0</v>
      </c>
      <c r="S378" s="179">
        <f t="shared" si="188"/>
        <v>0</v>
      </c>
      <c r="T378" s="179">
        <f t="shared" si="188"/>
        <v>0</v>
      </c>
      <c r="U378" s="433">
        <f t="shared" si="189"/>
        <v>0</v>
      </c>
      <c r="W378">
        <v>2050</v>
      </c>
      <c r="X378" t="s">
        <v>240</v>
      </c>
      <c r="Y378" t="s">
        <v>240</v>
      </c>
      <c r="Z378" s="179">
        <f t="shared" si="190"/>
        <v>0</v>
      </c>
      <c r="AA378" s="179">
        <f t="shared" si="190"/>
        <v>0</v>
      </c>
      <c r="AB378" s="179">
        <f t="shared" si="190"/>
        <v>0</v>
      </c>
      <c r="AC378" s="179">
        <f t="shared" si="190"/>
        <v>0</v>
      </c>
      <c r="AD378" s="433">
        <f t="shared" si="191"/>
        <v>0</v>
      </c>
      <c r="AG378">
        <v>2050</v>
      </c>
      <c r="AH378" t="s">
        <v>240</v>
      </c>
      <c r="AI378" t="s">
        <v>240</v>
      </c>
      <c r="AJ378" s="179">
        <f t="shared" si="192"/>
        <v>0</v>
      </c>
      <c r="AK378" s="179">
        <f t="shared" si="192"/>
        <v>0</v>
      </c>
      <c r="AL378" s="179">
        <f t="shared" si="192"/>
        <v>0</v>
      </c>
      <c r="AM378" s="179">
        <f t="shared" si="192"/>
        <v>0</v>
      </c>
      <c r="AN378" s="433">
        <f t="shared" si="193"/>
        <v>0</v>
      </c>
    </row>
    <row r="379" spans="5:40">
      <c r="E379">
        <v>2060</v>
      </c>
      <c r="F379" s="320" t="s">
        <v>240</v>
      </c>
      <c r="G379" s="320" t="s">
        <v>240</v>
      </c>
      <c r="H379" s="179">
        <f t="shared" si="186"/>
        <v>0</v>
      </c>
      <c r="I379" s="179">
        <f t="shared" si="186"/>
        <v>0</v>
      </c>
      <c r="J379" s="179">
        <f t="shared" si="186"/>
        <v>0</v>
      </c>
      <c r="K379" s="179"/>
      <c r="L379" s="433">
        <f t="shared" si="187"/>
        <v>0</v>
      </c>
      <c r="M379" s="194"/>
      <c r="N379">
        <v>2060</v>
      </c>
      <c r="O379" s="320" t="s">
        <v>240</v>
      </c>
      <c r="P379" s="320" t="s">
        <v>240</v>
      </c>
      <c r="Q379" s="179">
        <f t="shared" si="188"/>
        <v>0</v>
      </c>
      <c r="R379" s="179">
        <f t="shared" si="188"/>
        <v>0</v>
      </c>
      <c r="S379" s="179">
        <f t="shared" si="188"/>
        <v>0</v>
      </c>
      <c r="T379" s="179">
        <f t="shared" si="188"/>
        <v>0</v>
      </c>
      <c r="U379" s="433">
        <f t="shared" si="189"/>
        <v>0</v>
      </c>
      <c r="W379">
        <v>2060</v>
      </c>
      <c r="X379" t="s">
        <v>240</v>
      </c>
      <c r="Y379" t="s">
        <v>240</v>
      </c>
      <c r="Z379" s="179">
        <f t="shared" si="190"/>
        <v>0</v>
      </c>
      <c r="AA379" s="179">
        <f t="shared" si="190"/>
        <v>0</v>
      </c>
      <c r="AB379" s="179">
        <f t="shared" si="190"/>
        <v>0</v>
      </c>
      <c r="AC379" s="179">
        <f t="shared" si="190"/>
        <v>0</v>
      </c>
      <c r="AD379" s="433">
        <f t="shared" si="191"/>
        <v>0</v>
      </c>
      <c r="AG379">
        <v>2060</v>
      </c>
      <c r="AH379" t="s">
        <v>240</v>
      </c>
      <c r="AI379" t="s">
        <v>240</v>
      </c>
      <c r="AJ379" s="179">
        <f t="shared" si="192"/>
        <v>0</v>
      </c>
      <c r="AK379" s="179">
        <f t="shared" si="192"/>
        <v>0</v>
      </c>
      <c r="AL379" s="179">
        <f t="shared" si="192"/>
        <v>0</v>
      </c>
      <c r="AM379" s="179">
        <f t="shared" si="192"/>
        <v>0</v>
      </c>
      <c r="AN379" s="433">
        <f t="shared" si="193"/>
        <v>0</v>
      </c>
    </row>
    <row r="380" spans="5:40">
      <c r="E380">
        <v>2070</v>
      </c>
      <c r="F380" s="320" t="s">
        <v>240</v>
      </c>
      <c r="G380" s="320" t="s">
        <v>240</v>
      </c>
      <c r="H380" s="179">
        <f t="shared" si="186"/>
        <v>0</v>
      </c>
      <c r="I380" s="179">
        <f t="shared" si="186"/>
        <v>0</v>
      </c>
      <c r="J380" s="179">
        <f t="shared" si="186"/>
        <v>0</v>
      </c>
      <c r="K380" s="179"/>
      <c r="L380" s="433">
        <f t="shared" si="187"/>
        <v>0</v>
      </c>
      <c r="M380" s="194"/>
      <c r="N380">
        <v>2070</v>
      </c>
      <c r="O380" s="320" t="s">
        <v>240</v>
      </c>
      <c r="P380" s="320" t="s">
        <v>240</v>
      </c>
      <c r="Q380" s="179">
        <f t="shared" si="188"/>
        <v>0</v>
      </c>
      <c r="R380" s="179">
        <f t="shared" si="188"/>
        <v>0</v>
      </c>
      <c r="S380" s="179">
        <f t="shared" si="188"/>
        <v>0</v>
      </c>
      <c r="T380" s="179">
        <f t="shared" si="188"/>
        <v>0</v>
      </c>
      <c r="U380" s="433">
        <f t="shared" si="189"/>
        <v>0</v>
      </c>
      <c r="W380">
        <v>2070</v>
      </c>
      <c r="X380" t="s">
        <v>240</v>
      </c>
      <c r="Y380" t="s">
        <v>240</v>
      </c>
      <c r="Z380" s="179">
        <f t="shared" si="190"/>
        <v>0</v>
      </c>
      <c r="AA380" s="179">
        <f t="shared" si="190"/>
        <v>0</v>
      </c>
      <c r="AB380" s="179">
        <f t="shared" si="190"/>
        <v>0</v>
      </c>
      <c r="AC380" s="179">
        <f t="shared" si="190"/>
        <v>0</v>
      </c>
      <c r="AD380" s="433">
        <f t="shared" si="191"/>
        <v>0</v>
      </c>
      <c r="AG380">
        <v>2070</v>
      </c>
      <c r="AH380" t="s">
        <v>240</v>
      </c>
      <c r="AI380" t="s">
        <v>240</v>
      </c>
      <c r="AJ380" s="179">
        <f t="shared" si="192"/>
        <v>0</v>
      </c>
      <c r="AK380" s="179">
        <f t="shared" si="192"/>
        <v>0</v>
      </c>
      <c r="AL380" s="179">
        <f t="shared" si="192"/>
        <v>0</v>
      </c>
      <c r="AM380" s="179">
        <f t="shared" si="192"/>
        <v>0</v>
      </c>
      <c r="AN380" s="433">
        <f t="shared" si="193"/>
        <v>0</v>
      </c>
    </row>
    <row r="381" spans="5:40">
      <c r="E381">
        <v>2080</v>
      </c>
      <c r="F381" s="320" t="s">
        <v>240</v>
      </c>
      <c r="G381" s="320" t="s">
        <v>240</v>
      </c>
      <c r="H381" s="179">
        <f t="shared" si="186"/>
        <v>0</v>
      </c>
      <c r="I381" s="179">
        <f t="shared" si="186"/>
        <v>0</v>
      </c>
      <c r="J381" s="179">
        <f t="shared" si="186"/>
        <v>0</v>
      </c>
      <c r="K381" s="179"/>
      <c r="L381" s="433">
        <f t="shared" si="187"/>
        <v>0</v>
      </c>
      <c r="M381" s="194"/>
      <c r="N381">
        <v>2080</v>
      </c>
      <c r="O381" s="320" t="s">
        <v>240</v>
      </c>
      <c r="P381" s="320" t="s">
        <v>240</v>
      </c>
      <c r="Q381" s="179">
        <f t="shared" si="188"/>
        <v>0</v>
      </c>
      <c r="R381" s="179">
        <f t="shared" si="188"/>
        <v>0</v>
      </c>
      <c r="S381" s="179">
        <f t="shared" si="188"/>
        <v>0</v>
      </c>
      <c r="T381" s="179">
        <f t="shared" si="188"/>
        <v>0</v>
      </c>
      <c r="U381" s="433">
        <f t="shared" si="189"/>
        <v>0</v>
      </c>
      <c r="W381">
        <v>2080</v>
      </c>
      <c r="X381" t="s">
        <v>240</v>
      </c>
      <c r="Y381" t="s">
        <v>240</v>
      </c>
      <c r="Z381" s="179">
        <f t="shared" si="190"/>
        <v>0</v>
      </c>
      <c r="AA381" s="179">
        <f t="shared" si="190"/>
        <v>0</v>
      </c>
      <c r="AB381" s="179">
        <f t="shared" si="190"/>
        <v>0</v>
      </c>
      <c r="AC381" s="179">
        <f t="shared" si="190"/>
        <v>0</v>
      </c>
      <c r="AD381" s="433">
        <f t="shared" si="191"/>
        <v>0</v>
      </c>
      <c r="AG381">
        <v>2080</v>
      </c>
      <c r="AH381" t="s">
        <v>240</v>
      </c>
      <c r="AI381" t="s">
        <v>240</v>
      </c>
      <c r="AJ381" s="179">
        <f t="shared" si="192"/>
        <v>0</v>
      </c>
      <c r="AK381" s="179">
        <f t="shared" si="192"/>
        <v>0</v>
      </c>
      <c r="AL381" s="179">
        <f t="shared" si="192"/>
        <v>0</v>
      </c>
      <c r="AM381" s="179">
        <f t="shared" si="192"/>
        <v>0</v>
      </c>
      <c r="AN381" s="433">
        <f t="shared" si="193"/>
        <v>0</v>
      </c>
    </row>
    <row r="382" spans="5:40">
      <c r="E382">
        <v>2090</v>
      </c>
      <c r="F382" s="320" t="s">
        <v>240</v>
      </c>
      <c r="G382" s="320" t="s">
        <v>240</v>
      </c>
      <c r="H382" s="179">
        <f t="shared" si="186"/>
        <v>0</v>
      </c>
      <c r="I382" s="179">
        <f t="shared" si="186"/>
        <v>0</v>
      </c>
      <c r="J382" s="179">
        <f t="shared" si="186"/>
        <v>0</v>
      </c>
      <c r="K382" s="179"/>
      <c r="L382" s="433">
        <f t="shared" si="187"/>
        <v>0</v>
      </c>
      <c r="M382" s="194"/>
      <c r="N382">
        <v>2090</v>
      </c>
      <c r="O382" s="320" t="s">
        <v>240</v>
      </c>
      <c r="P382" s="320" t="s">
        <v>240</v>
      </c>
      <c r="Q382" s="179">
        <f t="shared" si="188"/>
        <v>0</v>
      </c>
      <c r="R382" s="179">
        <f t="shared" si="188"/>
        <v>0</v>
      </c>
      <c r="S382" s="179">
        <f t="shared" si="188"/>
        <v>0</v>
      </c>
      <c r="T382" s="179">
        <f t="shared" si="188"/>
        <v>0</v>
      </c>
      <c r="U382" s="433">
        <f t="shared" si="189"/>
        <v>0</v>
      </c>
      <c r="W382">
        <v>2090</v>
      </c>
      <c r="X382" t="s">
        <v>240</v>
      </c>
      <c r="Y382" t="s">
        <v>240</v>
      </c>
      <c r="Z382" s="179">
        <f t="shared" si="190"/>
        <v>0</v>
      </c>
      <c r="AA382" s="179">
        <f t="shared" si="190"/>
        <v>0</v>
      </c>
      <c r="AB382" s="179">
        <f t="shared" si="190"/>
        <v>0</v>
      </c>
      <c r="AC382" s="179">
        <f t="shared" si="190"/>
        <v>0</v>
      </c>
      <c r="AD382" s="433">
        <f t="shared" si="191"/>
        <v>0</v>
      </c>
      <c r="AG382">
        <v>2090</v>
      </c>
      <c r="AH382" t="s">
        <v>240</v>
      </c>
      <c r="AI382" t="s">
        <v>240</v>
      </c>
      <c r="AJ382" s="179">
        <f t="shared" si="192"/>
        <v>0</v>
      </c>
      <c r="AK382" s="179">
        <f t="shared" si="192"/>
        <v>0</v>
      </c>
      <c r="AL382" s="179">
        <f t="shared" si="192"/>
        <v>0</v>
      </c>
      <c r="AM382" s="179">
        <f t="shared" si="192"/>
        <v>0</v>
      </c>
      <c r="AN382" s="433">
        <f t="shared" si="193"/>
        <v>0</v>
      </c>
    </row>
    <row r="383" spans="5:40">
      <c r="E383">
        <v>2100</v>
      </c>
      <c r="F383" s="320" t="s">
        <v>240</v>
      </c>
      <c r="G383" s="320" t="s">
        <v>240</v>
      </c>
      <c r="H383" s="179">
        <f t="shared" si="186"/>
        <v>0</v>
      </c>
      <c r="I383" s="179">
        <f t="shared" si="186"/>
        <v>0</v>
      </c>
      <c r="J383" s="179">
        <f t="shared" si="186"/>
        <v>0</v>
      </c>
      <c r="K383" s="179"/>
      <c r="L383" s="433">
        <f t="shared" si="187"/>
        <v>0</v>
      </c>
      <c r="M383" s="194"/>
      <c r="N383">
        <v>2100</v>
      </c>
      <c r="O383" s="320" t="s">
        <v>240</v>
      </c>
      <c r="P383" s="320" t="s">
        <v>240</v>
      </c>
      <c r="Q383" s="179">
        <f t="shared" si="188"/>
        <v>0</v>
      </c>
      <c r="R383" s="179">
        <f t="shared" si="188"/>
        <v>0</v>
      </c>
      <c r="S383" s="179">
        <f t="shared" si="188"/>
        <v>0</v>
      </c>
      <c r="T383" s="179">
        <f t="shared" si="188"/>
        <v>0</v>
      </c>
      <c r="U383" s="433">
        <f t="shared" si="189"/>
        <v>0</v>
      </c>
      <c r="W383">
        <v>2100</v>
      </c>
      <c r="X383" t="s">
        <v>240</v>
      </c>
      <c r="Y383" t="s">
        <v>240</v>
      </c>
      <c r="Z383" s="179">
        <f t="shared" si="190"/>
        <v>0</v>
      </c>
      <c r="AA383" s="179">
        <f t="shared" si="190"/>
        <v>0</v>
      </c>
      <c r="AB383" s="179">
        <f t="shared" si="190"/>
        <v>0</v>
      </c>
      <c r="AC383" s="179">
        <f t="shared" si="190"/>
        <v>0</v>
      </c>
      <c r="AD383" s="433">
        <f t="shared" si="191"/>
        <v>0</v>
      </c>
      <c r="AG383">
        <v>2100</v>
      </c>
      <c r="AH383" t="s">
        <v>240</v>
      </c>
      <c r="AI383" t="s">
        <v>240</v>
      </c>
      <c r="AJ383" s="179">
        <f t="shared" si="192"/>
        <v>0</v>
      </c>
      <c r="AK383" s="179">
        <f t="shared" si="192"/>
        <v>0</v>
      </c>
      <c r="AL383" s="179">
        <f t="shared" si="192"/>
        <v>0</v>
      </c>
      <c r="AM383" s="179">
        <f t="shared" si="192"/>
        <v>0</v>
      </c>
      <c r="AN383" s="433">
        <f t="shared" si="193"/>
        <v>0</v>
      </c>
    </row>
    <row r="384" spans="5:40">
      <c r="F384" s="581" t="s">
        <v>250</v>
      </c>
      <c r="G384" s="581"/>
      <c r="H384" s="581"/>
      <c r="I384" s="581"/>
      <c r="J384" s="581"/>
      <c r="K384" s="581"/>
      <c r="L384" s="181"/>
      <c r="O384" s="581" t="s">
        <v>250</v>
      </c>
      <c r="P384" s="581"/>
      <c r="Q384" s="581"/>
      <c r="R384" s="581"/>
      <c r="S384" s="581"/>
      <c r="T384" s="581"/>
      <c r="U384" s="181"/>
      <c r="X384" s="581" t="s">
        <v>250</v>
      </c>
      <c r="Y384" s="581"/>
      <c r="Z384" s="581"/>
      <c r="AA384" s="581"/>
      <c r="AB384" s="581"/>
      <c r="AC384" s="581"/>
      <c r="AD384" s="181"/>
      <c r="AH384" s="581" t="s">
        <v>250</v>
      </c>
      <c r="AI384" s="581"/>
      <c r="AJ384" s="581"/>
      <c r="AK384" s="581"/>
      <c r="AL384" s="581"/>
      <c r="AM384" s="581"/>
      <c r="AN384" s="181"/>
    </row>
    <row r="385" spans="5:40">
      <c r="E385">
        <v>2020</v>
      </c>
      <c r="H385" s="330">
        <f t="shared" ref="H385:J402" si="194">H366+H195</f>
        <v>388939446.95794868</v>
      </c>
      <c r="I385" s="330">
        <f t="shared" si="194"/>
        <v>141153219.22568327</v>
      </c>
      <c r="J385" s="330">
        <f t="shared" si="194"/>
        <v>95089072.890070707</v>
      </c>
      <c r="K385" s="330"/>
      <c r="L385" s="433">
        <f t="shared" ref="L385:L402" si="195">SUM(H385:K385)/(SUM(F404:K404)*1000)</f>
        <v>4.8204408740360301E-4</v>
      </c>
      <c r="M385" s="194"/>
      <c r="N385">
        <v>2020</v>
      </c>
      <c r="O385" s="320" t="s">
        <v>240</v>
      </c>
      <c r="P385" s="320" t="s">
        <v>240</v>
      </c>
      <c r="Q385" s="170">
        <f t="shared" ref="Q385:T402" si="196">Q366+Q195</f>
        <v>2508378001.9066095</v>
      </c>
      <c r="R385" s="170">
        <f t="shared" si="196"/>
        <v>780356054.76000822</v>
      </c>
      <c r="S385" s="170">
        <f t="shared" si="196"/>
        <v>547758341.79661083</v>
      </c>
      <c r="T385" s="170">
        <f t="shared" si="196"/>
        <v>197926521.4198167</v>
      </c>
      <c r="U385" s="433">
        <f t="shared" ref="U385:U402" si="197">SUM(Q385:T385)/(SUM(O404:T404)*1000)</f>
        <v>3.1107239141698341E-3</v>
      </c>
      <c r="W385">
        <v>2020</v>
      </c>
      <c r="X385" t="s">
        <v>240</v>
      </c>
      <c r="Y385" t="s">
        <v>240</v>
      </c>
      <c r="Z385" s="170">
        <f t="shared" ref="Z385:AC402" si="198">Z366+Z195</f>
        <v>2742364680.0792084</v>
      </c>
      <c r="AA385" s="170">
        <f t="shared" si="198"/>
        <v>893454532.91218424</v>
      </c>
      <c r="AB385" s="170">
        <f t="shared" si="198"/>
        <v>620915848.32743859</v>
      </c>
      <c r="AC385" s="170">
        <f t="shared" si="198"/>
        <v>221779995.51719087</v>
      </c>
      <c r="AD385" s="433">
        <f t="shared" ref="AD385:AD402" si="199">SUM(Z385:AC385)/(SUM(X404:AC404)*1000)</f>
        <v>3.45314261208981E-3</v>
      </c>
      <c r="AG385">
        <v>2020</v>
      </c>
      <c r="AH385" t="s">
        <v>240</v>
      </c>
      <c r="AI385" t="s">
        <v>240</v>
      </c>
      <c r="AJ385">
        <f t="shared" ref="AJ385:AM402" si="200">AJ366+AJ195</f>
        <v>2939182074.3930011</v>
      </c>
      <c r="AK385">
        <f t="shared" si="200"/>
        <v>955159806.29697478</v>
      </c>
      <c r="AL385">
        <f t="shared" si="200"/>
        <v>665639064.66381681</v>
      </c>
      <c r="AM385">
        <f t="shared" si="200"/>
        <v>0</v>
      </c>
      <c r="AN385" s="433">
        <f t="shared" ref="AN385:AN402" si="201">SUM(AJ385:AM385)/(SUM(AH404:AM404)*1000)</f>
        <v>3.5159565867002272E-3</v>
      </c>
    </row>
    <row r="386" spans="5:40">
      <c r="E386">
        <v>2021</v>
      </c>
      <c r="H386" s="330">
        <f t="shared" si="194"/>
        <v>428861955.17005783</v>
      </c>
      <c r="I386" s="330">
        <f t="shared" si="194"/>
        <v>134173501.02364568</v>
      </c>
      <c r="J386" s="330">
        <f t="shared" si="194"/>
        <v>94164081.383126885</v>
      </c>
      <c r="K386" s="330"/>
      <c r="L386" s="433">
        <f t="shared" si="195"/>
        <v>4.8119694755239449E-4</v>
      </c>
      <c r="M386" s="194"/>
      <c r="N386">
        <v>2021</v>
      </c>
      <c r="O386" s="320" t="s">
        <v>240</v>
      </c>
      <c r="P386" s="320" t="s">
        <v>240</v>
      </c>
      <c r="Q386" s="170">
        <f t="shared" si="196"/>
        <v>2761171718.9721665</v>
      </c>
      <c r="R386" s="170">
        <f t="shared" si="196"/>
        <v>748912368.84679353</v>
      </c>
      <c r="S386" s="170">
        <f t="shared" si="196"/>
        <v>542881298.32222974</v>
      </c>
      <c r="T386" s="170">
        <f t="shared" si="196"/>
        <v>209088552.25280491</v>
      </c>
      <c r="U386" s="433">
        <f t="shared" si="197"/>
        <v>3.1560493451893048E-3</v>
      </c>
      <c r="W386">
        <v>2021</v>
      </c>
      <c r="X386" t="s">
        <v>240</v>
      </c>
      <c r="Y386" t="s">
        <v>240</v>
      </c>
      <c r="Z386" s="170">
        <f t="shared" si="198"/>
        <v>3015038340.9618607</v>
      </c>
      <c r="AA386" s="170">
        <f t="shared" si="198"/>
        <v>865193293.7638737</v>
      </c>
      <c r="AB386" s="170">
        <f t="shared" si="198"/>
        <v>615996287.62902009</v>
      </c>
      <c r="AC386" s="170">
        <f t="shared" si="198"/>
        <v>235865233.17257237</v>
      </c>
      <c r="AD386" s="433">
        <f t="shared" si="199"/>
        <v>3.5296900522153803E-3</v>
      </c>
      <c r="AG386">
        <v>2021</v>
      </c>
      <c r="AH386" t="s">
        <v>240</v>
      </c>
      <c r="AI386" t="s">
        <v>240</v>
      </c>
      <c r="AJ386">
        <f t="shared" si="200"/>
        <v>3240457661.6219769</v>
      </c>
      <c r="AK386">
        <f t="shared" si="200"/>
        <v>909113931.19375086</v>
      </c>
      <c r="AL386">
        <f t="shared" si="200"/>
        <v>659280509.04207551</v>
      </c>
      <c r="AM386">
        <f t="shared" si="200"/>
        <v>0</v>
      </c>
      <c r="AN386" s="433">
        <f t="shared" si="201"/>
        <v>3.4890542867597476E-3</v>
      </c>
    </row>
    <row r="387" spans="5:40">
      <c r="E387">
        <v>2022</v>
      </c>
      <c r="H387" s="330">
        <f t="shared" si="194"/>
        <v>469023801.79033172</v>
      </c>
      <c r="I387" s="330">
        <f t="shared" si="194"/>
        <v>127698778.81137186</v>
      </c>
      <c r="J387" s="330">
        <f t="shared" si="194"/>
        <v>93475640.526633084</v>
      </c>
      <c r="K387" s="330"/>
      <c r="L387" s="433">
        <f t="shared" si="195"/>
        <v>4.8111483047952986E-4</v>
      </c>
      <c r="M387" s="194"/>
      <c r="N387">
        <v>2022</v>
      </c>
      <c r="O387" s="320" t="s">
        <v>240</v>
      </c>
      <c r="P387" s="320" t="s">
        <v>240</v>
      </c>
      <c r="Q387" s="170">
        <f t="shared" si="196"/>
        <v>3021287432.2907991</v>
      </c>
      <c r="R387" s="170">
        <f t="shared" si="196"/>
        <v>717839788.9350903</v>
      </c>
      <c r="S387" s="170">
        <f t="shared" si="196"/>
        <v>538459524.72651696</v>
      </c>
      <c r="T387" s="170">
        <f t="shared" si="196"/>
        <v>220599656.47761372</v>
      </c>
      <c r="U387" s="433">
        <f t="shared" si="197"/>
        <v>3.2039728676927083E-3</v>
      </c>
      <c r="W387">
        <v>2022</v>
      </c>
      <c r="X387" t="s">
        <v>240</v>
      </c>
      <c r="Y387" t="s">
        <v>240</v>
      </c>
      <c r="Z387" s="170">
        <f t="shared" si="198"/>
        <v>3301323541.0317869</v>
      </c>
      <c r="AA387" s="170">
        <f t="shared" si="198"/>
        <v>834984181.0841769</v>
      </c>
      <c r="AB387" s="170">
        <f t="shared" si="198"/>
        <v>610501579.90989697</v>
      </c>
      <c r="AC387" s="170">
        <f t="shared" si="198"/>
        <v>250496780.97743022</v>
      </c>
      <c r="AD387" s="433">
        <f t="shared" si="199"/>
        <v>3.6098075453944761E-3</v>
      </c>
      <c r="AG387">
        <v>2022</v>
      </c>
      <c r="AH387" t="s">
        <v>240</v>
      </c>
      <c r="AI387" t="s">
        <v>240</v>
      </c>
      <c r="AJ387">
        <f t="shared" si="200"/>
        <v>3544480093.4149323</v>
      </c>
      <c r="AK387">
        <f t="shared" si="200"/>
        <v>866046944.98077857</v>
      </c>
      <c r="AL387">
        <f t="shared" si="200"/>
        <v>654424180.59834993</v>
      </c>
      <c r="AM387">
        <f t="shared" si="200"/>
        <v>0</v>
      </c>
      <c r="AN387" s="433">
        <f t="shared" si="201"/>
        <v>3.4701020175409336E-3</v>
      </c>
    </row>
    <row r="388" spans="5:40">
      <c r="E388">
        <v>2023</v>
      </c>
      <c r="H388" s="330">
        <f t="shared" si="194"/>
        <v>509571745.18473136</v>
      </c>
      <c r="I388" s="330">
        <f t="shared" si="194"/>
        <v>121672955.03218469</v>
      </c>
      <c r="J388" s="330">
        <f t="shared" si="194"/>
        <v>93005620.537109613</v>
      </c>
      <c r="K388" s="330"/>
      <c r="L388" s="433">
        <f t="shared" si="195"/>
        <v>4.8174091969953499E-4</v>
      </c>
      <c r="M388" s="194"/>
      <c r="N388">
        <v>2023</v>
      </c>
      <c r="O388" s="320" t="s">
        <v>240</v>
      </c>
      <c r="P388" s="320" t="s">
        <v>240</v>
      </c>
      <c r="Q388" s="170">
        <f t="shared" si="196"/>
        <v>3288994732.1696329</v>
      </c>
      <c r="R388" s="170">
        <f t="shared" si="196"/>
        <v>687168892.64318919</v>
      </c>
      <c r="S388" s="170">
        <f t="shared" si="196"/>
        <v>534518004.73787647</v>
      </c>
      <c r="T388" s="170">
        <f t="shared" si="196"/>
        <v>232475103.21820661</v>
      </c>
      <c r="U388" s="433">
        <f t="shared" si="197"/>
        <v>3.2544419388970871E-3</v>
      </c>
      <c r="W388">
        <v>2023</v>
      </c>
      <c r="X388" t="s">
        <v>240</v>
      </c>
      <c r="Y388" t="s">
        <v>240</v>
      </c>
      <c r="Z388" s="170">
        <f t="shared" si="198"/>
        <v>3601297847.8012981</v>
      </c>
      <c r="AA388" s="170">
        <f t="shared" si="198"/>
        <v>802987637.37582481</v>
      </c>
      <c r="AB388" s="170">
        <f t="shared" si="198"/>
        <v>604520909.31523514</v>
      </c>
      <c r="AC388" s="170">
        <f t="shared" si="198"/>
        <v>265681828.24532545</v>
      </c>
      <c r="AD388" s="433">
        <f t="shared" si="199"/>
        <v>3.6934013911470052E-3</v>
      </c>
      <c r="AG388">
        <v>2023</v>
      </c>
      <c r="AH388" t="s">
        <v>240</v>
      </c>
      <c r="AI388" t="s">
        <v>240</v>
      </c>
      <c r="AJ388">
        <f t="shared" si="200"/>
        <v>3852210458.2731228</v>
      </c>
      <c r="AK388">
        <f t="shared" si="200"/>
        <v>825656904.68615174</v>
      </c>
      <c r="AL388">
        <f t="shared" si="200"/>
        <v>650970723.96961665</v>
      </c>
      <c r="AM388">
        <f t="shared" si="200"/>
        <v>0</v>
      </c>
      <c r="AN388" s="433">
        <f t="shared" si="201"/>
        <v>3.458204267459269E-3</v>
      </c>
    </row>
    <row r="389" spans="5:40">
      <c r="E389">
        <v>2024</v>
      </c>
      <c r="H389" s="330">
        <f t="shared" si="194"/>
        <v>550641343.10554814</v>
      </c>
      <c r="I389" s="330">
        <f t="shared" si="194"/>
        <v>116047254.23721309</v>
      </c>
      <c r="J389" s="330">
        <f t="shared" si="194"/>
        <v>92738577.745664179</v>
      </c>
      <c r="K389" s="330"/>
      <c r="L389" s="433">
        <f t="shared" si="195"/>
        <v>4.8302758844843556E-4</v>
      </c>
      <c r="M389" s="194"/>
      <c r="N389">
        <v>2024</v>
      </c>
      <c r="O389" s="320" t="s">
        <v>240</v>
      </c>
      <c r="P389" s="320" t="s">
        <v>240</v>
      </c>
      <c r="Q389" s="170">
        <f t="shared" si="196"/>
        <v>3564595891.1512775</v>
      </c>
      <c r="R389" s="170">
        <f t="shared" si="196"/>
        <v>656921286.82427001</v>
      </c>
      <c r="S389" s="170">
        <f t="shared" si="196"/>
        <v>531078305.08359075</v>
      </c>
      <c r="T389" s="170">
        <f t="shared" si="196"/>
        <v>244731201.60962954</v>
      </c>
      <c r="U389" s="433">
        <f t="shared" si="197"/>
        <v>3.3074255779214352E-3</v>
      </c>
      <c r="W389">
        <v>2024</v>
      </c>
      <c r="X389" t="s">
        <v>240</v>
      </c>
      <c r="Y389" t="s">
        <v>240</v>
      </c>
      <c r="Z389" s="170">
        <f t="shared" si="198"/>
        <v>3915056080.5673366</v>
      </c>
      <c r="AA389" s="170">
        <f t="shared" si="198"/>
        <v>769363596.20438921</v>
      </c>
      <c r="AB389" s="170">
        <f t="shared" si="198"/>
        <v>598143620.18321407</v>
      </c>
      <c r="AC389" s="170">
        <f t="shared" si="198"/>
        <v>281428937.19182956</v>
      </c>
      <c r="AD389" s="433">
        <f t="shared" si="199"/>
        <v>3.7804014387014966E-3</v>
      </c>
      <c r="AG389">
        <v>2024</v>
      </c>
      <c r="AH389" t="s">
        <v>240</v>
      </c>
      <c r="AI389" t="s">
        <v>240</v>
      </c>
      <c r="AJ389">
        <f t="shared" si="200"/>
        <v>4164554306.8009748</v>
      </c>
      <c r="AK389">
        <f t="shared" si="200"/>
        <v>787676766.1141156</v>
      </c>
      <c r="AL389">
        <f t="shared" si="200"/>
        <v>648834294.84122181</v>
      </c>
      <c r="AM389">
        <f t="shared" si="200"/>
        <v>0</v>
      </c>
      <c r="AN389" s="433">
        <f t="shared" si="201"/>
        <v>3.4526407110761527E-3</v>
      </c>
    </row>
    <row r="390" spans="5:40">
      <c r="E390">
        <v>2025</v>
      </c>
      <c r="H390" s="330">
        <f t="shared" si="194"/>
        <v>592359052.3948319</v>
      </c>
      <c r="I390" s="330">
        <f t="shared" si="194"/>
        <v>110779087.75082646</v>
      </c>
      <c r="J390" s="330">
        <f t="shared" si="194"/>
        <v>92661350.320056245</v>
      </c>
      <c r="K390" s="330"/>
      <c r="L390" s="433">
        <f t="shared" si="195"/>
        <v>4.849348140219196E-4</v>
      </c>
      <c r="M390" s="194"/>
      <c r="N390">
        <v>2025</v>
      </c>
      <c r="O390" s="320" t="s">
        <v>240</v>
      </c>
      <c r="P390" s="320" t="s">
        <v>240</v>
      </c>
      <c r="Q390" s="170">
        <f t="shared" si="196"/>
        <v>3848424196.5294709</v>
      </c>
      <c r="R390" s="170">
        <f t="shared" si="196"/>
        <v>627110673.85984325</v>
      </c>
      <c r="S390" s="170">
        <f t="shared" si="196"/>
        <v>528159034.44848615</v>
      </c>
      <c r="T390" s="170">
        <f t="shared" si="196"/>
        <v>257385265.15561631</v>
      </c>
      <c r="U390" s="433">
        <f t="shared" si="197"/>
        <v>3.3629105652283088E-3</v>
      </c>
      <c r="W390">
        <v>2025</v>
      </c>
      <c r="X390" t="s">
        <v>240</v>
      </c>
      <c r="Y390" t="s">
        <v>240</v>
      </c>
      <c r="Z390" s="170">
        <f t="shared" si="198"/>
        <v>4242715933.9122486</v>
      </c>
      <c r="AA390" s="170">
        <f t="shared" si="198"/>
        <v>734269108.61003745</v>
      </c>
      <c r="AB390" s="170">
        <f t="shared" si="198"/>
        <v>591458112.64695168</v>
      </c>
      <c r="AC390" s="170">
        <f t="shared" si="198"/>
        <v>297748192.75308913</v>
      </c>
      <c r="AD390" s="433">
        <f t="shared" si="199"/>
        <v>3.8707592050888687E-3</v>
      </c>
      <c r="AG390">
        <v>2025</v>
      </c>
      <c r="AH390" t="s">
        <v>240</v>
      </c>
      <c r="AI390" t="s">
        <v>240</v>
      </c>
      <c r="AJ390">
        <f t="shared" si="200"/>
        <v>4482371755.0005894</v>
      </c>
      <c r="AK390">
        <f t="shared" si="200"/>
        <v>751869618.93324471</v>
      </c>
      <c r="AL390">
        <f t="shared" si="200"/>
        <v>647940792.2908684</v>
      </c>
      <c r="AM390">
        <f t="shared" si="200"/>
        <v>0</v>
      </c>
      <c r="AN390" s="433">
        <f t="shared" si="201"/>
        <v>3.4528264881671044E-3</v>
      </c>
    </row>
    <row r="391" spans="5:40">
      <c r="E391">
        <v>2026</v>
      </c>
      <c r="H391" s="330">
        <f t="shared" si="194"/>
        <v>634843974.66633368</v>
      </c>
      <c r="I391" s="330">
        <f t="shared" si="194"/>
        <v>105831118.55096012</v>
      </c>
      <c r="J391" s="330">
        <f t="shared" si="194"/>
        <v>92762725.765403122</v>
      </c>
      <c r="K391" s="330"/>
      <c r="L391" s="433">
        <f t="shared" si="195"/>
        <v>4.8742892707185872E-4</v>
      </c>
      <c r="M391" s="194"/>
      <c r="N391">
        <v>2026</v>
      </c>
      <c r="O391" s="320" t="s">
        <v>240</v>
      </c>
      <c r="P391" s="320" t="s">
        <v>240</v>
      </c>
      <c r="Q391" s="170">
        <f t="shared" si="196"/>
        <v>4140842442.2345171</v>
      </c>
      <c r="R391" s="170">
        <f t="shared" si="196"/>
        <v>597743850.3240416</v>
      </c>
      <c r="S391" s="170">
        <f t="shared" si="196"/>
        <v>525776275.66551864</v>
      </c>
      <c r="T391" s="170">
        <f t="shared" si="196"/>
        <v>270455582.31457561</v>
      </c>
      <c r="U391" s="433">
        <f t="shared" si="197"/>
        <v>3.4208984401128532E-3</v>
      </c>
      <c r="W391">
        <v>2026</v>
      </c>
      <c r="X391" t="s">
        <v>240</v>
      </c>
      <c r="Y391" t="s">
        <v>240</v>
      </c>
      <c r="Z391" s="170">
        <f t="shared" si="198"/>
        <v>4584422984.6338863</v>
      </c>
      <c r="AA391" s="170">
        <f t="shared" si="198"/>
        <v>697856285.325104</v>
      </c>
      <c r="AB391" s="170">
        <f t="shared" si="198"/>
        <v>584550889.33444262</v>
      </c>
      <c r="AC391" s="170">
        <f t="shared" si="198"/>
        <v>314651326.61064512</v>
      </c>
      <c r="AD391" s="433">
        <f t="shared" si="199"/>
        <v>3.9644461972765275E-3</v>
      </c>
      <c r="AG391">
        <v>2026</v>
      </c>
      <c r="AH391" t="s">
        <v>240</v>
      </c>
      <c r="AI391" t="s">
        <v>240</v>
      </c>
      <c r="AJ391">
        <f t="shared" si="200"/>
        <v>4806486145.6881218</v>
      </c>
      <c r="AK391">
        <f t="shared" si="200"/>
        <v>718024654.09693849</v>
      </c>
      <c r="AL391">
        <f t="shared" si="200"/>
        <v>648226365.86387753</v>
      </c>
      <c r="AM391">
        <f t="shared" si="200"/>
        <v>0</v>
      </c>
      <c r="AN391" s="433">
        <f t="shared" si="201"/>
        <v>3.4582830984296901E-3</v>
      </c>
    </row>
    <row r="392" spans="5:40">
      <c r="E392">
        <v>2027</v>
      </c>
      <c r="H392" s="330">
        <f t="shared" si="194"/>
        <v>678209318.30807769</v>
      </c>
      <c r="I392" s="330">
        <f t="shared" si="194"/>
        <v>101170486.94135642</v>
      </c>
      <c r="J392" s="330">
        <f t="shared" si="194"/>
        <v>93033166.080821067</v>
      </c>
      <c r="K392" s="330"/>
      <c r="L392" s="433">
        <f t="shared" si="195"/>
        <v>4.9048161458271758E-4</v>
      </c>
      <c r="M392" s="194"/>
      <c r="N392">
        <v>2027</v>
      </c>
      <c r="O392" s="320" t="s">
        <v>240</v>
      </c>
      <c r="P392" s="320" t="s">
        <v>240</v>
      </c>
      <c r="Q392" s="170">
        <f t="shared" si="196"/>
        <v>4442241598.385973</v>
      </c>
      <c r="R392" s="170">
        <f t="shared" si="196"/>
        <v>568821630.04185593</v>
      </c>
      <c r="S392" s="170">
        <f t="shared" si="196"/>
        <v>523943987.58487046</v>
      </c>
      <c r="T392" s="170">
        <f t="shared" si="196"/>
        <v>283961393.48074228</v>
      </c>
      <c r="U392" s="433">
        <f t="shared" si="197"/>
        <v>3.4814031215767453E-3</v>
      </c>
      <c r="W392">
        <v>2027</v>
      </c>
      <c r="X392" t="s">
        <v>240</v>
      </c>
      <c r="Y392" t="s">
        <v>240</v>
      </c>
      <c r="Z392" s="170">
        <f t="shared" si="198"/>
        <v>4940355046.8231468</v>
      </c>
      <c r="AA392" s="170">
        <f t="shared" si="198"/>
        <v>660270571.31896067</v>
      </c>
      <c r="AB392" s="170">
        <f t="shared" si="198"/>
        <v>577505760.76152813</v>
      </c>
      <c r="AC392" s="170">
        <f t="shared" si="198"/>
        <v>332151816.38073111</v>
      </c>
      <c r="AD392" s="433">
        <f t="shared" si="199"/>
        <v>4.0614523930232764E-3</v>
      </c>
      <c r="AG392">
        <v>2027</v>
      </c>
      <c r="AH392" t="s">
        <v>240</v>
      </c>
      <c r="AI392" t="s">
        <v>240</v>
      </c>
      <c r="AJ392">
        <f t="shared" si="200"/>
        <v>5137691518.2957954</v>
      </c>
      <c r="AK392">
        <f t="shared" si="200"/>
        <v>685953738.76537919</v>
      </c>
      <c r="AL392">
        <f t="shared" si="200"/>
        <v>649636150.61223876</v>
      </c>
      <c r="AM392">
        <f t="shared" si="200"/>
        <v>0</v>
      </c>
      <c r="AN392" s="433">
        <f t="shared" si="201"/>
        <v>3.4686167156444563E-3</v>
      </c>
    </row>
    <row r="393" spans="5:40">
      <c r="E393">
        <v>2028</v>
      </c>
      <c r="H393" s="330">
        <f t="shared" si="194"/>
        <v>722563631.96486378</v>
      </c>
      <c r="I393" s="330">
        <f t="shared" si="194"/>
        <v>96768166.125100285</v>
      </c>
      <c r="J393" s="330">
        <f t="shared" si="194"/>
        <v>93464579.507446185</v>
      </c>
      <c r="K393" s="330"/>
      <c r="L393" s="433">
        <f t="shared" si="195"/>
        <v>4.9406911752645469E-4</v>
      </c>
      <c r="M393" s="194"/>
      <c r="N393">
        <v>2028</v>
      </c>
      <c r="O393" s="320" t="s">
        <v>240</v>
      </c>
      <c r="P393" s="320" t="s">
        <v>240</v>
      </c>
      <c r="Q393" s="170">
        <f t="shared" si="196"/>
        <v>4753039668.504528</v>
      </c>
      <c r="R393" s="170">
        <f t="shared" si="196"/>
        <v>540339687.51338804</v>
      </c>
      <c r="S393" s="170">
        <f t="shared" si="196"/>
        <v>522674374.75002217</v>
      </c>
      <c r="T393" s="170">
        <f t="shared" si="196"/>
        <v>297922874.34852374</v>
      </c>
      <c r="U393" s="433">
        <f t="shared" si="197"/>
        <v>3.5444490196088305E-3</v>
      </c>
      <c r="W393">
        <v>2028</v>
      </c>
      <c r="X393" t="s">
        <v>240</v>
      </c>
      <c r="Y393" t="s">
        <v>240</v>
      </c>
      <c r="Z393" s="170">
        <f t="shared" si="198"/>
        <v>5310725869.7368612</v>
      </c>
      <c r="AA393" s="170">
        <f t="shared" si="198"/>
        <v>621649354.78227246</v>
      </c>
      <c r="AB393" s="170">
        <f t="shared" si="198"/>
        <v>570403210.1983285</v>
      </c>
      <c r="AC393" s="170">
        <f t="shared" si="198"/>
        <v>350264961.73664945</v>
      </c>
      <c r="AD393" s="433">
        <f t="shared" si="199"/>
        <v>4.161784850539676E-3</v>
      </c>
      <c r="AG393">
        <v>2028</v>
      </c>
      <c r="AH393" t="s">
        <v>240</v>
      </c>
      <c r="AI393" t="s">
        <v>240</v>
      </c>
      <c r="AJ393">
        <f t="shared" si="200"/>
        <v>5476759090.9127798</v>
      </c>
      <c r="AK393">
        <f t="shared" si="200"/>
        <v>655488497.16752708</v>
      </c>
      <c r="AL393">
        <f t="shared" si="200"/>
        <v>652123192.05821896</v>
      </c>
      <c r="AM393">
        <f t="shared" si="200"/>
        <v>0</v>
      </c>
      <c r="AN393" s="433">
        <f t="shared" si="201"/>
        <v>3.4835017854646039E-3</v>
      </c>
    </row>
    <row r="394" spans="5:40">
      <c r="E394">
        <v>2029</v>
      </c>
      <c r="H394" s="330">
        <f t="shared" si="194"/>
        <v>768011853.04524851</v>
      </c>
      <c r="I394" s="330">
        <f t="shared" si="194"/>
        <v>92598423.315001845</v>
      </c>
      <c r="J394" s="330">
        <f t="shared" si="194"/>
        <v>94050130.142192394</v>
      </c>
      <c r="K394" s="330"/>
      <c r="L394" s="433">
        <f t="shared" si="195"/>
        <v>4.981715797109876E-4</v>
      </c>
      <c r="M394" s="194"/>
      <c r="N394">
        <v>2029</v>
      </c>
      <c r="O394" s="320" t="s">
        <v>240</v>
      </c>
      <c r="P394" s="320" t="s">
        <v>240</v>
      </c>
      <c r="Q394" s="170">
        <f t="shared" si="196"/>
        <v>5073680737.8636684</v>
      </c>
      <c r="R394" s="170">
        <f t="shared" si="196"/>
        <v>512289320.76672906</v>
      </c>
      <c r="S394" s="170">
        <f t="shared" si="196"/>
        <v>521978224.33171815</v>
      </c>
      <c r="T394" s="170">
        <f t="shared" si="196"/>
        <v>312361125.51643819</v>
      </c>
      <c r="U394" s="433">
        <f t="shared" si="197"/>
        <v>3.6100695346432555E-3</v>
      </c>
      <c r="W394">
        <v>2029</v>
      </c>
      <c r="X394" t="s">
        <v>240</v>
      </c>
      <c r="Y394" t="s">
        <v>240</v>
      </c>
      <c r="Z394" s="170">
        <f t="shared" si="198"/>
        <v>5695788198.4193068</v>
      </c>
      <c r="AA394" s="170">
        <f t="shared" si="198"/>
        <v>582120900.527915</v>
      </c>
      <c r="AB394" s="170">
        <f t="shared" si="198"/>
        <v>563319913.06177688</v>
      </c>
      <c r="AC394" s="170">
        <f t="shared" si="198"/>
        <v>369007939.83389968</v>
      </c>
      <c r="AD394" s="433">
        <f t="shared" si="199"/>
        <v>4.2654664279862444E-3</v>
      </c>
      <c r="AG394">
        <v>2029</v>
      </c>
      <c r="AH394" t="s">
        <v>240</v>
      </c>
      <c r="AI394" t="s">
        <v>240</v>
      </c>
      <c r="AJ394">
        <f t="shared" si="200"/>
        <v>5824442921.3756762</v>
      </c>
      <c r="AK394">
        <f t="shared" si="200"/>
        <v>626477814.41324115</v>
      </c>
      <c r="AL394">
        <f t="shared" si="200"/>
        <v>655647530.00819874</v>
      </c>
      <c r="AM394">
        <f t="shared" si="200"/>
        <v>0</v>
      </c>
      <c r="AN394" s="433">
        <f t="shared" si="201"/>
        <v>3.5026684502605324E-3</v>
      </c>
    </row>
    <row r="395" spans="5:40">
      <c r="E395">
        <v>2030</v>
      </c>
      <c r="H395" s="330">
        <f t="shared" si="194"/>
        <v>814656205.84873438</v>
      </c>
      <c r="I395" s="330">
        <f>I376+I205</f>
        <v>88638367.044056952</v>
      </c>
      <c r="J395" s="330">
        <f t="shared" si="194"/>
        <v>94784078.49335067</v>
      </c>
      <c r="K395" s="330"/>
      <c r="L395" s="433">
        <f t="shared" si="195"/>
        <v>5.0277251532992962E-4</v>
      </c>
      <c r="M395" s="194"/>
      <c r="N395">
        <v>2030</v>
      </c>
      <c r="O395" s="320" t="s">
        <v>240</v>
      </c>
      <c r="P395" s="320" t="s">
        <v>240</v>
      </c>
      <c r="Q395" s="170">
        <f t="shared" si="196"/>
        <v>5404634211.5258236</v>
      </c>
      <c r="R395" s="170">
        <f t="shared" si="196"/>
        <v>484658135.04080814</v>
      </c>
      <c r="S395" s="170">
        <f t="shared" si="196"/>
        <v>521865210.77696621</v>
      </c>
      <c r="T395" s="170">
        <f t="shared" si="196"/>
        <v>327298168.09530461</v>
      </c>
      <c r="U395" s="433">
        <f t="shared" si="197"/>
        <v>3.6783058659315567E-3</v>
      </c>
      <c r="W395">
        <v>2030</v>
      </c>
      <c r="X395" t="s">
        <v>240</v>
      </c>
      <c r="Y395" t="s">
        <v>240</v>
      </c>
      <c r="Z395" s="170">
        <f t="shared" si="198"/>
        <v>6095836237.1650028</v>
      </c>
      <c r="AA395" s="170">
        <f t="shared" si="198"/>
        <v>541803588.1765424</v>
      </c>
      <c r="AB395" s="170">
        <f t="shared" si="198"/>
        <v>556328401.36191285</v>
      </c>
      <c r="AC395" s="170">
        <f t="shared" si="198"/>
        <v>388399842.80466866</v>
      </c>
      <c r="AD395" s="433">
        <f t="shared" si="199"/>
        <v>4.3725346013590745E-3</v>
      </c>
      <c r="AG395">
        <v>2030</v>
      </c>
      <c r="AH395" t="s">
        <v>240</v>
      </c>
      <c r="AI395" t="s">
        <v>240</v>
      </c>
      <c r="AJ395">
        <f t="shared" si="200"/>
        <v>6181484884.5144415</v>
      </c>
      <c r="AK395">
        <f t="shared" si="200"/>
        <v>598785695.15878212</v>
      </c>
      <c r="AL395">
        <f t="shared" si="200"/>
        <v>660175415.72683799</v>
      </c>
      <c r="AM395">
        <f t="shared" si="200"/>
        <v>0</v>
      </c>
      <c r="AN395" s="433">
        <f t="shared" si="201"/>
        <v>3.5258927891683475E-3</v>
      </c>
    </row>
    <row r="396" spans="5:40">
      <c r="E396">
        <v>2040</v>
      </c>
      <c r="H396" s="330">
        <f t="shared" si="194"/>
        <v>0</v>
      </c>
      <c r="I396" s="330">
        <f t="shared" si="194"/>
        <v>0</v>
      </c>
      <c r="J396" s="330">
        <f t="shared" si="194"/>
        <v>0</v>
      </c>
      <c r="K396" s="330"/>
      <c r="L396" s="433">
        <f t="shared" si="195"/>
        <v>0</v>
      </c>
      <c r="M396" s="194"/>
      <c r="N396">
        <v>2040</v>
      </c>
      <c r="O396" s="320" t="s">
        <v>240</v>
      </c>
      <c r="P396" s="320" t="s">
        <v>240</v>
      </c>
      <c r="Q396" s="170">
        <f t="shared" si="196"/>
        <v>9214943690.4130917</v>
      </c>
      <c r="R396" s="170">
        <f t="shared" si="196"/>
        <v>241089362.75652692</v>
      </c>
      <c r="S396" s="170">
        <f t="shared" si="196"/>
        <v>577842316.64715075</v>
      </c>
      <c r="T396" s="170">
        <f t="shared" si="196"/>
        <v>492930675.03408527</v>
      </c>
      <c r="U396" s="433">
        <f t="shared" si="197"/>
        <v>4.4289381303972116E-3</v>
      </c>
      <c r="W396">
        <v>2040</v>
      </c>
      <c r="X396" t="s">
        <v>240</v>
      </c>
      <c r="Y396" t="s">
        <v>240</v>
      </c>
      <c r="Z396" s="170">
        <f t="shared" si="198"/>
        <v>10950558668.917793</v>
      </c>
      <c r="AA396" s="170">
        <f t="shared" si="198"/>
        <v>102643320.81328717</v>
      </c>
      <c r="AB396" s="170">
        <f t="shared" si="198"/>
        <v>513646757.18593293</v>
      </c>
      <c r="AC396" s="170">
        <f t="shared" si="198"/>
        <v>612438795.1819036</v>
      </c>
      <c r="AD396" s="433">
        <f t="shared" si="199"/>
        <v>5.9637701822749054E-3</v>
      </c>
      <c r="AG396">
        <v>2040</v>
      </c>
      <c r="AH396" t="s">
        <v>240</v>
      </c>
      <c r="AI396" t="s">
        <v>240</v>
      </c>
      <c r="AJ396">
        <f t="shared" si="200"/>
        <v>0</v>
      </c>
      <c r="AK396">
        <f t="shared" si="200"/>
        <v>0</v>
      </c>
      <c r="AL396">
        <f t="shared" si="200"/>
        <v>0</v>
      </c>
      <c r="AM396">
        <f t="shared" si="200"/>
        <v>0</v>
      </c>
      <c r="AN396" s="433">
        <f t="shared" si="201"/>
        <v>0</v>
      </c>
    </row>
    <row r="397" spans="5:40">
      <c r="E397">
        <v>2050</v>
      </c>
      <c r="H397" s="330">
        <f t="shared" si="194"/>
        <v>0</v>
      </c>
      <c r="I397" s="330">
        <f t="shared" si="194"/>
        <v>0</v>
      </c>
      <c r="J397" s="330">
        <f t="shared" si="194"/>
        <v>0</v>
      </c>
      <c r="K397" s="330"/>
      <c r="L397" s="433">
        <f t="shared" si="195"/>
        <v>0</v>
      </c>
      <c r="M397" s="194"/>
      <c r="N397">
        <v>2050</v>
      </c>
      <c r="O397" s="320" t="s">
        <v>240</v>
      </c>
      <c r="P397" s="320" t="s">
        <v>240</v>
      </c>
      <c r="Q397" s="170">
        <f t="shared" si="196"/>
        <v>0</v>
      </c>
      <c r="R397" s="170">
        <f t="shared" si="196"/>
        <v>0</v>
      </c>
      <c r="S397" s="170">
        <f t="shared" si="196"/>
        <v>0</v>
      </c>
      <c r="T397" s="170">
        <f t="shared" si="196"/>
        <v>0</v>
      </c>
      <c r="U397" s="433">
        <f t="shared" si="197"/>
        <v>0</v>
      </c>
      <c r="W397">
        <v>2050</v>
      </c>
      <c r="X397" t="s">
        <v>240</v>
      </c>
      <c r="Y397" t="s">
        <v>240</v>
      </c>
      <c r="Z397" s="170">
        <f t="shared" si="198"/>
        <v>0</v>
      </c>
      <c r="AA397" s="170">
        <f t="shared" si="198"/>
        <v>0</v>
      </c>
      <c r="AB397" s="170">
        <f t="shared" si="198"/>
        <v>0</v>
      </c>
      <c r="AC397" s="170">
        <f t="shared" si="198"/>
        <v>0</v>
      </c>
      <c r="AD397" s="433">
        <f t="shared" si="199"/>
        <v>0</v>
      </c>
      <c r="AG397">
        <v>2050</v>
      </c>
      <c r="AH397" t="s">
        <v>240</v>
      </c>
      <c r="AI397" t="s">
        <v>240</v>
      </c>
      <c r="AJ397">
        <f t="shared" si="200"/>
        <v>0</v>
      </c>
      <c r="AK397">
        <f t="shared" si="200"/>
        <v>0</v>
      </c>
      <c r="AL397">
        <f t="shared" si="200"/>
        <v>0</v>
      </c>
      <c r="AM397">
        <f t="shared" si="200"/>
        <v>0</v>
      </c>
      <c r="AN397" s="433">
        <f t="shared" si="201"/>
        <v>0</v>
      </c>
    </row>
    <row r="398" spans="5:40">
      <c r="E398">
        <v>2060</v>
      </c>
      <c r="H398" s="330">
        <f t="shared" si="194"/>
        <v>0</v>
      </c>
      <c r="I398" s="330">
        <f t="shared" si="194"/>
        <v>0</v>
      </c>
      <c r="J398" s="330">
        <f t="shared" si="194"/>
        <v>0</v>
      </c>
      <c r="K398" s="330"/>
      <c r="L398" s="433">
        <f t="shared" si="195"/>
        <v>0</v>
      </c>
      <c r="M398" s="194"/>
      <c r="N398">
        <v>2060</v>
      </c>
      <c r="O398" s="320" t="s">
        <v>240</v>
      </c>
      <c r="P398" s="320" t="s">
        <v>240</v>
      </c>
      <c r="Q398" s="170">
        <f t="shared" si="196"/>
        <v>0</v>
      </c>
      <c r="R398" s="170">
        <f t="shared" si="196"/>
        <v>0</v>
      </c>
      <c r="S398" s="170">
        <f t="shared" si="196"/>
        <v>0</v>
      </c>
      <c r="T398" s="170">
        <f t="shared" si="196"/>
        <v>0</v>
      </c>
      <c r="U398" s="433">
        <f t="shared" si="197"/>
        <v>0</v>
      </c>
      <c r="W398">
        <v>2060</v>
      </c>
      <c r="X398" t="s">
        <v>240</v>
      </c>
      <c r="Y398" t="s">
        <v>240</v>
      </c>
      <c r="Z398" s="170">
        <f t="shared" si="198"/>
        <v>0</v>
      </c>
      <c r="AA398" s="170">
        <f t="shared" si="198"/>
        <v>0</v>
      </c>
      <c r="AB398" s="170">
        <f t="shared" si="198"/>
        <v>0</v>
      </c>
      <c r="AC398" s="170">
        <f t="shared" si="198"/>
        <v>0</v>
      </c>
      <c r="AD398" s="433">
        <f t="shared" si="199"/>
        <v>0</v>
      </c>
      <c r="AG398">
        <v>2060</v>
      </c>
      <c r="AH398" t="s">
        <v>240</v>
      </c>
      <c r="AI398" t="s">
        <v>240</v>
      </c>
      <c r="AJ398">
        <f t="shared" si="200"/>
        <v>0</v>
      </c>
      <c r="AK398">
        <f t="shared" si="200"/>
        <v>0</v>
      </c>
      <c r="AL398">
        <f t="shared" si="200"/>
        <v>0</v>
      </c>
      <c r="AM398">
        <f t="shared" si="200"/>
        <v>0</v>
      </c>
      <c r="AN398" s="433">
        <f t="shared" si="201"/>
        <v>0</v>
      </c>
    </row>
    <row r="399" spans="5:40">
      <c r="E399">
        <v>2070</v>
      </c>
      <c r="H399" s="330">
        <f t="shared" si="194"/>
        <v>0</v>
      </c>
      <c r="I399" s="330">
        <f t="shared" si="194"/>
        <v>0</v>
      </c>
      <c r="J399" s="330">
        <f t="shared" si="194"/>
        <v>0</v>
      </c>
      <c r="K399" s="330"/>
      <c r="L399" s="433">
        <f t="shared" si="195"/>
        <v>0</v>
      </c>
      <c r="M399" s="194"/>
      <c r="N399">
        <v>2070</v>
      </c>
      <c r="O399" s="320" t="s">
        <v>240</v>
      </c>
      <c r="P399" s="320" t="s">
        <v>240</v>
      </c>
      <c r="Q399" s="170">
        <f t="shared" si="196"/>
        <v>0</v>
      </c>
      <c r="R399" s="170">
        <f t="shared" si="196"/>
        <v>0</v>
      </c>
      <c r="S399" s="170">
        <f t="shared" si="196"/>
        <v>0</v>
      </c>
      <c r="T399" s="170">
        <f t="shared" si="196"/>
        <v>0</v>
      </c>
      <c r="U399" s="433">
        <f t="shared" si="197"/>
        <v>0</v>
      </c>
      <c r="W399">
        <v>2070</v>
      </c>
      <c r="X399" t="s">
        <v>240</v>
      </c>
      <c r="Y399" t="s">
        <v>240</v>
      </c>
      <c r="Z399" s="170">
        <f t="shared" si="198"/>
        <v>0</v>
      </c>
      <c r="AA399" s="170">
        <f t="shared" si="198"/>
        <v>0</v>
      </c>
      <c r="AB399" s="170">
        <f t="shared" si="198"/>
        <v>0</v>
      </c>
      <c r="AC399" s="170">
        <f t="shared" si="198"/>
        <v>0</v>
      </c>
      <c r="AD399" s="433">
        <f t="shared" si="199"/>
        <v>0</v>
      </c>
      <c r="AG399">
        <v>2070</v>
      </c>
      <c r="AH399" t="s">
        <v>240</v>
      </c>
      <c r="AI399" t="s">
        <v>240</v>
      </c>
      <c r="AJ399">
        <f t="shared" si="200"/>
        <v>0</v>
      </c>
      <c r="AK399">
        <f t="shared" si="200"/>
        <v>0</v>
      </c>
      <c r="AL399">
        <f t="shared" si="200"/>
        <v>0</v>
      </c>
      <c r="AM399">
        <f t="shared" si="200"/>
        <v>0</v>
      </c>
      <c r="AN399" s="433">
        <f t="shared" si="201"/>
        <v>0</v>
      </c>
    </row>
    <row r="400" spans="5:40">
      <c r="E400">
        <v>2080</v>
      </c>
      <c r="H400" s="330">
        <f t="shared" si="194"/>
        <v>0</v>
      </c>
      <c r="I400" s="330">
        <f t="shared" si="194"/>
        <v>0</v>
      </c>
      <c r="J400" s="330">
        <f t="shared" si="194"/>
        <v>0</v>
      </c>
      <c r="K400" s="330"/>
      <c r="L400" s="433">
        <f t="shared" si="195"/>
        <v>0</v>
      </c>
      <c r="M400" s="194"/>
      <c r="N400">
        <v>2080</v>
      </c>
      <c r="O400" s="320" t="s">
        <v>240</v>
      </c>
      <c r="P400" s="320" t="s">
        <v>240</v>
      </c>
      <c r="Q400" s="170">
        <f t="shared" si="196"/>
        <v>0</v>
      </c>
      <c r="R400" s="170">
        <f t="shared" si="196"/>
        <v>0</v>
      </c>
      <c r="S400" s="170">
        <f t="shared" si="196"/>
        <v>0</v>
      </c>
      <c r="T400" s="170">
        <f t="shared" si="196"/>
        <v>0</v>
      </c>
      <c r="U400" s="433">
        <f t="shared" si="197"/>
        <v>0</v>
      </c>
      <c r="W400">
        <v>2080</v>
      </c>
      <c r="X400" t="s">
        <v>240</v>
      </c>
      <c r="Y400" t="s">
        <v>240</v>
      </c>
      <c r="Z400" s="170">
        <f t="shared" si="198"/>
        <v>0</v>
      </c>
      <c r="AA400" s="170">
        <f t="shared" si="198"/>
        <v>0</v>
      </c>
      <c r="AB400" s="170">
        <f t="shared" si="198"/>
        <v>0</v>
      </c>
      <c r="AC400" s="170">
        <f t="shared" si="198"/>
        <v>0</v>
      </c>
      <c r="AD400" s="433">
        <f t="shared" si="199"/>
        <v>0</v>
      </c>
      <c r="AG400">
        <v>2080</v>
      </c>
      <c r="AH400" t="s">
        <v>240</v>
      </c>
      <c r="AI400" t="s">
        <v>240</v>
      </c>
      <c r="AJ400">
        <f t="shared" si="200"/>
        <v>0</v>
      </c>
      <c r="AK400">
        <f t="shared" si="200"/>
        <v>0</v>
      </c>
      <c r="AL400">
        <f t="shared" si="200"/>
        <v>0</v>
      </c>
      <c r="AM400">
        <f t="shared" si="200"/>
        <v>0</v>
      </c>
      <c r="AN400" s="433">
        <f t="shared" si="201"/>
        <v>0</v>
      </c>
    </row>
    <row r="401" spans="5:40">
      <c r="E401">
        <v>2090</v>
      </c>
      <c r="H401" s="330">
        <f t="shared" si="194"/>
        <v>0</v>
      </c>
      <c r="I401" s="330">
        <f t="shared" si="194"/>
        <v>0</v>
      </c>
      <c r="J401" s="330">
        <f t="shared" si="194"/>
        <v>0</v>
      </c>
      <c r="K401" s="330"/>
      <c r="L401" s="433">
        <f t="shared" si="195"/>
        <v>0</v>
      </c>
      <c r="M401" s="194"/>
      <c r="N401">
        <v>2090</v>
      </c>
      <c r="O401" s="320" t="s">
        <v>240</v>
      </c>
      <c r="P401" s="320" t="s">
        <v>240</v>
      </c>
      <c r="Q401" s="170">
        <f t="shared" si="196"/>
        <v>0</v>
      </c>
      <c r="R401" s="170">
        <f t="shared" si="196"/>
        <v>0</v>
      </c>
      <c r="S401" s="170">
        <f t="shared" si="196"/>
        <v>0</v>
      </c>
      <c r="T401" s="170">
        <f t="shared" si="196"/>
        <v>0</v>
      </c>
      <c r="U401" s="433">
        <f t="shared" si="197"/>
        <v>0</v>
      </c>
      <c r="W401">
        <v>2090</v>
      </c>
      <c r="X401" t="s">
        <v>240</v>
      </c>
      <c r="Y401" t="s">
        <v>240</v>
      </c>
      <c r="Z401" s="170">
        <f t="shared" si="198"/>
        <v>0</v>
      </c>
      <c r="AA401" s="170">
        <f t="shared" si="198"/>
        <v>0</v>
      </c>
      <c r="AB401" s="170">
        <f t="shared" si="198"/>
        <v>0</v>
      </c>
      <c r="AC401" s="170">
        <f t="shared" si="198"/>
        <v>0</v>
      </c>
      <c r="AD401" s="433">
        <f t="shared" si="199"/>
        <v>0</v>
      </c>
      <c r="AG401">
        <v>2090</v>
      </c>
      <c r="AH401" t="s">
        <v>240</v>
      </c>
      <c r="AI401" t="s">
        <v>240</v>
      </c>
      <c r="AJ401">
        <f t="shared" si="200"/>
        <v>0</v>
      </c>
      <c r="AK401">
        <f t="shared" si="200"/>
        <v>0</v>
      </c>
      <c r="AL401">
        <f t="shared" si="200"/>
        <v>0</v>
      </c>
      <c r="AM401">
        <f t="shared" si="200"/>
        <v>0</v>
      </c>
      <c r="AN401" s="433">
        <f t="shared" si="201"/>
        <v>0</v>
      </c>
    </row>
    <row r="402" spans="5:40">
      <c r="E402">
        <v>2100</v>
      </c>
      <c r="H402" s="330">
        <f t="shared" si="194"/>
        <v>0</v>
      </c>
      <c r="I402" s="330">
        <f t="shared" si="194"/>
        <v>0</v>
      </c>
      <c r="J402" s="330">
        <f t="shared" si="194"/>
        <v>0</v>
      </c>
      <c r="K402" s="330"/>
      <c r="L402" s="433">
        <f t="shared" si="195"/>
        <v>0</v>
      </c>
      <c r="M402" s="194"/>
      <c r="N402">
        <v>2100</v>
      </c>
      <c r="O402" s="320" t="s">
        <v>240</v>
      </c>
      <c r="P402" s="320" t="s">
        <v>240</v>
      </c>
      <c r="Q402" s="170">
        <f t="shared" si="196"/>
        <v>0</v>
      </c>
      <c r="R402" s="170">
        <f t="shared" si="196"/>
        <v>0</v>
      </c>
      <c r="S402" s="170">
        <f t="shared" si="196"/>
        <v>0</v>
      </c>
      <c r="T402" s="170">
        <f t="shared" si="196"/>
        <v>0</v>
      </c>
      <c r="U402" s="433">
        <f t="shared" si="197"/>
        <v>0</v>
      </c>
      <c r="W402">
        <v>2100</v>
      </c>
      <c r="X402" t="s">
        <v>240</v>
      </c>
      <c r="Y402" t="s">
        <v>240</v>
      </c>
      <c r="Z402" s="170">
        <f t="shared" si="198"/>
        <v>0</v>
      </c>
      <c r="AA402" s="170">
        <f t="shared" si="198"/>
        <v>0</v>
      </c>
      <c r="AB402" s="170">
        <f t="shared" si="198"/>
        <v>0</v>
      </c>
      <c r="AC402" s="170">
        <f t="shared" si="198"/>
        <v>0</v>
      </c>
      <c r="AD402" s="433">
        <f t="shared" si="199"/>
        <v>0</v>
      </c>
      <c r="AG402">
        <v>2100</v>
      </c>
      <c r="AH402" t="s">
        <v>240</v>
      </c>
      <c r="AI402" t="s">
        <v>240</v>
      </c>
      <c r="AJ402">
        <f t="shared" si="200"/>
        <v>0</v>
      </c>
      <c r="AK402">
        <f t="shared" si="200"/>
        <v>0</v>
      </c>
      <c r="AL402">
        <f t="shared" si="200"/>
        <v>0</v>
      </c>
      <c r="AM402">
        <f t="shared" si="200"/>
        <v>0</v>
      </c>
      <c r="AN402" s="433">
        <f t="shared" si="201"/>
        <v>0</v>
      </c>
    </row>
    <row r="403" spans="5:40">
      <c r="F403" s="581" t="s">
        <v>251</v>
      </c>
      <c r="G403" s="581"/>
      <c r="H403" s="581"/>
      <c r="I403" s="581"/>
      <c r="J403" s="581"/>
      <c r="K403" s="581"/>
      <c r="O403" s="581" t="s">
        <v>251</v>
      </c>
      <c r="P403" s="581"/>
      <c r="Q403" s="581"/>
      <c r="R403" s="581"/>
      <c r="S403" s="581"/>
      <c r="T403" s="581"/>
      <c r="X403" s="581" t="s">
        <v>251</v>
      </c>
      <c r="Y403" s="581"/>
      <c r="Z403" s="581"/>
      <c r="AA403" s="581"/>
      <c r="AB403" s="581"/>
      <c r="AC403" s="581"/>
      <c r="AH403" s="581" t="s">
        <v>251</v>
      </c>
      <c r="AI403" s="581"/>
      <c r="AJ403" s="581"/>
      <c r="AK403" s="581"/>
      <c r="AL403" s="581"/>
      <c r="AM403" s="581"/>
    </row>
    <row r="404" spans="5:40">
      <c r="E404">
        <v>2020</v>
      </c>
      <c r="F404" s="61">
        <f>'Demographic-Economic'!C$38</f>
        <v>531771287</v>
      </c>
      <c r="G404" s="61">
        <f>'Demographic-Economic'!D$38</f>
        <v>222153795</v>
      </c>
      <c r="H404" s="61">
        <f>'Demographic-Economic'!E$38</f>
        <v>417708522</v>
      </c>
      <c r="I404" s="61">
        <f>'Demographic-Economic'!F$38</f>
        <v>45815957</v>
      </c>
      <c r="J404" s="61">
        <f>'Demographic-Economic'!G$38</f>
        <v>69643447</v>
      </c>
      <c r="K404" s="61">
        <f>'Demographic-Economic'!H$38</f>
        <v>9845914</v>
      </c>
      <c r="N404">
        <v>2020</v>
      </c>
      <c r="O404" s="61">
        <f>'Demographic-Economic'!C$38</f>
        <v>531771287</v>
      </c>
      <c r="P404" s="61">
        <f>'Demographic-Economic'!D$38</f>
        <v>222153795</v>
      </c>
      <c r="Q404" s="61">
        <f>'Demographic-Economic'!E$38</f>
        <v>417708522</v>
      </c>
      <c r="R404" s="61">
        <f>'Demographic-Economic'!F$38</f>
        <v>45815957</v>
      </c>
      <c r="S404" s="61">
        <f>'Demographic-Economic'!G$38</f>
        <v>69643447</v>
      </c>
      <c r="T404" s="61">
        <f>'Demographic-Economic'!H$38</f>
        <v>9845914</v>
      </c>
      <c r="W404">
        <v>2020</v>
      </c>
      <c r="X404" s="61">
        <f>'Demographic-Economic'!C$38</f>
        <v>531771287</v>
      </c>
      <c r="Y404" s="61">
        <f>'Demographic-Economic'!D$38</f>
        <v>222153795</v>
      </c>
      <c r="Z404" s="61">
        <f>'Demographic-Economic'!E$38</f>
        <v>417708522</v>
      </c>
      <c r="AA404" s="61">
        <f>'Demographic-Economic'!F$38</f>
        <v>45815957</v>
      </c>
      <c r="AB404" s="61">
        <f>'Demographic-Economic'!G$38</f>
        <v>69643447</v>
      </c>
      <c r="AC404" s="61">
        <f>'Demographic-Economic'!H$38</f>
        <v>9845914</v>
      </c>
      <c r="AG404">
        <v>2020</v>
      </c>
      <c r="AH404" s="61">
        <f>'Demographic-Economic'!C$38</f>
        <v>531771287</v>
      </c>
      <c r="AI404" s="61">
        <f>'Demographic-Economic'!D$38</f>
        <v>222153795</v>
      </c>
      <c r="AJ404" s="61">
        <f>'Demographic-Economic'!E$38</f>
        <v>417708522</v>
      </c>
      <c r="AK404" s="61">
        <f>'Demographic-Economic'!F$38</f>
        <v>45815957</v>
      </c>
      <c r="AL404" s="61">
        <f>'Demographic-Economic'!G$38</f>
        <v>69643447</v>
      </c>
      <c r="AM404" s="61">
        <f>'Demographic-Economic'!H$38</f>
        <v>9845914</v>
      </c>
    </row>
    <row r="405" spans="5:40">
      <c r="E405">
        <v>2021</v>
      </c>
      <c r="F405" s="61">
        <f>F$404*'Economic Projections'!$H4</f>
        <v>559989321.41034174</v>
      </c>
      <c r="G405" s="61">
        <f>G$404*'Economic Projections'!$H4</f>
        <v>233942215.29449028</v>
      </c>
      <c r="H405" s="61">
        <f>H$404*'Economic Projections'!$H4</f>
        <v>439873903.50035357</v>
      </c>
      <c r="I405" s="61">
        <f>I$404*'Economic Projections'!$H4</f>
        <v>48247145.525545083</v>
      </c>
      <c r="J405" s="61">
        <f>J$404*'Economic Projections'!$H4</f>
        <v>73339022.958956987</v>
      </c>
      <c r="K405" s="61">
        <f>K$404*'Economic Projections'!$H4</f>
        <v>10368379.85486152</v>
      </c>
      <c r="N405">
        <v>2021</v>
      </c>
      <c r="O405" s="61">
        <f>O$404*'Economic Projections'!$I4</f>
        <v>553707641.09896207</v>
      </c>
      <c r="P405" s="61">
        <f>P$404*'Economic Projections'!$I4</f>
        <v>231317968.45329183</v>
      </c>
      <c r="Q405" s="61">
        <f>Q$404*'Economic Projections'!$I4</f>
        <v>434939617.91049826</v>
      </c>
      <c r="R405" s="61">
        <f>R$404*'Economic Projections'!$I4</f>
        <v>47705933.162129305</v>
      </c>
      <c r="S405" s="61">
        <f>S$404*'Economic Projections'!$I4</f>
        <v>72516342.456020176</v>
      </c>
      <c r="T405" s="61">
        <f>T$404*'Economic Projections'!$I4</f>
        <v>10252072.552016608</v>
      </c>
      <c r="W405">
        <v>2021</v>
      </c>
      <c r="X405" s="61">
        <f>X$404*'Economic Projections'!$J4</f>
        <v>549695364.36366522</v>
      </c>
      <c r="Y405" s="61">
        <f>Y$404*'Economic Projections'!$J4</f>
        <v>229641792.01216632</v>
      </c>
      <c r="Z405" s="61">
        <f>Z$404*'Economic Projections'!$J4</f>
        <v>431787958.11628336</v>
      </c>
      <c r="AA405" s="61">
        <f>AA$404*'Economic Projections'!$J4</f>
        <v>47360246.392515399</v>
      </c>
      <c r="AB405" s="61">
        <f>AB$404*'Economic Projections'!$J4</f>
        <v>71990874.479476377</v>
      </c>
      <c r="AC405" s="61">
        <f>AC$404*'Economic Projections'!$J4</f>
        <v>10177783.975995893</v>
      </c>
      <c r="AG405">
        <v>2021</v>
      </c>
      <c r="AH405" s="61">
        <f>AH$404*'Economic Projections'!$K4</f>
        <v>565117886.84229636</v>
      </c>
      <c r="AI405" s="61">
        <f>AI$404*'Economic Projections'!$K4</f>
        <v>236084734.64720312</v>
      </c>
      <c r="AJ405" s="61">
        <f>AJ$404*'Economic Projections'!$K4</f>
        <v>443902412.63375854</v>
      </c>
      <c r="AK405" s="61">
        <f>AK$404*'Economic Projections'!$K4</f>
        <v>48689008.670559369</v>
      </c>
      <c r="AL405" s="61">
        <f>AL$404*'Economic Projections'!$K4</f>
        <v>74010685.727477908</v>
      </c>
      <c r="AM405" s="61">
        <f>AM$404*'Economic Projections'!$K4</f>
        <v>10463336.870068694</v>
      </c>
    </row>
    <row r="406" spans="5:40">
      <c r="E406">
        <v>2022</v>
      </c>
      <c r="F406" s="61">
        <f>F$404*'Economic Projections'!$H5</f>
        <v>588207355.8206836</v>
      </c>
      <c r="G406" s="61">
        <f>G$404*'Economic Projections'!$H5</f>
        <v>245730635.58898056</v>
      </c>
      <c r="H406" s="61">
        <f>H$404*'Economic Projections'!$H5</f>
        <v>462039285.00070715</v>
      </c>
      <c r="I406" s="61">
        <f>I$404*'Economic Projections'!$H5</f>
        <v>50678334.051090159</v>
      </c>
      <c r="J406" s="61">
        <f>J$404*'Economic Projections'!$H5</f>
        <v>77034598.917913973</v>
      </c>
      <c r="K406" s="61">
        <f>K$404*'Economic Projections'!$H5</f>
        <v>10890845.70972304</v>
      </c>
      <c r="N406">
        <v>2022</v>
      </c>
      <c r="O406" s="61">
        <f>O$404*'Economic Projections'!$I5</f>
        <v>575643995.19792414</v>
      </c>
      <c r="P406" s="61">
        <f>P$404*'Economic Projections'!$I5</f>
        <v>240482141.90658364</v>
      </c>
      <c r="Q406" s="61">
        <f>Q$404*'Economic Projections'!$I5</f>
        <v>452170713.82099646</v>
      </c>
      <c r="R406" s="61">
        <f>R$404*'Economic Projections'!$I5</f>
        <v>49595909.324258603</v>
      </c>
      <c r="S406" s="61">
        <f>S$404*'Economic Projections'!$I5</f>
        <v>75389237.912040338</v>
      </c>
      <c r="T406" s="61">
        <f>T$404*'Economic Projections'!$I5</f>
        <v>10658231.104033215</v>
      </c>
      <c r="W406">
        <v>2022</v>
      </c>
      <c r="X406" s="61">
        <f>X$404*'Economic Projections'!$J5</f>
        <v>567619441.72733057</v>
      </c>
      <c r="Y406" s="61">
        <f>Y$404*'Economic Projections'!$J5</f>
        <v>237129789.02433264</v>
      </c>
      <c r="Z406" s="61">
        <f>Z$404*'Economic Projections'!$J5</f>
        <v>445867394.23256671</v>
      </c>
      <c r="AA406" s="61">
        <f>AA$404*'Economic Projections'!$J5</f>
        <v>48904535.785030797</v>
      </c>
      <c r="AB406" s="61">
        <f>AB$404*'Economic Projections'!$J5</f>
        <v>74338301.95895277</v>
      </c>
      <c r="AC406" s="61">
        <f>AC$404*'Economic Projections'!$J5</f>
        <v>10509653.951991785</v>
      </c>
      <c r="AG406">
        <v>2022</v>
      </c>
      <c r="AH406" s="61">
        <f>AH$404*'Economic Projections'!$K5</f>
        <v>598464486.68459272</v>
      </c>
      <c r="AI406" s="61">
        <f>AI$404*'Economic Projections'!$K5</f>
        <v>250015674.29440629</v>
      </c>
      <c r="AJ406" s="61">
        <f>AJ$404*'Economic Projections'!$K5</f>
        <v>470096303.26751721</v>
      </c>
      <c r="AK406" s="61">
        <f>AK$404*'Economic Projections'!$K5</f>
        <v>51562060.341118746</v>
      </c>
      <c r="AL406" s="61">
        <f>AL$404*'Economic Projections'!$K5</f>
        <v>78377924.454955846</v>
      </c>
      <c r="AM406" s="61">
        <f>AM$404*'Economic Projections'!$K5</f>
        <v>11080759.740137389</v>
      </c>
    </row>
    <row r="407" spans="5:40">
      <c r="E407">
        <v>2023</v>
      </c>
      <c r="F407" s="61">
        <f>F$404*'Economic Projections'!$H6</f>
        <v>616425390.23102546</v>
      </c>
      <c r="G407" s="61">
        <f>G$404*'Economic Projections'!$H6</f>
        <v>257519055.88347089</v>
      </c>
      <c r="H407" s="61">
        <f>H$404*'Economic Projections'!$H6</f>
        <v>484204666.50106084</v>
      </c>
      <c r="I407" s="61">
        <f>I$404*'Economic Projections'!$H6</f>
        <v>53109522.576635249</v>
      </c>
      <c r="J407" s="61">
        <f>J$404*'Economic Projections'!$H6</f>
        <v>80730174.876870975</v>
      </c>
      <c r="K407" s="61">
        <f>K$404*'Economic Projections'!$H6</f>
        <v>11413311.564584564</v>
      </c>
      <c r="N407">
        <v>2023</v>
      </c>
      <c r="O407" s="61">
        <f>O$404*'Economic Projections'!$I6</f>
        <v>597580349.29688621</v>
      </c>
      <c r="P407" s="61">
        <f>P$404*'Economic Projections'!$I6</f>
        <v>249646315.35987547</v>
      </c>
      <c r="Q407" s="61">
        <f>Q$404*'Economic Projections'!$I6</f>
        <v>469401809.73149472</v>
      </c>
      <c r="R407" s="61">
        <f>R$404*'Economic Projections'!$I6</f>
        <v>51485885.486387908</v>
      </c>
      <c r="S407" s="61">
        <f>S$404*'Economic Projections'!$I6</f>
        <v>78262133.368060499</v>
      </c>
      <c r="T407" s="61">
        <f>T$404*'Economic Projections'!$I6</f>
        <v>11064389.656049823</v>
      </c>
      <c r="W407">
        <v>2023</v>
      </c>
      <c r="X407" s="61">
        <f>X$404*'Economic Projections'!$J6</f>
        <v>585543519.09099591</v>
      </c>
      <c r="Y407" s="61">
        <f>Y$404*'Economic Projections'!$J6</f>
        <v>244617786.03649899</v>
      </c>
      <c r="Z407" s="61">
        <f>Z$404*'Economic Projections'!$J6</f>
        <v>459946830.34885013</v>
      </c>
      <c r="AA407" s="61">
        <f>AA$404*'Economic Projections'!$J6</f>
        <v>50448825.177546203</v>
      </c>
      <c r="AB407" s="61">
        <f>AB$404*'Economic Projections'!$J6</f>
        <v>76685729.438429162</v>
      </c>
      <c r="AC407" s="61">
        <f>AC$404*'Economic Projections'!$J6</f>
        <v>10841523.92798768</v>
      </c>
      <c r="AG407">
        <v>2023</v>
      </c>
      <c r="AH407" s="61">
        <f>AH$404*'Economic Projections'!$K6</f>
        <v>631811086.52688909</v>
      </c>
      <c r="AI407" s="61">
        <f>AI$404*'Economic Projections'!$K6</f>
        <v>263946613.94160941</v>
      </c>
      <c r="AJ407" s="61">
        <f>AJ$404*'Economic Projections'!$K6</f>
        <v>496290193.90127575</v>
      </c>
      <c r="AK407" s="61">
        <f>AK$404*'Economic Projections'!$K6</f>
        <v>54435112.011678115</v>
      </c>
      <c r="AL407" s="61">
        <f>AL$404*'Economic Projections'!$K6</f>
        <v>82745163.182433754</v>
      </c>
      <c r="AM407" s="61">
        <f>AM$404*'Economic Projections'!$K6</f>
        <v>11698182.610206084</v>
      </c>
    </row>
    <row r="408" spans="5:40">
      <c r="E408">
        <v>2024</v>
      </c>
      <c r="F408" s="61">
        <f>F$404*'Economic Projections'!$H7</f>
        <v>644643424.64136732</v>
      </c>
      <c r="G408" s="61">
        <f>G$404*'Economic Projections'!$H7</f>
        <v>269307476.17796117</v>
      </c>
      <c r="H408" s="61">
        <f>H$404*'Economic Projections'!$H7</f>
        <v>506370048.00141436</v>
      </c>
      <c r="I408" s="61">
        <f>I$404*'Economic Projections'!$H7</f>
        <v>55540711.102180332</v>
      </c>
      <c r="J408" s="61">
        <f>J$404*'Economic Projections'!$H7</f>
        <v>84425750.835827947</v>
      </c>
      <c r="K408" s="61">
        <f>K$404*'Economic Projections'!$H7</f>
        <v>11935777.419446085</v>
      </c>
      <c r="N408">
        <v>2024</v>
      </c>
      <c r="O408" s="61">
        <f>O$404*'Economic Projections'!$I7</f>
        <v>619516703.39584816</v>
      </c>
      <c r="P408" s="61">
        <f>P$404*'Economic Projections'!$I7</f>
        <v>258810488.81316727</v>
      </c>
      <c r="Q408" s="61">
        <f>Q$404*'Economic Projections'!$I7</f>
        <v>486632905.64199287</v>
      </c>
      <c r="R408" s="61">
        <f>R$404*'Economic Projections'!$I7</f>
        <v>53375861.648517199</v>
      </c>
      <c r="S408" s="61">
        <f>S$404*'Economic Projections'!$I7</f>
        <v>81135028.824080661</v>
      </c>
      <c r="T408" s="61">
        <f>T$404*'Economic Projections'!$I7</f>
        <v>11470548.20806643</v>
      </c>
      <c r="W408">
        <v>2024</v>
      </c>
      <c r="X408" s="61">
        <f>X$404*'Economic Projections'!$J7</f>
        <v>603467596.45466125</v>
      </c>
      <c r="Y408" s="61">
        <f>Y$404*'Economic Projections'!$J7</f>
        <v>252105783.04866531</v>
      </c>
      <c r="Z408" s="61">
        <f>Z$404*'Economic Projections'!$J7</f>
        <v>474026266.46513349</v>
      </c>
      <c r="AA408" s="61">
        <f>AA$404*'Economic Projections'!$J7</f>
        <v>51993114.570061602</v>
      </c>
      <c r="AB408" s="61">
        <f>AB$404*'Economic Projections'!$J7</f>
        <v>79033156.917905554</v>
      </c>
      <c r="AC408" s="61">
        <f>AC$404*'Economic Projections'!$J7</f>
        <v>11173393.903983572</v>
      </c>
      <c r="AG408">
        <v>2024</v>
      </c>
      <c r="AH408" s="61">
        <f>AH$404*'Economic Projections'!$K7</f>
        <v>665157686.36918545</v>
      </c>
      <c r="AI408" s="61">
        <f>AI$404*'Economic Projections'!$K7</f>
        <v>277877553.58881259</v>
      </c>
      <c r="AJ408" s="61">
        <f>AJ$404*'Economic Projections'!$K7</f>
        <v>522484084.53503436</v>
      </c>
      <c r="AK408" s="61">
        <f>AK$404*'Economic Projections'!$K7</f>
        <v>57308163.682237491</v>
      </c>
      <c r="AL408" s="61">
        <f>AL$404*'Economic Projections'!$K7</f>
        <v>87112401.909911677</v>
      </c>
      <c r="AM408" s="61">
        <f>AM$404*'Economic Projections'!$K7</f>
        <v>12315605.48027478</v>
      </c>
    </row>
    <row r="409" spans="5:40">
      <c r="E409">
        <v>2025</v>
      </c>
      <c r="F409" s="61">
        <f>F$404*'Economic Projections'!$H8</f>
        <v>672861459.05170894</v>
      </c>
      <c r="G409" s="61">
        <f>G$404*'Economic Projections'!$H8</f>
        <v>281095896.47245139</v>
      </c>
      <c r="H409" s="61">
        <f>H$404*'Economic Projections'!$H8</f>
        <v>528535429.50176787</v>
      </c>
      <c r="I409" s="61">
        <f>I$404*'Economic Projections'!$H8</f>
        <v>57971899.6277254</v>
      </c>
      <c r="J409" s="61">
        <f>J$404*'Economic Projections'!$H8</f>
        <v>88121326.794784918</v>
      </c>
      <c r="K409" s="61">
        <f>K$404*'Economic Projections'!$H8</f>
        <v>12458243.274307603</v>
      </c>
      <c r="N409">
        <v>2025</v>
      </c>
      <c r="O409" s="61">
        <f>O$404*'Economic Projections'!$I8</f>
        <v>641453057.49481022</v>
      </c>
      <c r="P409" s="61">
        <f>P$404*'Economic Projections'!$I8</f>
        <v>267974662.26645911</v>
      </c>
      <c r="Q409" s="61">
        <f>Q$404*'Economic Projections'!$I8</f>
        <v>503864001.55249113</v>
      </c>
      <c r="R409" s="61">
        <f>R$404*'Economic Projections'!$I8</f>
        <v>55265837.810646504</v>
      </c>
      <c r="S409" s="61">
        <f>S$404*'Economic Projections'!$I8</f>
        <v>84007924.280100837</v>
      </c>
      <c r="T409" s="61">
        <f>T$404*'Economic Projections'!$I8</f>
        <v>11876706.760083038</v>
      </c>
      <c r="W409">
        <v>2025</v>
      </c>
      <c r="X409" s="61">
        <f>X$404*'Economic Projections'!$J8</f>
        <v>621391673.81832647</v>
      </c>
      <c r="Y409" s="61">
        <f>Y$404*'Economic Projections'!$J8</f>
        <v>259593780.06083164</v>
      </c>
      <c r="Z409" s="61">
        <f>Z$404*'Economic Projections'!$J8</f>
        <v>488105702.58141685</v>
      </c>
      <c r="AA409" s="61">
        <f>AA$404*'Economic Projections'!$J8</f>
        <v>53537403.962577</v>
      </c>
      <c r="AB409" s="61">
        <f>AB$404*'Economic Projections'!$J8</f>
        <v>81380584.397381932</v>
      </c>
      <c r="AC409" s="61">
        <f>AC$404*'Economic Projections'!$J8</f>
        <v>11505263.879979467</v>
      </c>
      <c r="AG409">
        <v>2025</v>
      </c>
      <c r="AH409" s="61">
        <f>AH$404*'Economic Projections'!$K8</f>
        <v>698504286.21148193</v>
      </c>
      <c r="AI409" s="61">
        <f>AI$404*'Economic Projections'!$K8</f>
        <v>291808493.23601574</v>
      </c>
      <c r="AJ409" s="61">
        <f>AJ$404*'Economic Projections'!$K8</f>
        <v>548677975.16879296</v>
      </c>
      <c r="AK409" s="61">
        <f>AK$404*'Economic Projections'!$K8</f>
        <v>60181215.352796867</v>
      </c>
      <c r="AL409" s="61">
        <f>AL$404*'Economic Projections'!$K8</f>
        <v>91479640.637389615</v>
      </c>
      <c r="AM409" s="61">
        <f>AM$404*'Economic Projections'!$K8</f>
        <v>12933028.350343475</v>
      </c>
    </row>
    <row r="410" spans="5:40">
      <c r="E410">
        <v>2026</v>
      </c>
      <c r="F410" s="61">
        <f>F$404*'Economic Projections'!$H9</f>
        <v>701079493.4620508</v>
      </c>
      <c r="G410" s="61">
        <f>G$404*'Economic Projections'!$H9</f>
        <v>292884316.76694167</v>
      </c>
      <c r="H410" s="61">
        <f>H$404*'Economic Projections'!$H9</f>
        <v>550700811.00212145</v>
      </c>
      <c r="I410" s="61">
        <f>I$404*'Economic Projections'!$H9</f>
        <v>60403088.153270483</v>
      </c>
      <c r="J410" s="61">
        <f>J$404*'Economic Projections'!$H9</f>
        <v>91816902.753741905</v>
      </c>
      <c r="K410" s="61">
        <f>K$404*'Economic Projections'!$H9</f>
        <v>12980709.129169123</v>
      </c>
      <c r="N410">
        <v>2026</v>
      </c>
      <c r="O410" s="61">
        <f>O$404*'Economic Projections'!$I9</f>
        <v>663389411.59377229</v>
      </c>
      <c r="P410" s="61">
        <f>P$404*'Economic Projections'!$I9</f>
        <v>277138835.71975088</v>
      </c>
      <c r="Q410" s="61">
        <f>Q$404*'Economic Projections'!$I9</f>
        <v>521095097.46298933</v>
      </c>
      <c r="R410" s="61">
        <f>R$404*'Economic Projections'!$I9</f>
        <v>57155813.972775802</v>
      </c>
      <c r="S410" s="61">
        <f>S$404*'Economic Projections'!$I9</f>
        <v>86880819.736120999</v>
      </c>
      <c r="T410" s="61">
        <f>T$404*'Economic Projections'!$I9</f>
        <v>12282865.312099645</v>
      </c>
      <c r="W410">
        <v>2026</v>
      </c>
      <c r="X410" s="61">
        <f>X$404*'Economic Projections'!$J9</f>
        <v>639315751.18199182</v>
      </c>
      <c r="Y410" s="61">
        <f>Y$404*'Economic Projections'!$J9</f>
        <v>267081777.07299793</v>
      </c>
      <c r="Z410" s="61">
        <f>Z$404*'Economic Projections'!$J9</f>
        <v>502185138.6977002</v>
      </c>
      <c r="AA410" s="61">
        <f>AA$404*'Economic Projections'!$J9</f>
        <v>55081693.355092399</v>
      </c>
      <c r="AB410" s="61">
        <f>AB$404*'Economic Projections'!$J9</f>
        <v>83728011.876858309</v>
      </c>
      <c r="AC410" s="61">
        <f>AC$404*'Economic Projections'!$J9</f>
        <v>11837133.85597536</v>
      </c>
      <c r="AG410">
        <v>2026</v>
      </c>
      <c r="AH410" s="61">
        <f>AH$404*'Economic Projections'!$K9</f>
        <v>731850886.05377829</v>
      </c>
      <c r="AI410" s="61">
        <f>AI$404*'Economic Projections'!$K9</f>
        <v>305739432.88321888</v>
      </c>
      <c r="AJ410" s="61">
        <f>AJ$404*'Economic Projections'!$K9</f>
        <v>574871865.80255151</v>
      </c>
      <c r="AK410" s="61">
        <f>AK$404*'Economic Projections'!$K9</f>
        <v>63054267.023356237</v>
      </c>
      <c r="AL410" s="61">
        <f>AL$404*'Economic Projections'!$K9</f>
        <v>95846879.364867523</v>
      </c>
      <c r="AM410" s="61">
        <f>AM$404*'Economic Projections'!$K9</f>
        <v>13550451.220412169</v>
      </c>
    </row>
    <row r="411" spans="5:40">
      <c r="E411">
        <v>2027</v>
      </c>
      <c r="F411" s="61">
        <f>F$404*'Economic Projections'!$H10</f>
        <v>729297527.87239242</v>
      </c>
      <c r="G411" s="61">
        <f>G$404*'Economic Projections'!$H10</f>
        <v>304672737.06143194</v>
      </c>
      <c r="H411" s="61">
        <f>H$404*'Economic Projections'!$H10</f>
        <v>572866192.5024749</v>
      </c>
      <c r="I411" s="61">
        <f>I$404*'Economic Projections'!$H10</f>
        <v>62834276.678815551</v>
      </c>
      <c r="J411" s="61">
        <f>J$404*'Economic Projections'!$H10</f>
        <v>95512478.712698877</v>
      </c>
      <c r="K411" s="61">
        <f>K$404*'Economic Projections'!$H10</f>
        <v>13503174.984030642</v>
      </c>
      <c r="N411">
        <v>2027</v>
      </c>
      <c r="O411" s="61">
        <f>O$404*'Economic Projections'!$I10</f>
        <v>685325765.69273436</v>
      </c>
      <c r="P411" s="61">
        <f>P$404*'Economic Projections'!$I10</f>
        <v>286303009.17304271</v>
      </c>
      <c r="Q411" s="61">
        <f>Q$404*'Economic Projections'!$I10</f>
        <v>538326193.37348759</v>
      </c>
      <c r="R411" s="61">
        <f>R$404*'Economic Projections'!$I10</f>
        <v>59045790.134905107</v>
      </c>
      <c r="S411" s="61">
        <f>S$404*'Economic Projections'!$I10</f>
        <v>89753715.192141175</v>
      </c>
      <c r="T411" s="61">
        <f>T$404*'Economic Projections'!$I10</f>
        <v>12689023.864116253</v>
      </c>
      <c r="W411">
        <v>2027</v>
      </c>
      <c r="X411" s="61">
        <f>X$404*'Economic Projections'!$J10</f>
        <v>657239828.54565716</v>
      </c>
      <c r="Y411" s="61">
        <f>Y$404*'Economic Projections'!$J10</f>
        <v>274569774.08516431</v>
      </c>
      <c r="Z411" s="61">
        <f>Z$404*'Economic Projections'!$J10</f>
        <v>516264574.81398362</v>
      </c>
      <c r="AA411" s="61">
        <f>AA$404*'Economic Projections'!$J10</f>
        <v>56625982.747607812</v>
      </c>
      <c r="AB411" s="61">
        <f>AB$404*'Economic Projections'!$J10</f>
        <v>86075439.356334716</v>
      </c>
      <c r="AC411" s="61">
        <f>AC$404*'Economic Projections'!$J10</f>
        <v>12169003.831971254</v>
      </c>
      <c r="AG411">
        <v>2027</v>
      </c>
      <c r="AH411" s="61">
        <f>AH$404*'Economic Projections'!$K10</f>
        <v>765197485.89607453</v>
      </c>
      <c r="AI411" s="61">
        <f>AI$404*'Economic Projections'!$K10</f>
        <v>319670372.53042197</v>
      </c>
      <c r="AJ411" s="61">
        <f>AJ$404*'Economic Projections'!$K10</f>
        <v>601065756.43631005</v>
      </c>
      <c r="AK411" s="61">
        <f>AK$404*'Economic Projections'!$K10</f>
        <v>65927318.693915598</v>
      </c>
      <c r="AL411" s="61">
        <f>AL$404*'Economic Projections'!$K10</f>
        <v>100214118.09234543</v>
      </c>
      <c r="AM411" s="61">
        <f>AM$404*'Economic Projections'!$K10</f>
        <v>14167874.090480864</v>
      </c>
    </row>
    <row r="412" spans="5:40">
      <c r="E412">
        <v>2028</v>
      </c>
      <c r="F412" s="61">
        <f>F$404*'Economic Projections'!$H11</f>
        <v>757515562.28273416</v>
      </c>
      <c r="G412" s="61">
        <f>G$404*'Economic Projections'!$H11</f>
        <v>316461157.35592222</v>
      </c>
      <c r="H412" s="61">
        <f>H$404*'Economic Projections'!$H11</f>
        <v>595031574.00282848</v>
      </c>
      <c r="I412" s="61">
        <f>I$404*'Economic Projections'!$H11</f>
        <v>65265465.204360634</v>
      </c>
      <c r="J412" s="61">
        <f>J$404*'Economic Projections'!$H11</f>
        <v>99208054.671655864</v>
      </c>
      <c r="K412" s="61">
        <f>K$404*'Economic Projections'!$H11</f>
        <v>14025640.838892162</v>
      </c>
      <c r="N412">
        <v>2028</v>
      </c>
      <c r="O412" s="61">
        <f>O$404*'Economic Projections'!$I11</f>
        <v>707262119.79169643</v>
      </c>
      <c r="P412" s="61">
        <f>P$404*'Economic Projections'!$I11</f>
        <v>295467182.62633455</v>
      </c>
      <c r="Q412" s="61">
        <f>Q$404*'Economic Projections'!$I11</f>
        <v>555557289.28398585</v>
      </c>
      <c r="R412" s="61">
        <f>R$404*'Economic Projections'!$I11</f>
        <v>60935766.297034413</v>
      </c>
      <c r="S412" s="61">
        <f>S$404*'Economic Projections'!$I11</f>
        <v>92626610.648161352</v>
      </c>
      <c r="T412" s="61">
        <f>T$404*'Economic Projections'!$I11</f>
        <v>13095182.416132862</v>
      </c>
      <c r="W412">
        <v>2028</v>
      </c>
      <c r="X412" s="61">
        <f>X$404*'Economic Projections'!$J11</f>
        <v>675163905.90932238</v>
      </c>
      <c r="Y412" s="61">
        <f>Y$404*'Economic Projections'!$J11</f>
        <v>282057771.09733063</v>
      </c>
      <c r="Z412" s="61">
        <f>Z$404*'Economic Projections'!$J11</f>
        <v>530344010.93026698</v>
      </c>
      <c r="AA412" s="61">
        <f>AA$404*'Economic Projections'!$J11</f>
        <v>58170272.140123211</v>
      </c>
      <c r="AB412" s="61">
        <f>AB$404*'Economic Projections'!$J11</f>
        <v>88422866.835811093</v>
      </c>
      <c r="AC412" s="61">
        <f>AC$404*'Economic Projections'!$J11</f>
        <v>12500873.807967147</v>
      </c>
      <c r="AG412">
        <v>2028</v>
      </c>
      <c r="AH412" s="61">
        <f>AH$404*'Economic Projections'!$K11</f>
        <v>798544085.73837078</v>
      </c>
      <c r="AI412" s="61">
        <f>AI$404*'Economic Projections'!$K11</f>
        <v>333601312.17762506</v>
      </c>
      <c r="AJ412" s="61">
        <f>AJ$404*'Economic Projections'!$K11</f>
        <v>627259647.0700686</v>
      </c>
      <c r="AK412" s="61">
        <f>AK$404*'Economic Projections'!$K11</f>
        <v>68800370.364474952</v>
      </c>
      <c r="AL412" s="61">
        <f>AL$404*'Economic Projections'!$K11</f>
        <v>104581356.81982332</v>
      </c>
      <c r="AM412" s="61">
        <f>AM$404*'Economic Projections'!$K11</f>
        <v>14785296.960549554</v>
      </c>
    </row>
    <row r="413" spans="5:40">
      <c r="E413">
        <v>2029</v>
      </c>
      <c r="F413" s="61">
        <f>F$404*'Economic Projections'!$H12</f>
        <v>785733596.6930759</v>
      </c>
      <c r="G413" s="61">
        <f>G$404*'Economic Projections'!$H12</f>
        <v>328249577.65041244</v>
      </c>
      <c r="H413" s="61">
        <f>H$404*'Economic Projections'!$H12</f>
        <v>617196955.50318193</v>
      </c>
      <c r="I413" s="61">
        <f>I$404*'Economic Projections'!$H12</f>
        <v>67696653.72990571</v>
      </c>
      <c r="J413" s="61">
        <f>J$404*'Economic Projections'!$H12</f>
        <v>102903630.63061284</v>
      </c>
      <c r="K413" s="61">
        <f>K$404*'Economic Projections'!$H12</f>
        <v>14548106.69375368</v>
      </c>
      <c r="N413">
        <v>2029</v>
      </c>
      <c r="O413" s="61">
        <f>O$404*'Economic Projections'!$I12</f>
        <v>729198473.89065838</v>
      </c>
      <c r="P413" s="61">
        <f>P$404*'Economic Projections'!$I12</f>
        <v>304631356.07962638</v>
      </c>
      <c r="Q413" s="61">
        <f>Q$404*'Economic Projections'!$I12</f>
        <v>572788385.194484</v>
      </c>
      <c r="R413" s="61">
        <f>R$404*'Economic Projections'!$I12</f>
        <v>62825742.45916371</v>
      </c>
      <c r="S413" s="61">
        <f>S$404*'Economic Projections'!$I12</f>
        <v>95499506.104181498</v>
      </c>
      <c r="T413" s="61">
        <f>T$404*'Economic Projections'!$I12</f>
        <v>13501340.968149468</v>
      </c>
      <c r="W413">
        <v>2029</v>
      </c>
      <c r="X413" s="61">
        <f>X$404*'Economic Projections'!$J12</f>
        <v>693087983.27298772</v>
      </c>
      <c r="Y413" s="61">
        <f>Y$404*'Economic Projections'!$J12</f>
        <v>289545768.10949695</v>
      </c>
      <c r="Z413" s="61">
        <f>Z$404*'Economic Projections'!$J12</f>
        <v>544423447.04655027</v>
      </c>
      <c r="AA413" s="61">
        <f>AA$404*'Economic Projections'!$J12</f>
        <v>59714561.532638609</v>
      </c>
      <c r="AB413" s="61">
        <f>AB$404*'Economic Projections'!$J12</f>
        <v>90770294.315287471</v>
      </c>
      <c r="AC413" s="61">
        <f>AC$404*'Economic Projections'!$J12</f>
        <v>12832743.78396304</v>
      </c>
      <c r="AG413">
        <v>2029</v>
      </c>
      <c r="AH413" s="61">
        <f>AH$404*'Economic Projections'!$K12</f>
        <v>831890685.58066702</v>
      </c>
      <c r="AI413" s="61">
        <f>AI$404*'Economic Projections'!$K12</f>
        <v>347532251.82482815</v>
      </c>
      <c r="AJ413" s="61">
        <f>AJ$404*'Economic Projections'!$K12</f>
        <v>653453537.70382714</v>
      </c>
      <c r="AK413" s="61">
        <f>AK$404*'Economic Projections'!$K12</f>
        <v>71673422.035034329</v>
      </c>
      <c r="AL413" s="61">
        <f>AL$404*'Economic Projections'!$K12</f>
        <v>108948595.54730125</v>
      </c>
      <c r="AM413" s="61">
        <f>AM$404*'Economic Projections'!$K12</f>
        <v>15402719.830618249</v>
      </c>
    </row>
    <row r="414" spans="5:40">
      <c r="E414">
        <v>2030</v>
      </c>
      <c r="F414" s="61">
        <f>F$404*'Economic Projections'!$H13</f>
        <v>813951631.10341775</v>
      </c>
      <c r="G414" s="61">
        <f>G$404*'Economic Projections'!$H13</f>
        <v>340037997.94490278</v>
      </c>
      <c r="H414" s="61">
        <f>H$404*'Economic Projections'!$H13</f>
        <v>639362337.00353563</v>
      </c>
      <c r="I414" s="61">
        <f>I$404*'Economic Projections'!$H13</f>
        <v>70127842.2554508</v>
      </c>
      <c r="J414" s="61">
        <f>J$404*'Economic Projections'!$H13</f>
        <v>106599206.58956982</v>
      </c>
      <c r="K414" s="61">
        <f>K$404*'Economic Projections'!$H13</f>
        <v>15070572.548615202</v>
      </c>
      <c r="N414">
        <v>2030</v>
      </c>
      <c r="O414" s="61">
        <f>O$404*'Economic Projections'!$I13</f>
        <v>751134827.98962033</v>
      </c>
      <c r="P414" s="61">
        <f>P$404*'Economic Projections'!$I13</f>
        <v>313795529.5329181</v>
      </c>
      <c r="Q414" s="61">
        <f>Q$404*'Economic Projections'!$I13</f>
        <v>590019481.10498214</v>
      </c>
      <c r="R414" s="61">
        <f>R$404*'Economic Projections'!$I13</f>
        <v>64715718.621292993</v>
      </c>
      <c r="S414" s="61">
        <f>S$404*'Economic Projections'!$I13</f>
        <v>98372401.560201645</v>
      </c>
      <c r="T414" s="61">
        <f>T$404*'Economic Projections'!$I13</f>
        <v>13907499.520166071</v>
      </c>
      <c r="W414">
        <v>2030</v>
      </c>
      <c r="X414" s="61">
        <f>X$404*'Economic Projections'!$J13</f>
        <v>711012060.63665283</v>
      </c>
      <c r="Y414" s="61">
        <f>Y$404*'Economic Projections'!$J13</f>
        <v>297033765.12166321</v>
      </c>
      <c r="Z414" s="61">
        <f>Z$404*'Economic Projections'!$J13</f>
        <v>558502883.16283357</v>
      </c>
      <c r="AA414" s="61">
        <f>AA$404*'Economic Projections'!$J13</f>
        <v>61258850.925153993</v>
      </c>
      <c r="AB414" s="61">
        <f>AB$404*'Economic Projections'!$J13</f>
        <v>93117721.794763848</v>
      </c>
      <c r="AC414" s="61">
        <f>AC$404*'Economic Projections'!$J13</f>
        <v>13164613.75995893</v>
      </c>
      <c r="AG414">
        <v>2030</v>
      </c>
      <c r="AH414" s="61">
        <f>AH$404*'Economic Projections'!$K13</f>
        <v>865237285.42296374</v>
      </c>
      <c r="AI414" s="61">
        <f>AI$404*'Economic Projections'!$K13</f>
        <v>361463191.47203141</v>
      </c>
      <c r="AJ414" s="61">
        <f>AJ$404*'Economic Projections'!$K13</f>
        <v>679647428.33758593</v>
      </c>
      <c r="AK414" s="61">
        <f>AK$404*'Economic Projections'!$K13</f>
        <v>74546473.70559372</v>
      </c>
      <c r="AL414" s="61">
        <f>AL$404*'Economic Projections'!$K13</f>
        <v>113315834.2747792</v>
      </c>
      <c r="AM414" s="61">
        <f>AM$404*'Economic Projections'!$K13</f>
        <v>16020142.700686948</v>
      </c>
    </row>
    <row r="415" spans="5:40">
      <c r="E415">
        <v>2040</v>
      </c>
      <c r="F415" s="61">
        <f>F$404*'Economic Projections'!$H14</f>
        <v>1165697812.39835</v>
      </c>
      <c r="G415" s="61">
        <f>G$404*'Economic Projections'!$H14</f>
        <v>486984158.75073659</v>
      </c>
      <c r="H415" s="61">
        <f>H$404*'Economic Projections'!$H14</f>
        <v>915660401.79139662</v>
      </c>
      <c r="I415" s="61">
        <f>I$404*'Economic Projections'!$H14</f>
        <v>100433329.42840306</v>
      </c>
      <c r="J415" s="61">
        <f>J$404*'Economic Projections'!$H14</f>
        <v>152665658.71538007</v>
      </c>
      <c r="K415" s="61">
        <f>K$404*'Economic Projections'!$H14</f>
        <v>21583264.631703004</v>
      </c>
      <c r="N415">
        <v>2040</v>
      </c>
      <c r="O415" s="61">
        <f>O$404*'Economic Projections'!$I14</f>
        <v>974546054.73438108</v>
      </c>
      <c r="P415" s="61">
        <f>P$404*'Economic Projections'!$I14</f>
        <v>407128233.047153</v>
      </c>
      <c r="Q415" s="61">
        <f>Q$404*'Economic Projections'!$I14</f>
        <v>765509913.93416369</v>
      </c>
      <c r="R415" s="61">
        <f>R$404*'Economic Projections'!$I14</f>
        <v>83964217.756326601</v>
      </c>
      <c r="S415" s="61">
        <f>S$404*'Economic Projections'!$I14</f>
        <v>127631461.44058916</v>
      </c>
      <c r="T415" s="61">
        <f>T$404*'Economic Projections'!$I14</f>
        <v>18044029.225583233</v>
      </c>
      <c r="W415">
        <v>2040</v>
      </c>
      <c r="X415" s="61">
        <f>X$404*'Economic Projections'!$J14</f>
        <v>837348688.78018475</v>
      </c>
      <c r="Y415" s="61">
        <f>Y$404*'Economic Projections'!$J14</f>
        <v>349812397.73254621</v>
      </c>
      <c r="Z415" s="61">
        <f>Z$404*'Economic Projections'!$J14</f>
        <v>657740821.55174541</v>
      </c>
      <c r="AA415" s="61">
        <f>AA$404*'Economic Projections'!$J14</f>
        <v>72143668.635420948</v>
      </c>
      <c r="AB415" s="61">
        <f>AB$404*'Economic Projections'!$J14</f>
        <v>109663403.14568788</v>
      </c>
      <c r="AC415" s="61">
        <f>AC$404*'Economic Projections'!$J14</f>
        <v>15503776.490554415</v>
      </c>
      <c r="AG415">
        <v>2040</v>
      </c>
      <c r="AH415" s="61">
        <f>AH$404*'Economic Projections'!$K14</f>
        <v>1357869370.7301276</v>
      </c>
      <c r="AI415" s="61">
        <f>AI$404*'Economic Projections'!$K14</f>
        <v>567266118.34151125</v>
      </c>
      <c r="AJ415" s="61">
        <f>AJ$404*'Economic Projections'!$K14</f>
        <v>1066611947.2463199</v>
      </c>
      <c r="AK415" s="61">
        <f>AK$404*'Economic Projections'!$K14</f>
        <v>116990304.33169773</v>
      </c>
      <c r="AL415" s="61">
        <f>AL$404*'Economic Projections'!$K14</f>
        <v>177833414.22374877</v>
      </c>
      <c r="AM415" s="61">
        <f>AM$404*'Economic Projections'!$K14</f>
        <v>25141381.97055937</v>
      </c>
    </row>
    <row r="416" spans="5:40">
      <c r="E416">
        <v>2050</v>
      </c>
      <c r="F416" s="61">
        <f>F$404*'Economic Projections'!$H15</f>
        <v>1521360989.0306425</v>
      </c>
      <c r="G416" s="61">
        <f>G$404*'Economic Projections'!$H15</f>
        <v>635566691.05774903</v>
      </c>
      <c r="H416" s="61">
        <f>H$404*'Economic Projections'!$H15</f>
        <v>1195035282.445492</v>
      </c>
      <c r="I416" s="61">
        <f>I$404*'Economic Projections'!$H15</f>
        <v>131076294.18680024</v>
      </c>
      <c r="J416" s="61">
        <f>J$404*'Economic Projections'!$H15</f>
        <v>199245100.28579849</v>
      </c>
      <c r="K416" s="61">
        <f>K$404*'Economic Projections'!$H15</f>
        <v>28168481.125515617</v>
      </c>
      <c r="N416">
        <v>2050</v>
      </c>
      <c r="O416" s="61">
        <f>O$404*'Economic Projections'!$I15</f>
        <v>1210047771.3970938</v>
      </c>
      <c r="P416" s="61">
        <f>P$404*'Economic Projections'!$I15</f>
        <v>505511882.8692171</v>
      </c>
      <c r="Q416" s="61">
        <f>Q$404*'Economic Projections'!$I15</f>
        <v>950497476.06939507</v>
      </c>
      <c r="R416" s="61">
        <f>R$404*'Economic Projections'!$I15</f>
        <v>104254400.37396204</v>
      </c>
      <c r="S416" s="61">
        <f>S$404*'Economic Projections'!$I15</f>
        <v>158473952.79685649</v>
      </c>
      <c r="T416" s="61">
        <f>T$404*'Economic Projections'!$I15</f>
        <v>22404418.185646504</v>
      </c>
      <c r="W416">
        <v>2050</v>
      </c>
      <c r="X416" s="61">
        <f>X$404*'Economic Projections'!$J15</f>
        <v>936332399.59445584</v>
      </c>
      <c r="Y416" s="61">
        <f>Y$404*'Economic Projections'!$J15</f>
        <v>391164023.02361393</v>
      </c>
      <c r="Z416" s="61">
        <f>Z$404*'Economic Projections'!$J15</f>
        <v>735492931.44763863</v>
      </c>
      <c r="AA416" s="61">
        <f>AA$404*'Economic Projections'!$J15</f>
        <v>80671833.937371656</v>
      </c>
      <c r="AB416" s="61">
        <f>AB$404*'Economic Projections'!$J15</f>
        <v>122626808.62936345</v>
      </c>
      <c r="AC416" s="61">
        <f>AC$404*'Economic Projections'!$J15</f>
        <v>17336491.283367556</v>
      </c>
      <c r="AG416">
        <v>2050</v>
      </c>
      <c r="AH416" s="61">
        <f>AH$404*'Economic Projections'!$K15</f>
        <v>1903208914.3169773</v>
      </c>
      <c r="AI416" s="61">
        <f>AI$404*'Economic Projections'!$K15</f>
        <v>795088214.29342484</v>
      </c>
      <c r="AJ416" s="61">
        <f>AJ$404*'Economic Projections'!$K15</f>
        <v>1494978390.3179586</v>
      </c>
      <c r="AK416" s="61">
        <f>AK$404*'Economic Projections'!$K15</f>
        <v>163975265.14131501</v>
      </c>
      <c r="AL416" s="61">
        <f>AL$404*'Economic Projections'!$K15</f>
        <v>249253828.46810597</v>
      </c>
      <c r="AM416" s="61">
        <f>AM$404*'Economic Projections'!$K15</f>
        <v>35238516.543670259</v>
      </c>
    </row>
    <row r="417" spans="5:39">
      <c r="E417">
        <v>2060</v>
      </c>
      <c r="F417" s="61">
        <f>F$404*'Economic Projections'!$H16</f>
        <v>1860781691.6640153</v>
      </c>
      <c r="G417" s="61">
        <f>G$404*'Economic Projections'!$H16</f>
        <v>777363736.20654106</v>
      </c>
      <c r="H417" s="61">
        <f>H$404*'Economic Projections'!$H16</f>
        <v>1461651633.3076019</v>
      </c>
      <c r="I417" s="61">
        <f>I$404*'Economic Projections'!$H16</f>
        <v>160319851.89088592</v>
      </c>
      <c r="J417" s="61">
        <f>J$404*'Economic Projections'!$H16</f>
        <v>243697345.62590852</v>
      </c>
      <c r="K417" s="61">
        <f>K$404*'Economic Projections'!$H16</f>
        <v>34452963.062856026</v>
      </c>
      <c r="N417">
        <v>2060</v>
      </c>
      <c r="O417" s="61">
        <f>O$404*'Economic Projections'!$I16</f>
        <v>1464631435.1911824</v>
      </c>
      <c r="P417" s="61">
        <f>P$404*'Economic Projections'!$I16</f>
        <v>611867243.60320282</v>
      </c>
      <c r="Q417" s="61">
        <f>Q$404*'Economic Projections'!$I16</f>
        <v>1150473985.7615659</v>
      </c>
      <c r="R417" s="61">
        <f>R$404*'Economic Projections'!$I16</f>
        <v>126188631.27066034</v>
      </c>
      <c r="S417" s="61">
        <f>S$404*'Economic Projections'!$I16</f>
        <v>191815512.09114274</v>
      </c>
      <c r="T417" s="61">
        <f>T$404*'Economic Projections'!$I16</f>
        <v>27118115.447607752</v>
      </c>
      <c r="W417">
        <v>2060</v>
      </c>
      <c r="X417" s="61">
        <f>X$404*'Economic Projections'!$J16</f>
        <v>1023195656.0233059</v>
      </c>
      <c r="Y417" s="61">
        <f>Y$404*'Economic Projections'!$J16</f>
        <v>427452183.99332643</v>
      </c>
      <c r="Z417" s="61">
        <f>Z$404*'Economic Projections'!$J16</f>
        <v>803724374.82566726</v>
      </c>
      <c r="AA417" s="61">
        <f>AA$404*'Economic Projections'!$J16</f>
        <v>88155734.100308001</v>
      </c>
      <c r="AB417" s="61">
        <f>AB$404*'Economic Projections'!$J16</f>
        <v>134002858.33952771</v>
      </c>
      <c r="AC417" s="61">
        <f>AC$404*'Economic Projections'!$J16</f>
        <v>18944792.019917861</v>
      </c>
      <c r="AG417">
        <v>2060</v>
      </c>
      <c r="AH417" s="61">
        <f>AH$404*'Economic Projections'!$K16</f>
        <v>2496037355.9578018</v>
      </c>
      <c r="AI417" s="61">
        <f>AI$404*'Economic Projections'!$K16</f>
        <v>1042749363.5770363</v>
      </c>
      <c r="AJ417" s="61">
        <f>AJ$404*'Economic Projections'!$K16</f>
        <v>1960647557.1403337</v>
      </c>
      <c r="AK417" s="61">
        <f>AK$404*'Economic Projections'!$K16</f>
        <v>215051739.28459272</v>
      </c>
      <c r="AL417" s="61">
        <f>AL$404*'Economic Projections'!$K16</f>
        <v>326893628.06771344</v>
      </c>
      <c r="AM417" s="61">
        <f>AM$404*'Economic Projections'!$K16</f>
        <v>46214923.12266928</v>
      </c>
    </row>
    <row r="418" spans="5:39">
      <c r="E418">
        <v>2070</v>
      </c>
      <c r="F418" s="61">
        <f>F$404*'Economic Projections'!$H17</f>
        <v>2189809300.0022593</v>
      </c>
      <c r="G418" s="61">
        <f>G$404*'Economic Projections'!$H17</f>
        <v>914818942.30553937</v>
      </c>
      <c r="H418" s="61">
        <f>H$404*'Economic Projections'!$H17</f>
        <v>1720104166.0713027</v>
      </c>
      <c r="I418" s="61">
        <f>I$404*'Economic Projections'!$H17</f>
        <v>188667969.06825775</v>
      </c>
      <c r="J418" s="61">
        <f>J$404*'Economic Projections'!$H17</f>
        <v>286788458.97299159</v>
      </c>
      <c r="K418" s="61">
        <f>K$404*'Economic Projections'!$H17</f>
        <v>40545013.563739941</v>
      </c>
      <c r="N418">
        <v>2070</v>
      </c>
      <c r="O418" s="61">
        <f>O$404*'Economic Projections'!$I17</f>
        <v>1756748185.0783908</v>
      </c>
      <c r="P418" s="61">
        <f>P$404*'Economic Projections'!$I17</f>
        <v>733902498.52758014</v>
      </c>
      <c r="Q418" s="61">
        <f>Q$404*'Economic Projections'!$I17</f>
        <v>1379932888.1690392</v>
      </c>
      <c r="R418" s="61">
        <f>R$404*'Economic Projections'!$I17</f>
        <v>151356610.0220443</v>
      </c>
      <c r="S418" s="61">
        <f>S$404*'Economic Projections'!$I17</f>
        <v>230072593.44533414</v>
      </c>
      <c r="T418" s="61">
        <f>T$404*'Economic Projections'!$I17</f>
        <v>32526749.700079087</v>
      </c>
      <c r="W418">
        <v>2070</v>
      </c>
      <c r="X418" s="61">
        <f>X$404*'Economic Projections'!$J17</f>
        <v>1114208257.1967146</v>
      </c>
      <c r="Y418" s="61">
        <f>Y$404*'Economic Projections'!$J17</f>
        <v>465473783.19917864</v>
      </c>
      <c r="Z418" s="61">
        <f>Z$404*'Economic Projections'!$J17</f>
        <v>875215145.48008204</v>
      </c>
      <c r="AA418" s="61">
        <f>AA$404*'Economic Projections'!$J17</f>
        <v>95997130.43696098</v>
      </c>
      <c r="AB418" s="61">
        <f>AB$404*'Economic Projections'!$J17</f>
        <v>145922327.14332649</v>
      </c>
      <c r="AC418" s="61">
        <f>AC$404*'Economic Projections'!$J17</f>
        <v>20629919.190143738</v>
      </c>
      <c r="AG418">
        <v>2070</v>
      </c>
      <c r="AH418" s="61">
        <f>AH$404*'Economic Projections'!$K17</f>
        <v>3161403784.7360153</v>
      </c>
      <c r="AI418" s="61">
        <f>AI$404*'Economic Projections'!$K17</f>
        <v>1320714121.7958782</v>
      </c>
      <c r="AJ418" s="61">
        <f>AJ$404*'Economic Projections'!$K17</f>
        <v>2483295609.6918545</v>
      </c>
      <c r="AK418" s="61">
        <f>AK$404*'Economic Projections'!$K17</f>
        <v>272377887.64082426</v>
      </c>
      <c r="AL418" s="61">
        <f>AL$404*'Economic Projections'!$K17</f>
        <v>414033367.93523055</v>
      </c>
      <c r="AM418" s="61">
        <f>AM$404*'Economic Projections'!$K17</f>
        <v>58534393.534838066</v>
      </c>
    </row>
    <row r="419" spans="5:39">
      <c r="E419">
        <v>2080</v>
      </c>
      <c r="F419" s="61">
        <f>F$404*'Economic Projections'!$H18</f>
        <v>2482957231.0502849</v>
      </c>
      <c r="G419" s="61">
        <f>G$404*'Economic Projections'!$H18</f>
        <v>1037284985.4537419</v>
      </c>
      <c r="H419" s="61">
        <f>H$404*'Economic Projections'!$H18</f>
        <v>1950373065.5002947</v>
      </c>
      <c r="I419" s="61">
        <f>I$404*'Economic Projections'!$H18</f>
        <v>213924791.56295425</v>
      </c>
      <c r="J419" s="61">
        <f>J$404*'Economic Projections'!$H18</f>
        <v>325180589.00746417</v>
      </c>
      <c r="K419" s="61">
        <f>K$404*'Economic Projections'!$H18</f>
        <v>45972740.462384604</v>
      </c>
      <c r="N419">
        <v>2080</v>
      </c>
      <c r="O419" s="61">
        <f>O$404*'Economic Projections'!$I18</f>
        <v>2073676722.9711349</v>
      </c>
      <c r="P419" s="61">
        <f>P$404*'Economic Projections'!$I18</f>
        <v>866303173.70106769</v>
      </c>
      <c r="Q419" s="61">
        <f>Q$404*'Economic Projections'!$I18</f>
        <v>1628881551.5871887</v>
      </c>
      <c r="R419" s="61">
        <f>R$404*'Economic Projections'!$I18</f>
        <v>178662304.44207197</v>
      </c>
      <c r="S419" s="61">
        <f>S$404*'Economic Projections'!$I18</f>
        <v>271579151.56741798</v>
      </c>
      <c r="T419" s="61">
        <f>T$404*'Economic Projections'!$I18</f>
        <v>38394782.075128511</v>
      </c>
      <c r="W419">
        <v>2080</v>
      </c>
      <c r="X419" s="61">
        <f>X$404*'Economic Projections'!$J18</f>
        <v>1208496656.8526695</v>
      </c>
      <c r="Y419" s="61">
        <f>Y$404*'Economic Projections'!$J18</f>
        <v>504863886.27566731</v>
      </c>
      <c r="Z419" s="61">
        <f>Z$404*'Economic Projections'!$J18</f>
        <v>949279069.24743319</v>
      </c>
      <c r="AA419" s="61">
        <f>AA$404*'Economic Projections'!$J18</f>
        <v>104120760.5949692</v>
      </c>
      <c r="AB419" s="61">
        <f>AB$404*'Economic Projections'!$J18</f>
        <v>158270811.02104723</v>
      </c>
      <c r="AC419" s="61">
        <f>AC$404*'Economic Projections'!$J18</f>
        <v>22375698.808008213</v>
      </c>
      <c r="AG419">
        <v>2080</v>
      </c>
      <c r="AH419" s="61">
        <f>AH$404*'Economic Projections'!$K18</f>
        <v>3864865703.1619234</v>
      </c>
      <c r="AI419" s="61">
        <f>AI$404*'Economic Projections'!$K18</f>
        <v>1614593724.9950931</v>
      </c>
      <c r="AJ419" s="61">
        <f>AJ$404*'Economic Projections'!$K18</f>
        <v>3035867825.2522078</v>
      </c>
      <c r="AK419" s="61">
        <f>AK$404*'Economic Projections'!$K18</f>
        <v>332986239.00098133</v>
      </c>
      <c r="AL419" s="61">
        <f>AL$404*'Economic Projections'!$K18</f>
        <v>506162285.06575072</v>
      </c>
      <c r="AM419" s="61">
        <f>AM$404*'Economic Projections'!$K18</f>
        <v>71559214.017664373</v>
      </c>
    </row>
    <row r="420" spans="5:39">
      <c r="E420">
        <v>2090</v>
      </c>
      <c r="F420" s="61">
        <f>F$404*'Economic Projections'!$H19</f>
        <v>2741270016.8980556</v>
      </c>
      <c r="G420" s="61">
        <f>G$404*'Economic Projections'!$H19</f>
        <v>1145198231.3847969</v>
      </c>
      <c r="H420" s="61">
        <f>H$404*'Economic Projections'!$H19</f>
        <v>2153278815.8255749</v>
      </c>
      <c r="I420" s="61">
        <f>I$404*'Economic Projections'!$H19</f>
        <v>236180313.39776078</v>
      </c>
      <c r="J420" s="61">
        <f>J$404*'Economic Projections'!$H19</f>
        <v>359010532.91455513</v>
      </c>
      <c r="K420" s="61">
        <f>K$404*'Economic Projections'!$H19</f>
        <v>50755483.601649977</v>
      </c>
      <c r="N420">
        <v>2090</v>
      </c>
      <c r="O420" s="61">
        <f>O$404*'Economic Projections'!$I19</f>
        <v>2417572310.1156583</v>
      </c>
      <c r="P420" s="61">
        <f>P$404*'Economic Projections'!$I19</f>
        <v>1009969655.2046263</v>
      </c>
      <c r="Q420" s="61">
        <f>Q$404*'Economic Projections'!$I19</f>
        <v>1899012942.5444839</v>
      </c>
      <c r="R420" s="61">
        <f>R$404*'Economic Projections'!$I19</f>
        <v>208291405.93416369</v>
      </c>
      <c r="S420" s="61">
        <f>S$404*'Economic Projections'!$I19</f>
        <v>316617450.32918149</v>
      </c>
      <c r="T420" s="61">
        <f>T$404*'Economic Projections'!$I19</f>
        <v>44762117.918149464</v>
      </c>
      <c r="W420">
        <v>2090</v>
      </c>
      <c r="X420" s="61">
        <f>X$404*'Economic Projections'!$J19</f>
        <v>1310810762.7908623</v>
      </c>
      <c r="Y420" s="61">
        <f>Y$404*'Economic Projections'!$J19</f>
        <v>547606823.83521557</v>
      </c>
      <c r="Z420" s="61">
        <f>Z$404*'Economic Projections'!$J19</f>
        <v>1029647218.1414784</v>
      </c>
      <c r="AA420" s="61">
        <f>AA$404*'Economic Projections'!$J19</f>
        <v>112935863.61529773</v>
      </c>
      <c r="AB420" s="61">
        <f>AB$404*'Economic Projections'!$J19</f>
        <v>171670381.82987681</v>
      </c>
      <c r="AC420" s="61">
        <f>AC$404*'Economic Projections'!$J19</f>
        <v>24270076.922587268</v>
      </c>
      <c r="AG420">
        <v>2090</v>
      </c>
      <c r="AH420" s="61">
        <f>AH$404*'Economic Projections'!$K19</f>
        <v>4604335687.1452398</v>
      </c>
      <c r="AI420" s="61">
        <f>AI$404*'Economic Projections'!$K19</f>
        <v>1923516126.8743865</v>
      </c>
      <c r="AJ420" s="61">
        <f>AJ$404*'Economic Projections'!$K19</f>
        <v>3616724523.6565256</v>
      </c>
      <c r="AK420" s="61">
        <f>AK$404*'Economic Projections'!$K19</f>
        <v>396696946.62512267</v>
      </c>
      <c r="AL420" s="61">
        <f>AL$404*'Economic Projections'!$K19</f>
        <v>603006999.88321877</v>
      </c>
      <c r="AM420" s="61">
        <f>AM$404*'Economic Projections'!$K19</f>
        <v>85250735.252208039</v>
      </c>
    </row>
    <row r="421" spans="5:39">
      <c r="E421">
        <v>2100</v>
      </c>
      <c r="F421" s="61">
        <f>F$404*'Economic Projections'!$H20</f>
        <v>2952839991.719996</v>
      </c>
      <c r="G421" s="61">
        <f>G$404*'Economic Projections'!$H20</f>
        <v>1233584110.7351208</v>
      </c>
      <c r="H421" s="61">
        <f>H$404*'Economic Projections'!$H20</f>
        <v>2319467896.8137889</v>
      </c>
      <c r="I421" s="61">
        <f>I$404*'Economic Projections'!$H20</f>
        <v>254408602.71292478</v>
      </c>
      <c r="J421" s="61">
        <f>J$404*'Economic Projections'!$H20</f>
        <v>386718802.78265566</v>
      </c>
      <c r="K421" s="61">
        <f>K$404*'Economic Projections'!$H20</f>
        <v>54672768.772932626</v>
      </c>
      <c r="N421">
        <v>2100</v>
      </c>
      <c r="O421" s="61">
        <f>O$404*'Economic Projections'!$I20</f>
        <v>2796214913.9374261</v>
      </c>
      <c r="P421" s="61">
        <f>P$404*'Economic Projections'!$I20</f>
        <v>1168152117.1841638</v>
      </c>
      <c r="Q421" s="61">
        <f>Q$404*'Economic Projections'!$I20</f>
        <v>2196438257.2900357</v>
      </c>
      <c r="R421" s="61">
        <f>R$404*'Economic Projections'!$I20</f>
        <v>240914215.17408067</v>
      </c>
      <c r="S421" s="61">
        <f>S$404*'Economic Projections'!$I20</f>
        <v>366206393.46293002</v>
      </c>
      <c r="T421" s="61">
        <f>T$404*'Economic Projections'!$I20</f>
        <v>51772805.79300119</v>
      </c>
      <c r="W421">
        <v>2100</v>
      </c>
      <c r="X421" s="61">
        <f>X$404*'Economic Projections'!$J20</f>
        <v>1427920558.5418892</v>
      </c>
      <c r="Y421" s="61">
        <f>Y$404*'Economic Projections'!$J20</f>
        <v>596530837.21047235</v>
      </c>
      <c r="Z421" s="61">
        <f>Z$404*'Economic Projections'!$J20</f>
        <v>1121637441.9289529</v>
      </c>
      <c r="AA421" s="61">
        <f>AA$404*'Economic Projections'!$J20</f>
        <v>123025722.72874744</v>
      </c>
      <c r="AB421" s="61">
        <f>AB$404*'Economic Projections'!$J20</f>
        <v>187007670.72258729</v>
      </c>
      <c r="AC421" s="61">
        <f>AC$404*'Economic Projections'!$J20</f>
        <v>26438401.925667353</v>
      </c>
      <c r="AG421">
        <v>2100</v>
      </c>
      <c r="AH421" s="61">
        <f>AH$404*'Economic Projections'!$K20</f>
        <v>5380335592.7085381</v>
      </c>
      <c r="AI421" s="61">
        <f>AI$404*'Economic Projections'!$K20</f>
        <v>2247699339.008832</v>
      </c>
      <c r="AJ421" s="61">
        <f>AJ$404*'Economic Projections'!$K20</f>
        <v>4226275624.9460254</v>
      </c>
      <c r="AK421" s="61">
        <f>AK$404*'Economic Projections'!$K20</f>
        <v>463554972.19823354</v>
      </c>
      <c r="AL421" s="61">
        <f>AL$404*'Economic Projections'!$K20</f>
        <v>704635857.28164864</v>
      </c>
      <c r="AM421" s="61">
        <f>AM$404*'Economic Projections'!$K20</f>
        <v>99618619.56820412</v>
      </c>
    </row>
  </sheetData>
  <mergeCells count="93">
    <mergeCell ref="F403:K403"/>
    <mergeCell ref="O403:T403"/>
    <mergeCell ref="X403:AC403"/>
    <mergeCell ref="AH403:AM403"/>
    <mergeCell ref="F365:K365"/>
    <mergeCell ref="O365:T365"/>
    <mergeCell ref="X365:AC365"/>
    <mergeCell ref="AH365:AM365"/>
    <mergeCell ref="F384:K384"/>
    <mergeCell ref="O384:T384"/>
    <mergeCell ref="X384:AC384"/>
    <mergeCell ref="AH384:AM384"/>
    <mergeCell ref="F327:K327"/>
    <mergeCell ref="O327:T327"/>
    <mergeCell ref="X327:AC327"/>
    <mergeCell ref="AH327:AM327"/>
    <mergeCell ref="F346:K346"/>
    <mergeCell ref="O346:T346"/>
    <mergeCell ref="X346:AC346"/>
    <mergeCell ref="AH346:AM346"/>
    <mergeCell ref="F289:K289"/>
    <mergeCell ref="O289:T289"/>
    <mergeCell ref="X289:AC289"/>
    <mergeCell ref="AH289:AM289"/>
    <mergeCell ref="F308:K308"/>
    <mergeCell ref="O308:T308"/>
    <mergeCell ref="X308:AC308"/>
    <mergeCell ref="AH308:AM308"/>
    <mergeCell ref="F251:K251"/>
    <mergeCell ref="O251:T251"/>
    <mergeCell ref="X251:AC251"/>
    <mergeCell ref="AH251:AM251"/>
    <mergeCell ref="F270:K270"/>
    <mergeCell ref="O270:T270"/>
    <mergeCell ref="X270:AC270"/>
    <mergeCell ref="AH270:AM270"/>
    <mergeCell ref="F213:K213"/>
    <mergeCell ref="O213:T213"/>
    <mergeCell ref="X213:AC213"/>
    <mergeCell ref="AH213:AM213"/>
    <mergeCell ref="F232:K232"/>
    <mergeCell ref="O232:T232"/>
    <mergeCell ref="X232:AC232"/>
    <mergeCell ref="AH232:AM232"/>
    <mergeCell ref="F175:K175"/>
    <mergeCell ref="O175:T175"/>
    <mergeCell ref="X175:AC175"/>
    <mergeCell ref="AH175:AM175"/>
    <mergeCell ref="F194:K194"/>
    <mergeCell ref="O194:T194"/>
    <mergeCell ref="X194:AC194"/>
    <mergeCell ref="AH194:AM194"/>
    <mergeCell ref="F137:K137"/>
    <mergeCell ref="O137:T137"/>
    <mergeCell ref="X137:AC137"/>
    <mergeCell ref="AH137:AM137"/>
    <mergeCell ref="F156:K156"/>
    <mergeCell ref="O156:T156"/>
    <mergeCell ref="X156:AC156"/>
    <mergeCell ref="AH156:AM156"/>
    <mergeCell ref="F99:K99"/>
    <mergeCell ref="O99:T99"/>
    <mergeCell ref="X99:AC99"/>
    <mergeCell ref="AH99:AM99"/>
    <mergeCell ref="F118:K118"/>
    <mergeCell ref="O118:T118"/>
    <mergeCell ref="X118:AC118"/>
    <mergeCell ref="AH118:AM118"/>
    <mergeCell ref="F61:K61"/>
    <mergeCell ref="O61:T61"/>
    <mergeCell ref="X61:AC61"/>
    <mergeCell ref="AH61:AM61"/>
    <mergeCell ref="F80:K80"/>
    <mergeCell ref="O80:T80"/>
    <mergeCell ref="X80:AC80"/>
    <mergeCell ref="AH80:AM80"/>
    <mergeCell ref="F23:K23"/>
    <mergeCell ref="O23:T23"/>
    <mergeCell ref="X23:AC23"/>
    <mergeCell ref="AH23:AM23"/>
    <mergeCell ref="F42:K42"/>
    <mergeCell ref="O42:T42"/>
    <mergeCell ref="X42:AC42"/>
    <mergeCell ref="AH42:AM42"/>
    <mergeCell ref="F4:K4"/>
    <mergeCell ref="O4:T4"/>
    <mergeCell ref="X4:AC4"/>
    <mergeCell ref="AH4:AM4"/>
    <mergeCell ref="B2:C2"/>
    <mergeCell ref="F2:K2"/>
    <mergeCell ref="O2:T2"/>
    <mergeCell ref="X2:AC2"/>
    <mergeCell ref="AH2:AM2"/>
  </mergeCells>
  <dataValidations count="1">
    <dataValidation type="list" errorStyle="warning" allowBlank="1" showInputMessage="1" showErrorMessage="1" promptTitle="Inflation" prompt="Please select an inflation level" sqref="C6" xr:uid="{E17C313B-6106-476E-B377-15E69C978B9F}">
      <formula1>"0, 0.0125, 0.025, ='Inflation-Interest'!$C$70, 0.05, 0.0625, 0.075"</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150A0-EA22-4D28-A7F8-28911736364A}">
  <sheetPr>
    <tabColor theme="9" tint="0.79998168889431442"/>
  </sheetPr>
  <dimension ref="B1:AN326"/>
  <sheetViews>
    <sheetView zoomScale="90" zoomScaleNormal="90" workbookViewId="0">
      <pane ySplit="11" topLeftCell="A12" activePane="bottomLeft" state="frozen"/>
      <selection pane="bottomLeft" activeCell="B17" sqref="B17"/>
      <selection activeCell="B1" sqref="B1"/>
    </sheetView>
  </sheetViews>
  <sheetFormatPr defaultColWidth="8.7109375" defaultRowHeight="15"/>
  <cols>
    <col min="1" max="1" width="1.7109375" customWidth="1"/>
    <col min="2" max="2" width="43.7109375" bestFit="1" customWidth="1"/>
    <col min="4" max="4" width="3.7109375" customWidth="1"/>
    <col min="5" max="5" width="5.42578125" bestFit="1" customWidth="1"/>
    <col min="6" max="11" width="19.7109375" customWidth="1"/>
    <col min="12" max="12" width="10.42578125" bestFit="1" customWidth="1"/>
    <col min="13" max="13" width="9.42578125" customWidth="1"/>
    <col min="14" max="14" width="5.42578125" bestFit="1" customWidth="1"/>
    <col min="15" max="20" width="19.7109375" customWidth="1"/>
    <col min="21" max="21" width="12.140625" bestFit="1" customWidth="1"/>
    <col min="23" max="23" width="5.42578125" bestFit="1" customWidth="1"/>
    <col min="24" max="25" width="15.7109375" customWidth="1"/>
    <col min="26" max="26" width="17.7109375" bestFit="1" customWidth="1"/>
    <col min="27" max="29" width="15.7109375" customWidth="1"/>
    <col min="30" max="30" width="12.140625" bestFit="1" customWidth="1"/>
    <col min="34" max="39" width="15.7109375" customWidth="1"/>
    <col min="40" max="40" width="12.140625" bestFit="1" customWidth="1"/>
  </cols>
  <sheetData>
    <row r="1" spans="2:39" ht="7.35" customHeight="1"/>
    <row r="2" spans="2:39">
      <c r="B2" s="582" t="s">
        <v>228</v>
      </c>
      <c r="C2" s="582"/>
      <c r="D2" s="321"/>
      <c r="F2" s="582" t="s">
        <v>201</v>
      </c>
      <c r="G2" s="582"/>
      <c r="H2" s="582"/>
      <c r="I2" s="582"/>
      <c r="J2" s="582"/>
      <c r="K2" s="582"/>
      <c r="O2" s="582" t="s">
        <v>202</v>
      </c>
      <c r="P2" s="582"/>
      <c r="Q2" s="582"/>
      <c r="R2" s="582"/>
      <c r="S2" s="582"/>
      <c r="T2" s="582"/>
      <c r="X2" s="582" t="s">
        <v>203</v>
      </c>
      <c r="Y2" s="582"/>
      <c r="Z2" s="582"/>
      <c r="AA2" s="582"/>
      <c r="AB2" s="582"/>
      <c r="AC2" s="582"/>
      <c r="AH2" s="582" t="s">
        <v>204</v>
      </c>
      <c r="AI2" s="582"/>
      <c r="AJ2" s="582"/>
      <c r="AK2" s="582"/>
      <c r="AL2" s="582"/>
      <c r="AM2" s="582"/>
    </row>
    <row r="3" spans="2:39">
      <c r="B3" t="s">
        <v>300</v>
      </c>
      <c r="C3" s="195">
        <v>5.0000000000000001E-3</v>
      </c>
      <c r="F3" s="1" t="s">
        <v>230</v>
      </c>
      <c r="G3" s="1" t="s">
        <v>3</v>
      </c>
      <c r="H3" s="1" t="s">
        <v>231</v>
      </c>
      <c r="I3" s="1" t="s">
        <v>5</v>
      </c>
      <c r="J3" s="1" t="s">
        <v>232</v>
      </c>
      <c r="K3" s="1" t="s">
        <v>233</v>
      </c>
      <c r="O3" t="s">
        <v>230</v>
      </c>
      <c r="P3" t="s">
        <v>3</v>
      </c>
      <c r="Q3" t="s">
        <v>231</v>
      </c>
      <c r="R3" t="s">
        <v>5</v>
      </c>
      <c r="S3" t="s">
        <v>232</v>
      </c>
      <c r="T3" t="s">
        <v>233</v>
      </c>
      <c r="X3" t="s">
        <v>230</v>
      </c>
      <c r="Y3" t="s">
        <v>3</v>
      </c>
      <c r="Z3" t="s">
        <v>231</v>
      </c>
      <c r="AA3" t="s">
        <v>5</v>
      </c>
      <c r="AB3" t="s">
        <v>232</v>
      </c>
      <c r="AC3" t="s">
        <v>233</v>
      </c>
      <c r="AH3" t="s">
        <v>230</v>
      </c>
      <c r="AI3" t="s">
        <v>3</v>
      </c>
      <c r="AJ3" t="s">
        <v>231</v>
      </c>
      <c r="AK3" t="s">
        <v>5</v>
      </c>
      <c r="AL3" t="s">
        <v>232</v>
      </c>
      <c r="AM3" t="s">
        <v>233</v>
      </c>
    </row>
    <row r="4" spans="2:39">
      <c r="B4" t="s">
        <v>301</v>
      </c>
      <c r="C4" s="195">
        <f>C3/2</f>
        <v>2.5000000000000001E-3</v>
      </c>
      <c r="F4" s="581" t="s">
        <v>235</v>
      </c>
      <c r="G4" s="581"/>
      <c r="H4" s="581"/>
      <c r="I4" s="581"/>
      <c r="J4" s="581"/>
      <c r="K4" s="581"/>
      <c r="O4" s="581" t="s">
        <v>235</v>
      </c>
      <c r="P4" s="581"/>
      <c r="Q4" s="581"/>
      <c r="R4" s="581"/>
      <c r="S4" s="581"/>
      <c r="T4" s="581"/>
      <c r="X4" s="581" t="s">
        <v>235</v>
      </c>
      <c r="Y4" s="581"/>
      <c r="Z4" s="581"/>
      <c r="AA4" s="581"/>
      <c r="AB4" s="581"/>
      <c r="AC4" s="581"/>
      <c r="AH4" s="581" t="s">
        <v>235</v>
      </c>
      <c r="AI4" s="581"/>
      <c r="AJ4" s="581"/>
      <c r="AK4" s="581"/>
      <c r="AL4" s="581"/>
      <c r="AM4" s="581"/>
    </row>
    <row r="5" spans="2:39">
      <c r="B5" t="s">
        <v>302</v>
      </c>
      <c r="C5" s="59">
        <v>0.5</v>
      </c>
      <c r="E5">
        <v>2020</v>
      </c>
      <c r="F5" s="61">
        <f>'Demographic-Economic'!C10</f>
        <v>6306408</v>
      </c>
      <c r="G5" s="61">
        <f>'Demographic-Economic'!D10</f>
        <v>4212348</v>
      </c>
      <c r="H5" s="61">
        <f>'Demographic-Economic'!E10</f>
        <v>4993764</v>
      </c>
      <c r="I5" s="61">
        <f>'Demographic-Economic'!F10</f>
        <v>1010676</v>
      </c>
      <c r="J5" s="61">
        <f>'Demographic-Economic'!G10</f>
        <v>1266672</v>
      </c>
      <c r="K5" s="61">
        <f>'Demographic-Economic'!H10</f>
        <v>307884</v>
      </c>
      <c r="N5">
        <v>2020</v>
      </c>
      <c r="O5" s="61">
        <f>'Demographic-Economic'!C10</f>
        <v>6306408</v>
      </c>
      <c r="P5" s="61">
        <f>'Demographic-Economic'!D10</f>
        <v>4212348</v>
      </c>
      <c r="Q5" s="61">
        <f>'Demographic-Economic'!E10</f>
        <v>4993764</v>
      </c>
      <c r="R5" s="61">
        <f>'Demographic-Economic'!F10</f>
        <v>1010676</v>
      </c>
      <c r="S5" s="61">
        <f>'Demographic-Economic'!G10</f>
        <v>1266672</v>
      </c>
      <c r="T5" s="61">
        <f>'Demographic-Economic'!H10</f>
        <v>307884</v>
      </c>
      <c r="U5" s="61"/>
      <c r="W5">
        <v>2020</v>
      </c>
      <c r="X5" s="61">
        <f>'Demographic-Economic'!C10</f>
        <v>6306408</v>
      </c>
      <c r="Y5" s="61">
        <f>'Demographic-Economic'!D10</f>
        <v>4212348</v>
      </c>
      <c r="Z5" s="61">
        <f>'Demographic-Economic'!E10</f>
        <v>4993764</v>
      </c>
      <c r="AA5" s="61">
        <f>'Demographic-Economic'!F10</f>
        <v>1010676</v>
      </c>
      <c r="AB5" s="61">
        <f>'Demographic-Economic'!G10</f>
        <v>1266672</v>
      </c>
      <c r="AC5" s="61">
        <f>'Demographic-Economic'!H10</f>
        <v>307884</v>
      </c>
      <c r="AG5">
        <v>2020</v>
      </c>
      <c r="AH5" s="61">
        <f>'Demographic-Economic'!C10</f>
        <v>6306408</v>
      </c>
      <c r="AI5" s="61">
        <f>'Demographic-Economic'!D10</f>
        <v>4212348</v>
      </c>
      <c r="AJ5" s="61">
        <f>'Demographic-Economic'!E10</f>
        <v>4993764</v>
      </c>
      <c r="AK5" s="61">
        <f>'Demographic-Economic'!F10</f>
        <v>1010676</v>
      </c>
      <c r="AL5" s="61">
        <f>'Demographic-Economic'!G10</f>
        <v>1266672</v>
      </c>
      <c r="AM5" s="61">
        <f>'Demographic-Economic'!H10</f>
        <v>307884</v>
      </c>
    </row>
    <row r="6" spans="2:39">
      <c r="B6" t="s">
        <v>237</v>
      </c>
      <c r="C6" s="180">
        <f>'Inflation-Interest'!$C$70</f>
        <v>3.7539166666666658E-2</v>
      </c>
      <c r="E6">
        <v>2021</v>
      </c>
      <c r="F6" s="61">
        <f>(F5+0.5*F81)*('Economic Projections'!$B4/'Economic Projections'!$B3)</f>
        <v>6338410.1086701853</v>
      </c>
      <c r="G6" s="61">
        <f>(G5+0.5*G81)*('Economic Projections'!$B4/'Economic Projections'!$B3)</f>
        <v>4228424.9429604225</v>
      </c>
      <c r="H6" s="61">
        <f>(H5+0.5*H81)*('Economic Projections'!$B4/'Economic Projections'!$B3)</f>
        <v>5035144.8928728383</v>
      </c>
      <c r="I6" s="61">
        <f>(I5+0.5*I81)*('Economic Projections'!$B4/'Economic Projections'!$B3)</f>
        <v>1021796.1881853121</v>
      </c>
      <c r="J6" s="61">
        <f>(J5+0.5*J81)*('Economic Projections'!$B4/'Economic Projections'!$B3)</f>
        <v>1277758.2979495313</v>
      </c>
      <c r="K6" s="61">
        <f>(K5+0.5*K81)*('Economic Projections'!$B4/'Economic Projections'!$B3)</f>
        <v>310820.74825353286</v>
      </c>
      <c r="N6">
        <v>2021</v>
      </c>
      <c r="O6" s="61">
        <f>(O5+0.5*O81)*'Economic Projections'!$C4/'Economic Projections'!$C3</f>
        <v>6352323.1666557165</v>
      </c>
      <c r="P6" s="61">
        <f>(P5+0.5*P81)*'Economic Projections'!$C4/'Economic Projections'!$C3</f>
        <v>4237706.5010183966</v>
      </c>
      <c r="Q6" s="61">
        <f>(Q5+0.5*Q81)*'Economic Projections'!$C4/'Economic Projections'!$C3</f>
        <v>5046197.232759187</v>
      </c>
      <c r="R6" s="61">
        <f>(R5+0.5*R81)*'Economic Projections'!$C4/'Economic Projections'!$C3</f>
        <v>1024039.0707649941</v>
      </c>
      <c r="S6" s="61">
        <f>(S5+0.5*S81)*'Economic Projections'!$C4/'Economic Projections'!$C3</f>
        <v>1280563.0273668575</v>
      </c>
      <c r="T6" s="61">
        <f>(T5+0.5*T81)*'Economic Projections'!$C4/'Economic Projections'!$C3</f>
        <v>311503.01194733242</v>
      </c>
      <c r="U6" s="61"/>
      <c r="W6">
        <v>2021</v>
      </c>
      <c r="X6" s="61">
        <f>(X5+0.5*X81)*'Economic Projections'!$D4/'Economic Projections'!$D3</f>
        <v>6364782.2009337666</v>
      </c>
      <c r="Y6" s="61">
        <f>(Y5+0.5*Y81)*'Economic Projections'!$D4/'Economic Projections'!$D3</f>
        <v>4246018.0634454545</v>
      </c>
      <c r="Z6" s="61">
        <f>(Z5+0.5*Z81)*'Economic Projections'!$D4/'Economic Projections'!$D3</f>
        <v>5056094.5164217632</v>
      </c>
      <c r="AA6" s="61">
        <f>(AA5+0.5*AA81)*'Economic Projections'!$D4/'Economic Projections'!$D3</f>
        <v>1026047.5545196771</v>
      </c>
      <c r="AB6" s="61">
        <f>(AB5+0.5*AB81)*'Economic Projections'!$D4/'Economic Projections'!$D3</f>
        <v>1283074.6405569604</v>
      </c>
      <c r="AC6" s="61">
        <f>(AC5+0.5*AC81)*'Economic Projections'!$D4/'Economic Projections'!$D3</f>
        <v>312113.97373276862</v>
      </c>
      <c r="AG6">
        <v>2021</v>
      </c>
      <c r="AH6" s="61">
        <f>(AH5+0.5*AH81)*'Economic Projections'!$E4/'Economic Projections'!$E3</f>
        <v>6340237.0760264909</v>
      </c>
      <c r="AI6" s="61">
        <f>(AI5+0.5*AI81)*'Economic Projections'!$E4/'Economic Projections'!$E3</f>
        <v>4229643.7335099336</v>
      </c>
      <c r="AJ6" s="61">
        <f>(AJ5+0.5*AJ81)*'Economic Projections'!$E4/'Economic Projections'!$E3</f>
        <v>5036596.2103476981</v>
      </c>
      <c r="AK6" s="61">
        <f>(AK5+0.5*AK81)*'Economic Projections'!$E4/'Economic Projections'!$E3</f>
        <v>1022090.7081435675</v>
      </c>
      <c r="AL6" s="61">
        <f>(AL5+0.5*AL81)*'Economic Projections'!$E4/'Economic Projections'!$E3</f>
        <v>1278126.5957812555</v>
      </c>
      <c r="AM6" s="61">
        <f>(AM5+0.5*AM81)*'Economic Projections'!$E4/'Economic Projections'!$E3</f>
        <v>310910.33844271058</v>
      </c>
    </row>
    <row r="7" spans="2:39">
      <c r="B7" t="s">
        <v>303</v>
      </c>
      <c r="C7" s="417">
        <v>0.1</v>
      </c>
      <c r="E7">
        <v>2022</v>
      </c>
      <c r="F7" s="61">
        <f>(F6+0.5*F82)*('Economic Projections'!$B5/'Economic Projections'!$B4)</f>
        <v>6370322.3583061956</v>
      </c>
      <c r="G7" s="61">
        <f>(G6+0.5*G82)*('Economic Projections'!$B5/'Economic Projections'!$B4)</f>
        <v>4244395.1740310425</v>
      </c>
      <c r="H7" s="61">
        <f>(H6+0.5*H82)*('Economic Projections'!$B5/'Economic Projections'!$B4)</f>
        <v>5077194.3132385723</v>
      </c>
      <c r="I7" s="61">
        <f>(I6+0.5*I82)*('Economic Projections'!$B5/'Economic Projections'!$B4)</f>
        <v>1032549.0737663142</v>
      </c>
      <c r="J7" s="61">
        <f>(J6+0.5*J82)*('Economic Projections'!$B5/'Economic Projections'!$B4)</f>
        <v>1288723.1944521328</v>
      </c>
      <c r="K7" s="61">
        <f>(K6+0.5*K82)*('Economic Projections'!$B5/'Economic Projections'!$B4)</f>
        <v>313774.24398938793</v>
      </c>
      <c r="N7">
        <v>2022</v>
      </c>
      <c r="O7" s="61">
        <f>(O6+0.5*O82)*'Economic Projections'!$C5/'Economic Projections'!$C4</f>
        <v>6398113.6916322932</v>
      </c>
      <c r="P7" s="61">
        <f>(P6+0.5*P82)*'Economic Projections'!$C5/'Economic Projections'!$C4</f>
        <v>4262911.8823567014</v>
      </c>
      <c r="Q7" s="61">
        <f>(Q6+0.5*Q82)*'Economic Projections'!$C5/'Economic Projections'!$C4</f>
        <v>5099308.6911082612</v>
      </c>
      <c r="R7" s="61">
        <f>(R6+0.5*R82)*'Economic Projections'!$C5/'Economic Projections'!$C4</f>
        <v>1037087.0616690813</v>
      </c>
      <c r="S7" s="61">
        <f>(S6+0.5*S82)*'Economic Projections'!$C5/'Economic Projections'!$C4</f>
        <v>1294342.3786048125</v>
      </c>
      <c r="T7" s="61">
        <f>(T6+0.5*T82)*'Economic Projections'!$C5/'Economic Projections'!$C4</f>
        <v>315148.31565381843</v>
      </c>
      <c r="U7" s="61"/>
      <c r="W7">
        <v>2022</v>
      </c>
      <c r="X7" s="61">
        <f>(X6+0.5*X82)*'Economic Projections'!$D5/'Economic Projections'!$D4</f>
        <v>6423000.6126026968</v>
      </c>
      <c r="Y7" s="61">
        <f>(Y6+0.5*Y82)*'Economic Projections'!$D5/'Economic Projections'!$D4</f>
        <v>4279493.4493986815</v>
      </c>
      <c r="Z7" s="61">
        <f>(Z6+0.5*Z82)*'Economic Projections'!$D5/'Economic Projections'!$D4</f>
        <v>5119110.5765183847</v>
      </c>
      <c r="AA7" s="61">
        <f>(AA6+0.5*AA82)*'Economic Projections'!$D5/'Economic Projections'!$D4</f>
        <v>1041152.0776659516</v>
      </c>
      <c r="AB7" s="61">
        <f>(AB6+0.5*AB82)*'Economic Projections'!$D5/'Economic Projections'!$D4</f>
        <v>1299374.1972526126</v>
      </c>
      <c r="AC7" s="61">
        <f>(AC6+0.5*AC82)*'Economic Projections'!$D5/'Economic Projections'!$D4</f>
        <v>316378.98578244977</v>
      </c>
      <c r="AG7">
        <v>2022</v>
      </c>
      <c r="AH7" s="61">
        <f>(AH6+0.5*AH82)*'Economic Projections'!$E5/'Economic Projections'!$E4</f>
        <v>6373971.725600414</v>
      </c>
      <c r="AI7" s="61">
        <f>(AI6+0.5*AI82)*'Economic Projections'!$E5/'Economic Projections'!$E4</f>
        <v>4246826.6611773167</v>
      </c>
      <c r="AJ7" s="61">
        <f>(AJ6+0.5*AJ82)*'Economic Projections'!$E5/'Economic Projections'!$E4</f>
        <v>5080098.3106432902</v>
      </c>
      <c r="AK7" s="61">
        <f>(AK6+0.5*AK82)*'Economic Projections'!$E5/'Economic Projections'!$E4</f>
        <v>1033144.8876553202</v>
      </c>
      <c r="AL7" s="61">
        <f>(AL6+0.5*AL82)*'Economic Projections'!$E5/'Economic Projections'!$E4</f>
        <v>1289461.0747742001</v>
      </c>
      <c r="AM7" s="61">
        <f>(AM6+0.5*AM82)*'Economic Projections'!$E5/'Economic Projections'!$E4</f>
        <v>313954.66465276695</v>
      </c>
    </row>
    <row r="8" spans="2:39">
      <c r="B8" s="60" t="s">
        <v>304</v>
      </c>
      <c r="C8" s="433">
        <v>0</v>
      </c>
      <c r="E8">
        <v>2023</v>
      </c>
      <c r="F8" s="61">
        <f>(F7+0.5*F83)*('Economic Projections'!$B6/'Economic Projections'!$B5)</f>
        <v>6402144.9235523185</v>
      </c>
      <c r="G8" s="61">
        <f>(G7+0.5*G83)*('Economic Projections'!$B6/'Economic Projections'!$B5)</f>
        <v>4260259.1262904154</v>
      </c>
      <c r="H8" s="61">
        <f>(H7+0.5*H83)*('Economic Projections'!$B6/'Economic Projections'!$B5)</f>
        <v>5119863.5089486204</v>
      </c>
      <c r="I8" s="61">
        <f>(I7+0.5*I83)*('Economic Projections'!$B6/'Economic Projections'!$B5)</f>
        <v>1042971.00600192</v>
      </c>
      <c r="J8" s="61">
        <f>(J7+0.5*J83)*('Economic Projections'!$B6/'Economic Projections'!$B5)</f>
        <v>1299579.2320587563</v>
      </c>
      <c r="K8" s="61">
        <f>(K7+0.5*K83)*('Economic Projections'!$B6/'Economic Projections'!$B5)</f>
        <v>316743.73982343136</v>
      </c>
      <c r="N8">
        <v>2023</v>
      </c>
      <c r="O8" s="61">
        <f>(O7+0.5*O83)*'Economic Projections'!$C6/'Economic Projections'!$C5</f>
        <v>6443779.8147914791</v>
      </c>
      <c r="P8" s="61">
        <f>(P7+0.5*P83)*'Economic Projections'!$C6/'Economic Projections'!$C5</f>
        <v>4287964.7511226833</v>
      </c>
      <c r="Q8" s="61">
        <f>(Q7+0.5*Q83)*'Economic Projections'!$C6/'Economic Projections'!$C5</f>
        <v>5153073.1877313079</v>
      </c>
      <c r="R8" s="61">
        <f>(R7+0.5*R83)*'Economic Projections'!$C6/'Economic Projections'!$C5</f>
        <v>1049838.2695428936</v>
      </c>
      <c r="S8" s="61">
        <f>(S7+0.5*S83)*'Economic Projections'!$C6/'Economic Projections'!$C5</f>
        <v>1308016.9948806257</v>
      </c>
      <c r="T8" s="61">
        <f>(T7+0.5*T83)*'Economic Projections'!$C6/'Economic Projections'!$C5</f>
        <v>318819.01346845936</v>
      </c>
      <c r="U8" s="61"/>
      <c r="W8">
        <v>2023</v>
      </c>
      <c r="X8" s="61">
        <f>(X7+0.5*X83)*'Economic Projections'!$D6/'Economic Projections'!$D5</f>
        <v>6481063.5332702678</v>
      </c>
      <c r="Y8" s="61">
        <f>(Y7+0.5*Y83)*'Economic Projections'!$D6/'Economic Projections'!$D5</f>
        <v>4312774.9208092466</v>
      </c>
      <c r="Z8" s="61">
        <f>(Z7+0.5*Z83)*'Economic Projections'!$D6/'Economic Projections'!$D5</f>
        <v>5182807.0838979911</v>
      </c>
      <c r="AA8" s="61">
        <f>(AA7+0.5*AA83)*'Economic Projections'!$D6/'Economic Projections'!$D5</f>
        <v>1055992.9087791531</v>
      </c>
      <c r="AB8" s="61">
        <f>(AB7+0.5*AB83)*'Economic Projections'!$D6/'Economic Projections'!$D5</f>
        <v>1315572.0480083907</v>
      </c>
      <c r="AC8" s="61">
        <f>(AC7+0.5*AC83)*'Economic Projections'!$D6/'Economic Projections'!$D5</f>
        <v>320678.35406611883</v>
      </c>
      <c r="AG8">
        <v>2023</v>
      </c>
      <c r="AH8" s="61">
        <f>(AH7+0.5*AH83)*'Economic Projections'!$E6/'Economic Projections'!$E5</f>
        <v>6407612.1319299722</v>
      </c>
      <c r="AI8" s="61">
        <f>(AI7+0.5*AI83)*'Economic Projections'!$E6/'Economic Projections'!$E5</f>
        <v>4263897.2389330287</v>
      </c>
      <c r="AJ8" s="61">
        <f>(AJ7+0.5*AJ83)*'Economic Projections'!$E6/'Economic Projections'!$E5</f>
        <v>5124224.7021967117</v>
      </c>
      <c r="AK8" s="61">
        <f>(AK7+0.5*AK83)*'Economic Projections'!$E6/'Economic Projections'!$E5</f>
        <v>1043872.4454322809</v>
      </c>
      <c r="AL8" s="61">
        <f>(AL7+0.5*AL83)*'Economic Projections'!$E6/'Economic Projections'!$E5</f>
        <v>1300687.278174514</v>
      </c>
      <c r="AM8" s="61">
        <f>(AM7+0.5*AM83)*'Economic Projections'!$E6/'Economic Projections'!$E5</f>
        <v>317016.19008845597</v>
      </c>
    </row>
    <row r="9" spans="2:39">
      <c r="B9" s="60" t="s">
        <v>305</v>
      </c>
      <c r="C9" s="433">
        <v>0</v>
      </c>
      <c r="E9">
        <v>2024</v>
      </c>
      <c r="F9" s="61">
        <f>(F8+0.5*F84)*('Economic Projections'!$B7/'Economic Projections'!$B6)</f>
        <v>6433877.9787566429</v>
      </c>
      <c r="G9" s="61">
        <f>(G8+0.5*G84)*('Economic Projections'!$B7/'Economic Projections'!$B6)</f>
        <v>4276017.2313186545</v>
      </c>
      <c r="H9" s="61">
        <f>(H8+0.5*H84)*('Economic Projections'!$B7/'Economic Projections'!$B6)</f>
        <v>5163109.6541965809</v>
      </c>
      <c r="I9" s="61">
        <f>(I8+0.5*I84)*('Economic Projections'!$B7/'Economic Projections'!$B6)</f>
        <v>1053093.8703669731</v>
      </c>
      <c r="J9" s="61">
        <f>(J8+0.5*J84)*('Economic Projections'!$B7/'Economic Projections'!$B6)</f>
        <v>1310337.40423835</v>
      </c>
      <c r="K9" s="61">
        <f>(K8+0.5*K84)*('Economic Projections'!$B7/'Economic Projections'!$B6)</f>
        <v>319728.5766900825</v>
      </c>
      <c r="N9">
        <v>2024</v>
      </c>
      <c r="O9" s="61">
        <f>(O8+0.5*O84)*'Economic Projections'!$C7/'Economic Projections'!$C6</f>
        <v>6489321.7755901255</v>
      </c>
      <c r="P9" s="61">
        <f>(P8+0.5*P84)*'Economic Projections'!$C7/'Economic Projections'!$C6</f>
        <v>4312865.7123455713</v>
      </c>
      <c r="Q9" s="61">
        <f>(Q8+0.5*Q84)*'Economic Projections'!$C7/'Economic Projections'!$C6</f>
        <v>5207466.5543226153</v>
      </c>
      <c r="R9" s="61">
        <f>(R8+0.5*R84)*'Economic Projections'!$C7/'Economic Projections'!$C6</f>
        <v>1062310.21717248</v>
      </c>
      <c r="S9" s="61">
        <f>(S8+0.5*S84)*'Economic Projections'!$C7/'Economic Projections'!$C6</f>
        <v>1321593.5273818269</v>
      </c>
      <c r="T9" s="61">
        <f>(T8+0.5*T84)*'Economic Projections'!$C7/'Economic Projections'!$C6</f>
        <v>322514.25523731502</v>
      </c>
      <c r="U9" s="61"/>
      <c r="W9">
        <v>2024</v>
      </c>
      <c r="X9" s="61">
        <f>(X8+0.5*X84)*'Economic Projections'!$D7/'Economic Projections'!$D6</f>
        <v>6538971.2606977113</v>
      </c>
      <c r="Y9" s="61">
        <f>(Y8+0.5*Y84)*'Economic Projections'!$D7/'Economic Projections'!$D6</f>
        <v>4345863.2380286995</v>
      </c>
      <c r="Z9" s="61">
        <f>(Z8+0.5*Z84)*'Economic Projections'!$D7/'Economic Projections'!$D6</f>
        <v>5247177.3092370499</v>
      </c>
      <c r="AA9" s="61">
        <f>(AA8+0.5*AA84)*'Economic Projections'!$D7/'Economic Projections'!$D6</f>
        <v>1070574.5486571689</v>
      </c>
      <c r="AB9" s="61">
        <f>(AB8+0.5*AB84)*'Economic Projections'!$D7/'Economic Projections'!$D6</f>
        <v>1331670.0826711624</v>
      </c>
      <c r="AC9" s="61">
        <f>(AC8+0.5*AC84)*'Economic Projections'!$D7/'Economic Projections'!$D6</f>
        <v>325011.35914976377</v>
      </c>
      <c r="AG9">
        <v>2024</v>
      </c>
      <c r="AH9" s="61">
        <f>(AH8+0.5*AH84)*'Economic Projections'!$E7/'Economic Projections'!$E6</f>
        <v>6441158.4779128842</v>
      </c>
      <c r="AI9" s="61">
        <f>(AI8+0.5*AI84)*'Economic Projections'!$E7/'Economic Projections'!$E6</f>
        <v>4280855.921133331</v>
      </c>
      <c r="AJ9" s="61">
        <f>(AJ8+0.5*AJ84)*'Economic Projections'!$E7/'Economic Projections'!$E6</f>
        <v>5168934.9569130382</v>
      </c>
      <c r="AK9" s="61">
        <f>(AK8+0.5*AK84)*'Economic Projections'!$E7/'Economic Projections'!$E6</f>
        <v>1054303.3984759464</v>
      </c>
      <c r="AL9" s="61">
        <f>(AL8+0.5*AL84)*'Economic Projections'!$E7/'Economic Projections'!$E6</f>
        <v>1311815.6808210651</v>
      </c>
      <c r="AM9" s="61">
        <f>(AM8+0.5*AM84)*'Economic Projections'!$E7/'Economic Projections'!$E6</f>
        <v>320094.21375035454</v>
      </c>
    </row>
    <row r="10" spans="2:39">
      <c r="E10">
        <v>2025</v>
      </c>
      <c r="F10" s="61">
        <f>(F9+0.5*F85)*('Economic Projections'!$B8/'Economic Projections'!$B7)</f>
        <v>6465521.6979715144</v>
      </c>
      <c r="G10" s="61">
        <f>(G9+0.5*G85)*('Economic Projections'!$B8/'Economic Projections'!$B7)</f>
        <v>4291669.9192022132</v>
      </c>
      <c r="H10" s="61">
        <f>(H9+0.5*H85)*('Economic Projections'!$B8/'Economic Projections'!$B7)</f>
        <v>5206894.9781836271</v>
      </c>
      <c r="I10" s="61">
        <f>(I9+0.5*I85)*('Economic Projections'!$B8/'Economic Projections'!$B7)</f>
        <v>1062945.7449061794</v>
      </c>
      <c r="J10" s="61">
        <f>(J9+0.5*J85)*('Economic Projections'!$B8/'Economic Projections'!$B7)</f>
        <v>1321007.3831980384</v>
      </c>
      <c r="K10" s="61">
        <f>(K9+0.5*K85)*('Economic Projections'!$B8/'Economic Projections'!$B7)</f>
        <v>322728.17099753488</v>
      </c>
      <c r="N10">
        <v>2025</v>
      </c>
      <c r="O10" s="61">
        <f>(O9+0.5*O85)*'Economic Projections'!$C8/'Economic Projections'!$C7</f>
        <v>6534739.8130808137</v>
      </c>
      <c r="P10" s="61">
        <f>(P9+0.5*P85)*'Economic Projections'!$C8/'Economic Projections'!$C7</f>
        <v>4337615.3689826494</v>
      </c>
      <c r="Q10" s="61">
        <f>(Q9+0.5*Q85)*'Economic Projections'!$C8/'Economic Projections'!$C7</f>
        <v>5262465.6790257795</v>
      </c>
      <c r="R10" s="61">
        <f>(R9+0.5*R85)*'Economic Projections'!$C8/'Economic Projections'!$C7</f>
        <v>1074519.6275496806</v>
      </c>
      <c r="S10" s="61">
        <f>(S9+0.5*S85)*'Economic Projections'!$C8/'Economic Projections'!$C7</f>
        <v>1335078.3260936127</v>
      </c>
      <c r="T10" s="61">
        <f>(T9+0.5*T85)*'Economic Projections'!$C8/'Economic Projections'!$C7</f>
        <v>326233.23782987928</v>
      </c>
      <c r="U10" s="61"/>
      <c r="W10">
        <v>2025</v>
      </c>
      <c r="X10" s="61">
        <f>(X9+0.5*X85)*'Economic Projections'!$D8/'Economic Projections'!$D7</f>
        <v>6596724.0921448162</v>
      </c>
      <c r="Y10" s="61">
        <f>(Y9+0.5*Y85)*'Economic Projections'!$D8/'Economic Projections'!$D7</f>
        <v>4378759.1588187991</v>
      </c>
      <c r="Z10" s="61">
        <f>(Z9+0.5*Z85)*'Economic Projections'!$D8/'Economic Projections'!$D7</f>
        <v>5312213.0937521122</v>
      </c>
      <c r="AA10" s="61">
        <f>(AA9+0.5*AA85)*'Economic Projections'!$D8/'Economic Projections'!$D7</f>
        <v>1084902.5122166961</v>
      </c>
      <c r="AB10" s="61">
        <f>(AB9+0.5*AB85)*'Economic Projections'!$D8/'Economic Projections'!$D7</f>
        <v>1347670.6376052704</v>
      </c>
      <c r="AC10" s="61">
        <f>(AC9+0.5*AC85)*'Economic Projections'!$D8/'Economic Projections'!$D7</f>
        <v>329377.25351424899</v>
      </c>
      <c r="AG10">
        <v>2025</v>
      </c>
      <c r="AH10" s="61">
        <f>(AH9+0.5*AH85)*'Economic Projections'!$E8/'Economic Projections'!$E7</f>
        <v>6474610.9461368835</v>
      </c>
      <c r="AI10" s="61">
        <f>(AI9+0.5*AI85)*'Economic Projections'!$E8/'Economic Projections'!$E7</f>
        <v>4297703.1605648883</v>
      </c>
      <c r="AJ10" s="61">
        <f>(AJ9+0.5*AJ85)*'Economic Projections'!$E8/'Economic Projections'!$E7</f>
        <v>5214193.1155351773</v>
      </c>
      <c r="AK10" s="61">
        <f>(AK9+0.5*AK85)*'Economic Projections'!$E8/'Economic Projections'!$E7</f>
        <v>1064464.4019642235</v>
      </c>
      <c r="AL10" s="61">
        <f>(AL9+0.5*AL85)*'Economic Projections'!$E8/'Economic Projections'!$E7</f>
        <v>1322855.5766585241</v>
      </c>
      <c r="AM10" s="61">
        <f>(AM9+0.5*AM85)*'Economic Projections'!$E8/'Economic Projections'!$E7</f>
        <v>323188.11039857886</v>
      </c>
    </row>
    <row r="11" spans="2:39">
      <c r="E11">
        <v>2026</v>
      </c>
      <c r="F11" s="61">
        <f>(F10+0.5*F86)*('Economic Projections'!$B9/'Economic Projections'!$B8)</f>
        <v>6497076.2549540065</v>
      </c>
      <c r="G11" s="61">
        <f>(G10+0.5*G86)*('Economic Projections'!$B9/'Economic Projections'!$B8)</f>
        <v>4307217.6185386581</v>
      </c>
      <c r="H11" s="61">
        <f>(H10+0.5*H86)*('Economic Projections'!$B9/'Economic Projections'!$B8)</f>
        <v>5251186.0422354201</v>
      </c>
      <c r="I11" s="61">
        <f>(I10+0.5*I86)*('Economic Projections'!$B9/'Economic Projections'!$B8)</f>
        <v>1072551.444793385</v>
      </c>
      <c r="J11" s="61">
        <f>(J10+0.5*J86)*('Economic Projections'!$B9/'Economic Projections'!$B8)</f>
        <v>1331597.7088879927</v>
      </c>
      <c r="K11" s="61">
        <f>(K10+0.5*K86)*('Economic Projections'!$B9/'Economic Projections'!$B8)</f>
        <v>325742.00394146587</v>
      </c>
      <c r="N11">
        <v>2026</v>
      </c>
      <c r="O11" s="61">
        <f>(O10+0.5*O86)*'Economic Projections'!$C9/'Economic Projections'!$C8</f>
        <v>6580034.1659125015</v>
      </c>
      <c r="P11" s="61">
        <f>(P10+0.5*P86)*'Economic Projections'!$C9/'Economic Projections'!$C8</f>
        <v>4362214.3219258403</v>
      </c>
      <c r="Q11" s="61">
        <f>(Q10+0.5*Q86)*'Economic Projections'!$C9/'Economic Projections'!$C8</f>
        <v>5318048.5253749657</v>
      </c>
      <c r="R11" s="61">
        <f>(R10+0.5*R86)*'Economic Projections'!$C9/'Economic Projections'!$C8</f>
        <v>1086482.4117090444</v>
      </c>
      <c r="S11" s="61">
        <f>(S10+0.5*S86)*'Economic Projections'!$C9/'Economic Projections'!$C8</f>
        <v>1348477.4339539248</v>
      </c>
      <c r="T11" s="61">
        <f>(T10+0.5*T86)*'Economic Projections'!$C9/'Economic Projections'!$C8</f>
        <v>329975.2041986222</v>
      </c>
      <c r="U11" s="61"/>
      <c r="W11">
        <v>2026</v>
      </c>
      <c r="X11" s="61">
        <f>(X10+0.5*X86)*'Economic Projections'!$D9/'Economic Projections'!$D8</f>
        <v>6654322.3243707092</v>
      </c>
      <c r="Y11" s="61">
        <f>(Y10+0.5*Y86)*'Economic Projections'!$D9/'Economic Projections'!$D8</f>
        <v>4411463.4383597113</v>
      </c>
      <c r="Z11" s="61">
        <f>(Z10+0.5*Z86)*'Economic Projections'!$D9/'Economic Projections'!$D8</f>
        <v>5377905.051392585</v>
      </c>
      <c r="AA11" s="61">
        <f>(AA10+0.5*AA86)*'Economic Projections'!$D9/'Economic Projections'!$D8</f>
        <v>1098983.1823822032</v>
      </c>
      <c r="AB11" s="61">
        <f>(AB10+0.5*AB86)*'Economic Projections'!$D9/'Economic Projections'!$D8</f>
        <v>1363576.4308936642</v>
      </c>
      <c r="AC11" s="61">
        <f>(AC10+0.5*AC86)*'Economic Projections'!$D9/'Economic Projections'!$D8</f>
        <v>333775.27026346058</v>
      </c>
      <c r="AG11">
        <v>2026</v>
      </c>
      <c r="AH11" s="61">
        <f>(AH10+0.5*AH86)*'Economic Projections'!$E9/'Economic Projections'!$E8</f>
        <v>6507969.7188801998</v>
      </c>
      <c r="AI11" s="61">
        <f>(AI10+0.5*AI86)*'Economic Projections'!$E9/'Economic Projections'!$E8</f>
        <v>4314439.4084497793</v>
      </c>
      <c r="AJ11" s="61">
        <f>(AJ10+0.5*AJ86)*'Economic Projections'!$E9/'Economic Projections'!$E8</f>
        <v>5259967.0953283682</v>
      </c>
      <c r="AK11" s="61">
        <f>(AK10+0.5*AK86)*'Economic Projections'!$E9/'Economic Projections'!$E8</f>
        <v>1074379.1949889401</v>
      </c>
      <c r="AL11" s="61">
        <f>(AL10+0.5*AL86)*'Economic Projections'!$E9/'Economic Projections'!$E8</f>
        <v>1333815.2352800667</v>
      </c>
      <c r="AM11" s="61">
        <f>(AM10+0.5*AM86)*'Economic Projections'!$E9/'Economic Projections'!$E8</f>
        <v>326297.320582574</v>
      </c>
    </row>
    <row r="12" spans="2:39">
      <c r="E12">
        <v>2027</v>
      </c>
      <c r="F12" s="61">
        <f>(F11+0.5*F87)*('Economic Projections'!$B10/'Economic Projections'!$B9)</f>
        <v>6528541.823166389</v>
      </c>
      <c r="G12" s="61">
        <f>(G11+0.5*G87)*('Economic Projections'!$B10/'Economic Projections'!$B9)</f>
        <v>4322660.7564414255</v>
      </c>
      <c r="H12" s="61">
        <f>(H11+0.5*H87)*('Economic Projections'!$B10/'Economic Projections'!$B9)</f>
        <v>5295953.1367806215</v>
      </c>
      <c r="I12" s="61">
        <f>(I11+0.5*I87)*('Economic Projections'!$B10/'Economic Projections'!$B9)</f>
        <v>1081932.97661969</v>
      </c>
      <c r="J12" s="61">
        <f>(J11+0.5*J87)*('Economic Projections'!$B10/'Economic Projections'!$B9)</f>
        <v>1342115.94666727</v>
      </c>
      <c r="K12" s="61">
        <f>(K11+0.5*K87)*('Economic Projections'!$B10/'Economic Projections'!$B9)</f>
        <v>328769.61256735382</v>
      </c>
      <c r="N12">
        <v>2027</v>
      </c>
      <c r="O12" s="61">
        <f>(O11+0.5*O87)*'Economic Projections'!$C10/'Economic Projections'!$C9</f>
        <v>6625205.072331151</v>
      </c>
      <c r="P12" s="61">
        <f>(P11+0.5*P87)*'Economic Projections'!$C10/'Economic Projections'!$C9</f>
        <v>4386663.170008258</v>
      </c>
      <c r="Q12" s="61">
        <f>(Q11+0.5*Q87)*'Economic Projections'!$C10/'Economic Projections'!$C9</f>
        <v>5374194.1359103769</v>
      </c>
      <c r="R12" s="61">
        <f>(R11+0.5*R87)*'Economic Projections'!$C10/'Economic Projections'!$C9</f>
        <v>1098213.667793398</v>
      </c>
      <c r="S12" s="61">
        <f>(S11+0.5*S87)*'Economic Projections'!$C10/'Economic Projections'!$C9</f>
        <v>1361796.5854699761</v>
      </c>
      <c r="T12" s="61">
        <f>(T11+0.5*T87)*'Economic Projections'!$C10/'Economic Projections'!$C9</f>
        <v>333739.44207421865</v>
      </c>
      <c r="U12" s="61"/>
      <c r="W12">
        <v>2027</v>
      </c>
      <c r="X12" s="61">
        <f>(X11+0.5*X87)*'Economic Projections'!$D10/'Economic Projections'!$D9</f>
        <v>6711766.2536346419</v>
      </c>
      <c r="Y12" s="61">
        <f>(Y11+0.5*Y87)*'Economic Projections'!$D10/'Economic Projections'!$D9</f>
        <v>4443976.8292581765</v>
      </c>
      <c r="Z12" s="61">
        <f>(Z11+0.5*Z87)*'Economic Projections'!$D10/'Economic Projections'!$D9</f>
        <v>5444242.765843221</v>
      </c>
      <c r="AA12" s="61">
        <f>(AA11+0.5*AA87)*'Economic Projections'!$D10/'Economic Projections'!$D9</f>
        <v>1112823.6679932282</v>
      </c>
      <c r="AB12" s="61">
        <f>(AB11+0.5*AB87)*'Economic Projections'!$D10/'Economic Projections'!$D9</f>
        <v>1379390.4993781284</v>
      </c>
      <c r="AC12" s="61">
        <f>(AC11+0.5*AC87)*'Economic Projections'!$D10/'Economic Projections'!$D9</f>
        <v>338204.63116532419</v>
      </c>
      <c r="AG12">
        <v>2027</v>
      </c>
      <c r="AH12" s="61">
        <f>(AH11+0.5*AH87)*'Economic Projections'!$E10/'Economic Projections'!$E9</f>
        <v>6541234.978112055</v>
      </c>
      <c r="AI12" s="61">
        <f>(AI11+0.5*AI87)*'Economic Projections'!$E10/'Economic Projections'!$E9</f>
        <v>4331065.1144504929</v>
      </c>
      <c r="AJ12" s="61">
        <f>(AJ11+0.5*AJ87)*'Economic Projections'!$E10/'Economic Projections'!$E9</f>
        <v>5306228.1880318942</v>
      </c>
      <c r="AK12" s="61">
        <f>(AK11+0.5*AK87)*'Economic Projections'!$E10/'Economic Projections'!$E9</f>
        <v>1084068.9783789953</v>
      </c>
      <c r="AL12" s="61">
        <f>(AL11+0.5*AL87)*'Economic Projections'!$E10/'Economic Projections'!$E9</f>
        <v>1344702.0346172969</v>
      </c>
      <c r="AM12" s="61">
        <f>(AM11+0.5*AM87)*'Economic Projections'!$E10/'Economic Projections'!$E9</f>
        <v>329421.34217084775</v>
      </c>
    </row>
    <row r="13" spans="2:39">
      <c r="E13">
        <v>2028</v>
      </c>
      <c r="F13" s="61">
        <f>(F12+0.5*F88)*('Economic Projections'!$B11/'Economic Projections'!$B10)</f>
        <v>6559918.5757765919</v>
      </c>
      <c r="G13" s="61">
        <f>(G12+0.5*G88)*('Economic Projections'!$B11/'Economic Projections'!$B10)</f>
        <v>4337999.7585445633</v>
      </c>
      <c r="H13" s="61">
        <f>(H12+0.5*H88)*('Economic Projections'!$B11/'Economic Projections'!$B10)</f>
        <v>5341169.775712138</v>
      </c>
      <c r="I13" s="61">
        <f>(I12+0.5*I88)*('Economic Projections'!$B11/'Economic Projections'!$B10)</f>
        <v>1091109.9193346987</v>
      </c>
      <c r="J13" s="61">
        <f>(J12+0.5*J88)*('Economic Projections'!$B11/'Economic Projections'!$B10)</f>
        <v>1352568.8195086136</v>
      </c>
      <c r="K13" s="61">
        <f>(K12+0.5*K88)*('Economic Projections'!$B11/'Economic Projections'!$B10)</f>
        <v>331810.5822579657</v>
      </c>
      <c r="N13">
        <v>2028</v>
      </c>
      <c r="O13" s="61">
        <f>(O12+0.5*O88)*'Economic Projections'!$C11/'Economic Projections'!$C10</f>
        <v>6670252.7701803707</v>
      </c>
      <c r="P13" s="61">
        <f>(P12+0.5*P88)*'Economic Projections'!$C11/'Economic Projections'!$C10</f>
        <v>4410962.5100107528</v>
      </c>
      <c r="Q13" s="61">
        <f>(Q12+0.5*Q88)*'Economic Projections'!$C11/'Economic Projections'!$C10</f>
        <v>5430882.6233051866</v>
      </c>
      <c r="R13" s="61">
        <f>(R12+0.5*R88)*'Economic Projections'!$C11/'Economic Projections'!$C10</f>
        <v>1109727.6892425471</v>
      </c>
      <c r="S13" s="61">
        <f>(S12+0.5*S88)*'Economic Projections'!$C11/'Economic Projections'!$C10</f>
        <v>1375041.2089755733</v>
      </c>
      <c r="T13" s="61">
        <f>(T12+0.5*T88)*'Economic Projections'!$C11/'Economic Projections'!$C10</f>
        <v>337525.28238543216</v>
      </c>
      <c r="U13" s="61"/>
      <c r="W13">
        <v>2028</v>
      </c>
      <c r="X13" s="61">
        <f>(X12+0.5*X88)*'Economic Projections'!$D11/'Economic Projections'!$D10</f>
        <v>6769056.1756967846</v>
      </c>
      <c r="Y13" s="61">
        <f>(Y12+0.5*Y88)*'Economic Projections'!$D11/'Economic Projections'!$D10</f>
        <v>4476300.081555659</v>
      </c>
      <c r="Z13" s="61">
        <f>(Z12+0.5*Z88)*'Economic Projections'!$D11/'Economic Projections'!$D10</f>
        <v>5511214.9790920634</v>
      </c>
      <c r="AA13" s="61">
        <f>(AA12+0.5*AA88)*'Economic Projections'!$D11/'Economic Projections'!$D10</f>
        <v>1126431.6680362823</v>
      </c>
      <c r="AB13" s="61">
        <f>(AB12+0.5*AB88)*'Economic Projections'!$D11/'Economic Projections'!$D10</f>
        <v>1395116.1385532175</v>
      </c>
      <c r="AC13" s="61">
        <f>(AC12+0.5*AC88)*'Economic Projections'!$D11/'Economic Projections'!$D10</f>
        <v>342664.55394910311</v>
      </c>
      <c r="AG13">
        <v>2028</v>
      </c>
      <c r="AH13" s="61">
        <f>(AH12+0.5*AH88)*'Economic Projections'!$E11/'Economic Projections'!$E10</f>
        <v>6574406.9054931458</v>
      </c>
      <c r="AI13" s="61">
        <f>(AI12+0.5*AI88)*'Economic Projections'!$E11/'Economic Projections'!$E10</f>
        <v>4347580.7266749013</v>
      </c>
      <c r="AJ13" s="61">
        <f>(AJ12+0.5*AJ88)*'Economic Projections'!$E11/'Economic Projections'!$E10</f>
        <v>5352950.6326154973</v>
      </c>
      <c r="AK13" s="61">
        <f>(AK12+0.5*AK88)*'Economic Projections'!$E11/'Economic Projections'!$E10</f>
        <v>1093552.7362386817</v>
      </c>
      <c r="AL13" s="61">
        <f>(AL12+0.5*AL88)*'Economic Projections'!$E11/'Economic Projections'!$E10</f>
        <v>1355522.5738634195</v>
      </c>
      <c r="AM13" s="61">
        <f>(AM12+0.5*AM88)*'Economic Projections'!$E11/'Economic Projections'!$E10</f>
        <v>332559.72312759428</v>
      </c>
    </row>
    <row r="14" spans="2:39">
      <c r="E14">
        <v>2029</v>
      </c>
      <c r="F14" s="61">
        <f>(F13+0.5*F89)*('Economic Projections'!$B12/'Economic Projections'!$B11)</f>
        <v>6591206.68565867</v>
      </c>
      <c r="G14" s="61">
        <f>(G13+0.5*G89)*('Economic Projections'!$B12/'Economic Projections'!$B11)</f>
        <v>4353235.0490074577</v>
      </c>
      <c r="H14" s="61">
        <f>(H13+0.5*H89)*('Economic Projections'!$B12/'Economic Projections'!$B11)</f>
        <v>5386812.270333779</v>
      </c>
      <c r="I14" s="61">
        <f>(I13+0.5*I89)*('Economic Projections'!$B12/'Economic Projections'!$B11)</f>
        <v>1100099.7452415819</v>
      </c>
      <c r="J14" s="61">
        <f>(J13+0.5*J89)*('Economic Projections'!$B12/'Economic Projections'!$B11)</f>
        <v>1362962.3193958511</v>
      </c>
      <c r="K14" s="61">
        <f>(K13+0.5*K89)*('Economic Projections'!$B12/'Economic Projections'!$B11)</f>
        <v>334864.5403890498</v>
      </c>
      <c r="N14">
        <v>2029</v>
      </c>
      <c r="O14" s="61">
        <f>(O13+0.5*O89)*'Economic Projections'!$C12/'Economic Projections'!$C11</f>
        <v>6715177.4969020411</v>
      </c>
      <c r="P14" s="61">
        <f>(P13+0.5*P89)*'Economic Projections'!$C12/'Economic Projections'!$C11</f>
        <v>4435112.9366684221</v>
      </c>
      <c r="Q14" s="61">
        <f>(Q13+0.5*Q89)*'Economic Projections'!$C12/'Economic Projections'!$C11</f>
        <v>5488095.1515051574</v>
      </c>
      <c r="R14" s="61">
        <f>(R13+0.5*R89)*'Economic Projections'!$C12/'Economic Projections'!$C11</f>
        <v>1121037.9802518671</v>
      </c>
      <c r="S14" s="61">
        <f>(S13+0.5*S89)*'Economic Projections'!$C12/'Economic Projections'!$C11</f>
        <v>1388216.4318051215</v>
      </c>
      <c r="T14" s="61">
        <f>(T13+0.5*T89)*'Economic Projections'!$C12/'Economic Projections'!$C11</f>
        <v>341332.09747973375</v>
      </c>
      <c r="U14" s="61"/>
      <c r="W14">
        <v>2029</v>
      </c>
      <c r="X14" s="61">
        <f>(X13+0.5*X89)*'Economic Projections'!$D12/'Economic Projections'!$D11</f>
        <v>6826192.3858189993</v>
      </c>
      <c r="Y14" s="61">
        <f>(Y13+0.5*Y89)*'Economic Projections'!$D12/'Economic Projections'!$D11</f>
        <v>4508433.942736472</v>
      </c>
      <c r="Z14" s="61">
        <f>(Z13+0.5*Z89)*'Economic Projections'!$D12/'Economic Projections'!$D11</f>
        <v>5578809.7690012464</v>
      </c>
      <c r="AA14" s="61">
        <f>(AA13+0.5*AA89)*'Economic Projections'!$D12/'Economic Projections'!$D11</f>
        <v>1139815.3440143247</v>
      </c>
      <c r="AB14" s="61">
        <f>(AB13+0.5*AB89)*'Economic Projections'!$D12/'Economic Projections'!$D11</f>
        <v>1410756.8461095293</v>
      </c>
      <c r="AC14" s="61">
        <f>(AC13+0.5*AC89)*'Economic Projections'!$D12/'Economic Projections'!$D11</f>
        <v>347154.25881292654</v>
      </c>
      <c r="AG14">
        <v>2029</v>
      </c>
      <c r="AH14" s="61">
        <f>(AH13+0.5*AH89)*'Economic Projections'!$E12/'Economic Projections'!$E11</f>
        <v>6607485.6823761305</v>
      </c>
      <c r="AI14" s="61">
        <f>(AI13+0.5*AI89)*'Economic Projections'!$E12/'Economic Projections'!$E11</f>
        <v>4363986.6916812221</v>
      </c>
      <c r="AJ14" s="61">
        <f>(AJ13+0.5*AJ89)*'Economic Projections'!$E12/'Economic Projections'!$E11</f>
        <v>5400111.2503059842</v>
      </c>
      <c r="AK14" s="61">
        <f>(AK13+0.5*AK89)*'Economic Projections'!$E12/'Economic Projections'!$E11</f>
        <v>1102847.5106293752</v>
      </c>
      <c r="AL14" s="61">
        <f>(AL13+0.5*AL89)*'Economic Projections'!$E12/'Economic Projections'!$E11</f>
        <v>1366282.7699418622</v>
      </c>
      <c r="AM14" s="61">
        <f>(AM13+0.5*AM89)*'Economic Projections'!$E12/'Economic Projections'!$E11</f>
        <v>335712.05533032247</v>
      </c>
    </row>
    <row r="15" spans="2:39">
      <c r="E15">
        <v>2030</v>
      </c>
      <c r="F15" s="61">
        <f>(F14+0.5*F90)*('Economic Projections'!$B13/'Economic Projections'!$B12)</f>
        <v>6622406.3253932698</v>
      </c>
      <c r="G15" s="61">
        <f>(G14+0.5*G90)*('Economic Projections'!$B13/'Economic Projections'!$B12)</f>
        <v>4368367.0505195474</v>
      </c>
      <c r="H15" s="61">
        <f>(H14+0.5*H90)*('Economic Projections'!$B13/'Economic Projections'!$B12)</f>
        <v>5432859.3687088974</v>
      </c>
      <c r="I15" s="61">
        <f>(I14+0.5*I90)*('Economic Projections'!$B13/'Economic Projections'!$B12)</f>
        <v>1108918.0917263031</v>
      </c>
      <c r="J15" s="61">
        <f>(J14+0.5*J90)*('Economic Projections'!$B13/'Economic Projections'!$B12)</f>
        <v>1373301.8016224266</v>
      </c>
      <c r="K15" s="61">
        <f>(K14+0.5*K90)*('Economic Projections'!$B13/'Economic Projections'!$B12)</f>
        <v>337931.15094776958</v>
      </c>
      <c r="N15">
        <v>2030</v>
      </c>
      <c r="O15" s="61">
        <f>(O14+0.5*O90)*'Economic Projections'!$C13/'Economic Projections'!$C12</f>
        <v>6759979.4895369578</v>
      </c>
      <c r="P15" s="61">
        <f>(P14+0.5*P90)*'Economic Projections'!$C13/'Economic Projections'!$C12</f>
        <v>4459115.0426771175</v>
      </c>
      <c r="Q15" s="61">
        <f>(Q14+0.5*Q90)*'Economic Projections'!$C13/'Economic Projections'!$C12</f>
        <v>5545813.9090571469</v>
      </c>
      <c r="R15" s="61">
        <f>(R14+0.5*R90)*'Economic Projections'!$C13/'Economic Projections'!$C12</f>
        <v>1132157.2768910192</v>
      </c>
      <c r="S15" s="61">
        <f>(S14+0.5*S90)*'Economic Projections'!$C13/'Economic Projections'!$C12</f>
        <v>1401327.0877538021</v>
      </c>
      <c r="T15" s="61">
        <f>(T14+0.5*T90)*'Economic Projections'!$C13/'Economic Projections'!$C12</f>
        <v>345159.29920879228</v>
      </c>
      <c r="U15" s="61"/>
      <c r="W15">
        <v>2030</v>
      </c>
      <c r="X15" s="61">
        <f>(X14+0.5*X90)*'Economic Projections'!$D13/'Economic Projections'!$D12</f>
        <v>6883175.1787656369</v>
      </c>
      <c r="Y15" s="61">
        <f>(Y14+0.5*Y90)*'Economic Projections'!$D13/'Economic Projections'!$D12</f>
        <v>4540379.157735873</v>
      </c>
      <c r="Z15" s="61">
        <f>(Z14+0.5*Z90)*'Economic Projections'!$D13/'Economic Projections'!$D12</f>
        <v>5647014.7139816144</v>
      </c>
      <c r="AA15" s="61">
        <f>(AA14+0.5*AA90)*'Economic Projections'!$D13/'Economic Projections'!$D12</f>
        <v>1152983.2017881002</v>
      </c>
      <c r="AB15" s="61">
        <f>(AB14+0.5*AB90)*'Economic Projections'!$D13/'Economic Projections'!$D12</f>
        <v>1426316.269709795</v>
      </c>
      <c r="AC15" s="61">
        <f>(AC14+0.5*AC90)*'Economic Projections'!$D13/'Economic Projections'!$D12</f>
        <v>351672.97412287461</v>
      </c>
      <c r="AG15">
        <v>2030</v>
      </c>
      <c r="AH15" s="61">
        <f>(AH14+0.5*AH90)*'Economic Projections'!$E13/'Economic Projections'!$E12</f>
        <v>6640471.4898061184</v>
      </c>
      <c r="AI15" s="61">
        <f>(AI14+0.5*AI90)*'Economic Projections'!$E13/'Economic Projections'!$E12</f>
        <v>4380283.4544829698</v>
      </c>
      <c r="AJ15" s="61">
        <f>(AJ14+0.5*AJ90)*'Economic Projections'!$E13/'Economic Projections'!$E12</f>
        <v>5447689.1316723572</v>
      </c>
      <c r="AK15" s="61">
        <f>(AK14+0.5*AK90)*'Economic Projections'!$E13/'Economic Projections'!$E12</f>
        <v>1111968.6370762566</v>
      </c>
      <c r="AL15" s="61">
        <f>(AL14+0.5*AL90)*'Economic Projections'!$E13/'Economic Projections'!$E12</f>
        <v>1376987.9402186838</v>
      </c>
      <c r="AM15" s="61">
        <f>(AM14+0.5*AM90)*'Economic Projections'!$E13/'Economic Projections'!$E12</f>
        <v>338877.9692601696</v>
      </c>
    </row>
    <row r="16" spans="2:39">
      <c r="B16" s="170"/>
      <c r="E16">
        <v>2040</v>
      </c>
      <c r="F16" s="61">
        <f>(F15+0.5*F91)*('Economic Projections'!$B14/'Economic Projections'!$B13)</f>
        <v>6884930.0972347362</v>
      </c>
      <c r="G16" s="61">
        <f>(G15+0.5*G91)*('Economic Projections'!$B14/'Economic Projections'!$B13)</f>
        <v>4535852.7363491757</v>
      </c>
      <c r="H16" s="61">
        <f>(H15+0.5*H91)*('Economic Projections'!$B14/'Economic Projections'!$B13)</f>
        <v>5669864.2639892716</v>
      </c>
      <c r="I16" s="61">
        <f>(I15+0.5*I91)*('Economic Projections'!$B14/'Economic Projections'!$B13)</f>
        <v>1156448.9079032673</v>
      </c>
      <c r="J16" s="61">
        <f>(J15+0.5*J91)*('Economic Projections'!$B14/'Economic Projections'!$B13)</f>
        <v>1431714.0386105592</v>
      </c>
      <c r="K16" s="61">
        <f>(K15+0.5*K91)*('Economic Projections'!$B14/'Economic Projections'!$B13)</f>
        <v>352870.59971247101</v>
      </c>
      <c r="N16">
        <v>2040</v>
      </c>
      <c r="O16" s="61">
        <f>(O15+0.5*O91)*'Economic Projections'!$C14/'Economic Projections'!$C13</f>
        <v>7184739.0361245237</v>
      </c>
      <c r="P16" s="61">
        <f>(P15+0.5*P91)*'Economic Projections'!$C14/'Economic Projections'!$C13</f>
        <v>4733369.5123570245</v>
      </c>
      <c r="Q16" s="61">
        <f>(Q15+0.5*Q91)*'Economic Projections'!$C14/'Economic Projections'!$C13</f>
        <v>5917039.5258143069</v>
      </c>
      <c r="R16" s="61">
        <f>(R15+0.5*R91)*'Economic Projections'!$C14/'Economic Projections'!$C13</f>
        <v>1206946.2657405646</v>
      </c>
      <c r="S16" s="61">
        <f>(S15+0.5*S91)*'Economic Projections'!$C14/'Economic Projections'!$C13</f>
        <v>1493379.0046865388</v>
      </c>
      <c r="T16" s="61">
        <f>(T15+0.5*T91)*'Economic Projections'!$C14/'Economic Projections'!$C13</f>
        <v>368500.38458058616</v>
      </c>
      <c r="U16" s="61"/>
      <c r="W16">
        <v>2040</v>
      </c>
      <c r="X16" s="61">
        <f>(X15+5*X91)*('Economic Projections'!$D14/'Economic Projections'!$D13)</f>
        <v>7396177.9821889158</v>
      </c>
      <c r="Y16" s="61">
        <f>(Y15+5*Y91)*('Economic Projections'!$D14/'Economic Projections'!$D13)</f>
        <v>4817016.830272425</v>
      </c>
      <c r="Z16" s="61">
        <f>(Z15+5*Z91)*('Economic Projections'!$D14/'Economic Projections'!$D13)</f>
        <v>6306945.5424010037</v>
      </c>
      <c r="AA16" s="61">
        <f>(AA15+5*AA91)*('Economic Projections'!$D14/'Economic Projections'!$D13)</f>
        <v>1276008.7658002232</v>
      </c>
      <c r="AB16" s="61">
        <f>(AB15+5*AB91)*('Economic Projections'!$D14/'Economic Projections'!$D13)</f>
        <v>1572563.05359984</v>
      </c>
      <c r="AC16" s="61">
        <f>(AC15+5*AC91)*('Economic Projections'!$D14/'Economic Projections'!$D13)</f>
        <v>395597.37378953933</v>
      </c>
      <c r="AG16">
        <v>2040</v>
      </c>
      <c r="AH16" s="61">
        <f>(AH15+5*AH91)*('Economic Projections'!$E14/'Economic Projections'!$E13)</f>
        <v>6842572.7960176086</v>
      </c>
      <c r="AI16" s="61">
        <f>(AI15+5*AI91)*('Economic Projections'!$E14/'Economic Projections'!$E13)</f>
        <v>4456462.2971696304</v>
      </c>
      <c r="AJ16" s="61">
        <f>(AJ15+5*AJ91)*('Economic Projections'!$E14/'Economic Projections'!$E13)</f>
        <v>5831178.6637859372</v>
      </c>
      <c r="AK16" s="61">
        <f>(AK15+5*AK91)*('Economic Projections'!$E14/'Economic Projections'!$E13)</f>
        <v>1181622.8155634506</v>
      </c>
      <c r="AL16" s="61">
        <f>(AL15+5*AL91)*('Economic Projections'!$E14/'Economic Projections'!$E13)</f>
        <v>1458657.7118567992</v>
      </c>
      <c r="AM16" s="61">
        <f>(AM15+5*AM91)*('Economic Projections'!$E14/'Economic Projections'!$E13)</f>
        <v>364752.97388471867</v>
      </c>
    </row>
    <row r="17" spans="5:39">
      <c r="E17">
        <v>2050</v>
      </c>
      <c r="F17" s="61">
        <f>(F16+0.5*F92)*('Economic Projections'!$B15/'Economic Projections'!$B14)</f>
        <v>6999815.700764277</v>
      </c>
      <c r="G17" s="61">
        <f>(G16+0.5*G92)*('Economic Projections'!$B15/'Economic Projections'!$B14)</f>
        <v>4611540.3863001736</v>
      </c>
      <c r="H17" s="61">
        <f>(H16+0.5*H92)*('Economic Projections'!$B15/'Economic Projections'!$B14)</f>
        <v>5764474.6331142401</v>
      </c>
      <c r="I17" s="61">
        <f>(I16+0.5*I92)*('Economic Projections'!$B15/'Economic Projections'!$B14)</f>
        <v>1175746.0291316886</v>
      </c>
      <c r="J17" s="61">
        <f>(J16+0.5*J92)*('Economic Projections'!$B15/'Economic Projections'!$B14)</f>
        <v>1455604.3801368375</v>
      </c>
      <c r="K17" s="61">
        <f>(K16+0.5*K92)*('Economic Projections'!$B15/'Economic Projections'!$B14)</f>
        <v>358758.78612006881</v>
      </c>
      <c r="N17">
        <v>2050</v>
      </c>
      <c r="O17" s="61">
        <f>(O16+0.5*O92)*'Economic Projections'!$C15/'Economic Projections'!$C14</f>
        <v>7495342.0888807606</v>
      </c>
      <c r="P17" s="61">
        <f>(P16+0.5*P92)*'Economic Projections'!$C15/'Economic Projections'!$C14</f>
        <v>4937997.5458832672</v>
      </c>
      <c r="Q17" s="61">
        <f>(Q16+0.5*Q92)*'Economic Projections'!$C15/'Economic Projections'!$C14</f>
        <v>6172838.7317084409</v>
      </c>
      <c r="R17" s="61">
        <f>(R16+0.5*R92)*'Economic Projections'!$C15/'Economic Projections'!$C14</f>
        <v>1259123.6924733764</v>
      </c>
      <c r="S17" s="61">
        <f>(S16+0.5*S92)*'Economic Projections'!$C15/'Economic Projections'!$C14</f>
        <v>1557939.1891894839</v>
      </c>
      <c r="T17" s="61">
        <f>(T16+0.5*T92)*'Economic Projections'!$C15/'Economic Projections'!$C14</f>
        <v>384431.00416427478</v>
      </c>
      <c r="U17" s="61"/>
      <c r="W17">
        <v>2050</v>
      </c>
      <c r="X17" s="61">
        <f>(X16+5*X92)*('Economic Projections'!$D15/'Economic Projections'!$D14)</f>
        <v>7955284.3091362426</v>
      </c>
      <c r="Y17" s="61">
        <f>(Y16+5*Y92)*('Economic Projections'!$D15/'Economic Projections'!$D14)</f>
        <v>5181154.1716537103</v>
      </c>
      <c r="Z17" s="61">
        <f>(Z16+5*Z92)*('Economic Projections'!$D15/'Economic Projections'!$D14)</f>
        <v>6783712.4840511885</v>
      </c>
      <c r="AA17" s="61">
        <f>(AA16+5*AA92)*('Economic Projections'!$D15/'Economic Projections'!$D14)</f>
        <v>1372467.3118110395</v>
      </c>
      <c r="AB17" s="61">
        <f>(AB16+5*AB92)*('Economic Projections'!$D15/'Economic Projections'!$D14)</f>
        <v>1691439.3103514479</v>
      </c>
      <c r="AC17" s="61">
        <f>(AC16+5*AC92)*('Economic Projections'!$D15/'Economic Projections'!$D14)</f>
        <v>425502.1428665024</v>
      </c>
      <c r="AG17">
        <v>2050</v>
      </c>
      <c r="AH17" s="61">
        <f>(AH16+5*AH92)*('Economic Projections'!$E15/'Economic Projections'!$E14)</f>
        <v>6989199.3559322711</v>
      </c>
      <c r="AI17" s="61">
        <f>(AI16+5*AI92)*('Economic Projections'!$E15/'Economic Projections'!$E14)</f>
        <v>4551957.9178232653</v>
      </c>
      <c r="AJ17" s="61">
        <f>(AJ16+5*AJ92)*('Economic Projections'!$E15/'Economic Projections'!$E14)</f>
        <v>5956132.4922956359</v>
      </c>
      <c r="AK17" s="61">
        <f>(AK16+5*AK92)*('Economic Projections'!$E15/'Economic Projections'!$E14)</f>
        <v>1206943.3044683815</v>
      </c>
      <c r="AL17" s="61">
        <f>(AL16+5*AL92)*('Economic Projections'!$E15/'Economic Projections'!$E14)</f>
        <v>1489914.662825159</v>
      </c>
      <c r="AM17" s="61">
        <f>(AM16+5*AM92)*('Economic Projections'!$E15/'Economic Projections'!$E14)</f>
        <v>372569.10903939116</v>
      </c>
    </row>
    <row r="18" spans="5:39">
      <c r="E18">
        <v>2060</v>
      </c>
      <c r="F18" s="61">
        <f>(F17+0.5*F93)*('Economic Projections'!$B16/'Economic Projections'!$B15)</f>
        <v>6966991.2426129803</v>
      </c>
      <c r="G18" s="61">
        <f>(G17+0.5*G93)*('Economic Projections'!$B16/'Economic Projections'!$B15)</f>
        <v>4589915.343457032</v>
      </c>
      <c r="H18" s="61">
        <f>(H17+0.5*H93)*('Economic Projections'!$B16/'Economic Projections'!$B15)</f>
        <v>5737443.0990785351</v>
      </c>
      <c r="I18" s="61">
        <f>(I17+0.5*I93)*('Economic Projections'!$B16/'Economic Projections'!$B15)</f>
        <v>1170232.5659235683</v>
      </c>
      <c r="J18" s="61">
        <f>(J17+0.5*J93)*('Economic Projections'!$B16/'Economic Projections'!$B15)</f>
        <v>1448778.5682721867</v>
      </c>
      <c r="K18" s="61">
        <f>(K17+0.5*K93)*('Economic Projections'!$B16/'Economic Projections'!$B15)</f>
        <v>357076.44714646949</v>
      </c>
      <c r="N18">
        <v>2060</v>
      </c>
      <c r="O18" s="61">
        <f>(O17+0.5*O93)*'Economic Projections'!$C16/'Economic Projections'!$C15</f>
        <v>7666991.1443513129</v>
      </c>
      <c r="P18" s="61">
        <f>(P17+0.5*P93)*'Economic Projections'!$C16/'Economic Projections'!$C15</f>
        <v>5051081.45914777</v>
      </c>
      <c r="Q18" s="61">
        <f>(Q17+0.5*Q93)*'Economic Projections'!$C16/'Economic Projections'!$C15</f>
        <v>6314201.4507551994</v>
      </c>
      <c r="R18" s="61">
        <f>(R17+0.5*R93)*'Economic Projections'!$C16/'Economic Projections'!$C15</f>
        <v>1287958.5861941411</v>
      </c>
      <c r="S18" s="61">
        <f>(S17+0.5*S93)*'Economic Projections'!$C16/'Economic Projections'!$C15</f>
        <v>1593617.1858884799</v>
      </c>
      <c r="T18" s="61">
        <f>(T17+0.5*T93)*'Economic Projections'!$C16/'Economic Projections'!$C15</f>
        <v>393234.76761841855</v>
      </c>
      <c r="U18" s="61"/>
      <c r="W18">
        <v>2060</v>
      </c>
      <c r="X18" s="61">
        <f>(X17+5*X93)*('Economic Projections'!$D16/'Economic Projections'!$D15)</f>
        <v>8442505.5369046275</v>
      </c>
      <c r="Y18" s="61">
        <f>(Y17+5*Y93)*('Economic Projections'!$D16/'Economic Projections'!$D15)</f>
        <v>5498473.8548574019</v>
      </c>
      <c r="Z18" s="61">
        <f>(Z17+5*Z93)*('Economic Projections'!$D16/'Economic Projections'!$D15)</f>
        <v>7199180.8189177783</v>
      </c>
      <c r="AA18" s="61">
        <f>(AA17+5*AA93)*('Economic Projections'!$D16/'Economic Projections'!$D15)</f>
        <v>1456524.0447633222</v>
      </c>
      <c r="AB18" s="61">
        <f>(AB17+5*AB93)*('Economic Projections'!$D16/'Economic Projections'!$D15)</f>
        <v>1795031.4769492778</v>
      </c>
      <c r="AC18" s="61">
        <f>(AC17+5*AC93)*('Economic Projections'!$D16/'Economic Projections'!$D15)</f>
        <v>451562.01306214166</v>
      </c>
      <c r="AG18">
        <v>2060</v>
      </c>
      <c r="AH18" s="61">
        <f>(AH17+5*AH93)*('Economic Projections'!$E16/'Economic Projections'!$E15)</f>
        <v>6997345.2759275306</v>
      </c>
      <c r="AI18" s="61">
        <f>(AI17+5*AI93)*('Economic Projections'!$E16/'Economic Projections'!$E15)</f>
        <v>4557263.2300818004</v>
      </c>
      <c r="AJ18" s="61">
        <f>(AJ17+5*AJ93)*('Economic Projections'!$E16/'Economic Projections'!$E15)</f>
        <v>5963074.3716572858</v>
      </c>
      <c r="AK18" s="61">
        <f>(AK17+5*AK93)*('Economic Projections'!$E16/'Economic Projections'!$E15)</f>
        <v>1208349.9982964331</v>
      </c>
      <c r="AL18" s="61">
        <f>(AL17+5*AL93)*('Economic Projections'!$E16/'Economic Projections'!$E15)</f>
        <v>1491651.160101179</v>
      </c>
      <c r="AM18" s="61">
        <f>(AM17+5*AM93)*('Economic Projections'!$E16/'Economic Projections'!$E15)</f>
        <v>373003.33877020632</v>
      </c>
    </row>
    <row r="19" spans="5:39">
      <c r="E19">
        <v>2070</v>
      </c>
      <c r="F19" s="61">
        <f>(F18+0.5*F94)*('Economic Projections'!$B17/'Economic Projections'!$B16)</f>
        <v>6811075.066394316</v>
      </c>
      <c r="G19" s="61">
        <f>(G18+0.5*G94)*('Economic Projections'!$B17/'Economic Projections'!$B16)</f>
        <v>4487196.3899521045</v>
      </c>
      <c r="H19" s="61">
        <f>(H18+0.5*H94)*('Economic Projections'!$B17/'Economic Projections'!$B16)</f>
        <v>5609043.3124089334</v>
      </c>
      <c r="I19" s="61">
        <f>(I18+0.5*I94)*('Economic Projections'!$B17/'Economic Projections'!$B16)</f>
        <v>1144043.6156849961</v>
      </c>
      <c r="J19" s="61">
        <f>(J18+0.5*J94)*('Economic Projections'!$B17/'Economic Projections'!$B16)</f>
        <v>1416355.9619150942</v>
      </c>
      <c r="K19" s="61">
        <f>(K18+0.5*K94)*('Economic Projections'!$B17/'Economic Projections'!$B16)</f>
        <v>349085.33702187246</v>
      </c>
      <c r="N19">
        <v>2070</v>
      </c>
      <c r="O19" s="61">
        <f>(O18+0.5*O94)*'Economic Projections'!$C17/'Economic Projections'!$C16</f>
        <v>7732381.2607210465</v>
      </c>
      <c r="P19" s="61">
        <f>(P18+0.5*P94)*'Economic Projections'!$C17/'Economic Projections'!$C16</f>
        <v>5094161.0451532938</v>
      </c>
      <c r="Q19" s="61">
        <f>(Q18+0.5*Q94)*'Economic Projections'!$C17/'Economic Projections'!$C16</f>
        <v>6368053.9151539644</v>
      </c>
      <c r="R19" s="61">
        <f>(R18+0.5*R94)*'Economic Projections'!$C17/'Economic Projections'!$C16</f>
        <v>1298943.3076115751</v>
      </c>
      <c r="S19" s="61">
        <f>(S18+0.5*S94)*'Economic Projections'!$C17/'Economic Projections'!$C16</f>
        <v>1607208.8036785733</v>
      </c>
      <c r="T19" s="61">
        <f>(T18+0.5*T94)*'Economic Projections'!$C17/'Economic Projections'!$C16</f>
        <v>396588.58226761612</v>
      </c>
      <c r="U19" s="61"/>
      <c r="W19">
        <v>2070</v>
      </c>
      <c r="X19" s="61">
        <f>(X18+5*X94)*('Economic Projections'!$D17/'Economic Projections'!$D16)</f>
        <v>8881803.3652203828</v>
      </c>
      <c r="Y19" s="61">
        <f>(Y18+5*Y94)*('Economic Projections'!$D17/'Economic Projections'!$D16)</f>
        <v>5784581.7659426965</v>
      </c>
      <c r="Z19" s="61">
        <f>(Z18+5*Z94)*('Economic Projections'!$D17/'Economic Projections'!$D16)</f>
        <v>7573783.4159286357</v>
      </c>
      <c r="AA19" s="61">
        <f>(AA18+5*AA94)*('Economic Projections'!$D17/'Economic Projections'!$D16)</f>
        <v>1532312.9023432489</v>
      </c>
      <c r="AB19" s="61">
        <f>(AB18+5*AB94)*('Economic Projections'!$D17/'Economic Projections'!$D16)</f>
        <v>1888434.2501112551</v>
      </c>
      <c r="AC19" s="61">
        <f>(AC18+5*AC94)*('Economic Projections'!$D17/'Economic Projections'!$D16)</f>
        <v>475058.61733689829</v>
      </c>
      <c r="AG19">
        <v>2070</v>
      </c>
      <c r="AH19" s="61">
        <f>(AH18+5*AH94)*('Economic Projections'!$E17/'Economic Projections'!$E16)</f>
        <v>6891448.3159891637</v>
      </c>
      <c r="AI19" s="61">
        <f>(AI18+5*AI94)*('Economic Projections'!$E17/'Economic Projections'!$E16)</f>
        <v>4488294.1707208427</v>
      </c>
      <c r="AJ19" s="61">
        <f>(AJ18+5*AJ94)*('Economic Projections'!$E17/'Economic Projections'!$E16)</f>
        <v>5872829.939955838</v>
      </c>
      <c r="AK19" s="61">
        <f>(AK18+5*AK94)*('Economic Projections'!$E17/'Economic Projections'!$E16)</f>
        <v>1190062.9785317609</v>
      </c>
      <c r="AL19" s="61">
        <f>(AL18+5*AL94)*('Economic Projections'!$E17/'Economic Projections'!$E16)</f>
        <v>1469076.6955129192</v>
      </c>
      <c r="AM19" s="61">
        <f>(AM18+5*AM94)*('Economic Projections'!$E17/'Economic Projections'!$E16)</f>
        <v>367358.35226960958</v>
      </c>
    </row>
    <row r="20" spans="5:39">
      <c r="E20">
        <v>2080</v>
      </c>
      <c r="F20" s="61">
        <f>(F19+0.5*F95)*('Economic Projections'!$B18/'Economic Projections'!$B17)</f>
        <v>6540273.2866461072</v>
      </c>
      <c r="G20" s="61">
        <f>(G19+0.5*G95)*('Economic Projections'!$B18/'Economic Projections'!$B17)</f>
        <v>4308789.7864961773</v>
      </c>
      <c r="H20" s="61">
        <f>(H19+0.5*H95)*('Economic Projections'!$B18/'Economic Projections'!$B17)</f>
        <v>5386033.1566143604</v>
      </c>
      <c r="I20" s="61">
        <f>(I19+0.5*I95)*('Economic Projections'!$B18/'Economic Projections'!$B17)</f>
        <v>1098557.5442180021</v>
      </c>
      <c r="J20" s="61">
        <f>(J19+0.5*J95)*('Economic Projections'!$B18/'Economic Projections'!$B17)</f>
        <v>1360043.0140317229</v>
      </c>
      <c r="K20" s="61">
        <f>(K19+0.5*K95)*('Economic Projections'!$B18/'Economic Projections'!$B17)</f>
        <v>335206.04048967751</v>
      </c>
      <c r="N20">
        <v>2080</v>
      </c>
      <c r="O20" s="61">
        <f>(O19+0.5*O95)*'Economic Projections'!$C18/'Economic Projections'!$C17</f>
        <v>7691512.4379899632</v>
      </c>
      <c r="P20" s="61">
        <f>(P19+0.5*P95)*'Economic Projections'!$C18/'Economic Projections'!$C17</f>
        <v>5067236.3038998405</v>
      </c>
      <c r="Q20" s="61">
        <f>(Q19+0.5*Q95)*'Economic Projections'!$C18/'Economic Projections'!$C17</f>
        <v>6334396.1249047359</v>
      </c>
      <c r="R20" s="61">
        <f>(R19+0.5*R95)*'Economic Projections'!$C18/'Economic Projections'!$C17</f>
        <v>1292077.8567256788</v>
      </c>
      <c r="S20" s="61">
        <f>(S19+0.5*S95)*'Economic Projections'!$C18/'Economic Projections'!$C17</f>
        <v>1598714.0425597648</v>
      </c>
      <c r="T20" s="61">
        <f>(T19+0.5*T95)*'Economic Projections'!$C18/'Economic Projections'!$C17</f>
        <v>394492.44811186759</v>
      </c>
      <c r="U20" s="61"/>
      <c r="W20">
        <v>2080</v>
      </c>
      <c r="X20" s="61">
        <f>(X19+5*X95)*('Economic Projections'!$D18/'Economic Projections'!$D17)</f>
        <v>9289152.260567721</v>
      </c>
      <c r="Y20" s="61">
        <f>(Y19+5*Y95)*('Economic Projections'!$D18/'Economic Projections'!$D17)</f>
        <v>6049881.8289490612</v>
      </c>
      <c r="Z20" s="61">
        <f>(Z19+5*Z95)*('Economic Projections'!$D18/'Economic Projections'!$D17)</f>
        <v>7921142.1877023419</v>
      </c>
      <c r="AA20" s="61">
        <f>(AA19+5*AA95)*('Economic Projections'!$D18/'Economic Projections'!$D17)</f>
        <v>1602589.8430082721</v>
      </c>
      <c r="AB20" s="61">
        <f>(AB19+5*AB95)*('Economic Projections'!$D18/'Economic Projections'!$D17)</f>
        <v>1975044.094315998</v>
      </c>
      <c r="AC20" s="61">
        <f>(AC19+5*AC95)*('Economic Projections'!$D18/'Economic Projections'!$D17)</f>
        <v>496846.37766439992</v>
      </c>
      <c r="AG20">
        <v>2080</v>
      </c>
      <c r="AH20" s="61">
        <f>(AH19+5*AH95)*('Economic Projections'!$E18/'Economic Projections'!$E17)</f>
        <v>6679654.3961124271</v>
      </c>
      <c r="AI20" s="61">
        <f>(AI19+5*AI95)*('Economic Projections'!$E18/'Economic Projections'!$E17)</f>
        <v>4350356.0519989245</v>
      </c>
      <c r="AJ20" s="61">
        <f>(AJ19+5*AJ95)*('Economic Projections'!$E18/'Economic Projections'!$E17)</f>
        <v>5692341.0765529387</v>
      </c>
      <c r="AK20" s="61">
        <f>(AK19+5*AK95)*('Economic Projections'!$E18/'Economic Projections'!$E17)</f>
        <v>1153488.9390024159</v>
      </c>
      <c r="AL20" s="61">
        <f>(AL19+5*AL95)*('Economic Projections'!$E18/'Economic Projections'!$E17)</f>
        <v>1423927.7663363991</v>
      </c>
      <c r="AM20" s="61">
        <f>(AM19+5*AM95)*('Economic Projections'!$E18/'Economic Projections'!$E17)</f>
        <v>356068.37926841585</v>
      </c>
    </row>
    <row r="21" spans="5:39">
      <c r="E21">
        <v>2090</v>
      </c>
      <c r="F21" s="61">
        <f>(F20+0.5*F96)*('Economic Projections'!$B19/'Economic Projections'!$B18)</f>
        <v>6162792.0179061815</v>
      </c>
      <c r="G21" s="61">
        <f>(G20+0.5*G96)*('Economic Projections'!$B19/'Economic Projections'!$B18)</f>
        <v>4060101.7938000364</v>
      </c>
      <c r="H21" s="61">
        <f>(H20+0.5*H96)*('Economic Projections'!$B19/'Economic Projections'!$B18)</f>
        <v>5075170.5152037451</v>
      </c>
      <c r="I21" s="61">
        <f>(I20+0.5*I96)*('Economic Projections'!$B19/'Economic Projections'!$B18)</f>
        <v>1035152.7173246167</v>
      </c>
      <c r="J21" s="61">
        <f>(J20+0.5*J96)*('Economic Projections'!$B19/'Economic Projections'!$B18)</f>
        <v>1281546.1775882358</v>
      </c>
      <c r="K21" s="61">
        <f>(K20+0.5*K96)*('Economic Projections'!$B19/'Economic Projections'!$B18)</f>
        <v>315859.14229328459</v>
      </c>
      <c r="N21">
        <v>2090</v>
      </c>
      <c r="O21" s="61">
        <f>(O20+0.5*O96)*'Economic Projections'!$C19/'Economic Projections'!$C18</f>
        <v>7560732.205250496</v>
      </c>
      <c r="P21" s="61">
        <f>(P20+0.5*P96)*'Economic Projections'!$C19/'Economic Projections'!$C18</f>
        <v>4981077.131888791</v>
      </c>
      <c r="Q21" s="61">
        <f>(Q20+0.5*Q96)*'Economic Projections'!$C19/'Economic Projections'!$C18</f>
        <v>6226691.1961072059</v>
      </c>
      <c r="R21" s="61">
        <f>(R20+0.5*R96)*'Economic Projections'!$C19/'Economic Projections'!$C18</f>
        <v>1270108.4138908109</v>
      </c>
      <c r="S21" s="61">
        <f>(S20+0.5*S96)*'Economic Projections'!$C19/'Economic Projections'!$C18</f>
        <v>1571530.8069795775</v>
      </c>
      <c r="T21" s="61">
        <f>(T20+0.5*T96)*'Economic Projections'!$C19/'Economic Projections'!$C18</f>
        <v>387784.8188134724</v>
      </c>
      <c r="U21" s="61"/>
      <c r="W21">
        <v>2090</v>
      </c>
      <c r="X21" s="61">
        <f>(X20+5*X96)*('Economic Projections'!$D19/'Economic Projections'!$D18)</f>
        <v>9688513.9226729553</v>
      </c>
      <c r="Y21" s="61">
        <f>(Y20+5*Y96)*('Economic Projections'!$D19/'Economic Projections'!$D18)</f>
        <v>6309979.9299356947</v>
      </c>
      <c r="Z21" s="61">
        <f>(Z20+5*Z96)*('Economic Projections'!$D19/'Economic Projections'!$D18)</f>
        <v>8261690.0031667603</v>
      </c>
      <c r="AA21" s="61">
        <f>(AA20+5*AA96)*('Economic Projections'!$D19/'Economic Projections'!$D18)</f>
        <v>1671488.8044445696</v>
      </c>
      <c r="AB21" s="61">
        <f>(AB20+5*AB96)*('Economic Projections'!$D19/'Economic Projections'!$D18)</f>
        <v>2059955.7062814324</v>
      </c>
      <c r="AC21" s="61">
        <f>(AC20+5*AC96)*('Economic Projections'!$D19/'Economic Projections'!$D18)</f>
        <v>518206.92700508784</v>
      </c>
      <c r="AG21">
        <v>2090</v>
      </c>
      <c r="AH21" s="61">
        <f>(AH20+5*AH96)*('Economic Projections'!$E19/'Economic Projections'!$E18)</f>
        <v>6378255.3562878426</v>
      </c>
      <c r="AI21" s="61">
        <f>(AI20+5*AI96)*('Economic Projections'!$E19/'Economic Projections'!$E18)</f>
        <v>4154059.4984331196</v>
      </c>
      <c r="AJ21" s="61">
        <f>(AJ20+5*AJ96)*('Economic Projections'!$E19/'Economic Projections'!$E18)</f>
        <v>5435491.5401718915</v>
      </c>
      <c r="AK21" s="61">
        <f>(AK20+5*AK96)*('Economic Projections'!$E19/'Economic Projections'!$E18)</f>
        <v>1101441.267364502</v>
      </c>
      <c r="AL21" s="61">
        <f>(AL20+5*AL96)*('Economic Projections'!$E19/'Economic Projections'!$E18)</f>
        <v>1359677.3671236592</v>
      </c>
      <c r="AM21" s="61">
        <f>(AM20+5*AM96)*('Economic Projections'!$E19/'Economic Projections'!$E18)</f>
        <v>340001.87922825565</v>
      </c>
    </row>
    <row r="22" spans="5:39">
      <c r="E22">
        <v>2100</v>
      </c>
      <c r="F22" s="61">
        <f>(F21+0.5*F97)*('Economic Projections'!$B20/'Economic Projections'!$B19)</f>
        <v>5711455.7183258357</v>
      </c>
      <c r="G22" s="61">
        <f>(G21+0.5*G97)*('Economic Projections'!$B20/'Economic Projections'!$B19)</f>
        <v>3762757.4547068249</v>
      </c>
      <c r="H22" s="61">
        <f>(H21+0.5*H97)*('Economic Projections'!$B20/'Economic Projections'!$B19)</f>
        <v>4703486.9222127916</v>
      </c>
      <c r="I22" s="61">
        <f>(I21+0.5*I97)*('Economic Projections'!$B20/'Economic Projections'!$B19)</f>
        <v>959342.59821296041</v>
      </c>
      <c r="J22" s="61">
        <f>(J21+0.5*J97)*('Economic Projections'!$B20/'Economic Projections'!$B19)</f>
        <v>1187691.2644492839</v>
      </c>
      <c r="K22" s="61">
        <f>(K21+0.5*K97)*('Economic Projections'!$B20/'Economic Projections'!$B19)</f>
        <v>292726.98140629305</v>
      </c>
      <c r="N22">
        <v>2100</v>
      </c>
      <c r="O22" s="61">
        <f>(O21+0.5*O97)*'Economic Projections'!$C20/'Economic Projections'!$C19</f>
        <v>7380909.3852337273</v>
      </c>
      <c r="P22" s="61">
        <f>(P21+0.5*P97)*'Economic Projections'!$C20/'Economic Projections'!$C19</f>
        <v>4862608.2703735977</v>
      </c>
      <c r="Q22" s="61">
        <f>(Q21+0.5*Q97)*'Economic Projections'!$C20/'Economic Projections'!$C19</f>
        <v>6078596.9190106019</v>
      </c>
      <c r="R22" s="61">
        <f>(R21+0.5*R97)*'Economic Projections'!$C20/'Economic Projections'!$C19</f>
        <v>1239900.4299928672</v>
      </c>
      <c r="S22" s="61">
        <f>(S21+0.5*S97)*'Economic Projections'!$C20/'Economic Projections'!$C19</f>
        <v>1534153.8580568198</v>
      </c>
      <c r="T22" s="61">
        <f>(T21+0.5*T97)*'Economic Projections'!$C20/'Economic Projections'!$C19</f>
        <v>378561.82852817897</v>
      </c>
      <c r="U22" s="61"/>
      <c r="W22">
        <v>2100</v>
      </c>
      <c r="X22" s="61">
        <f>(X21+5*X97)*('Economic Projections'!$D20/'Economic Projections'!$D19)</f>
        <v>10079888.35153608</v>
      </c>
      <c r="Y22" s="61">
        <f>(Y21+5*Y97)*('Economic Projections'!$D20/'Economic Projections'!$D19)</f>
        <v>6564876.0689025922</v>
      </c>
      <c r="Z22" s="61">
        <f>(Z21+5*Z97)*('Economic Projections'!$D20/'Economic Projections'!$D19)</f>
        <v>8595426.8623218872</v>
      </c>
      <c r="AA22" s="61">
        <f>(AA21+5*AA97)*('Economic Projections'!$D20/'Economic Projections'!$D19)</f>
        <v>1739009.7866521403</v>
      </c>
      <c r="AB22" s="61">
        <f>(AB21+5*AB97)*('Economic Projections'!$D20/'Economic Projections'!$D19)</f>
        <v>2143169.0860075573</v>
      </c>
      <c r="AC22" s="61">
        <f>(AC21+5*AC97)*('Economic Projections'!$D20/'Economic Projections'!$D19)</f>
        <v>539140.26535896177</v>
      </c>
      <c r="AG22">
        <v>2100</v>
      </c>
      <c r="AH22" s="61">
        <f>(AH21+5*AH97)*('Economic Projections'!$E20/'Economic Projections'!$E19)</f>
        <v>6011688.956501185</v>
      </c>
      <c r="AI22" s="61">
        <f>(AI21+5*AI97)*('Economic Projections'!$E20/'Economic Projections'!$E19)</f>
        <v>3915320.4467990319</v>
      </c>
      <c r="AJ22" s="61">
        <f>(AJ21+5*AJ97)*('Economic Projections'!$E20/'Economic Projections'!$E19)</f>
        <v>5123106.9688976444</v>
      </c>
      <c r="AK22" s="61">
        <f>(AK21+5*AK97)*('Economic Projections'!$E20/'Economic Projections'!$E19)</f>
        <v>1038140.0451021742</v>
      </c>
      <c r="AL22" s="61">
        <f>(AL21+5*AL97)*('Economic Projections'!$E20/'Economic Projections'!$E19)</f>
        <v>1281534.9897027593</v>
      </c>
      <c r="AM22" s="61">
        <f>(AM21+5*AM97)*('Economic Projections'!$E20/'Economic Projections'!$E19)</f>
        <v>320461.54134157428</v>
      </c>
    </row>
    <row r="23" spans="5:39">
      <c r="F23" s="581" t="s">
        <v>239</v>
      </c>
      <c r="G23" s="581"/>
      <c r="H23" s="581"/>
      <c r="I23" s="581"/>
      <c r="J23" s="581"/>
      <c r="K23" s="581"/>
      <c r="O23" s="581" t="s">
        <v>239</v>
      </c>
      <c r="P23" s="581"/>
      <c r="Q23" s="581"/>
      <c r="R23" s="581"/>
      <c r="S23" s="581"/>
      <c r="T23" s="581"/>
      <c r="X23" s="581" t="s">
        <v>239</v>
      </c>
      <c r="Y23" s="581"/>
      <c r="Z23" s="581"/>
      <c r="AA23" s="581"/>
      <c r="AB23" s="581"/>
      <c r="AC23" s="581"/>
      <c r="AH23" s="581" t="s">
        <v>239</v>
      </c>
      <c r="AI23" s="581"/>
      <c r="AJ23" s="581"/>
      <c r="AK23" s="581"/>
      <c r="AL23" s="581"/>
      <c r="AM23" s="581"/>
    </row>
    <row r="24" spans="5:39">
      <c r="E24">
        <v>2020</v>
      </c>
      <c r="F24" s="61">
        <f>'Demographic-Economic'!C14</f>
        <v>2791896</v>
      </c>
      <c r="G24" s="61">
        <f>'Demographic-Economic'!D14</f>
        <v>2523732</v>
      </c>
      <c r="H24" s="61">
        <f>'Demographic-Economic'!E14</f>
        <v>2212536</v>
      </c>
      <c r="I24" s="61">
        <f>'Demographic-Economic'!F14</f>
        <v>496548</v>
      </c>
      <c r="J24" s="61">
        <f>'Demographic-Economic'!G14</f>
        <v>566592</v>
      </c>
      <c r="K24" s="61">
        <f>'Demographic-Economic'!H14</f>
        <v>135480</v>
      </c>
      <c r="N24">
        <v>2020</v>
      </c>
      <c r="O24" s="61">
        <f>'Demographic-Economic'!C14</f>
        <v>2791896</v>
      </c>
      <c r="P24" s="61">
        <f>'Demographic-Economic'!D14</f>
        <v>2523732</v>
      </c>
      <c r="Q24" s="61">
        <f>'Demographic-Economic'!E14</f>
        <v>2212536</v>
      </c>
      <c r="R24" s="61">
        <f>'Demographic-Economic'!F14</f>
        <v>496548</v>
      </c>
      <c r="S24" s="61">
        <f>'Demographic-Economic'!G14</f>
        <v>566592</v>
      </c>
      <c r="T24" s="61">
        <f>'Demographic-Economic'!H14</f>
        <v>135480</v>
      </c>
      <c r="W24">
        <v>2020</v>
      </c>
      <c r="X24" s="61">
        <f>'Demographic-Economic'!C14</f>
        <v>2791896</v>
      </c>
      <c r="Y24" s="61">
        <f>'Demographic-Economic'!D14</f>
        <v>2523732</v>
      </c>
      <c r="Z24" s="61">
        <f>'Demographic-Economic'!E14</f>
        <v>2212536</v>
      </c>
      <c r="AA24" s="61">
        <f>'Demographic-Economic'!F14</f>
        <v>496548</v>
      </c>
      <c r="AB24" s="61">
        <f>'Demographic-Economic'!G14</f>
        <v>566592</v>
      </c>
      <c r="AC24" s="61">
        <f>'Demographic-Economic'!H14</f>
        <v>135480</v>
      </c>
      <c r="AG24">
        <v>2020</v>
      </c>
      <c r="AH24" s="61">
        <f>'Demographic-Economic'!C14</f>
        <v>2791896</v>
      </c>
      <c r="AI24" s="61">
        <f>'Demographic-Economic'!D14</f>
        <v>2523732</v>
      </c>
      <c r="AJ24" s="61">
        <f>'Demographic-Economic'!E14</f>
        <v>2212536</v>
      </c>
      <c r="AK24" s="61">
        <f>'Demographic-Economic'!F14</f>
        <v>496548</v>
      </c>
      <c r="AL24" s="61">
        <f>'Demographic-Economic'!G14</f>
        <v>566592</v>
      </c>
      <c r="AM24" s="61">
        <f>'Demographic-Economic'!H14</f>
        <v>135480</v>
      </c>
    </row>
    <row r="25" spans="5:39">
      <c r="E25">
        <v>2021</v>
      </c>
      <c r="F25" s="322" t="s">
        <v>240</v>
      </c>
      <c r="G25" s="322" t="s">
        <v>240</v>
      </c>
      <c r="H25" s="61">
        <f>H24*('Demographic-Economic'!E$20)</f>
        <v>2251692</v>
      </c>
      <c r="I25" s="61">
        <f>I24*('Demographic-Economic'!F$20)</f>
        <v>497628</v>
      </c>
      <c r="J25" s="61">
        <f>J24*('Demographic-Economic'!G$20)</f>
        <v>571248</v>
      </c>
      <c r="K25" s="61">
        <f>K24*('Demographic-Economic'!H$20)</f>
        <v>137808</v>
      </c>
      <c r="N25">
        <v>2021</v>
      </c>
      <c r="O25" t="s">
        <v>240</v>
      </c>
      <c r="P25" t="s">
        <v>240</v>
      </c>
      <c r="Q25" s="61">
        <f>Q24*'Demographic-Economic'!E$20</f>
        <v>2251692</v>
      </c>
      <c r="R25" s="61">
        <f>R24*'Demographic-Economic'!F$20</f>
        <v>497628</v>
      </c>
      <c r="S25" s="61">
        <f>S24*'Demographic-Economic'!G$20</f>
        <v>571248</v>
      </c>
      <c r="T25" s="61">
        <f>T24*'Demographic-Economic'!H$20</f>
        <v>137808</v>
      </c>
      <c r="W25">
        <v>2021</v>
      </c>
      <c r="X25" t="s">
        <v>240</v>
      </c>
      <c r="Y25" t="s">
        <v>240</v>
      </c>
      <c r="Z25" s="61">
        <f>Z24*'Demographic-Economic'!E$20</f>
        <v>2251692</v>
      </c>
      <c r="AA25" s="61">
        <f>AA24*'Demographic-Economic'!F$20</f>
        <v>497628</v>
      </c>
      <c r="AB25" s="61">
        <f>AB24*'Demographic-Economic'!G$20</f>
        <v>571248</v>
      </c>
      <c r="AC25" s="61">
        <f>AC24*'Demographic-Economic'!H$20</f>
        <v>137808</v>
      </c>
      <c r="AG25">
        <v>2021</v>
      </c>
      <c r="AH25" t="s">
        <v>240</v>
      </c>
      <c r="AI25" t="s">
        <v>240</v>
      </c>
      <c r="AJ25" s="61">
        <f>AJ24*'Demographic-Economic'!E$20</f>
        <v>2251692</v>
      </c>
      <c r="AK25" s="61">
        <f>AK24*'Demographic-Economic'!F$20</f>
        <v>497628</v>
      </c>
      <c r="AL25" s="61">
        <f>AL24*'Demographic-Economic'!G$20</f>
        <v>571248</v>
      </c>
      <c r="AM25" s="61">
        <f>AM24*'Demographic-Economic'!H$20</f>
        <v>137808</v>
      </c>
    </row>
    <row r="26" spans="5:39">
      <c r="E26">
        <v>2022</v>
      </c>
      <c r="F26" s="322" t="s">
        <v>240</v>
      </c>
      <c r="G26" s="322" t="s">
        <v>240</v>
      </c>
      <c r="H26" s="61">
        <f>H25*('Demographic-Economic'!E$20)</f>
        <v>2291540.9570122249</v>
      </c>
      <c r="I26" s="61">
        <f>I25*('Demographic-Economic'!F$20)</f>
        <v>498710.34901761764</v>
      </c>
      <c r="J26" s="61">
        <f>J25*('Demographic-Economic'!G$20)</f>
        <v>575942.26092849881</v>
      </c>
      <c r="K26" s="61">
        <f>K25*('Demographic-Economic'!H$20)</f>
        <v>140176.00283436669</v>
      </c>
      <c r="N26">
        <v>2022</v>
      </c>
      <c r="O26" t="s">
        <v>240</v>
      </c>
      <c r="P26" t="s">
        <v>240</v>
      </c>
      <c r="Q26" s="61">
        <f>Q25*'Demographic-Economic'!E$20</f>
        <v>2291540.9570122249</v>
      </c>
      <c r="R26" s="61">
        <f>R25*'Demographic-Economic'!F$20</f>
        <v>498710.34901761764</v>
      </c>
      <c r="S26" s="61">
        <f>S25*'Demographic-Economic'!G$20</f>
        <v>575942.26092849881</v>
      </c>
      <c r="T26" s="61">
        <f>T25*'Demographic-Economic'!H$20</f>
        <v>140176.00283436669</v>
      </c>
      <c r="W26">
        <v>2022</v>
      </c>
      <c r="X26" t="s">
        <v>240</v>
      </c>
      <c r="Y26" t="s">
        <v>240</v>
      </c>
      <c r="Z26" s="61">
        <f>Z25*'Demographic-Economic'!E$20</f>
        <v>2291540.9570122249</v>
      </c>
      <c r="AA26" s="61">
        <f>AA25*'Demographic-Economic'!F$20</f>
        <v>498710.34901761764</v>
      </c>
      <c r="AB26" s="61">
        <f>AB25*'Demographic-Economic'!G$20</f>
        <v>575942.26092849881</v>
      </c>
      <c r="AC26" s="61">
        <f>AC25*'Demographic-Economic'!H$20</f>
        <v>140176.00283436669</v>
      </c>
      <c r="AG26">
        <v>2022</v>
      </c>
      <c r="AH26" t="s">
        <v>240</v>
      </c>
      <c r="AI26" t="s">
        <v>240</v>
      </c>
      <c r="AJ26" s="61">
        <f>AJ25*'Demographic-Economic'!E$20</f>
        <v>2291540.9570122249</v>
      </c>
      <c r="AK26" s="61">
        <f>AK25*'Demographic-Economic'!F$20</f>
        <v>498710.34901761764</v>
      </c>
      <c r="AL26" s="61">
        <f>AL25*'Demographic-Economic'!G$20</f>
        <v>575942.26092849881</v>
      </c>
      <c r="AM26" s="61">
        <f>AM25*'Demographic-Economic'!H$20</f>
        <v>140176.00283436669</v>
      </c>
    </row>
    <row r="27" spans="5:39">
      <c r="E27">
        <v>2023</v>
      </c>
      <c r="F27" s="322" t="s">
        <v>240</v>
      </c>
      <c r="G27" s="322" t="s">
        <v>240</v>
      </c>
      <c r="H27" s="61">
        <f>H26*('Demographic-Economic'!E$20)</f>
        <v>2332095.1345319445</v>
      </c>
      <c r="I27" s="61">
        <f>I26*('Demographic-Economic'!F$20)</f>
        <v>499795.05216200458</v>
      </c>
      <c r="J27" s="61">
        <f>J26*('Demographic-Economic'!G$20)</f>
        <v>580675.09719671845</v>
      </c>
      <c r="K27" s="61">
        <f>K26*('Demographic-Economic'!H$20)</f>
        <v>142584.69588572782</v>
      </c>
      <c r="N27">
        <v>2023</v>
      </c>
      <c r="O27" t="s">
        <v>240</v>
      </c>
      <c r="P27" t="s">
        <v>240</v>
      </c>
      <c r="Q27" s="61">
        <f>Q26*'Demographic-Economic'!E$20</f>
        <v>2332095.1345319445</v>
      </c>
      <c r="R27" s="61">
        <f>R26*'Demographic-Economic'!F$20</f>
        <v>499795.05216200458</v>
      </c>
      <c r="S27" s="61">
        <f>S26*'Demographic-Economic'!G$20</f>
        <v>580675.09719671845</v>
      </c>
      <c r="T27" s="61">
        <f>T26*'Demographic-Economic'!H$20</f>
        <v>142584.69588572782</v>
      </c>
      <c r="W27">
        <v>2023</v>
      </c>
      <c r="X27" t="s">
        <v>240</v>
      </c>
      <c r="Y27" t="s">
        <v>240</v>
      </c>
      <c r="Z27" s="61">
        <f>Z26*'Demographic-Economic'!E$20</f>
        <v>2332095.1345319445</v>
      </c>
      <c r="AA27" s="61">
        <f>AA26*'Demographic-Economic'!F$20</f>
        <v>499795.05216200458</v>
      </c>
      <c r="AB27" s="61">
        <f>AB26*'Demographic-Economic'!G$20</f>
        <v>580675.09719671845</v>
      </c>
      <c r="AC27" s="61">
        <f>AC26*'Demographic-Economic'!H$20</f>
        <v>142584.69588572782</v>
      </c>
      <c r="AG27">
        <v>2023</v>
      </c>
      <c r="AH27" t="s">
        <v>240</v>
      </c>
      <c r="AI27" t="s">
        <v>240</v>
      </c>
      <c r="AJ27" s="61">
        <f>AJ26*'Demographic-Economic'!E$20</f>
        <v>2332095.1345319445</v>
      </c>
      <c r="AK27" s="61">
        <f>AK26*'Demographic-Economic'!F$20</f>
        <v>499795.05216200458</v>
      </c>
      <c r="AL27" s="61">
        <f>AL26*'Demographic-Economic'!G$20</f>
        <v>580675.09719671845</v>
      </c>
      <c r="AM27" s="61">
        <f>AM26*'Demographic-Economic'!H$20</f>
        <v>142584.69588572782</v>
      </c>
    </row>
    <row r="28" spans="5:39">
      <c r="E28">
        <v>2024</v>
      </c>
      <c r="F28" s="322" t="s">
        <v>240</v>
      </c>
      <c r="G28" s="322" t="s">
        <v>240</v>
      </c>
      <c r="H28" s="61">
        <f>H27*('Demographic-Economic'!E$20)</f>
        <v>2373367.0130856642</v>
      </c>
      <c r="I28" s="61">
        <f>I27*('Demographic-Economic'!F$20)</f>
        <v>500882.11455342488</v>
      </c>
      <c r="J28" s="61">
        <f>J27*('Demographic-Economic'!G$20)</f>
        <v>585446.82579957182</v>
      </c>
      <c r="K28" s="61">
        <f>K27*('Demographic-Economic'!H$20)</f>
        <v>145034.77834824607</v>
      </c>
      <c r="N28">
        <v>2024</v>
      </c>
      <c r="O28" t="s">
        <v>240</v>
      </c>
      <c r="P28" t="s">
        <v>240</v>
      </c>
      <c r="Q28" s="61">
        <f>Q27*'Demographic-Economic'!E$20</f>
        <v>2373367.0130856642</v>
      </c>
      <c r="R28" s="61">
        <f>R27*'Demographic-Economic'!F$20</f>
        <v>500882.11455342488</v>
      </c>
      <c r="S28" s="61">
        <f>S27*'Demographic-Economic'!G$20</f>
        <v>585446.82579957182</v>
      </c>
      <c r="T28" s="61">
        <f>T27*'Demographic-Economic'!H$20</f>
        <v>145034.77834824607</v>
      </c>
      <c r="W28">
        <v>2024</v>
      </c>
      <c r="X28" t="s">
        <v>240</v>
      </c>
      <c r="Y28" t="s">
        <v>240</v>
      </c>
      <c r="Z28" s="61">
        <f>Z27*'Demographic-Economic'!E$20</f>
        <v>2373367.0130856642</v>
      </c>
      <c r="AA28" s="61">
        <f>AA27*'Demographic-Economic'!F$20</f>
        <v>500882.11455342488</v>
      </c>
      <c r="AB28" s="61">
        <f>AB27*'Demographic-Economic'!G$20</f>
        <v>585446.82579957182</v>
      </c>
      <c r="AC28" s="61">
        <f>AC27*'Demographic-Economic'!H$20</f>
        <v>145034.77834824607</v>
      </c>
      <c r="AG28">
        <v>2024</v>
      </c>
      <c r="AH28" t="s">
        <v>240</v>
      </c>
      <c r="AI28" t="s">
        <v>240</v>
      </c>
      <c r="AJ28" s="61">
        <f>AJ27*'Demographic-Economic'!E$20</f>
        <v>2373367.0130856642</v>
      </c>
      <c r="AK28" s="61">
        <f>AK27*'Demographic-Economic'!F$20</f>
        <v>500882.11455342488</v>
      </c>
      <c r="AL28" s="61">
        <f>AL27*'Demographic-Economic'!G$20</f>
        <v>585446.82579957182</v>
      </c>
      <c r="AM28" s="61">
        <f>AM27*'Demographic-Economic'!H$20</f>
        <v>145034.77834824607</v>
      </c>
    </row>
    <row r="29" spans="5:39">
      <c r="E29">
        <v>2025</v>
      </c>
      <c r="F29" s="322" t="s">
        <v>240</v>
      </c>
      <c r="G29" s="322" t="s">
        <v>240</v>
      </c>
      <c r="H29" s="61">
        <f>H28*('Demographic-Economic'!E$20)</f>
        <v>2415369.2940719994</v>
      </c>
      <c r="I29" s="61">
        <f>I28*('Demographic-Economic'!F$20)</f>
        <v>501971.54132327938</v>
      </c>
      <c r="J29" s="61">
        <f>J28*('Demographic-Economic'!G$20)</f>
        <v>590257.76633689459</v>
      </c>
      <c r="K29" s="61">
        <f>K28*('Demographic-Economic'!H$20)</f>
        <v>147526.96143058085</v>
      </c>
      <c r="N29">
        <v>2025</v>
      </c>
      <c r="O29" t="s">
        <v>240</v>
      </c>
      <c r="P29" t="s">
        <v>240</v>
      </c>
      <c r="Q29" s="61">
        <f>Q28*'Demographic-Economic'!E$20</f>
        <v>2415369.2940719994</v>
      </c>
      <c r="R29" s="61">
        <f>R28*'Demographic-Economic'!F$20</f>
        <v>501971.54132327938</v>
      </c>
      <c r="S29" s="61">
        <f>S28*'Demographic-Economic'!G$20</f>
        <v>590257.76633689459</v>
      </c>
      <c r="T29" s="61">
        <f>T28*'Demographic-Economic'!H$20</f>
        <v>147526.96143058085</v>
      </c>
      <c r="W29">
        <v>2025</v>
      </c>
      <c r="X29" t="s">
        <v>240</v>
      </c>
      <c r="Y29" t="s">
        <v>240</v>
      </c>
      <c r="Z29" s="61">
        <f>Z28*'Demographic-Economic'!E$20</f>
        <v>2415369.2940719994</v>
      </c>
      <c r="AA29" s="61">
        <f>AA28*'Demographic-Economic'!F$20</f>
        <v>501971.54132327938</v>
      </c>
      <c r="AB29" s="61">
        <f>AB28*'Demographic-Economic'!G$20</f>
        <v>590257.76633689459</v>
      </c>
      <c r="AC29" s="61">
        <f>AC28*'Demographic-Economic'!H$20</f>
        <v>147526.96143058085</v>
      </c>
      <c r="AG29">
        <v>2025</v>
      </c>
      <c r="AH29" t="s">
        <v>240</v>
      </c>
      <c r="AI29" t="s">
        <v>240</v>
      </c>
      <c r="AJ29" s="61">
        <f>AJ28*'Demographic-Economic'!E$20</f>
        <v>2415369.2940719994</v>
      </c>
      <c r="AK29" s="61">
        <f>AK28*'Demographic-Economic'!F$20</f>
        <v>501971.54132327938</v>
      </c>
      <c r="AL29" s="61">
        <f>AL28*'Demographic-Economic'!G$20</f>
        <v>590257.76633689459</v>
      </c>
      <c r="AM29" s="61">
        <f>AM28*'Demographic-Economic'!H$20</f>
        <v>147526.96143058085</v>
      </c>
    </row>
    <row r="30" spans="5:39">
      <c r="E30">
        <v>2026</v>
      </c>
      <c r="F30" s="322" t="s">
        <v>240</v>
      </c>
      <c r="G30" s="322" t="s">
        <v>240</v>
      </c>
      <c r="H30" s="61">
        <f>H29*('Demographic-Economic'!E$20)</f>
        <v>2458114.9036705247</v>
      </c>
      <c r="I30" s="61">
        <f>I29*('Demographic-Economic'!F$20)</f>
        <v>503063.3376141297</v>
      </c>
      <c r="J30" s="61">
        <f>J29*('Demographic-Economic'!G$20)</f>
        <v>595108.24103485106</v>
      </c>
      <c r="K30" s="61">
        <f>K29*('Demographic-Economic'!H$20)</f>
        <v>150061.96856233751</v>
      </c>
      <c r="N30">
        <v>2026</v>
      </c>
      <c r="O30" t="s">
        <v>240</v>
      </c>
      <c r="P30" t="s">
        <v>240</v>
      </c>
      <c r="Q30" s="61">
        <f>Q29*'Demographic-Economic'!E$20</f>
        <v>2458114.9036705247</v>
      </c>
      <c r="R30" s="61">
        <f>R29*'Demographic-Economic'!F$20</f>
        <v>503063.3376141297</v>
      </c>
      <c r="S30" s="61">
        <f>S29*'Demographic-Economic'!G$20</f>
        <v>595108.24103485106</v>
      </c>
      <c r="T30" s="61">
        <f>T29*'Demographic-Economic'!H$20</f>
        <v>150061.96856233751</v>
      </c>
      <c r="W30">
        <v>2026</v>
      </c>
      <c r="X30" t="s">
        <v>240</v>
      </c>
      <c r="Y30" t="s">
        <v>240</v>
      </c>
      <c r="Z30" s="61">
        <f>Z29*'Demographic-Economic'!E$20</f>
        <v>2458114.9036705247</v>
      </c>
      <c r="AA30" s="61">
        <f>AA29*'Demographic-Economic'!F$20</f>
        <v>503063.3376141297</v>
      </c>
      <c r="AB30" s="61">
        <f>AB29*'Demographic-Economic'!G$20</f>
        <v>595108.24103485106</v>
      </c>
      <c r="AC30" s="61">
        <f>AC29*'Demographic-Economic'!H$20</f>
        <v>150061.96856233751</v>
      </c>
      <c r="AG30">
        <v>2026</v>
      </c>
      <c r="AH30" t="s">
        <v>240</v>
      </c>
      <c r="AI30" t="s">
        <v>240</v>
      </c>
      <c r="AJ30" s="61">
        <f>AJ29*'Demographic-Economic'!E$20</f>
        <v>2458114.9036705247</v>
      </c>
      <c r="AK30" s="61">
        <f>AK29*'Demographic-Economic'!F$20</f>
        <v>503063.3376141297</v>
      </c>
      <c r="AL30" s="61">
        <f>AL29*'Demographic-Economic'!G$20</f>
        <v>595108.24103485106</v>
      </c>
      <c r="AM30" s="61">
        <f>AM29*'Demographic-Economic'!H$20</f>
        <v>150061.96856233751</v>
      </c>
    </row>
    <row r="31" spans="5:39">
      <c r="E31">
        <v>2027</v>
      </c>
      <c r="F31" s="322" t="s">
        <v>240</v>
      </c>
      <c r="G31" s="322" t="s">
        <v>240</v>
      </c>
      <c r="H31" s="61">
        <f>H30*('Demographic-Economic'!E$20)</f>
        <v>2501616.9968197993</v>
      </c>
      <c r="I31" s="61">
        <f>I30*('Demographic-Economic'!F$20)</f>
        <v>504157.50857972272</v>
      </c>
      <c r="J31" s="61">
        <f>J30*('Demographic-Economic'!G$20)</f>
        <v>599998.57476751623</v>
      </c>
      <c r="K31" s="61">
        <f>K30*('Demographic-Economic'!H$20)</f>
        <v>152640.53560406412</v>
      </c>
      <c r="N31">
        <v>2027</v>
      </c>
      <c r="O31" t="s">
        <v>240</v>
      </c>
      <c r="P31" t="s">
        <v>240</v>
      </c>
      <c r="Q31" s="61">
        <f>Q30*'Demographic-Economic'!E$20</f>
        <v>2501616.9968197993</v>
      </c>
      <c r="R31" s="61">
        <f>R30*'Demographic-Economic'!F$20</f>
        <v>504157.50857972272</v>
      </c>
      <c r="S31" s="61">
        <f>S30*'Demographic-Economic'!G$20</f>
        <v>599998.57476751623</v>
      </c>
      <c r="T31" s="61">
        <f>T30*'Demographic-Economic'!H$20</f>
        <v>152640.53560406412</v>
      </c>
      <c r="W31">
        <v>2027</v>
      </c>
      <c r="X31" t="s">
        <v>240</v>
      </c>
      <c r="Y31" t="s">
        <v>240</v>
      </c>
      <c r="Z31" s="61">
        <f>Z30*'Demographic-Economic'!E$20</f>
        <v>2501616.9968197993</v>
      </c>
      <c r="AA31" s="61">
        <f>AA30*'Demographic-Economic'!F$20</f>
        <v>504157.50857972272</v>
      </c>
      <c r="AB31" s="61">
        <f>AB30*'Demographic-Economic'!G$20</f>
        <v>599998.57476751623</v>
      </c>
      <c r="AC31" s="61">
        <f>AC30*'Demographic-Economic'!H$20</f>
        <v>152640.53560406412</v>
      </c>
      <c r="AG31">
        <v>2027</v>
      </c>
      <c r="AH31" t="s">
        <v>240</v>
      </c>
      <c r="AI31" t="s">
        <v>240</v>
      </c>
      <c r="AJ31" s="61">
        <f>AJ30*'Demographic-Economic'!E$20</f>
        <v>2501616.9968197993</v>
      </c>
      <c r="AK31" s="61">
        <f>AK30*'Demographic-Economic'!F$20</f>
        <v>504157.50857972272</v>
      </c>
      <c r="AL31" s="61">
        <f>AL30*'Demographic-Economic'!G$20</f>
        <v>599998.57476751623</v>
      </c>
      <c r="AM31" s="61">
        <f>AM30*'Demographic-Economic'!H$20</f>
        <v>152640.53560406412</v>
      </c>
    </row>
    <row r="32" spans="5:39">
      <c r="E32">
        <v>2028</v>
      </c>
      <c r="F32" s="322" t="s">
        <v>240</v>
      </c>
      <c r="G32" s="322" t="s">
        <v>240</v>
      </c>
      <c r="H32" s="61">
        <f>H31*('Demographic-Economic'!E$20)</f>
        <v>2545888.9612657907</v>
      </c>
      <c r="I32" s="61">
        <f>I31*('Demographic-Economic'!F$20)</f>
        <v>505254.0593850147</v>
      </c>
      <c r="J32" s="61">
        <f>J31*('Demographic-Economic'!G$20)</f>
        <v>604929.09507863526</v>
      </c>
      <c r="K32" s="61">
        <f>K31*('Demographic-Economic'!H$20)</f>
        <v>155263.41106085671</v>
      </c>
      <c r="N32">
        <v>2028</v>
      </c>
      <c r="O32" t="s">
        <v>240</v>
      </c>
      <c r="P32" t="s">
        <v>240</v>
      </c>
      <c r="Q32" s="61">
        <f>Q31*'Demographic-Economic'!E$20</f>
        <v>2545888.9612657907</v>
      </c>
      <c r="R32" s="61">
        <f>R31*'Demographic-Economic'!F$20</f>
        <v>505254.0593850147</v>
      </c>
      <c r="S32" s="61">
        <f>S31*'Demographic-Economic'!G$20</f>
        <v>604929.09507863526</v>
      </c>
      <c r="T32" s="61">
        <f>T31*'Demographic-Economic'!H$20</f>
        <v>155263.41106085671</v>
      </c>
      <c r="W32">
        <v>2028</v>
      </c>
      <c r="X32" t="s">
        <v>240</v>
      </c>
      <c r="Y32" t="s">
        <v>240</v>
      </c>
      <c r="Z32" s="61">
        <f>Z31*'Demographic-Economic'!E$20</f>
        <v>2545888.9612657907</v>
      </c>
      <c r="AA32" s="61">
        <f>AA31*'Demographic-Economic'!F$20</f>
        <v>505254.0593850147</v>
      </c>
      <c r="AB32" s="61">
        <f>AB31*'Demographic-Economic'!G$20</f>
        <v>604929.09507863526</v>
      </c>
      <c r="AC32" s="61">
        <f>AC31*'Demographic-Economic'!H$20</f>
        <v>155263.41106085671</v>
      </c>
      <c r="AG32">
        <v>2028</v>
      </c>
      <c r="AH32" t="s">
        <v>240</v>
      </c>
      <c r="AI32" t="s">
        <v>240</v>
      </c>
      <c r="AJ32" s="61">
        <f>AJ31*'Demographic-Economic'!E$20</f>
        <v>2545888.9612657907</v>
      </c>
      <c r="AK32" s="61">
        <f>AK31*'Demographic-Economic'!F$20</f>
        <v>505254.0593850147</v>
      </c>
      <c r="AL32" s="61">
        <f>AL31*'Demographic-Economic'!G$20</f>
        <v>604929.09507863526</v>
      </c>
      <c r="AM32" s="61">
        <f>AM31*'Demographic-Economic'!H$20</f>
        <v>155263.41106085671</v>
      </c>
    </row>
    <row r="33" spans="5:39">
      <c r="E33">
        <v>2029</v>
      </c>
      <c r="F33" s="322" t="s">
        <v>240</v>
      </c>
      <c r="G33" s="322" t="s">
        <v>240</v>
      </c>
      <c r="H33" s="61">
        <f>H32*('Demographic-Economic'!E$20)</f>
        <v>2590944.421681948</v>
      </c>
      <c r="I33" s="61">
        <f>I32*('Demographic-Economic'!F$20)</f>
        <v>506352.9952061958</v>
      </c>
      <c r="J33" s="61">
        <f>J32*('Demographic-Economic'!G$20)</f>
        <v>609900.13220356137</v>
      </c>
      <c r="K33" s="61">
        <f>K32*('Demographic-Economic'!H$20)</f>
        <v>157931.35629963494</v>
      </c>
      <c r="N33">
        <v>2029</v>
      </c>
      <c r="O33" t="s">
        <v>240</v>
      </c>
      <c r="P33" t="s">
        <v>240</v>
      </c>
      <c r="Q33" s="61">
        <f>Q32*'Demographic-Economic'!E$20</f>
        <v>2590944.421681948</v>
      </c>
      <c r="R33" s="61">
        <f>R32*'Demographic-Economic'!F$20</f>
        <v>506352.9952061958</v>
      </c>
      <c r="S33" s="61">
        <f>S32*'Demographic-Economic'!G$20</f>
        <v>609900.13220356137</v>
      </c>
      <c r="T33" s="61">
        <f>T32*'Demographic-Economic'!H$20</f>
        <v>157931.35629963494</v>
      </c>
      <c r="W33">
        <v>2029</v>
      </c>
      <c r="X33" t="s">
        <v>240</v>
      </c>
      <c r="Y33" t="s">
        <v>240</v>
      </c>
      <c r="Z33" s="61">
        <f>Z32*'Demographic-Economic'!E$20</f>
        <v>2590944.421681948</v>
      </c>
      <c r="AA33" s="61">
        <f>AA32*'Demographic-Economic'!F$20</f>
        <v>506352.9952061958</v>
      </c>
      <c r="AB33" s="61">
        <f>AB32*'Demographic-Economic'!G$20</f>
        <v>609900.13220356137</v>
      </c>
      <c r="AC33" s="61">
        <f>AC32*'Demographic-Economic'!H$20</f>
        <v>157931.35629963494</v>
      </c>
      <c r="AG33">
        <v>2029</v>
      </c>
      <c r="AH33" t="s">
        <v>240</v>
      </c>
      <c r="AI33" t="s">
        <v>240</v>
      </c>
      <c r="AJ33" s="61">
        <f>AJ32*'Demographic-Economic'!E$20</f>
        <v>2590944.421681948</v>
      </c>
      <c r="AK33" s="61">
        <f>AK32*'Demographic-Economic'!F$20</f>
        <v>506352.9952061958</v>
      </c>
      <c r="AL33" s="61">
        <f>AL32*'Demographic-Economic'!G$20</f>
        <v>609900.13220356137</v>
      </c>
      <c r="AM33" s="61">
        <f>AM32*'Demographic-Economic'!H$20</f>
        <v>157931.35629963494</v>
      </c>
    </row>
    <row r="34" spans="5:39">
      <c r="E34">
        <v>2030</v>
      </c>
      <c r="F34" s="322" t="s">
        <v>240</v>
      </c>
      <c r="G34" s="322" t="s">
        <v>240</v>
      </c>
      <c r="H34" s="61">
        <f>H33*('Demographic-Economic'!E$20)</f>
        <v>2636797.2438621875</v>
      </c>
      <c r="I34" s="61">
        <f>I33*('Demographic-Economic'!F$20)</f>
        <v>507454.3212307145</v>
      </c>
      <c r="J34" s="61">
        <f>J33*('Demographic-Economic'!G$20)</f>
        <v>614912.01909137436</v>
      </c>
      <c r="K34" s="61">
        <f>K33*('Demographic-Economic'!H$20)</f>
        <v>160645.14577015123</v>
      </c>
      <c r="N34">
        <v>2030</v>
      </c>
      <c r="O34" t="s">
        <v>240</v>
      </c>
      <c r="P34" t="s">
        <v>240</v>
      </c>
      <c r="Q34" s="61">
        <f>Q33*'Demographic-Economic'!E$20</f>
        <v>2636797.2438621875</v>
      </c>
      <c r="R34" s="61">
        <f>R33*'Demographic-Economic'!F$20</f>
        <v>507454.3212307145</v>
      </c>
      <c r="S34" s="61">
        <f>S33*'Demographic-Economic'!G$20</f>
        <v>614912.01909137436</v>
      </c>
      <c r="T34" s="61">
        <f>T33*'Demographic-Economic'!H$20</f>
        <v>160645.14577015123</v>
      </c>
      <c r="W34">
        <v>2030</v>
      </c>
      <c r="X34" t="s">
        <v>240</v>
      </c>
      <c r="Y34" t="s">
        <v>240</v>
      </c>
      <c r="Z34" s="61">
        <f>Z33*'Demographic-Economic'!E$20</f>
        <v>2636797.2438621875</v>
      </c>
      <c r="AA34" s="61">
        <f>AA33*'Demographic-Economic'!F$20</f>
        <v>507454.3212307145</v>
      </c>
      <c r="AB34" s="61">
        <f>AB33*'Demographic-Economic'!G$20</f>
        <v>614912.01909137436</v>
      </c>
      <c r="AC34" s="61">
        <f>AC33*'Demographic-Economic'!H$20</f>
        <v>160645.14577015123</v>
      </c>
      <c r="AG34">
        <v>2030</v>
      </c>
      <c r="AH34" t="s">
        <v>240</v>
      </c>
      <c r="AI34" t="s">
        <v>240</v>
      </c>
      <c r="AJ34" s="61">
        <f>AJ33*'Demographic-Economic'!E$20</f>
        <v>2636797.2438621875</v>
      </c>
      <c r="AK34" s="61">
        <f>AK33*'Demographic-Economic'!F$20</f>
        <v>507454.3212307145</v>
      </c>
      <c r="AL34" s="61">
        <f>AL33*'Demographic-Economic'!G$20</f>
        <v>614912.01909137436</v>
      </c>
      <c r="AM34" s="61">
        <f>AM33*'Demographic-Economic'!H$20</f>
        <v>160645.14577015123</v>
      </c>
    </row>
    <row r="35" spans="5:39">
      <c r="E35">
        <v>2040</v>
      </c>
      <c r="F35" s="322" t="s">
        <v>240</v>
      </c>
      <c r="G35" s="322" t="s">
        <v>240</v>
      </c>
      <c r="H35" s="61">
        <f>H34*('Demographic-Economic'!E$20)^10</f>
        <v>3142412.0128392149</v>
      </c>
      <c r="I35" s="61">
        <f>I34*('Demographic-Economic'!F$20)^10</f>
        <v>518600.1919969974</v>
      </c>
      <c r="J35" s="61">
        <f>J34*('Demographic-Economic'!G$20)^10</f>
        <v>667352.85924091854</v>
      </c>
      <c r="K35" s="61">
        <f>K34*('Demographic-Economic'!H$20)^10</f>
        <v>190484.66828692899</v>
      </c>
      <c r="N35">
        <v>2040</v>
      </c>
      <c r="O35" t="s">
        <v>240</v>
      </c>
      <c r="P35" t="s">
        <v>240</v>
      </c>
      <c r="Q35" s="61">
        <f>Q34*'Demographic-Economic'!E$20^10</f>
        <v>3142412.0128392149</v>
      </c>
      <c r="R35" s="61">
        <f>R34*'Demographic-Economic'!F$20^10</f>
        <v>518600.1919969974</v>
      </c>
      <c r="S35" s="61">
        <f>S34*'Demographic-Economic'!G$20^10</f>
        <v>667352.85924091854</v>
      </c>
      <c r="T35" s="61">
        <f>T34*'Demographic-Economic'!H$20^10</f>
        <v>190484.66828692899</v>
      </c>
      <c r="W35">
        <v>2040</v>
      </c>
      <c r="X35" t="s">
        <v>240</v>
      </c>
      <c r="Y35" t="s">
        <v>240</v>
      </c>
      <c r="Z35" s="61">
        <f>Z34*'Demographic-Economic'!E$20^10</f>
        <v>3142412.0128392149</v>
      </c>
      <c r="AA35" s="61">
        <f>AA34*'Demographic-Economic'!F$20^10</f>
        <v>518600.1919969974</v>
      </c>
      <c r="AB35" s="61">
        <f>AB34*'Demographic-Economic'!G$20^10</f>
        <v>667352.85924091854</v>
      </c>
      <c r="AC35" s="61">
        <f>AC34*'Demographic-Economic'!H$20^10</f>
        <v>190484.66828692899</v>
      </c>
      <c r="AG35">
        <v>2040</v>
      </c>
      <c r="AH35" t="s">
        <v>240</v>
      </c>
      <c r="AI35" t="s">
        <v>240</v>
      </c>
      <c r="AJ35" s="61">
        <f>AJ34*'Demographic-Economic'!E$20^10</f>
        <v>3142412.0128392149</v>
      </c>
      <c r="AK35" s="61">
        <f>AK34*'Demographic-Economic'!F$20^10</f>
        <v>518600.1919969974</v>
      </c>
      <c r="AL35" s="61">
        <f>AL34*'Demographic-Economic'!G$20^10</f>
        <v>667352.85924091854</v>
      </c>
      <c r="AM35" s="61">
        <f>AM34*'Demographic-Economic'!H$20^10</f>
        <v>190484.66828692899</v>
      </c>
    </row>
    <row r="36" spans="5:39">
      <c r="E36">
        <v>2050</v>
      </c>
      <c r="F36" s="322" t="s">
        <v>240</v>
      </c>
      <c r="G36" s="322" t="s">
        <v>240</v>
      </c>
      <c r="H36" s="61">
        <f>H35*('Demographic-Economic'!E$20)^10</f>
        <v>3744980.1198868025</v>
      </c>
      <c r="I36" s="61">
        <f>I35*('Demographic-Economic'!F$20)^10</f>
        <v>529990.87383285083</v>
      </c>
      <c r="J36" s="61">
        <f>J35*('Demographic-Economic'!G$20)^10</f>
        <v>724265.95172934793</v>
      </c>
      <c r="K36" s="61">
        <f>K35*('Demographic-Economic'!H$20)^10</f>
        <v>225866.82391447164</v>
      </c>
      <c r="N36">
        <v>2050</v>
      </c>
      <c r="O36" t="s">
        <v>240</v>
      </c>
      <c r="P36" t="s">
        <v>240</v>
      </c>
      <c r="Q36" s="61">
        <f>Q35*'Demographic-Economic'!E$20^10</f>
        <v>3744980.1198868025</v>
      </c>
      <c r="R36" s="61">
        <f>R35*'Demographic-Economic'!F$20^10</f>
        <v>529990.87383285083</v>
      </c>
      <c r="S36" s="61">
        <f>S35*'Demographic-Economic'!G$20^10</f>
        <v>724265.95172934793</v>
      </c>
      <c r="T36" s="61">
        <f>T35*'Demographic-Economic'!H$20^10</f>
        <v>225866.82391447164</v>
      </c>
      <c r="W36">
        <v>2050</v>
      </c>
      <c r="X36" t="s">
        <v>240</v>
      </c>
      <c r="Y36" t="s">
        <v>240</v>
      </c>
      <c r="Z36" s="61">
        <f>Z35*'Demographic-Economic'!E$20^10</f>
        <v>3744980.1198868025</v>
      </c>
      <c r="AA36" s="61">
        <f>AA35*'Demographic-Economic'!F$20^10</f>
        <v>529990.87383285083</v>
      </c>
      <c r="AB36" s="61">
        <f>AB35*'Demographic-Economic'!G$20^10</f>
        <v>724265.95172934793</v>
      </c>
      <c r="AC36" s="61">
        <f>AC35*'Demographic-Economic'!H$20^10</f>
        <v>225866.82391447164</v>
      </c>
      <c r="AG36">
        <v>2050</v>
      </c>
      <c r="AH36" t="s">
        <v>240</v>
      </c>
      <c r="AI36" t="s">
        <v>240</v>
      </c>
      <c r="AJ36" s="61">
        <f>AJ35*'Demographic-Economic'!E$20^10</f>
        <v>3744980.1198868025</v>
      </c>
      <c r="AK36" s="61">
        <f>AK35*'Demographic-Economic'!F$20^10</f>
        <v>529990.87383285083</v>
      </c>
      <c r="AL36" s="61">
        <f>AL35*'Demographic-Economic'!G$20^10</f>
        <v>724265.95172934793</v>
      </c>
      <c r="AM36" s="61">
        <f>AM35*'Demographic-Economic'!H$20^10</f>
        <v>225866.82391447164</v>
      </c>
    </row>
    <row r="37" spans="5:39">
      <c r="E37">
        <v>2060</v>
      </c>
      <c r="F37" s="322" t="s">
        <v>240</v>
      </c>
      <c r="G37" s="322" t="s">
        <v>240</v>
      </c>
      <c r="H37" s="61">
        <f>H36*('Demographic-Economic'!E$20)^10</f>
        <v>4463092.6947340975</v>
      </c>
      <c r="I37" s="61">
        <f>I36*('Demographic-Economic'!F$20)^10</f>
        <v>541631.74383810314</v>
      </c>
      <c r="J37" s="61">
        <f>J36*('Demographic-Economic'!G$20)^10</f>
        <v>786032.69855033059</v>
      </c>
      <c r="K37" s="61">
        <f>K36*('Demographic-Economic'!H$20)^10</f>
        <v>267821.14594317524</v>
      </c>
      <c r="N37">
        <v>2060</v>
      </c>
      <c r="O37" t="s">
        <v>240</v>
      </c>
      <c r="P37" t="s">
        <v>240</v>
      </c>
      <c r="Q37" s="61">
        <f>Q36*'Demographic-Economic'!E$20^10</f>
        <v>4463092.6947340975</v>
      </c>
      <c r="R37" s="61">
        <f>R36*'Demographic-Economic'!F$20^10</f>
        <v>541631.74383810314</v>
      </c>
      <c r="S37" s="61">
        <f>S36*'Demographic-Economic'!G$20^10</f>
        <v>786032.69855033059</v>
      </c>
      <c r="T37" s="61">
        <f>T36*'Demographic-Economic'!H$20^10</f>
        <v>267821.14594317524</v>
      </c>
      <c r="W37">
        <v>2060</v>
      </c>
      <c r="X37" t="s">
        <v>240</v>
      </c>
      <c r="Y37" t="s">
        <v>240</v>
      </c>
      <c r="Z37" s="61">
        <f>Z36*'Demographic-Economic'!E$20^10</f>
        <v>4463092.6947340975</v>
      </c>
      <c r="AA37" s="61">
        <f>AA36*'Demographic-Economic'!F$20^10</f>
        <v>541631.74383810314</v>
      </c>
      <c r="AB37" s="61">
        <f>AB36*'Demographic-Economic'!G$20^10</f>
        <v>786032.69855033059</v>
      </c>
      <c r="AC37" s="61">
        <f>AC36*'Demographic-Economic'!H$20^10</f>
        <v>267821.14594317524</v>
      </c>
      <c r="AG37">
        <v>2060</v>
      </c>
      <c r="AH37" t="s">
        <v>240</v>
      </c>
      <c r="AI37" t="s">
        <v>240</v>
      </c>
      <c r="AJ37" s="61">
        <f>AJ36*'Demographic-Economic'!E$20^10</f>
        <v>4463092.6947340975</v>
      </c>
      <c r="AK37" s="61">
        <f>AK36*'Demographic-Economic'!F$20^10</f>
        <v>541631.74383810314</v>
      </c>
      <c r="AL37" s="61">
        <f>AL36*'Demographic-Economic'!G$20^10</f>
        <v>786032.69855033059</v>
      </c>
      <c r="AM37" s="61">
        <f>AM36*'Demographic-Economic'!H$20^10</f>
        <v>267821.14594317524</v>
      </c>
    </row>
    <row r="38" spans="5:39">
      <c r="E38">
        <v>2070</v>
      </c>
      <c r="F38" s="322" t="s">
        <v>240</v>
      </c>
      <c r="G38" s="322" t="s">
        <v>240</v>
      </c>
      <c r="H38" s="61">
        <f>H37*('Demographic-Economic'!E$20)^10</f>
        <v>5318905.7789687151</v>
      </c>
      <c r="I38" s="61">
        <f>I37*('Demographic-Economic'!F$20)^10</f>
        <v>553528.29721672973</v>
      </c>
      <c r="J38" s="61">
        <f>J37*('Demographic-Economic'!G$20)^10</f>
        <v>853067.02836860577</v>
      </c>
      <c r="K38" s="61">
        <f>K37*('Demographic-Economic'!H$20)^10</f>
        <v>317568.4014642039</v>
      </c>
      <c r="N38">
        <v>2070</v>
      </c>
      <c r="O38" t="s">
        <v>240</v>
      </c>
      <c r="P38" t="s">
        <v>240</v>
      </c>
      <c r="Q38" s="61">
        <f>Q37*'Demographic-Economic'!E$20^10</f>
        <v>5318905.7789687151</v>
      </c>
      <c r="R38" s="61">
        <f>R37*'Demographic-Economic'!F$20^10</f>
        <v>553528.29721672973</v>
      </c>
      <c r="S38" s="61">
        <f>S37*'Demographic-Economic'!G$20^10</f>
        <v>853067.02836860577</v>
      </c>
      <c r="T38" s="61">
        <f>T37*'Demographic-Economic'!H$20^10</f>
        <v>317568.4014642039</v>
      </c>
      <c r="W38">
        <v>2070</v>
      </c>
      <c r="X38" t="s">
        <v>240</v>
      </c>
      <c r="Y38" t="s">
        <v>240</v>
      </c>
      <c r="Z38" s="61">
        <f>Z37*'Demographic-Economic'!E$20^10</f>
        <v>5318905.7789687151</v>
      </c>
      <c r="AA38" s="61">
        <f>AA37*'Demographic-Economic'!F$20^10</f>
        <v>553528.29721672973</v>
      </c>
      <c r="AB38" s="61">
        <f>AB37*'Demographic-Economic'!G$20^10</f>
        <v>853067.02836860577</v>
      </c>
      <c r="AC38" s="61">
        <f>AC37*'Demographic-Economic'!H$20^10</f>
        <v>317568.4014642039</v>
      </c>
      <c r="AG38">
        <v>2070</v>
      </c>
      <c r="AH38" t="s">
        <v>240</v>
      </c>
      <c r="AI38" t="s">
        <v>240</v>
      </c>
      <c r="AJ38" s="61">
        <f>AJ37*'Demographic-Economic'!E$20^10</f>
        <v>5318905.7789687151</v>
      </c>
      <c r="AK38" s="61">
        <f>AK37*'Demographic-Economic'!F$20^10</f>
        <v>553528.29721672973</v>
      </c>
      <c r="AL38" s="61">
        <f>AL37*'Demographic-Economic'!G$20^10</f>
        <v>853067.02836860577</v>
      </c>
      <c r="AM38" s="61">
        <f>AM37*'Demographic-Economic'!H$20^10</f>
        <v>317568.4014642039</v>
      </c>
    </row>
    <row r="39" spans="5:39">
      <c r="E39">
        <v>2080</v>
      </c>
      <c r="F39" s="322" t="s">
        <v>240</v>
      </c>
      <c r="G39" s="322" t="s">
        <v>240</v>
      </c>
      <c r="H39" s="61">
        <f>H38*('Demographic-Economic'!E$20)^10</f>
        <v>6338823.9099148503</v>
      </c>
      <c r="I39" s="61">
        <f>I38*('Demographic-Economic'!F$20)^10</f>
        <v>565686.14987092617</v>
      </c>
      <c r="J39" s="61">
        <f>J38*('Demographic-Economic'!G$20)^10</f>
        <v>925818.17045496183</v>
      </c>
      <c r="K39" s="61">
        <f>K38*('Demographic-Economic'!H$20)^10</f>
        <v>376556.11267501442</v>
      </c>
      <c r="N39">
        <v>2080</v>
      </c>
      <c r="O39" t="s">
        <v>240</v>
      </c>
      <c r="P39" t="s">
        <v>240</v>
      </c>
      <c r="Q39" s="61">
        <f>Q38*'Demographic-Economic'!E$20^10</f>
        <v>6338823.9099148503</v>
      </c>
      <c r="R39" s="61">
        <f>R38*'Demographic-Economic'!F$20^10</f>
        <v>565686.14987092617</v>
      </c>
      <c r="S39" s="61">
        <f>S38*'Demographic-Economic'!G$20^10</f>
        <v>925818.17045496183</v>
      </c>
      <c r="T39" s="61">
        <f>T38*'Demographic-Economic'!H$20^10</f>
        <v>376556.11267501442</v>
      </c>
      <c r="W39">
        <v>2080</v>
      </c>
      <c r="X39" t="s">
        <v>240</v>
      </c>
      <c r="Y39" t="s">
        <v>240</v>
      </c>
      <c r="Z39" s="61">
        <f>Z38*'Demographic-Economic'!E$20^10</f>
        <v>6338823.9099148503</v>
      </c>
      <c r="AA39" s="61">
        <f>AA38*'Demographic-Economic'!F$20^10</f>
        <v>565686.14987092617</v>
      </c>
      <c r="AB39" s="61">
        <f>AB38*'Demographic-Economic'!G$20^10</f>
        <v>925818.17045496183</v>
      </c>
      <c r="AC39" s="61">
        <f>AC38*'Demographic-Economic'!H$20^10</f>
        <v>376556.11267501442</v>
      </c>
      <c r="AG39">
        <v>2080</v>
      </c>
      <c r="AH39" t="s">
        <v>240</v>
      </c>
      <c r="AI39" t="s">
        <v>240</v>
      </c>
      <c r="AJ39" s="61">
        <f>AJ38*'Demographic-Economic'!E$20^10</f>
        <v>6338823.9099148503</v>
      </c>
      <c r="AK39" s="61">
        <f>AK38*'Demographic-Economic'!F$20^10</f>
        <v>565686.14987092617</v>
      </c>
      <c r="AL39" s="61">
        <f>AL38*'Demographic-Economic'!G$20^10</f>
        <v>925818.17045496183</v>
      </c>
      <c r="AM39" s="61">
        <f>AM38*'Demographic-Economic'!H$20^10</f>
        <v>376556.11267501442</v>
      </c>
    </row>
    <row r="40" spans="5:39">
      <c r="E40">
        <v>2090</v>
      </c>
      <c r="F40" s="322" t="s">
        <v>240</v>
      </c>
      <c r="G40" s="322" t="s">
        <v>240</v>
      </c>
      <c r="H40" s="61">
        <f>H39*('Demographic-Economic'!E$20)^10</f>
        <v>7554314.7840266572</v>
      </c>
      <c r="I40" s="61">
        <f>I39*('Demographic-Economic'!F$20)^10</f>
        <v>578111.04105215799</v>
      </c>
      <c r="J40" s="61">
        <f>J39*('Demographic-Economic'!G$20)^10</f>
        <v>1004773.6651875465</v>
      </c>
      <c r="K40" s="61">
        <f>K39*('Demographic-Economic'!H$20)^10</f>
        <v>446500.67619810445</v>
      </c>
      <c r="N40">
        <v>2090</v>
      </c>
      <c r="O40" t="s">
        <v>240</v>
      </c>
      <c r="P40" t="s">
        <v>240</v>
      </c>
      <c r="Q40" s="61">
        <f>Q39*'Demographic-Economic'!E$20^10</f>
        <v>7554314.7840266572</v>
      </c>
      <c r="R40" s="61">
        <f>R39*'Demographic-Economic'!F$20^10</f>
        <v>578111.04105215799</v>
      </c>
      <c r="S40" s="61">
        <f>S39*'Demographic-Economic'!G$20^10</f>
        <v>1004773.6651875465</v>
      </c>
      <c r="T40" s="61">
        <f>T39*'Demographic-Economic'!H$20^10</f>
        <v>446500.67619810445</v>
      </c>
      <c r="W40">
        <v>2090</v>
      </c>
      <c r="X40" t="s">
        <v>240</v>
      </c>
      <c r="Y40" t="s">
        <v>240</v>
      </c>
      <c r="Z40" s="61">
        <f>Z39*'Demographic-Economic'!E$20^10</f>
        <v>7554314.7840266572</v>
      </c>
      <c r="AA40" s="61">
        <f>AA39*'Demographic-Economic'!F$20^10</f>
        <v>578111.04105215799</v>
      </c>
      <c r="AB40" s="61">
        <f>AB39*'Demographic-Economic'!G$20^10</f>
        <v>1004773.6651875465</v>
      </c>
      <c r="AC40" s="61">
        <f>AC39*'Demographic-Economic'!H$20^10</f>
        <v>446500.67619810445</v>
      </c>
      <c r="AG40">
        <v>2090</v>
      </c>
      <c r="AH40" t="s">
        <v>240</v>
      </c>
      <c r="AI40" t="s">
        <v>240</v>
      </c>
      <c r="AJ40" s="61">
        <f>AJ39*'Demographic-Economic'!E$20^10</f>
        <v>7554314.7840266572</v>
      </c>
      <c r="AK40" s="61">
        <f>AK39*'Demographic-Economic'!F$20^10</f>
        <v>578111.04105215799</v>
      </c>
      <c r="AL40" s="61">
        <f>AL39*'Demographic-Economic'!G$20^10</f>
        <v>1004773.6651875465</v>
      </c>
      <c r="AM40" s="61">
        <f>AM39*'Demographic-Economic'!H$20^10</f>
        <v>446500.67619810445</v>
      </c>
    </row>
    <row r="41" spans="5:39">
      <c r="E41">
        <v>2100</v>
      </c>
      <c r="F41" s="322" t="s">
        <v>240</v>
      </c>
      <c r="G41" s="322" t="s">
        <v>240</v>
      </c>
      <c r="H41" s="61">
        <f>H40*('Demographic-Economic'!E$20)^10</f>
        <v>9002880.1347362734</v>
      </c>
      <c r="I41" s="61">
        <f>I40*('Demographic-Economic'!F$20)^10</f>
        <v>590808.8360704392</v>
      </c>
      <c r="J41" s="61">
        <f>J40*('Demographic-Economic'!G$20)^10</f>
        <v>1090462.6312943252</v>
      </c>
      <c r="K41" s="61">
        <f>K40*('Demographic-Economic'!H$20)^10</f>
        <v>529437.30598107167</v>
      </c>
      <c r="N41">
        <v>2100</v>
      </c>
      <c r="O41" t="s">
        <v>240</v>
      </c>
      <c r="P41" t="s">
        <v>240</v>
      </c>
      <c r="Q41" s="61">
        <f>Q40*'Demographic-Economic'!E$20^10</f>
        <v>9002880.1347362734</v>
      </c>
      <c r="R41" s="61">
        <f>R40*'Demographic-Economic'!F$20^10</f>
        <v>590808.8360704392</v>
      </c>
      <c r="S41" s="61">
        <f>S40*'Demographic-Economic'!G$20^10</f>
        <v>1090462.6312943252</v>
      </c>
      <c r="T41" s="61">
        <f>T40*'Demographic-Economic'!H$20^10</f>
        <v>529437.30598107167</v>
      </c>
      <c r="W41">
        <v>2100</v>
      </c>
      <c r="X41" t="s">
        <v>240</v>
      </c>
      <c r="Y41" t="s">
        <v>240</v>
      </c>
      <c r="Z41" s="61">
        <f>Z40*'Demographic-Economic'!E$20^10</f>
        <v>9002880.1347362734</v>
      </c>
      <c r="AA41" s="61">
        <f>AA40*'Demographic-Economic'!F$20^10</f>
        <v>590808.8360704392</v>
      </c>
      <c r="AB41" s="61">
        <f>AB40*'Demographic-Economic'!G$20^10</f>
        <v>1090462.6312943252</v>
      </c>
      <c r="AC41" s="61">
        <f>AC40*'Demographic-Economic'!H$20^10</f>
        <v>529437.30598107167</v>
      </c>
      <c r="AG41">
        <v>2100</v>
      </c>
      <c r="AH41" t="s">
        <v>240</v>
      </c>
      <c r="AI41" t="s">
        <v>240</v>
      </c>
      <c r="AJ41" s="61">
        <f>AJ40*'Demographic-Economic'!E$20^10</f>
        <v>9002880.1347362734</v>
      </c>
      <c r="AK41" s="61">
        <f>AK40*'Demographic-Economic'!F$20^10</f>
        <v>590808.8360704392</v>
      </c>
      <c r="AL41" s="61">
        <f>AL40*'Demographic-Economic'!G$20^10</f>
        <v>1090462.6312943252</v>
      </c>
      <c r="AM41" s="61">
        <f>AM40*'Demographic-Economic'!H$20^10</f>
        <v>529437.30598107167</v>
      </c>
    </row>
    <row r="42" spans="5:39">
      <c r="F42" s="581" t="s">
        <v>241</v>
      </c>
      <c r="G42" s="581"/>
      <c r="H42" s="581"/>
      <c r="I42" s="581"/>
      <c r="J42" s="581"/>
      <c r="K42" s="581"/>
      <c r="O42" s="581" t="s">
        <v>241</v>
      </c>
      <c r="P42" s="581"/>
      <c r="Q42" s="581"/>
      <c r="R42" s="581"/>
      <c r="S42" s="581"/>
      <c r="T42" s="581"/>
      <c r="X42" s="581" t="s">
        <v>241</v>
      </c>
      <c r="Y42" s="581"/>
      <c r="Z42" s="581"/>
      <c r="AA42" s="581"/>
      <c r="AB42" s="581"/>
      <c r="AC42" s="581"/>
      <c r="AH42" s="581" t="s">
        <v>241</v>
      </c>
      <c r="AI42" s="581"/>
      <c r="AJ42" s="581"/>
      <c r="AK42" s="581"/>
      <c r="AL42" s="581"/>
      <c r="AM42" s="581"/>
    </row>
    <row r="43" spans="5:39">
      <c r="E43">
        <v>2020</v>
      </c>
      <c r="F43" s="61">
        <f>'Demographic-Economic'!C11</f>
        <v>5414700</v>
      </c>
      <c r="G43" s="61">
        <f>G5/'Demographic-Economic'!D$29</f>
        <v>1691706.0240963853</v>
      </c>
      <c r="H43" s="61">
        <f>H5/'Demographic-Economic'!E$29</f>
        <v>2021766.8016194331</v>
      </c>
      <c r="I43" s="61">
        <f>I5/'Demographic-Economic'!F$29</f>
        <v>404270.4</v>
      </c>
      <c r="J43" s="61">
        <f>J5/'Demographic-Economic'!G$29</f>
        <v>506668.79999999999</v>
      </c>
      <c r="K43" s="61">
        <f>K5/'Demographic-Economic'!H$29</f>
        <v>116182.64150943396</v>
      </c>
      <c r="N43">
        <v>2020</v>
      </c>
      <c r="O43" s="61">
        <f>O5/'Demographic-Economic'!C$29</f>
        <v>2473101.1764705884</v>
      </c>
      <c r="P43" s="61">
        <f>P5/'Demographic-Economic'!D$29</f>
        <v>1691706.0240963853</v>
      </c>
      <c r="Q43" s="61">
        <f>Q5/'Demographic-Economic'!E$29</f>
        <v>2021766.8016194331</v>
      </c>
      <c r="R43" s="61">
        <f>R5/'Demographic-Economic'!F$29</f>
        <v>404270.4</v>
      </c>
      <c r="S43" s="61">
        <f>S5/'Demographic-Economic'!G$29</f>
        <v>506668.79999999999</v>
      </c>
      <c r="T43" s="61">
        <f>T5/'Demographic-Economic'!H$29</f>
        <v>116182.64150943396</v>
      </c>
      <c r="W43">
        <v>2020</v>
      </c>
      <c r="X43" s="61">
        <f>X5/'Demographic-Economic'!C$29</f>
        <v>2473101.1764705884</v>
      </c>
      <c r="Y43" s="61">
        <f>Y5/'Demographic-Economic'!D$29</f>
        <v>1691706.0240963853</v>
      </c>
      <c r="Z43" s="61">
        <f>Z5/'Demographic-Economic'!E$29</f>
        <v>2021766.8016194331</v>
      </c>
      <c r="AA43" s="61">
        <f>AA5/'Demographic-Economic'!F$29</f>
        <v>404270.4</v>
      </c>
      <c r="AB43" s="61">
        <f>AB5/'Demographic-Economic'!G$29</f>
        <v>506668.79999999999</v>
      </c>
      <c r="AC43" s="61">
        <f>AC5/'Demographic-Economic'!H$29</f>
        <v>116182.64150943396</v>
      </c>
      <c r="AG43">
        <v>2020</v>
      </c>
      <c r="AH43" s="61">
        <f>AH5/'Demographic-Economic'!C$29</f>
        <v>2473101.1764705884</v>
      </c>
      <c r="AI43" s="61">
        <f>AI5/'Demographic-Economic'!D$29</f>
        <v>1691706.0240963853</v>
      </c>
      <c r="AJ43" s="61">
        <f>AJ5/'Demographic-Economic'!E$29</f>
        <v>2021766.8016194331</v>
      </c>
      <c r="AK43" s="61">
        <f>AK5/'Demographic-Economic'!F$29</f>
        <v>404270.4</v>
      </c>
      <c r="AL43" s="61">
        <f>AL5/'Demographic-Economic'!G$29</f>
        <v>506668.79999999999</v>
      </c>
      <c r="AM43" s="61">
        <f>AM5/'Demographic-Economic'!H$29</f>
        <v>116182.64150943396</v>
      </c>
    </row>
    <row r="44" spans="5:39">
      <c r="E44">
        <v>2021</v>
      </c>
      <c r="F44" s="61">
        <f>F6/'Demographic-Economic'!C$29</f>
        <v>2485651.0230079158</v>
      </c>
      <c r="G44" s="61">
        <f>G6/'Demographic-Economic'!D$29</f>
        <v>1698162.6276949486</v>
      </c>
      <c r="H44" s="61">
        <f>H6/'Demographic-Economic'!E$29</f>
        <v>2038520.1995436591</v>
      </c>
      <c r="I44" s="61">
        <f>I6/'Demographic-Economic'!F$29</f>
        <v>408718.47527412482</v>
      </c>
      <c r="J44" s="61">
        <f>J6/'Demographic-Economic'!G$29</f>
        <v>511103.31917981256</v>
      </c>
      <c r="K44" s="61">
        <f>K6/'Demographic-Economic'!H$29</f>
        <v>117290.84839755957</v>
      </c>
      <c r="N44">
        <v>2021</v>
      </c>
      <c r="O44" s="61">
        <f>O6/'Demographic-Economic'!C$29</f>
        <v>2491107.1241787127</v>
      </c>
      <c r="P44" s="61">
        <f>P6/'Demographic-Economic'!D$29</f>
        <v>1701890.1610515648</v>
      </c>
      <c r="Q44" s="61">
        <f>Q6/'Demographic-Economic'!E$29</f>
        <v>2042994.8310765938</v>
      </c>
      <c r="R44" s="61">
        <f>R6/'Demographic-Economic'!F$29</f>
        <v>409615.62830599764</v>
      </c>
      <c r="S44" s="61">
        <f>S6/'Demographic-Economic'!G$29</f>
        <v>512225.21094674303</v>
      </c>
      <c r="T44" s="61">
        <f>T6/'Demographic-Economic'!H$29</f>
        <v>117548.30639521978</v>
      </c>
      <c r="W44">
        <v>2021</v>
      </c>
      <c r="X44" s="61">
        <f>X6/'Demographic-Economic'!C$29</f>
        <v>2495993.0199740264</v>
      </c>
      <c r="Y44" s="61">
        <f>Y6/'Demographic-Economic'!D$29</f>
        <v>1705228.1379299012</v>
      </c>
      <c r="Z44" s="61">
        <f>Z6/'Demographic-Economic'!E$29</f>
        <v>2047001.8285108351</v>
      </c>
      <c r="AA44" s="61">
        <f>AA6/'Demographic-Economic'!F$29</f>
        <v>410419.02180787083</v>
      </c>
      <c r="AB44" s="61">
        <f>AB6/'Demographic-Economic'!G$29</f>
        <v>513229.85622278415</v>
      </c>
      <c r="AC44" s="61">
        <f>AC6/'Demographic-Economic'!H$29</f>
        <v>117778.85801236553</v>
      </c>
      <c r="AG44">
        <v>2021</v>
      </c>
      <c r="AH44" s="61">
        <f>AH6/'Demographic-Economic'!C$29</f>
        <v>2486367.4807947027</v>
      </c>
      <c r="AI44" s="61">
        <f>AI6/'Demographic-Economic'!D$29</f>
        <v>1698652.1018112181</v>
      </c>
      <c r="AJ44" s="61">
        <f>AJ6/'Demographic-Economic'!E$29</f>
        <v>2039107.7774687035</v>
      </c>
      <c r="AK44" s="61">
        <f>AK6/'Demographic-Economic'!F$29</f>
        <v>408836.28325742704</v>
      </c>
      <c r="AL44" s="61">
        <f>AL6/'Demographic-Economic'!G$29</f>
        <v>511250.63831250218</v>
      </c>
      <c r="AM44" s="61">
        <f>AM6/'Demographic-Economic'!H$29</f>
        <v>117324.65601611721</v>
      </c>
    </row>
    <row r="45" spans="5:39">
      <c r="E45">
        <v>2022</v>
      </c>
      <c r="F45" s="61">
        <f>F7/'Demographic-Economic'!C$29</f>
        <v>2498165.6307083122</v>
      </c>
      <c r="G45" s="61">
        <f>G7/'Demographic-Economic'!D$29</f>
        <v>1704576.3751128684</v>
      </c>
      <c r="H45" s="61">
        <f>H7/'Demographic-Economic'!E$29</f>
        <v>2055544.2563718914</v>
      </c>
      <c r="I45" s="61">
        <f>I7/'Demographic-Economic'!F$29</f>
        <v>413019.6295065257</v>
      </c>
      <c r="J45" s="61">
        <f>J7/'Demographic-Economic'!G$29</f>
        <v>515489.2777808531</v>
      </c>
      <c r="K45" s="61">
        <f>K7/'Demographic-Economic'!H$29</f>
        <v>118405.37509033507</v>
      </c>
      <c r="N45">
        <v>2022</v>
      </c>
      <c r="O45" s="61">
        <f>O7/'Demographic-Economic'!C$29</f>
        <v>2509064.1927969777</v>
      </c>
      <c r="P45" s="61">
        <f>P7/'Demographic-Economic'!D$29</f>
        <v>1712012.8041593176</v>
      </c>
      <c r="Q45" s="61">
        <f>Q7/'Demographic-Economic'!E$29</f>
        <v>2064497.4457928182</v>
      </c>
      <c r="R45" s="61">
        <f>R7/'Demographic-Economic'!F$29</f>
        <v>414834.82466763252</v>
      </c>
      <c r="S45" s="61">
        <f>S7/'Demographic-Economic'!G$29</f>
        <v>517736.95144192502</v>
      </c>
      <c r="T45" s="61">
        <f>T7/'Demographic-Economic'!H$29</f>
        <v>118923.89269955413</v>
      </c>
      <c r="W45">
        <v>2022</v>
      </c>
      <c r="X45" s="61">
        <f>X7/'Demographic-Economic'!C$29</f>
        <v>2518823.7696481165</v>
      </c>
      <c r="Y45" s="61">
        <f>Y7/'Demographic-Economic'!D$29</f>
        <v>1718672.0680315988</v>
      </c>
      <c r="Z45" s="61">
        <f>Z7/'Demographic-Economic'!E$29</f>
        <v>2072514.4034487386</v>
      </c>
      <c r="AA45" s="61">
        <f>AA7/'Demographic-Economic'!F$29</f>
        <v>416460.8310663806</v>
      </c>
      <c r="AB45" s="61">
        <f>AB7/'Demographic-Economic'!G$29</f>
        <v>519749.678901045</v>
      </c>
      <c r="AC45" s="61">
        <f>AC7/'Demographic-Economic'!H$29</f>
        <v>119388.29652167916</v>
      </c>
      <c r="AG45">
        <v>2022</v>
      </c>
      <c r="AH45" s="61">
        <f>AH7/'Demographic-Economic'!C$29</f>
        <v>2499596.7551374175</v>
      </c>
      <c r="AI45" s="61">
        <f>AI7/'Demographic-Economic'!D$29</f>
        <v>1705552.8759748258</v>
      </c>
      <c r="AJ45" s="61">
        <f>AJ7/'Demographic-Economic'!E$29</f>
        <v>2056719.9638231941</v>
      </c>
      <c r="AK45" s="61">
        <f>AK7/'Demographic-Economic'!F$29</f>
        <v>413257.95506212808</v>
      </c>
      <c r="AL45" s="61">
        <f>AL7/'Demographic-Economic'!G$29</f>
        <v>515784.42990968004</v>
      </c>
      <c r="AM45" s="61">
        <f>AM7/'Demographic-Economic'!H$29</f>
        <v>118473.45835953471</v>
      </c>
    </row>
    <row r="46" spans="5:39">
      <c r="E46">
        <v>2023</v>
      </c>
      <c r="F46" s="61">
        <f>F8/'Demographic-Economic'!C$29</f>
        <v>2510645.0680597331</v>
      </c>
      <c r="G46" s="61">
        <f>G8/'Demographic-Economic'!D$29</f>
        <v>1710947.4402772752</v>
      </c>
      <c r="H46" s="61">
        <f>H8/'Demographic-Economic'!E$29</f>
        <v>2072819.2343921538</v>
      </c>
      <c r="I46" s="61">
        <f>I8/'Demographic-Economic'!F$29</f>
        <v>417188.40240076801</v>
      </c>
      <c r="J46" s="61">
        <f>J8/'Demographic-Economic'!G$29</f>
        <v>519831.69282350253</v>
      </c>
      <c r="K46" s="61">
        <f>K8/'Demographic-Economic'!H$29</f>
        <v>119525.93955601184</v>
      </c>
      <c r="N46">
        <v>2023</v>
      </c>
      <c r="O46" s="61">
        <f>O8/'Demographic-Economic'!C$29</f>
        <v>2526972.4763888153</v>
      </c>
      <c r="P46" s="61">
        <f>P8/'Demographic-Economic'!D$29</f>
        <v>1722074.1972380253</v>
      </c>
      <c r="Q46" s="61">
        <f>Q8/'Demographic-Economic'!E$29</f>
        <v>2086264.4484742135</v>
      </c>
      <c r="R46" s="61">
        <f>R8/'Demographic-Economic'!F$29</f>
        <v>419935.30781715747</v>
      </c>
      <c r="S46" s="61">
        <f>S8/'Demographic-Economic'!G$29</f>
        <v>523206.79795225029</v>
      </c>
      <c r="T46" s="61">
        <f>T8/'Demographic-Economic'!H$29</f>
        <v>120309.06168621109</v>
      </c>
      <c r="W46">
        <v>2023</v>
      </c>
      <c r="X46" s="61">
        <f>X8/'Demographic-Economic'!C$29</f>
        <v>2541593.5424589287</v>
      </c>
      <c r="Y46" s="61">
        <f>Y8/'Demographic-Economic'!D$29</f>
        <v>1732038.1208069262</v>
      </c>
      <c r="Z46" s="61">
        <f>Z8/'Demographic-Economic'!E$29</f>
        <v>2098302.4631165955</v>
      </c>
      <c r="AA46" s="61">
        <f>AA8/'Demographic-Economic'!F$29</f>
        <v>422397.16351166123</v>
      </c>
      <c r="AB46" s="61">
        <f>AB8/'Demographic-Economic'!G$29</f>
        <v>526228.81920335628</v>
      </c>
      <c r="AC46" s="61">
        <f>AC8/'Demographic-Economic'!H$29</f>
        <v>121010.69964759202</v>
      </c>
      <c r="AG46">
        <v>2023</v>
      </c>
      <c r="AH46" s="61">
        <f>AH8/'Demographic-Economic'!C$29</f>
        <v>2512789.0713450871</v>
      </c>
      <c r="AI46" s="61">
        <f>AI8/'Demographic-Economic'!D$29</f>
        <v>1712408.5296919793</v>
      </c>
      <c r="AJ46" s="61">
        <f>AJ8/'Demographic-Economic'!E$29</f>
        <v>2074584.8996747818</v>
      </c>
      <c r="AK46" s="61">
        <f>AK8/'Demographic-Economic'!F$29</f>
        <v>417548.97817291238</v>
      </c>
      <c r="AL46" s="61">
        <f>AL8/'Demographic-Economic'!G$29</f>
        <v>520274.91126980557</v>
      </c>
      <c r="AM46" s="61">
        <f>AM8/'Demographic-Economic'!H$29</f>
        <v>119628.75097677585</v>
      </c>
    </row>
    <row r="47" spans="5:39">
      <c r="E47">
        <v>2024</v>
      </c>
      <c r="F47" s="61">
        <f>F9/'Demographic-Economic'!C$29</f>
        <v>2523089.4034339776</v>
      </c>
      <c r="G47" s="61">
        <f>G9/'Demographic-Economic'!D$29</f>
        <v>1717275.9965135157</v>
      </c>
      <c r="H47" s="61">
        <f>H9/'Demographic-Economic'!E$29</f>
        <v>2090327.7952212875</v>
      </c>
      <c r="I47" s="61">
        <f>I9/'Demographic-Economic'!F$29</f>
        <v>421237.54814678925</v>
      </c>
      <c r="J47" s="61">
        <f>J9/'Demographic-Economic'!G$29</f>
        <v>524134.96169534</v>
      </c>
      <c r="K47" s="61">
        <f>K9/'Demographic-Economic'!H$29</f>
        <v>120652.29309059717</v>
      </c>
      <c r="N47">
        <v>2024</v>
      </c>
      <c r="O47" s="61">
        <f>O9/'Demographic-Economic'!C$29</f>
        <v>2544832.0688588731</v>
      </c>
      <c r="P47" s="61">
        <f>P9/'Demographic-Economic'!D$29</f>
        <v>1732074.5832713137</v>
      </c>
      <c r="Q47" s="61">
        <f>Q9/'Demographic-Economic'!E$29</f>
        <v>2108286.0543816253</v>
      </c>
      <c r="R47" s="61">
        <f>R9/'Demographic-Economic'!F$29</f>
        <v>424924.08686899196</v>
      </c>
      <c r="S47" s="61">
        <f>S9/'Demographic-Economic'!G$29</f>
        <v>528637.4109527308</v>
      </c>
      <c r="T47" s="61">
        <f>T9/'Demographic-Economic'!H$29</f>
        <v>121703.49254238303</v>
      </c>
      <c r="W47">
        <v>2024</v>
      </c>
      <c r="X47" s="61">
        <f>X9/'Demographic-Economic'!C$29</f>
        <v>2564302.455175573</v>
      </c>
      <c r="Y47" s="61">
        <f>Y9/'Demographic-Economic'!D$29</f>
        <v>1745326.6016179514</v>
      </c>
      <c r="Z47" s="61">
        <f>Z9/'Demographic-Economic'!E$29</f>
        <v>2124363.2830919228</v>
      </c>
      <c r="AA47" s="61">
        <f>AA9/'Demographic-Economic'!F$29</f>
        <v>428229.81946286757</v>
      </c>
      <c r="AB47" s="61">
        <f>AB9/'Demographic-Economic'!G$29</f>
        <v>532668.03306846495</v>
      </c>
      <c r="AC47" s="61">
        <f>AC9/'Demographic-Economic'!H$29</f>
        <v>122645.79590557124</v>
      </c>
      <c r="AG47">
        <v>2024</v>
      </c>
      <c r="AH47" s="61">
        <f>AH9/'Demographic-Economic'!C$29</f>
        <v>2525944.5011423077</v>
      </c>
      <c r="AI47" s="61">
        <f>AI9/'Demographic-Economic'!D$29</f>
        <v>1719219.2454350726</v>
      </c>
      <c r="AJ47" s="61">
        <f>AJ9/'Demographic-Economic'!E$29</f>
        <v>2092686.2173736994</v>
      </c>
      <c r="AK47" s="61">
        <f>AK9/'Demographic-Economic'!F$29</f>
        <v>421721.35939037858</v>
      </c>
      <c r="AL47" s="61">
        <f>AL9/'Demographic-Economic'!G$29</f>
        <v>524726.27232842601</v>
      </c>
      <c r="AM47" s="61">
        <f>AM9/'Demographic-Economic'!H$29</f>
        <v>120790.26933975643</v>
      </c>
    </row>
    <row r="48" spans="5:39">
      <c r="E48">
        <v>2025</v>
      </c>
      <c r="F48" s="61">
        <f>F10/'Demographic-Economic'!C$29</f>
        <v>2535498.7050868687</v>
      </c>
      <c r="G48" s="61">
        <f>G10/'Demographic-Economic'!D$29</f>
        <v>1723562.2165470733</v>
      </c>
      <c r="H48" s="61">
        <f>H10/'Demographic-Economic'!E$29</f>
        <v>2108054.6470379056</v>
      </c>
      <c r="I48" s="61">
        <f>I10/'Demographic-Economic'!F$29</f>
        <v>425178.29796247173</v>
      </c>
      <c r="J48" s="61">
        <f>J10/'Demographic-Economic'!G$29</f>
        <v>528402.95327921538</v>
      </c>
      <c r="K48" s="61">
        <f>K10/'Demographic-Economic'!H$29</f>
        <v>121784.21547076789</v>
      </c>
      <c r="N48">
        <v>2025</v>
      </c>
      <c r="O48" s="61">
        <f>O10/'Demographic-Economic'!C$29</f>
        <v>2562643.0639532604</v>
      </c>
      <c r="P48" s="61">
        <f>P10/'Demographic-Economic'!D$29</f>
        <v>1742014.2044107025</v>
      </c>
      <c r="Q48" s="61">
        <f>Q10/'Demographic-Economic'!E$29</f>
        <v>2130552.9064881695</v>
      </c>
      <c r="R48" s="61">
        <f>R10/'Demographic-Economic'!F$29</f>
        <v>429807.85101987224</v>
      </c>
      <c r="S48" s="61">
        <f>S10/'Demographic-Economic'!G$29</f>
        <v>534031.33043744508</v>
      </c>
      <c r="T48" s="61">
        <f>T10/'Demographic-Economic'!H$29</f>
        <v>123106.88219995445</v>
      </c>
      <c r="W48">
        <v>2025</v>
      </c>
      <c r="X48" s="61">
        <f>X10/'Demographic-Economic'!C$29</f>
        <v>2586950.6243705163</v>
      </c>
      <c r="Y48" s="61">
        <f>Y10/'Demographic-Economic'!D$29</f>
        <v>1758537.8147866661</v>
      </c>
      <c r="Z48" s="61">
        <f>Z10/'Demographic-Economic'!E$29</f>
        <v>2150693.5602235273</v>
      </c>
      <c r="AA48" s="61">
        <f>AA10/'Demographic-Economic'!F$29</f>
        <v>433961.00488667842</v>
      </c>
      <c r="AB48" s="61">
        <f>AB10/'Demographic-Economic'!G$29</f>
        <v>539068.25504210813</v>
      </c>
      <c r="AC48" s="61">
        <f>AC10/'Demographic-Economic'!H$29</f>
        <v>124293.30321292415</v>
      </c>
      <c r="AG48">
        <v>2025</v>
      </c>
      <c r="AH48" s="61">
        <f>AH10/'Demographic-Economic'!C$29</f>
        <v>2539063.1161321113</v>
      </c>
      <c r="AI48" s="61">
        <f>AI10/'Demographic-Economic'!D$29</f>
        <v>1725985.2050461397</v>
      </c>
      <c r="AJ48" s="61">
        <f>AJ10/'Demographic-Economic'!E$29</f>
        <v>2111009.3585162661</v>
      </c>
      <c r="AK48" s="61">
        <f>AK10/'Demographic-Economic'!F$29</f>
        <v>425785.7607856894</v>
      </c>
      <c r="AL48" s="61">
        <f>AL10/'Demographic-Economic'!G$29</f>
        <v>529142.23066340969</v>
      </c>
      <c r="AM48" s="61">
        <f>AM10/'Demographic-Economic'!H$29</f>
        <v>121957.77750889769</v>
      </c>
    </row>
    <row r="49" spans="5:39">
      <c r="E49">
        <v>2026</v>
      </c>
      <c r="F49" s="61">
        <f>F11/'Demographic-Economic'!C$29</f>
        <v>2547873.041158434</v>
      </c>
      <c r="G49" s="61">
        <f>G11/'Demographic-Economic'!D$29</f>
        <v>1729806.272505485</v>
      </c>
      <c r="H49" s="61">
        <f>H11/'Demographic-Economic'!E$29</f>
        <v>2125986.2519171741</v>
      </c>
      <c r="I49" s="61">
        <f>I11/'Demographic-Economic'!F$29</f>
        <v>429020.57791735401</v>
      </c>
      <c r="J49" s="61">
        <f>J11/'Demographic-Economic'!G$29</f>
        <v>532639.08355519711</v>
      </c>
      <c r="K49" s="61">
        <f>K11/'Demographic-Economic'!H$29</f>
        <v>122921.51092130788</v>
      </c>
      <c r="N49">
        <v>2026</v>
      </c>
      <c r="O49" s="61">
        <f>O11/'Demographic-Economic'!C$29</f>
        <v>2580405.5552598047</v>
      </c>
      <c r="P49" s="61">
        <f>P11/'Demographic-Economic'!D$29</f>
        <v>1751893.3019782489</v>
      </c>
      <c r="Q49" s="61">
        <f>Q11/'Demographic-Economic'!E$29</f>
        <v>2153056.0831477591</v>
      </c>
      <c r="R49" s="61">
        <f>R11/'Demographic-Economic'!F$29</f>
        <v>434592.96468361776</v>
      </c>
      <c r="S49" s="61">
        <f>S11/'Demographic-Economic'!G$29</f>
        <v>539390.97358156997</v>
      </c>
      <c r="T49" s="61">
        <f>T11/'Demographic-Economic'!H$29</f>
        <v>124518.94498061216</v>
      </c>
      <c r="W49">
        <v>2026</v>
      </c>
      <c r="X49" s="61">
        <f>X11/'Demographic-Economic'!C$29</f>
        <v>2609538.1664198861</v>
      </c>
      <c r="Y49" s="61">
        <f>Y11/'Demographic-Economic'!D$29</f>
        <v>1771672.0635982775</v>
      </c>
      <c r="Z49" s="61">
        <f>Z11/'Demographic-Economic'!E$29</f>
        <v>2177289.4944909248</v>
      </c>
      <c r="AA49" s="61">
        <f>AA11/'Demographic-Economic'!F$29</f>
        <v>439593.27295288129</v>
      </c>
      <c r="AB49" s="61">
        <f>AB11/'Demographic-Economic'!G$29</f>
        <v>545430.57235746575</v>
      </c>
      <c r="AC49" s="61">
        <f>AC11/'Demographic-Economic'!H$29</f>
        <v>125952.93217489078</v>
      </c>
      <c r="AG49">
        <v>2026</v>
      </c>
      <c r="AH49" s="61">
        <f>AH11/'Demographic-Economic'!C$29</f>
        <v>2552144.9877961571</v>
      </c>
      <c r="AI49" s="61">
        <f>AI11/'Demographic-Economic'!D$29</f>
        <v>1732706.589738867</v>
      </c>
      <c r="AJ49" s="61">
        <f>AJ11/'Demographic-Economic'!E$29</f>
        <v>2129541.3341410398</v>
      </c>
      <c r="AK49" s="61">
        <f>AK11/'Demographic-Economic'!F$29</f>
        <v>429751.67799557606</v>
      </c>
      <c r="AL49" s="61">
        <f>AL11/'Demographic-Economic'!G$29</f>
        <v>533526.09411202674</v>
      </c>
      <c r="AM49" s="61">
        <f>AM11/'Demographic-Economic'!H$29</f>
        <v>123131.06437078265</v>
      </c>
    </row>
    <row r="50" spans="5:39">
      <c r="E50">
        <v>2027</v>
      </c>
      <c r="F50" s="61">
        <f>F12/'Demographic-Economic'!C$29</f>
        <v>2560212.4796730941</v>
      </c>
      <c r="G50" s="61">
        <f>G12/'Demographic-Economic'!D$29</f>
        <v>1736008.335920251</v>
      </c>
      <c r="H50" s="61">
        <f>H12/'Demographic-Economic'!E$29</f>
        <v>2144110.5816925592</v>
      </c>
      <c r="I50" s="61">
        <f>I12/'Demographic-Economic'!F$29</f>
        <v>432773.19064787601</v>
      </c>
      <c r="J50" s="61">
        <f>J12/'Demographic-Economic'!G$29</f>
        <v>536846.37866690801</v>
      </c>
      <c r="K50" s="61">
        <f>K12/'Demographic-Economic'!H$29</f>
        <v>124064.00474239766</v>
      </c>
      <c r="N50">
        <v>2027</v>
      </c>
      <c r="O50" s="61">
        <f>O12/'Demographic-Economic'!C$29</f>
        <v>2598119.6362082949</v>
      </c>
      <c r="P50" s="61">
        <f>P12/'Demographic-Economic'!D$29</f>
        <v>1761712.1164691797</v>
      </c>
      <c r="Q50" s="61">
        <f>Q12/'Demographic-Economic'!E$29</f>
        <v>2175787.0995588568</v>
      </c>
      <c r="R50" s="61">
        <f>R12/'Demographic-Economic'!F$29</f>
        <v>439285.46711735922</v>
      </c>
      <c r="S50" s="61">
        <f>S12/'Demographic-Economic'!G$29</f>
        <v>544718.63418799045</v>
      </c>
      <c r="T50" s="61">
        <f>T12/'Demographic-Economic'!H$29</f>
        <v>125939.41210347874</v>
      </c>
      <c r="W50">
        <v>2027</v>
      </c>
      <c r="X50" s="61">
        <f>X12/'Demographic-Economic'!C$29</f>
        <v>2632065.1975037814</v>
      </c>
      <c r="Y50" s="61">
        <f>Y12/'Demographic-Economic'!D$29</f>
        <v>1784729.6503044884</v>
      </c>
      <c r="Z50" s="61">
        <f>Z12/'Demographic-Economic'!E$29</f>
        <v>2204146.8687624373</v>
      </c>
      <c r="AA50" s="61">
        <f>AA12/'Demographic-Economic'!F$29</f>
        <v>445129.46719729126</v>
      </c>
      <c r="AB50" s="61">
        <f>AB12/'Demographic-Economic'!G$29</f>
        <v>551756.19975125138</v>
      </c>
      <c r="AC50" s="61">
        <f>AC12/'Demographic-Economic'!H$29</f>
        <v>127624.38911899026</v>
      </c>
      <c r="AG50">
        <v>2027</v>
      </c>
      <c r="AH50" s="61">
        <f>AH12/'Demographic-Economic'!C$29</f>
        <v>2565190.1874949238</v>
      </c>
      <c r="AI50" s="61">
        <f>AI12/'Demographic-Economic'!D$29</f>
        <v>1739383.5801005994</v>
      </c>
      <c r="AJ50" s="61">
        <f>AJ12/'Demographic-Economic'!E$29</f>
        <v>2148270.5214704024</v>
      </c>
      <c r="AK50" s="61">
        <f>AK12/'Demographic-Economic'!F$29</f>
        <v>433627.59135159815</v>
      </c>
      <c r="AL50" s="61">
        <f>AL12/'Demographic-Economic'!G$29</f>
        <v>537880.81384691875</v>
      </c>
      <c r="AM50" s="61">
        <f>AM12/'Demographic-Economic'!H$29</f>
        <v>124309.94044182934</v>
      </c>
    </row>
    <row r="51" spans="5:39">
      <c r="E51">
        <v>2028</v>
      </c>
      <c r="F51" s="61">
        <f>F13/'Demographic-Economic'!C$29</f>
        <v>2572517.0885398402</v>
      </c>
      <c r="G51" s="61">
        <f>G13/'Demographic-Economic'!D$29</f>
        <v>1742168.5777287402</v>
      </c>
      <c r="H51" s="61">
        <f>H13/'Demographic-Economic'!E$29</f>
        <v>2162416.9132437804</v>
      </c>
      <c r="I51" s="61">
        <f>I13/'Demographic-Economic'!F$29</f>
        <v>436443.96773387946</v>
      </c>
      <c r="J51" s="61">
        <f>J13/'Demographic-Economic'!G$29</f>
        <v>541027.52780344547</v>
      </c>
      <c r="K51" s="61">
        <f>K13/'Demographic-Economic'!H$29</f>
        <v>125211.54047470404</v>
      </c>
      <c r="N51">
        <v>2028</v>
      </c>
      <c r="O51" s="61">
        <f>O13/'Demographic-Economic'!C$29</f>
        <v>2615785.4000707339</v>
      </c>
      <c r="P51" s="61">
        <f>P13/'Demographic-Economic'!D$29</f>
        <v>1771470.8875545191</v>
      </c>
      <c r="Q51" s="61">
        <f>Q13/'Demographic-Economic'!E$29</f>
        <v>2198737.9041721402</v>
      </c>
      <c r="R51" s="61">
        <f>R13/'Demographic-Economic'!F$29</f>
        <v>443891.07569701888</v>
      </c>
      <c r="S51" s="61">
        <f>S13/'Demographic-Economic'!G$29</f>
        <v>550016.4835902293</v>
      </c>
      <c r="T51" s="61">
        <f>T13/'Demographic-Economic'!H$29</f>
        <v>127368.03108884233</v>
      </c>
      <c r="W51">
        <v>2028</v>
      </c>
      <c r="X51" s="61">
        <f>X13/'Demographic-Economic'!C$29</f>
        <v>2654531.8336065826</v>
      </c>
      <c r="Y51" s="61">
        <f>Y13/'Demographic-Economic'!D$29</f>
        <v>1797710.8761267704</v>
      </c>
      <c r="Z51" s="61">
        <f>Z13/'Demographic-Economic'!E$29</f>
        <v>2231261.1251384872</v>
      </c>
      <c r="AA51" s="61">
        <f>AA13/'Demographic-Economic'!F$29</f>
        <v>450572.66721451294</v>
      </c>
      <c r="AB51" s="61">
        <f>AB13/'Demographic-Economic'!G$29</f>
        <v>558046.45542128698</v>
      </c>
      <c r="AC51" s="61">
        <f>AC13/'Demographic-Economic'!H$29</f>
        <v>129307.37884871816</v>
      </c>
      <c r="AG51">
        <v>2028</v>
      </c>
      <c r="AH51" s="61">
        <f>AH13/'Demographic-Economic'!C$29</f>
        <v>2578198.7864679005</v>
      </c>
      <c r="AI51" s="61">
        <f>AI13/'Demographic-Economic'!D$29</f>
        <v>1746016.3560943378</v>
      </c>
      <c r="AJ51" s="61">
        <f>AJ13/'Demographic-Economic'!E$29</f>
        <v>2167186.4909374481</v>
      </c>
      <c r="AK51" s="61">
        <f>AK13/'Demographic-Economic'!F$29</f>
        <v>437421.09449547267</v>
      </c>
      <c r="AL51" s="61">
        <f>AL13/'Demographic-Economic'!G$29</f>
        <v>542209.02954536781</v>
      </c>
      <c r="AM51" s="61">
        <f>AM13/'Demographic-Economic'!H$29</f>
        <v>125494.23514248841</v>
      </c>
    </row>
    <row r="52" spans="5:39">
      <c r="E52">
        <v>2029</v>
      </c>
      <c r="F52" s="61">
        <f>F14/'Demographic-Economic'!C$29</f>
        <v>2584786.9355524196</v>
      </c>
      <c r="G52" s="61">
        <f>G14/'Demographic-Economic'!D$29</f>
        <v>1748287.1682760874</v>
      </c>
      <c r="H52" s="61">
        <f>H14/'Demographic-Economic'!E$29</f>
        <v>2180895.6560055786</v>
      </c>
      <c r="I52" s="61">
        <f>I14/'Demographic-Economic'!F$29</f>
        <v>440039.89809663279</v>
      </c>
      <c r="J52" s="61">
        <f>J14/'Demographic-Economic'!G$29</f>
        <v>545184.92775834049</v>
      </c>
      <c r="K52" s="61">
        <f>K14/'Demographic-Economic'!H$29</f>
        <v>126363.97750530181</v>
      </c>
      <c r="N52">
        <v>2029</v>
      </c>
      <c r="O52" s="61">
        <f>O14/'Demographic-Economic'!C$29</f>
        <v>2633402.9399615848</v>
      </c>
      <c r="P52" s="61">
        <f>P14/'Demographic-Economic'!D$29</f>
        <v>1781169.8540837036</v>
      </c>
      <c r="Q52" s="61">
        <f>Q14/'Demographic-Economic'!E$29</f>
        <v>2221900.8710547192</v>
      </c>
      <c r="R52" s="61">
        <f>R14/'Demographic-Economic'!F$29</f>
        <v>448415.19210074685</v>
      </c>
      <c r="S52" s="61">
        <f>S14/'Demographic-Economic'!G$29</f>
        <v>555286.57272204862</v>
      </c>
      <c r="T52" s="61">
        <f>T14/'Demographic-Economic'!H$29</f>
        <v>128804.56508669199</v>
      </c>
      <c r="W52">
        <v>2029</v>
      </c>
      <c r="X52" s="61">
        <f>X14/'Demographic-Economic'!C$29</f>
        <v>2676938.1905172546</v>
      </c>
      <c r="Y52" s="61">
        <f>Y14/'Demographic-Economic'!D$29</f>
        <v>1810616.0412596271</v>
      </c>
      <c r="Z52" s="61">
        <f>Z14/'Demographic-Economic'!E$29</f>
        <v>2258627.4368426097</v>
      </c>
      <c r="AA52" s="61">
        <f>AA14/'Demographic-Economic'!F$29</f>
        <v>455926.13760572986</v>
      </c>
      <c r="AB52" s="61">
        <f>AB14/'Demographic-Economic'!G$29</f>
        <v>564302.73844381166</v>
      </c>
      <c r="AC52" s="61">
        <f>AC14/'Demographic-Economic'!H$29</f>
        <v>131001.60709921757</v>
      </c>
      <c r="AG52">
        <v>2029</v>
      </c>
      <c r="AH52" s="61">
        <f>AH14/'Demographic-Economic'!C$29</f>
        <v>2591170.8558337768</v>
      </c>
      <c r="AI52" s="61">
        <f>AI14/'Demographic-Economic'!D$29</f>
        <v>1752605.0970607316</v>
      </c>
      <c r="AJ52" s="61">
        <f>AJ14/'Demographic-Economic'!E$29</f>
        <v>2186279.8584234752</v>
      </c>
      <c r="AK52" s="61">
        <f>AK14/'Demographic-Economic'!F$29</f>
        <v>441139.00425175007</v>
      </c>
      <c r="AL52" s="61">
        <f>AL14/'Demographic-Economic'!G$29</f>
        <v>546513.10797674488</v>
      </c>
      <c r="AM52" s="61">
        <f>AM14/'Demographic-Economic'!H$29</f>
        <v>126683.79446427264</v>
      </c>
    </row>
    <row r="53" spans="5:39">
      <c r="E53">
        <v>2030</v>
      </c>
      <c r="F53" s="61">
        <f>F15/'Demographic-Economic'!C$29</f>
        <v>2597022.0883895177</v>
      </c>
      <c r="G53" s="61">
        <f>G15/'Demographic-Economic'!D$29</f>
        <v>1754364.2773170872</v>
      </c>
      <c r="H53" s="61">
        <f>H15/'Demographic-Economic'!E$29</f>
        <v>2199538.2059550192</v>
      </c>
      <c r="I53" s="61">
        <f>I15/'Demographic-Economic'!F$29</f>
        <v>443567.23669052124</v>
      </c>
      <c r="J53" s="61">
        <f>J15/'Demographic-Economic'!G$29</f>
        <v>549320.72064897069</v>
      </c>
      <c r="K53" s="61">
        <f>K15/'Demographic-Economic'!H$29</f>
        <v>127521.18903689418</v>
      </c>
      <c r="N53">
        <v>2030</v>
      </c>
      <c r="O53" s="61">
        <f>O15/'Demographic-Economic'!C$29</f>
        <v>2650972.3488380229</v>
      </c>
      <c r="P53" s="61">
        <f>P15/'Demographic-Economic'!D$29</f>
        <v>1790809.2540871957</v>
      </c>
      <c r="Q53" s="61">
        <f>Q15/'Demographic-Economic'!E$29</f>
        <v>2245268.7890919619</v>
      </c>
      <c r="R53" s="61">
        <f>R15/'Demographic-Economic'!F$29</f>
        <v>452862.91075640765</v>
      </c>
      <c r="S53" s="61">
        <f>S15/'Demographic-Economic'!G$29</f>
        <v>560530.83510152088</v>
      </c>
      <c r="T53" s="61">
        <f>T15/'Demographic-Economic'!H$29</f>
        <v>130248.79215426125</v>
      </c>
      <c r="W53">
        <v>2030</v>
      </c>
      <c r="X53" s="61">
        <f>X15/'Demographic-Economic'!C$29</f>
        <v>2699284.3838296616</v>
      </c>
      <c r="Y53" s="61">
        <f>Y15/'Demographic-Economic'!D$29</f>
        <v>1823445.4448738445</v>
      </c>
      <c r="Z53" s="61">
        <f>Z15/'Demographic-Economic'!E$29</f>
        <v>2286240.7748913416</v>
      </c>
      <c r="AA53" s="61">
        <f>AA15/'Demographic-Economic'!F$29</f>
        <v>461193.28071524005</v>
      </c>
      <c r="AB53" s="61">
        <f>AB15/'Demographic-Economic'!G$29</f>
        <v>570526.50788391801</v>
      </c>
      <c r="AC53" s="61">
        <f>AC15/'Demographic-Economic'!H$29</f>
        <v>132706.78268787722</v>
      </c>
      <c r="AG53">
        <v>2030</v>
      </c>
      <c r="AH53" s="61">
        <f>AH15/'Demographic-Economic'!C$29</f>
        <v>2604106.466590635</v>
      </c>
      <c r="AI53" s="61">
        <f>AI15/'Demographic-Economic'!D$29</f>
        <v>1759149.981720068</v>
      </c>
      <c r="AJ53" s="61">
        <f>AJ15/'Demographic-Economic'!E$29</f>
        <v>2205542.1585718044</v>
      </c>
      <c r="AK53" s="61">
        <f>AK15/'Demographic-Economic'!F$29</f>
        <v>444787.45483050263</v>
      </c>
      <c r="AL53" s="61">
        <f>AL15/'Demographic-Economic'!G$29</f>
        <v>550795.17608747352</v>
      </c>
      <c r="AM53" s="61">
        <f>AM15/'Demographic-Economic'!H$29</f>
        <v>127878.47896610174</v>
      </c>
    </row>
    <row r="54" spans="5:39">
      <c r="E54">
        <v>2040</v>
      </c>
      <c r="F54" s="61">
        <f>F16/'Demographic-Economic'!C$29</f>
        <v>2699972.5871508773</v>
      </c>
      <c r="G54" s="61">
        <f>G16/'Demographic-Economic'!D$29</f>
        <v>1821627.6049595082</v>
      </c>
      <c r="H54" s="61">
        <f>H16/'Demographic-Economic'!E$29</f>
        <v>2295491.604853956</v>
      </c>
      <c r="I54" s="61">
        <f>I16/'Demographic-Economic'!F$29</f>
        <v>462579.5631613069</v>
      </c>
      <c r="J54" s="61">
        <f>J16/'Demographic-Economic'!G$29</f>
        <v>572685.61544422363</v>
      </c>
      <c r="K54" s="61">
        <f>K16/'Demographic-Economic'!H$29</f>
        <v>133158.71687263058</v>
      </c>
      <c r="N54">
        <v>2040</v>
      </c>
      <c r="O54" s="61">
        <f>O16/'Demographic-Economic'!C$29</f>
        <v>2817544.7200488332</v>
      </c>
      <c r="P54" s="61">
        <f>P16/'Demographic-Economic'!D$29</f>
        <v>1900951.6113883632</v>
      </c>
      <c r="Q54" s="61">
        <f>Q16/'Demographic-Economic'!E$29</f>
        <v>2395562.5610584235</v>
      </c>
      <c r="R54" s="61">
        <f>R16/'Demographic-Economic'!F$29</f>
        <v>482778.50629622582</v>
      </c>
      <c r="S54" s="61">
        <f>S16/'Demographic-Economic'!G$29</f>
        <v>597351.60187461553</v>
      </c>
      <c r="T54" s="61">
        <f>T16/'Demographic-Economic'!H$29</f>
        <v>139056.74889833439</v>
      </c>
      <c r="W54">
        <v>2040</v>
      </c>
      <c r="X54" s="61">
        <f>X16/'Demographic-Economic'!C$29</f>
        <v>2900461.9537995751</v>
      </c>
      <c r="Y54" s="61">
        <f>Y16/'Demographic-Economic'!D$29</f>
        <v>1934544.9117559937</v>
      </c>
      <c r="Z54" s="61">
        <f>Z16/'Demographic-Economic'!E$29</f>
        <v>2553419.247935629</v>
      </c>
      <c r="AA54" s="61">
        <f>AA16/'Demographic-Economic'!F$29</f>
        <v>510403.50632008928</v>
      </c>
      <c r="AB54" s="61">
        <f>AB16/'Demographic-Economic'!G$29</f>
        <v>629025.22143993597</v>
      </c>
      <c r="AC54" s="61">
        <f>AC16/'Demographic-Economic'!H$29</f>
        <v>149282.02784510917</v>
      </c>
      <c r="AG54">
        <v>2040</v>
      </c>
      <c r="AH54" s="61">
        <f>AH16/'Demographic-Economic'!C$29</f>
        <v>2683361.8807912194</v>
      </c>
      <c r="AI54" s="61">
        <f>AI16/'Demographic-Economic'!D$29</f>
        <v>1789743.8944456344</v>
      </c>
      <c r="AJ54" s="61">
        <f>AJ16/'Demographic-Economic'!E$29</f>
        <v>2360801.0784558449</v>
      </c>
      <c r="AK54" s="61">
        <f>AK16/'Demographic-Economic'!F$29</f>
        <v>472649.12622538023</v>
      </c>
      <c r="AL54" s="61">
        <f>AL16/'Demographic-Economic'!G$29</f>
        <v>583463.08474271966</v>
      </c>
      <c r="AM54" s="61">
        <f>AM16/'Demographic-Economic'!H$29</f>
        <v>137642.63165461083</v>
      </c>
    </row>
    <row r="55" spans="5:39">
      <c r="E55">
        <v>2050</v>
      </c>
      <c r="F55" s="61">
        <f>F17/'Demographic-Economic'!C$29</f>
        <v>2745025.7650055992</v>
      </c>
      <c r="G55" s="61">
        <f>G17/'Demographic-Economic'!D$29</f>
        <v>1852024.2515261739</v>
      </c>
      <c r="H55" s="61">
        <f>H17/'Demographic-Economic'!E$29</f>
        <v>2333795.3980219592</v>
      </c>
      <c r="I55" s="61">
        <f>I17/'Demographic-Economic'!F$29</f>
        <v>470298.41165267548</v>
      </c>
      <c r="J55" s="61">
        <f>J17/'Demographic-Economic'!G$29</f>
        <v>582241.75205473497</v>
      </c>
      <c r="K55" s="61">
        <f>K17/'Demographic-Economic'!H$29</f>
        <v>135380.67400757314</v>
      </c>
      <c r="N55">
        <v>2050</v>
      </c>
      <c r="O55" s="61">
        <f>O17/'Demographic-Economic'!C$29</f>
        <v>2939349.8387767691</v>
      </c>
      <c r="P55" s="61">
        <f>P17/'Demographic-Economic'!D$29</f>
        <v>1983131.5445314324</v>
      </c>
      <c r="Q55" s="61">
        <f>Q17/'Demographic-Economic'!E$29</f>
        <v>2499124.9925945103</v>
      </c>
      <c r="R55" s="61">
        <f>R17/'Demographic-Economic'!F$29</f>
        <v>503649.47698935057</v>
      </c>
      <c r="S55" s="61">
        <f>S17/'Demographic-Economic'!G$29</f>
        <v>623175.67567579355</v>
      </c>
      <c r="T55" s="61">
        <f>T17/'Demographic-Economic'!H$29</f>
        <v>145068.30345821689</v>
      </c>
      <c r="W55">
        <v>2050</v>
      </c>
      <c r="X55" s="61">
        <f>X17/'Demographic-Economic'!C$29</f>
        <v>3119719.3369161738</v>
      </c>
      <c r="Y55" s="61">
        <f>Y17/'Demographic-Economic'!D$29</f>
        <v>2080784.8078930562</v>
      </c>
      <c r="Z55" s="61">
        <f>Z17/'Demographic-Economic'!E$29</f>
        <v>2746442.3012352986</v>
      </c>
      <c r="AA55" s="61">
        <f>AA17/'Demographic-Economic'!F$29</f>
        <v>548986.92472441576</v>
      </c>
      <c r="AB55" s="61">
        <f>AB17/'Demographic-Economic'!G$29</f>
        <v>676575.72414057911</v>
      </c>
      <c r="AC55" s="61">
        <f>AC17/'Demographic-Economic'!H$29</f>
        <v>160566.8463647179</v>
      </c>
      <c r="AG55">
        <v>2050</v>
      </c>
      <c r="AH55" s="61">
        <f>AH17/'Demographic-Economic'!C$29</f>
        <v>2740862.4925224595</v>
      </c>
      <c r="AI55" s="61">
        <f>AI17/'Demographic-Economic'!D$29</f>
        <v>1828095.5493266124</v>
      </c>
      <c r="AJ55" s="61">
        <f>AJ17/'Demographic-Economic'!E$29</f>
        <v>2411389.6729941843</v>
      </c>
      <c r="AK55" s="61">
        <f>AK17/'Demographic-Economic'!F$29</f>
        <v>482777.32178735256</v>
      </c>
      <c r="AL55" s="61">
        <f>AL17/'Demographic-Economic'!G$29</f>
        <v>595965.86513006361</v>
      </c>
      <c r="AM55" s="61">
        <f>AM17/'Demographic-Economic'!H$29</f>
        <v>140592.11661863819</v>
      </c>
    </row>
    <row r="56" spans="5:39">
      <c r="E56">
        <v>2060</v>
      </c>
      <c r="F56" s="61">
        <f>F18/'Demographic-Economic'!C$29</f>
        <v>2732153.4284756789</v>
      </c>
      <c r="G56" s="61">
        <f>G18/'Demographic-Economic'!D$29</f>
        <v>1843339.4953642697</v>
      </c>
      <c r="H56" s="61">
        <f>H18/'Demographic-Economic'!E$29</f>
        <v>2322851.4571168157</v>
      </c>
      <c r="I56" s="61">
        <f>I18/'Demographic-Economic'!F$29</f>
        <v>468093.02636942733</v>
      </c>
      <c r="J56" s="61">
        <f>J18/'Demographic-Economic'!G$29</f>
        <v>579511.42730887467</v>
      </c>
      <c r="K56" s="61">
        <f>K18/'Demographic-Economic'!H$29</f>
        <v>134745.8291118753</v>
      </c>
      <c r="N56">
        <v>2060</v>
      </c>
      <c r="O56" s="61">
        <f>O18/'Demographic-Economic'!C$29</f>
        <v>3006663.1938632601</v>
      </c>
      <c r="P56" s="61">
        <f>P18/'Demographic-Economic'!D$29</f>
        <v>2028546.7707420762</v>
      </c>
      <c r="Q56" s="61">
        <f>Q18/'Demographic-Economic'!E$29</f>
        <v>2556356.8626539265</v>
      </c>
      <c r="R56" s="61">
        <f>R18/'Demographic-Economic'!F$29</f>
        <v>515183.43447765644</v>
      </c>
      <c r="S56" s="61">
        <f>S18/'Demographic-Economic'!G$29</f>
        <v>637446.87435539195</v>
      </c>
      <c r="T56" s="61">
        <f>T18/'Demographic-Economic'!H$29</f>
        <v>148390.47834657304</v>
      </c>
      <c r="W56">
        <v>2060</v>
      </c>
      <c r="X56" s="61">
        <f>X18/'Demographic-Economic'!C$29</f>
        <v>3310786.4850606383</v>
      </c>
      <c r="Y56" s="61">
        <f>Y18/'Demographic-Economic'!D$29</f>
        <v>2208222.431669639</v>
      </c>
      <c r="Z56" s="61">
        <f>Z18/'Demographic-Economic'!E$29</f>
        <v>2914648.1048250115</v>
      </c>
      <c r="AA56" s="61">
        <f>AA18/'Demographic-Economic'!F$29</f>
        <v>582609.61790532887</v>
      </c>
      <c r="AB56" s="61">
        <f>AB18/'Demographic-Economic'!G$29</f>
        <v>718012.59077971114</v>
      </c>
      <c r="AC56" s="61">
        <f>AC18/'Demographic-Economic'!H$29</f>
        <v>170400.7596460912</v>
      </c>
      <c r="AG56">
        <v>2060</v>
      </c>
      <c r="AH56" s="61">
        <f>AH18/'Demographic-Economic'!C$29</f>
        <v>2744056.970951973</v>
      </c>
      <c r="AI56" s="61">
        <f>AI18/'Demographic-Economic'!D$29</f>
        <v>1830226.19682</v>
      </c>
      <c r="AJ56" s="61">
        <f>AJ18/'Demographic-Economic'!E$29</f>
        <v>2414200.1504685367</v>
      </c>
      <c r="AK56" s="61">
        <f>AK18/'Demographic-Economic'!F$29</f>
        <v>483339.99931857327</v>
      </c>
      <c r="AL56" s="61">
        <f>AL18/'Demographic-Economic'!G$29</f>
        <v>596660.46404047159</v>
      </c>
      <c r="AM56" s="61">
        <f>AM18/'Demographic-Economic'!H$29</f>
        <v>140755.97689441749</v>
      </c>
    </row>
    <row r="57" spans="5:39">
      <c r="E57">
        <v>2070</v>
      </c>
      <c r="F57" s="61">
        <f>F19/'Demographic-Economic'!C$29</f>
        <v>2671009.8299585553</v>
      </c>
      <c r="G57" s="61">
        <f>G19/'Demographic-Economic'!D$29</f>
        <v>1802086.9035952226</v>
      </c>
      <c r="H57" s="61">
        <f>H19/'Demographic-Economic'!E$29</f>
        <v>2270867.737817382</v>
      </c>
      <c r="I57" s="61">
        <f>I19/'Demographic-Economic'!F$29</f>
        <v>457617.44627399847</v>
      </c>
      <c r="J57" s="61">
        <f>J19/'Demographic-Economic'!G$29</f>
        <v>566542.38476603769</v>
      </c>
      <c r="K57" s="61">
        <f>K19/'Demographic-Economic'!H$29</f>
        <v>131730.31585731037</v>
      </c>
      <c r="N57">
        <v>2070</v>
      </c>
      <c r="O57" s="61">
        <f>O19/'Demographic-Economic'!C$29</f>
        <v>3032306.3767533517</v>
      </c>
      <c r="P57" s="61">
        <f>P19/'Demographic-Economic'!D$29</f>
        <v>2045847.8092985114</v>
      </c>
      <c r="Q57" s="61">
        <f>Q19/'Demographic-Economic'!E$29</f>
        <v>2578159.4798194184</v>
      </c>
      <c r="R57" s="61">
        <f>R19/'Demographic-Economic'!F$29</f>
        <v>519577.32304463006</v>
      </c>
      <c r="S57" s="61">
        <f>S19/'Demographic-Economic'!G$29</f>
        <v>642883.52147142938</v>
      </c>
      <c r="T57" s="61">
        <f>T19/'Demographic-Economic'!H$29</f>
        <v>149656.06878023251</v>
      </c>
      <c r="W57">
        <v>2070</v>
      </c>
      <c r="X57" s="61">
        <f>X19/'Demographic-Economic'!C$29</f>
        <v>3483060.1432236796</v>
      </c>
      <c r="Y57" s="61">
        <f>Y19/'Demographic-Economic'!D$29</f>
        <v>2323125.2072059019</v>
      </c>
      <c r="Z57" s="61">
        <f>Z19/'Demographic-Economic'!E$29</f>
        <v>3066309.0752747511</v>
      </c>
      <c r="AA57" s="61">
        <f>AA19/'Demographic-Economic'!F$29</f>
        <v>612925.1609372996</v>
      </c>
      <c r="AB57" s="61">
        <f>AB19/'Demographic-Economic'!G$29</f>
        <v>755373.70004450204</v>
      </c>
      <c r="AC57" s="61">
        <f>AC19/'Demographic-Economic'!H$29</f>
        <v>179267.40276864087</v>
      </c>
      <c r="AG57">
        <v>2070</v>
      </c>
      <c r="AH57" s="61">
        <f>AH19/'Demographic-Economic'!C$29</f>
        <v>2702528.7513682996</v>
      </c>
      <c r="AI57" s="61">
        <f>AI19/'Demographic-Economic'!D$29</f>
        <v>1802527.7794059608</v>
      </c>
      <c r="AJ57" s="61">
        <f>AJ19/'Demographic-Economic'!E$29</f>
        <v>2377663.9433019585</v>
      </c>
      <c r="AK57" s="61">
        <f>AK19/'Demographic-Economic'!F$29</f>
        <v>476025.19141270436</v>
      </c>
      <c r="AL57" s="61">
        <f>AL19/'Demographic-Economic'!G$29</f>
        <v>587630.67820516764</v>
      </c>
      <c r="AM57" s="61">
        <f>AM19/'Demographic-Economic'!H$29</f>
        <v>138625.79330928664</v>
      </c>
    </row>
    <row r="58" spans="5:39">
      <c r="E58">
        <v>2080</v>
      </c>
      <c r="F58" s="61">
        <f>F20/'Demographic-Economic'!C$29</f>
        <v>2564813.0535867088</v>
      </c>
      <c r="G58" s="61">
        <f>G20/'Demographic-Economic'!D$29</f>
        <v>1730437.6652595089</v>
      </c>
      <c r="H58" s="61">
        <f>H20/'Demographic-Economic'!E$29</f>
        <v>2180580.2253499432</v>
      </c>
      <c r="I58" s="61">
        <f>I20/'Demographic-Economic'!F$29</f>
        <v>439423.01768720086</v>
      </c>
      <c r="J58" s="61">
        <f>J20/'Demographic-Economic'!G$29</f>
        <v>544017.20561268914</v>
      </c>
      <c r="K58" s="61">
        <f>K20/'Demographic-Economic'!H$29</f>
        <v>126492.84546780284</v>
      </c>
      <c r="N58">
        <v>2080</v>
      </c>
      <c r="O58" s="61">
        <f>O20/'Demographic-Economic'!C$29</f>
        <v>3016279.3874470447</v>
      </c>
      <c r="P58" s="61">
        <f>P20/'Demographic-Economic'!D$29</f>
        <v>2035034.660200739</v>
      </c>
      <c r="Q58" s="61">
        <f>Q20/'Demographic-Economic'!E$29</f>
        <v>2564532.8440909861</v>
      </c>
      <c r="R58" s="61">
        <f>R20/'Demographic-Economic'!F$29</f>
        <v>516831.14269027149</v>
      </c>
      <c r="S58" s="61">
        <f>S20/'Demographic-Economic'!G$29</f>
        <v>639485.61702390597</v>
      </c>
      <c r="T58" s="61">
        <f>T20/'Demographic-Economic'!H$29</f>
        <v>148865.07475919533</v>
      </c>
      <c r="W58">
        <v>2080</v>
      </c>
      <c r="X58" s="61">
        <f>X20/'Demographic-Economic'!C$29</f>
        <v>3642804.808065773</v>
      </c>
      <c r="Y58" s="61">
        <f>Y20/'Demographic-Economic'!D$29</f>
        <v>2429671.4172486188</v>
      </c>
      <c r="Z58" s="61">
        <f>Z20/'Demographic-Economic'!E$29</f>
        <v>3206940.1569645107</v>
      </c>
      <c r="AA58" s="61">
        <f>AA20/'Demographic-Economic'!F$29</f>
        <v>641035.9372033088</v>
      </c>
      <c r="AB58" s="61">
        <f>AB20/'Demographic-Economic'!G$29</f>
        <v>790017.63772639923</v>
      </c>
      <c r="AC58" s="61">
        <f>AC20/'Demographic-Economic'!H$29</f>
        <v>187489.1991186415</v>
      </c>
      <c r="AG58">
        <v>2080</v>
      </c>
      <c r="AH58" s="61">
        <f>AH20/'Demographic-Economic'!C$29</f>
        <v>2619472.3122009519</v>
      </c>
      <c r="AI58" s="61">
        <f>AI20/'Demographic-Economic'!D$29</f>
        <v>1747130.9445778811</v>
      </c>
      <c r="AJ58" s="61">
        <f>AJ20/'Demographic-Economic'!E$29</f>
        <v>2304591.5289688008</v>
      </c>
      <c r="AK58" s="61">
        <f>AK20/'Demographic-Economic'!F$29</f>
        <v>461395.57560096635</v>
      </c>
      <c r="AL58" s="61">
        <f>AL20/'Demographic-Economic'!G$29</f>
        <v>569571.10653455963</v>
      </c>
      <c r="AM58" s="61">
        <f>AM20/'Demographic-Economic'!H$29</f>
        <v>134365.42613902484</v>
      </c>
    </row>
    <row r="59" spans="5:39">
      <c r="E59">
        <v>2090</v>
      </c>
      <c r="F59" s="61">
        <f>F21/'Demographic-Economic'!C$29</f>
        <v>2416781.1834926205</v>
      </c>
      <c r="G59" s="61">
        <f>G21/'Demographic-Economic'!D$29</f>
        <v>1630562.9693976049</v>
      </c>
      <c r="H59" s="61">
        <f>H21/'Demographic-Economic'!E$29</f>
        <v>2054724.9049407872</v>
      </c>
      <c r="I59" s="61">
        <f>I21/'Demographic-Economic'!F$29</f>
        <v>414061.08692984667</v>
      </c>
      <c r="J59" s="61">
        <f>J21/'Demographic-Economic'!G$29</f>
        <v>512618.47103529435</v>
      </c>
      <c r="K59" s="61">
        <f>K21/'Demographic-Economic'!H$29</f>
        <v>119192.12916727721</v>
      </c>
      <c r="N59">
        <v>2090</v>
      </c>
      <c r="O59" s="61">
        <f>O21/'Demographic-Economic'!C$29</f>
        <v>2964993.0216668616</v>
      </c>
      <c r="P59" s="61">
        <f>P21/'Demographic-Economic'!D$29</f>
        <v>2000432.5830878676</v>
      </c>
      <c r="Q59" s="61">
        <f>Q21/'Demographic-Economic'!E$29</f>
        <v>2520927.6097600022</v>
      </c>
      <c r="R59" s="61">
        <f>R21/'Demographic-Economic'!F$29</f>
        <v>508043.36555632437</v>
      </c>
      <c r="S59" s="61">
        <f>S21/'Demographic-Economic'!G$29</f>
        <v>628612.32279183099</v>
      </c>
      <c r="T59" s="61">
        <f>T21/'Demographic-Economic'!H$29</f>
        <v>146333.89389187639</v>
      </c>
      <c r="W59">
        <v>2090</v>
      </c>
      <c r="X59" s="61">
        <f>X21/'Demographic-Economic'!C$29</f>
        <v>3799417.2245776299</v>
      </c>
      <c r="Y59" s="61">
        <f>Y21/'Demographic-Economic'!D$29</f>
        <v>2534128.4859179496</v>
      </c>
      <c r="Z59" s="61">
        <f>Z21/'Demographic-Economic'!E$29</f>
        <v>3344813.7664642753</v>
      </c>
      <c r="AA59" s="61">
        <f>AA21/'Demographic-Economic'!F$29</f>
        <v>668595.52177782787</v>
      </c>
      <c r="AB59" s="61">
        <f>AB21/'Demographic-Economic'!G$29</f>
        <v>823982.28251257294</v>
      </c>
      <c r="AC59" s="61">
        <f>AC21/'Demographic-Economic'!H$29</f>
        <v>195549.78377550485</v>
      </c>
      <c r="AG59">
        <v>2090</v>
      </c>
      <c r="AH59" s="61">
        <f>AH21/'Demographic-Economic'!C$29</f>
        <v>2501276.6103089582</v>
      </c>
      <c r="AI59" s="61">
        <f>AI21/'Demographic-Economic'!D$29</f>
        <v>1668296.9873225379</v>
      </c>
      <c r="AJ59" s="61">
        <f>AJ21/'Demographic-Economic'!E$29</f>
        <v>2200603.8624177696</v>
      </c>
      <c r="AK59" s="61">
        <f>AK21/'Demographic-Economic'!F$29</f>
        <v>440576.50694580079</v>
      </c>
      <c r="AL59" s="61">
        <f>AL21/'Demographic-Economic'!G$29</f>
        <v>543870.94684946374</v>
      </c>
      <c r="AM59" s="61">
        <f>AM21/'Demographic-Economic'!H$29</f>
        <v>128302.59593519082</v>
      </c>
    </row>
    <row r="60" spans="5:39">
      <c r="E60">
        <v>2100</v>
      </c>
      <c r="F60" s="61">
        <f>F22/'Demographic-Economic'!C$29</f>
        <v>2239786.5562062101</v>
      </c>
      <c r="G60" s="61">
        <f>G22/'Demographic-Economic'!D$29</f>
        <v>1511147.5721714154</v>
      </c>
      <c r="H60" s="61">
        <f>H22/'Demographic-Economic'!E$29</f>
        <v>1904245.7174950573</v>
      </c>
      <c r="I60" s="61">
        <f>I22/'Demographic-Economic'!F$29</f>
        <v>383737.03928518418</v>
      </c>
      <c r="J60" s="61">
        <f>J22/'Demographic-Economic'!G$29</f>
        <v>475076.50577971357</v>
      </c>
      <c r="K60" s="61">
        <f>K22/'Demographic-Economic'!H$29</f>
        <v>110463.01185143135</v>
      </c>
      <c r="N60">
        <v>2100</v>
      </c>
      <c r="O60" s="61">
        <f>O22/'Demographic-Economic'!C$29</f>
        <v>2894474.2687191088</v>
      </c>
      <c r="P60" s="61">
        <f>P22/'Demographic-Economic'!D$29</f>
        <v>1952854.7270576695</v>
      </c>
      <c r="Q60" s="61">
        <f>Q22/'Demographic-Economic'!E$29</f>
        <v>2460970.4125548992</v>
      </c>
      <c r="R60" s="61">
        <f>R22/'Demographic-Economic'!F$29</f>
        <v>495960.17199714686</v>
      </c>
      <c r="S60" s="61">
        <f>S22/'Demographic-Economic'!G$29</f>
        <v>613661.54322272795</v>
      </c>
      <c r="T60" s="61">
        <f>T22/'Demographic-Economic'!H$29</f>
        <v>142853.52019931283</v>
      </c>
      <c r="W60">
        <v>2100</v>
      </c>
      <c r="X60" s="61">
        <f>X22/'Demographic-Economic'!C$29</f>
        <v>3952897.3927592472</v>
      </c>
      <c r="Y60" s="61">
        <f>Y22/'Demographic-Economic'!D$29</f>
        <v>2636496.4132138924</v>
      </c>
      <c r="Z60" s="61">
        <f>Z22/'Demographic-Economic'!E$29</f>
        <v>3479929.9037740431</v>
      </c>
      <c r="AA60" s="61">
        <f>AA22/'Demographic-Economic'!F$29</f>
        <v>695603.91466085613</v>
      </c>
      <c r="AB60" s="61">
        <f>AB22/'Demographic-Economic'!G$29</f>
        <v>857267.63440302294</v>
      </c>
      <c r="AC60" s="61">
        <f>AC22/'Demographic-Economic'!H$29</f>
        <v>203449.15673923085</v>
      </c>
      <c r="AG60">
        <v>2100</v>
      </c>
      <c r="AH60" s="61">
        <f>AH22/'Demographic-Economic'!C$29</f>
        <v>2357525.0809808569</v>
      </c>
      <c r="AI60" s="61">
        <f>AI22/'Demographic-Economic'!D$29</f>
        <v>1572417.850120093</v>
      </c>
      <c r="AJ60" s="61">
        <f>AJ22/'Demographic-Economic'!E$29</f>
        <v>2074132.3760719206</v>
      </c>
      <c r="AK60" s="61">
        <f>AK22/'Demographic-Economic'!F$29</f>
        <v>415256.01804086968</v>
      </c>
      <c r="AL60" s="61">
        <f>AL22/'Demographic-Economic'!G$29</f>
        <v>512613.99588110374</v>
      </c>
      <c r="AM60" s="61">
        <f>AM22/'Demographic-Economic'!H$29</f>
        <v>120928.88352512238</v>
      </c>
    </row>
    <row r="61" spans="5:39">
      <c r="F61" s="581" t="s">
        <v>49</v>
      </c>
      <c r="G61" s="581"/>
      <c r="H61" s="581"/>
      <c r="I61" s="581"/>
      <c r="J61" s="581"/>
      <c r="K61" s="581"/>
      <c r="O61" s="581" t="s">
        <v>49</v>
      </c>
      <c r="P61" s="581"/>
      <c r="Q61" s="581"/>
      <c r="R61" s="581"/>
      <c r="S61" s="581"/>
      <c r="T61" s="581"/>
      <c r="X61" s="581" t="s">
        <v>49</v>
      </c>
      <c r="Y61" s="581"/>
      <c r="Z61" s="581"/>
      <c r="AA61" s="581"/>
      <c r="AB61" s="581"/>
      <c r="AC61" s="581"/>
      <c r="AH61" s="581" t="s">
        <v>49</v>
      </c>
      <c r="AI61" s="581"/>
      <c r="AJ61" s="581"/>
      <c r="AK61" s="581"/>
      <c r="AL61" s="581"/>
      <c r="AM61" s="581"/>
    </row>
    <row r="62" spans="5:39">
      <c r="E62">
        <v>2020</v>
      </c>
      <c r="F62" s="322" t="s">
        <v>240</v>
      </c>
      <c r="G62" s="322" t="s">
        <v>240</v>
      </c>
      <c r="H62" s="61">
        <f>H24-H43</f>
        <v>190769.1983805669</v>
      </c>
      <c r="I62" s="61">
        <f t="shared" ref="H62:K77" si="0">I24-I43</f>
        <v>92277.599999999977</v>
      </c>
      <c r="J62" s="61">
        <f t="shared" si="0"/>
        <v>59923.200000000012</v>
      </c>
      <c r="K62" s="61">
        <f t="shared" si="0"/>
        <v>19297.358490566039</v>
      </c>
      <c r="N62">
        <v>2020</v>
      </c>
      <c r="O62" t="s">
        <v>240</v>
      </c>
      <c r="P62" t="s">
        <v>240</v>
      </c>
      <c r="Q62" s="61">
        <f>Q24-Q43</f>
        <v>190769.1983805669</v>
      </c>
      <c r="R62" s="61">
        <f t="shared" ref="Q62:T77" si="1">R24-R43</f>
        <v>92277.599999999977</v>
      </c>
      <c r="S62" s="61">
        <f t="shared" si="1"/>
        <v>59923.200000000012</v>
      </c>
      <c r="T62" s="61">
        <f t="shared" si="1"/>
        <v>19297.358490566039</v>
      </c>
      <c r="W62">
        <v>2020</v>
      </c>
      <c r="X62" t="s">
        <v>240</v>
      </c>
      <c r="Y62" t="s">
        <v>240</v>
      </c>
      <c r="Z62" s="61">
        <f>Z24-Z43</f>
        <v>190769.1983805669</v>
      </c>
      <c r="AA62" s="61">
        <f t="shared" ref="AA62:AC62" si="2">AA24-AA43</f>
        <v>92277.599999999977</v>
      </c>
      <c r="AB62" s="61">
        <f t="shared" si="2"/>
        <v>59923.200000000012</v>
      </c>
      <c r="AC62" s="61">
        <f t="shared" si="2"/>
        <v>19297.358490566039</v>
      </c>
      <c r="AG62">
        <v>2020</v>
      </c>
      <c r="AH62" t="s">
        <v>240</v>
      </c>
      <c r="AI62" t="s">
        <v>240</v>
      </c>
      <c r="AJ62" s="61">
        <f>AJ24-AJ43</f>
        <v>190769.1983805669</v>
      </c>
      <c r="AK62" s="61">
        <f t="shared" ref="AK62:AM62" si="3">AK24-AK43</f>
        <v>92277.599999999977</v>
      </c>
      <c r="AL62" s="61">
        <f t="shared" si="3"/>
        <v>59923.200000000012</v>
      </c>
      <c r="AM62" s="61">
        <f t="shared" si="3"/>
        <v>19297.358490566039</v>
      </c>
    </row>
    <row r="63" spans="5:39">
      <c r="E63">
        <v>2021</v>
      </c>
      <c r="F63" s="322" t="s">
        <v>240</v>
      </c>
      <c r="G63" s="322" t="s">
        <v>240</v>
      </c>
      <c r="H63" s="61">
        <f t="shared" si="0"/>
        <v>213171.80045634089</v>
      </c>
      <c r="I63" s="61">
        <f t="shared" si="0"/>
        <v>88909.524725875177</v>
      </c>
      <c r="J63" s="61">
        <f t="shared" si="0"/>
        <v>60144.680820187437</v>
      </c>
      <c r="K63" s="61">
        <f t="shared" si="0"/>
        <v>20517.151602440426</v>
      </c>
      <c r="N63">
        <v>2021</v>
      </c>
      <c r="O63" t="s">
        <v>240</v>
      </c>
      <c r="P63" t="s">
        <v>240</v>
      </c>
      <c r="Q63" s="61">
        <f t="shared" si="1"/>
        <v>208697.16892340616</v>
      </c>
      <c r="R63" s="61">
        <f t="shared" si="1"/>
        <v>88012.371694002359</v>
      </c>
      <c r="S63" s="61">
        <f t="shared" si="1"/>
        <v>59022.789053256973</v>
      </c>
      <c r="T63" s="61">
        <f t="shared" si="1"/>
        <v>20259.693604780216</v>
      </c>
      <c r="W63">
        <v>2021</v>
      </c>
      <c r="X63" t="s">
        <v>240</v>
      </c>
      <c r="Y63" t="s">
        <v>240</v>
      </c>
      <c r="Z63" s="61">
        <f t="shared" ref="Z63:AC74" si="4">Z25-Z44</f>
        <v>204690.17148916493</v>
      </c>
      <c r="AA63" s="61">
        <f t="shared" si="4"/>
        <v>87208.978192129172</v>
      </c>
      <c r="AB63" s="61">
        <f t="shared" si="4"/>
        <v>58018.143777215853</v>
      </c>
      <c r="AC63" s="61">
        <f t="shared" si="4"/>
        <v>20029.141987634473</v>
      </c>
      <c r="AG63">
        <v>2021</v>
      </c>
      <c r="AH63" t="s">
        <v>240</v>
      </c>
      <c r="AI63" t="s">
        <v>240</v>
      </c>
      <c r="AJ63" s="61">
        <f t="shared" ref="AJ63:AM74" si="5">AJ25-AJ44</f>
        <v>212584.22253129655</v>
      </c>
      <c r="AK63" s="61">
        <f t="shared" si="5"/>
        <v>88791.716742572957</v>
      </c>
      <c r="AL63" s="61">
        <f t="shared" si="5"/>
        <v>59997.361687497818</v>
      </c>
      <c r="AM63" s="61">
        <f t="shared" si="5"/>
        <v>20483.343983882791</v>
      </c>
    </row>
    <row r="64" spans="5:39">
      <c r="E64">
        <v>2022</v>
      </c>
      <c r="F64" s="322" t="s">
        <v>240</v>
      </c>
      <c r="G64" s="322" t="s">
        <v>240</v>
      </c>
      <c r="H64" s="61">
        <f t="shared" si="0"/>
        <v>235996.70064033358</v>
      </c>
      <c r="I64" s="61">
        <f t="shared" si="0"/>
        <v>85690.719511091942</v>
      </c>
      <c r="J64" s="61">
        <f t="shared" si="0"/>
        <v>60452.983147645718</v>
      </c>
      <c r="K64" s="61">
        <f t="shared" si="0"/>
        <v>21770.627744031619</v>
      </c>
      <c r="N64">
        <v>2022</v>
      </c>
      <c r="O64" t="s">
        <v>240</v>
      </c>
      <c r="P64" t="s">
        <v>240</v>
      </c>
      <c r="Q64" s="61">
        <f t="shared" si="1"/>
        <v>227043.51121940673</v>
      </c>
      <c r="R64" s="61">
        <f t="shared" si="1"/>
        <v>83875.52434998512</v>
      </c>
      <c r="S64" s="61">
        <f t="shared" si="1"/>
        <v>58205.309486573795</v>
      </c>
      <c r="T64" s="61">
        <f t="shared" si="1"/>
        <v>21252.110134812567</v>
      </c>
      <c r="W64">
        <v>2022</v>
      </c>
      <c r="X64" t="s">
        <v>240</v>
      </c>
      <c r="Y64" t="s">
        <v>240</v>
      </c>
      <c r="Z64" s="61">
        <f t="shared" si="4"/>
        <v>219026.55356348632</v>
      </c>
      <c r="AA64" s="61">
        <f t="shared" si="4"/>
        <v>82249.517951237038</v>
      </c>
      <c r="AB64" s="61">
        <f t="shared" si="4"/>
        <v>56192.582027453813</v>
      </c>
      <c r="AC64" s="61">
        <f t="shared" si="4"/>
        <v>20787.706312687529</v>
      </c>
      <c r="AG64">
        <v>2022</v>
      </c>
      <c r="AH64" t="s">
        <v>240</v>
      </c>
      <c r="AI64" t="s">
        <v>240</v>
      </c>
      <c r="AJ64" s="61">
        <f t="shared" si="5"/>
        <v>234820.99318903079</v>
      </c>
      <c r="AK64" s="61">
        <f t="shared" si="5"/>
        <v>85452.393955489562</v>
      </c>
      <c r="AL64" s="61">
        <f t="shared" si="5"/>
        <v>60157.831018818775</v>
      </c>
      <c r="AM64" s="61">
        <f t="shared" si="5"/>
        <v>21702.544474831986</v>
      </c>
    </row>
    <row r="65" spans="2:39">
      <c r="E65">
        <v>2023</v>
      </c>
      <c r="F65" s="322" t="s">
        <v>240</v>
      </c>
      <c r="G65" s="322" t="s">
        <v>240</v>
      </c>
      <c r="H65" s="61">
        <f t="shared" si="0"/>
        <v>259275.90013979073</v>
      </c>
      <c r="I65" s="61">
        <f t="shared" si="0"/>
        <v>82606.649761236564</v>
      </c>
      <c r="J65" s="61">
        <f t="shared" si="0"/>
        <v>60843.404373215919</v>
      </c>
      <c r="K65" s="61">
        <f t="shared" si="0"/>
        <v>23058.75632971598</v>
      </c>
      <c r="N65">
        <v>2023</v>
      </c>
      <c r="O65" t="s">
        <v>240</v>
      </c>
      <c r="P65" t="s">
        <v>240</v>
      </c>
      <c r="Q65" s="61">
        <f t="shared" si="1"/>
        <v>245830.68605773104</v>
      </c>
      <c r="R65" s="61">
        <f t="shared" si="1"/>
        <v>79859.744344847102</v>
      </c>
      <c r="S65" s="61">
        <f t="shared" si="1"/>
        <v>57468.299244468159</v>
      </c>
      <c r="T65" s="61">
        <f t="shared" si="1"/>
        <v>22275.634199516731</v>
      </c>
      <c r="W65">
        <v>2023</v>
      </c>
      <c r="X65" t="s">
        <v>240</v>
      </c>
      <c r="Y65" t="s">
        <v>240</v>
      </c>
      <c r="Z65" s="61">
        <f t="shared" si="4"/>
        <v>233792.671415349</v>
      </c>
      <c r="AA65" s="61">
        <f t="shared" si="4"/>
        <v>77397.888650343346</v>
      </c>
      <c r="AB65" s="61">
        <f t="shared" si="4"/>
        <v>54446.277993362164</v>
      </c>
      <c r="AC65" s="61">
        <f t="shared" si="4"/>
        <v>21573.996238135805</v>
      </c>
      <c r="AG65">
        <v>2023</v>
      </c>
      <c r="AH65" t="s">
        <v>240</v>
      </c>
      <c r="AI65" t="s">
        <v>240</v>
      </c>
      <c r="AJ65" s="61">
        <f t="shared" si="5"/>
        <v>257510.23485716269</v>
      </c>
      <c r="AK65" s="61">
        <f t="shared" si="5"/>
        <v>82246.073989092198</v>
      </c>
      <c r="AL65" s="61">
        <f t="shared" si="5"/>
        <v>60400.185926912876</v>
      </c>
      <c r="AM65" s="61">
        <f t="shared" si="5"/>
        <v>22955.944908951977</v>
      </c>
    </row>
    <row r="66" spans="2:39">
      <c r="E66">
        <v>2024</v>
      </c>
      <c r="F66" s="322" t="s">
        <v>240</v>
      </c>
      <c r="G66" s="322" t="s">
        <v>240</v>
      </c>
      <c r="H66" s="61">
        <f t="shared" si="0"/>
        <v>283039.21786437673</v>
      </c>
      <c r="I66" s="61">
        <f t="shared" si="0"/>
        <v>79644.566406635626</v>
      </c>
      <c r="J66" s="61">
        <f t="shared" si="0"/>
        <v>61311.86410423182</v>
      </c>
      <c r="K66" s="61">
        <f t="shared" si="0"/>
        <v>24382.485257648892</v>
      </c>
      <c r="N66">
        <v>2024</v>
      </c>
      <c r="O66" t="s">
        <v>240</v>
      </c>
      <c r="P66" t="s">
        <v>240</v>
      </c>
      <c r="Q66" s="61">
        <f t="shared" si="1"/>
        <v>265080.95870403899</v>
      </c>
      <c r="R66" s="61">
        <f t="shared" si="1"/>
        <v>75958.02768443292</v>
      </c>
      <c r="S66" s="61">
        <f t="shared" si="1"/>
        <v>56809.414846841013</v>
      </c>
      <c r="T66" s="61">
        <f t="shared" si="1"/>
        <v>23331.285805863037</v>
      </c>
      <c r="W66">
        <v>2024</v>
      </c>
      <c r="X66" t="s">
        <v>240</v>
      </c>
      <c r="Y66" t="s">
        <v>240</v>
      </c>
      <c r="Z66" s="61">
        <f t="shared" si="4"/>
        <v>249003.72999374149</v>
      </c>
      <c r="AA66" s="61">
        <f t="shared" si="4"/>
        <v>72652.295090557309</v>
      </c>
      <c r="AB66" s="61">
        <f t="shared" si="4"/>
        <v>52778.792731106863</v>
      </c>
      <c r="AC66" s="61">
        <f t="shared" si="4"/>
        <v>22388.982442674824</v>
      </c>
      <c r="AG66">
        <v>2024</v>
      </c>
      <c r="AH66" t="s">
        <v>240</v>
      </c>
      <c r="AI66" t="s">
        <v>240</v>
      </c>
      <c r="AJ66" s="61">
        <f t="shared" si="5"/>
        <v>280680.79571196483</v>
      </c>
      <c r="AK66" s="61">
        <f t="shared" si="5"/>
        <v>79160.755163046299</v>
      </c>
      <c r="AL66" s="61">
        <f t="shared" si="5"/>
        <v>60720.553471145802</v>
      </c>
      <c r="AM66" s="61">
        <f t="shared" si="5"/>
        <v>24244.509008489636</v>
      </c>
    </row>
    <row r="67" spans="2:39">
      <c r="E67">
        <v>2025</v>
      </c>
      <c r="F67" s="322" t="s">
        <v>240</v>
      </c>
      <c r="G67" s="322" t="s">
        <v>240</v>
      </c>
      <c r="H67" s="61">
        <f t="shared" si="0"/>
        <v>307314.64703409374</v>
      </c>
      <c r="I67" s="61">
        <f t="shared" si="0"/>
        <v>76793.243360807654</v>
      </c>
      <c r="J67" s="61">
        <f t="shared" si="0"/>
        <v>61854.813057679217</v>
      </c>
      <c r="K67" s="61">
        <f t="shared" si="0"/>
        <v>25742.745959812964</v>
      </c>
      <c r="N67">
        <v>2025</v>
      </c>
      <c r="O67" t="s">
        <v>240</v>
      </c>
      <c r="P67" t="s">
        <v>240</v>
      </c>
      <c r="Q67" s="61">
        <f t="shared" si="1"/>
        <v>284816.38758382993</v>
      </c>
      <c r="R67" s="61">
        <f t="shared" si="1"/>
        <v>72163.690303407144</v>
      </c>
      <c r="S67" s="61">
        <f t="shared" si="1"/>
        <v>56226.435899449512</v>
      </c>
      <c r="T67" s="61">
        <f t="shared" si="1"/>
        <v>24420.079230626405</v>
      </c>
      <c r="W67">
        <v>2025</v>
      </c>
      <c r="X67" t="s">
        <v>240</v>
      </c>
      <c r="Y67" t="s">
        <v>240</v>
      </c>
      <c r="Z67" s="61">
        <f t="shared" si="4"/>
        <v>264675.73384847213</v>
      </c>
      <c r="AA67" s="61">
        <f t="shared" si="4"/>
        <v>68010.53643660096</v>
      </c>
      <c r="AB67" s="61">
        <f t="shared" si="4"/>
        <v>51189.511294786469</v>
      </c>
      <c r="AC67" s="61">
        <f t="shared" si="4"/>
        <v>23233.658217656703</v>
      </c>
      <c r="AG67">
        <v>2025</v>
      </c>
      <c r="AH67" t="s">
        <v>240</v>
      </c>
      <c r="AI67" t="s">
        <v>240</v>
      </c>
      <c r="AJ67" s="61">
        <f t="shared" si="5"/>
        <v>304359.93555573327</v>
      </c>
      <c r="AK67" s="61">
        <f t="shared" si="5"/>
        <v>76185.780537589977</v>
      </c>
      <c r="AL67" s="61">
        <f t="shared" si="5"/>
        <v>61115.535673484905</v>
      </c>
      <c r="AM67" s="61">
        <f t="shared" si="5"/>
        <v>25569.183921683158</v>
      </c>
    </row>
    <row r="68" spans="2:39">
      <c r="E68">
        <v>2026</v>
      </c>
      <c r="F68" s="322" t="s">
        <v>240</v>
      </c>
      <c r="G68" s="322" t="s">
        <v>240</v>
      </c>
      <c r="H68" s="61">
        <f t="shared" si="0"/>
        <v>332128.65175335063</v>
      </c>
      <c r="I68" s="61">
        <f t="shared" si="0"/>
        <v>74042.759696775698</v>
      </c>
      <c r="J68" s="61">
        <f t="shared" si="0"/>
        <v>62469.15747965395</v>
      </c>
      <c r="K68" s="61">
        <f t="shared" si="0"/>
        <v>27140.457641029629</v>
      </c>
      <c r="N68">
        <v>2026</v>
      </c>
      <c r="O68" t="s">
        <v>240</v>
      </c>
      <c r="P68" t="s">
        <v>240</v>
      </c>
      <c r="Q68" s="61">
        <f t="shared" si="1"/>
        <v>305058.82052276563</v>
      </c>
      <c r="R68" s="61">
        <f t="shared" si="1"/>
        <v>68470.372930511949</v>
      </c>
      <c r="S68" s="61">
        <f t="shared" si="1"/>
        <v>55717.267453281092</v>
      </c>
      <c r="T68" s="61">
        <f t="shared" si="1"/>
        <v>25543.023581725356</v>
      </c>
      <c r="W68">
        <v>2026</v>
      </c>
      <c r="X68" t="s">
        <v>240</v>
      </c>
      <c r="Y68" t="s">
        <v>240</v>
      </c>
      <c r="Z68" s="61">
        <f t="shared" si="4"/>
        <v>280825.40917959996</v>
      </c>
      <c r="AA68" s="61">
        <f t="shared" si="4"/>
        <v>63470.064661248412</v>
      </c>
      <c r="AB68" s="61">
        <f t="shared" si="4"/>
        <v>49677.668677385314</v>
      </c>
      <c r="AC68" s="61">
        <f t="shared" si="4"/>
        <v>24109.036387446729</v>
      </c>
      <c r="AG68">
        <v>2026</v>
      </c>
      <c r="AH68" t="s">
        <v>240</v>
      </c>
      <c r="AI68" t="s">
        <v>240</v>
      </c>
      <c r="AJ68" s="61">
        <f t="shared" si="5"/>
        <v>328573.56952948496</v>
      </c>
      <c r="AK68" s="61">
        <f t="shared" si="5"/>
        <v>73311.659618553647</v>
      </c>
      <c r="AL68" s="61">
        <f t="shared" si="5"/>
        <v>61582.146922824322</v>
      </c>
      <c r="AM68" s="61">
        <f t="shared" si="5"/>
        <v>26930.904191554859</v>
      </c>
    </row>
    <row r="69" spans="2:39">
      <c r="E69">
        <v>2027</v>
      </c>
      <c r="F69" s="322" t="s">
        <v>240</v>
      </c>
      <c r="G69" s="322" t="s">
        <v>240</v>
      </c>
      <c r="H69" s="61">
        <f t="shared" si="0"/>
        <v>357506.41512724012</v>
      </c>
      <c r="I69" s="61">
        <f t="shared" si="0"/>
        <v>71384.317931846716</v>
      </c>
      <c r="J69" s="61">
        <f t="shared" si="0"/>
        <v>63152.196100608213</v>
      </c>
      <c r="K69" s="61">
        <f t="shared" si="0"/>
        <v>28576.530861666455</v>
      </c>
      <c r="N69">
        <v>2027</v>
      </c>
      <c r="O69" t="s">
        <v>240</v>
      </c>
      <c r="P69" t="s">
        <v>240</v>
      </c>
      <c r="Q69" s="61">
        <f t="shared" si="1"/>
        <v>325829.8972609425</v>
      </c>
      <c r="R69" s="61">
        <f t="shared" si="1"/>
        <v>64872.041462363501</v>
      </c>
      <c r="S69" s="61">
        <f t="shared" si="1"/>
        <v>55279.940579525777</v>
      </c>
      <c r="T69" s="61">
        <f t="shared" si="1"/>
        <v>26701.123500585381</v>
      </c>
      <c r="W69">
        <v>2027</v>
      </c>
      <c r="X69" t="s">
        <v>240</v>
      </c>
      <c r="Y69" t="s">
        <v>240</v>
      </c>
      <c r="Z69" s="61">
        <f t="shared" si="4"/>
        <v>297470.12805736205</v>
      </c>
      <c r="AA69" s="61">
        <f t="shared" si="4"/>
        <v>59028.04138243146</v>
      </c>
      <c r="AB69" s="61">
        <f t="shared" si="4"/>
        <v>48242.37501626485</v>
      </c>
      <c r="AC69" s="61">
        <f t="shared" si="4"/>
        <v>25016.146485073856</v>
      </c>
      <c r="AG69">
        <v>2027</v>
      </c>
      <c r="AH69" t="s">
        <v>240</v>
      </c>
      <c r="AI69" t="s">
        <v>240</v>
      </c>
      <c r="AJ69" s="61">
        <f t="shared" si="5"/>
        <v>353346.47534939693</v>
      </c>
      <c r="AK69" s="61">
        <f t="shared" si="5"/>
        <v>70529.91722812457</v>
      </c>
      <c r="AL69" s="61">
        <f t="shared" si="5"/>
        <v>62117.760920597473</v>
      </c>
      <c r="AM69" s="61">
        <f t="shared" si="5"/>
        <v>28330.595162234778</v>
      </c>
    </row>
    <row r="70" spans="2:39">
      <c r="E70">
        <v>2028</v>
      </c>
      <c r="F70" s="322" t="s">
        <v>240</v>
      </c>
      <c r="G70" s="322" t="s">
        <v>240</v>
      </c>
      <c r="H70" s="61">
        <f t="shared" si="0"/>
        <v>383472.04802201036</v>
      </c>
      <c r="I70" s="61">
        <f t="shared" si="0"/>
        <v>68810.091651135241</v>
      </c>
      <c r="J70" s="61">
        <f t="shared" si="0"/>
        <v>63901.567275189795</v>
      </c>
      <c r="K70" s="61">
        <f t="shared" si="0"/>
        <v>30051.870586152669</v>
      </c>
      <c r="N70">
        <v>2028</v>
      </c>
      <c r="O70" t="s">
        <v>240</v>
      </c>
      <c r="P70" t="s">
        <v>240</v>
      </c>
      <c r="Q70" s="61">
        <f t="shared" si="1"/>
        <v>347151.05709365057</v>
      </c>
      <c r="R70" s="61">
        <f t="shared" si="1"/>
        <v>61362.983687995817</v>
      </c>
      <c r="S70" s="61">
        <f t="shared" si="1"/>
        <v>54912.611488405964</v>
      </c>
      <c r="T70" s="61">
        <f t="shared" si="1"/>
        <v>27895.379972014387</v>
      </c>
      <c r="W70">
        <v>2028</v>
      </c>
      <c r="X70" t="s">
        <v>240</v>
      </c>
      <c r="Y70" t="s">
        <v>240</v>
      </c>
      <c r="Z70" s="61">
        <f t="shared" si="4"/>
        <v>314627.83612730354</v>
      </c>
      <c r="AA70" s="61">
        <f t="shared" si="4"/>
        <v>54681.392170501756</v>
      </c>
      <c r="AB70" s="61">
        <f t="shared" si="4"/>
        <v>46882.639657348278</v>
      </c>
      <c r="AC70" s="61">
        <f t="shared" si="4"/>
        <v>25956.032212138554</v>
      </c>
      <c r="AG70">
        <v>2028</v>
      </c>
      <c r="AH70" t="s">
        <v>240</v>
      </c>
      <c r="AI70" t="s">
        <v>240</v>
      </c>
      <c r="AJ70" s="61">
        <f t="shared" si="5"/>
        <v>378702.47032834264</v>
      </c>
      <c r="AK70" s="61">
        <f t="shared" si="5"/>
        <v>67832.964889542025</v>
      </c>
      <c r="AL70" s="61">
        <f t="shared" si="5"/>
        <v>62720.065533267451</v>
      </c>
      <c r="AM70" s="61">
        <f t="shared" si="5"/>
        <v>29769.175918368303</v>
      </c>
    </row>
    <row r="71" spans="2:39">
      <c r="E71">
        <v>2029</v>
      </c>
      <c r="F71" s="322" t="s">
        <v>240</v>
      </c>
      <c r="G71" s="322" t="s">
        <v>240</v>
      </c>
      <c r="H71" s="61">
        <f t="shared" si="0"/>
        <v>410048.76567636942</v>
      </c>
      <c r="I71" s="61">
        <f t="shared" si="0"/>
        <v>66313.097109563008</v>
      </c>
      <c r="J71" s="61">
        <f t="shared" si="0"/>
        <v>64715.204445220879</v>
      </c>
      <c r="K71" s="61">
        <f t="shared" si="0"/>
        <v>31567.378794333126</v>
      </c>
      <c r="N71">
        <v>2029</v>
      </c>
      <c r="O71" t="s">
        <v>240</v>
      </c>
      <c r="P71" t="s">
        <v>240</v>
      </c>
      <c r="Q71" s="61">
        <f t="shared" si="1"/>
        <v>369043.5506272288</v>
      </c>
      <c r="R71" s="61">
        <f t="shared" si="1"/>
        <v>57937.803105448955</v>
      </c>
      <c r="S71" s="61">
        <f t="shared" si="1"/>
        <v>54613.559481512755</v>
      </c>
      <c r="T71" s="61">
        <f t="shared" si="1"/>
        <v>29126.791212942946</v>
      </c>
      <c r="W71">
        <v>2029</v>
      </c>
      <c r="X71" t="s">
        <v>240</v>
      </c>
      <c r="Y71" t="s">
        <v>240</v>
      </c>
      <c r="Z71" s="61">
        <f t="shared" si="4"/>
        <v>332316.98483933834</v>
      </c>
      <c r="AA71" s="61">
        <f t="shared" si="4"/>
        <v>50426.857600465941</v>
      </c>
      <c r="AB71" s="61">
        <f t="shared" si="4"/>
        <v>45597.393759749713</v>
      </c>
      <c r="AC71" s="61">
        <f t="shared" si="4"/>
        <v>26929.749200417369</v>
      </c>
      <c r="AG71">
        <v>2029</v>
      </c>
      <c r="AH71" t="s">
        <v>240</v>
      </c>
      <c r="AI71" t="s">
        <v>240</v>
      </c>
      <c r="AJ71" s="61">
        <f t="shared" si="5"/>
        <v>404664.56325847283</v>
      </c>
      <c r="AK71" s="61">
        <f t="shared" si="5"/>
        <v>65213.990954445733</v>
      </c>
      <c r="AL71" s="61">
        <f t="shared" si="5"/>
        <v>63387.024226816487</v>
      </c>
      <c r="AM71" s="61">
        <f t="shared" si="5"/>
        <v>31247.561835362299</v>
      </c>
    </row>
    <row r="72" spans="2:39">
      <c r="E72">
        <v>2030</v>
      </c>
      <c r="F72" s="322" t="s">
        <v>240</v>
      </c>
      <c r="G72" s="322" t="s">
        <v>240</v>
      </c>
      <c r="H72" s="61">
        <f t="shared" si="0"/>
        <v>437259.03790716827</v>
      </c>
      <c r="I72" s="61">
        <f t="shared" si="0"/>
        <v>63887.08454019326</v>
      </c>
      <c r="J72" s="61">
        <f t="shared" si="0"/>
        <v>65591.298442403669</v>
      </c>
      <c r="K72" s="61">
        <f t="shared" si="0"/>
        <v>33123.956733257044</v>
      </c>
      <c r="N72">
        <v>2030</v>
      </c>
      <c r="O72" t="s">
        <v>240</v>
      </c>
      <c r="P72" t="s">
        <v>240</v>
      </c>
      <c r="Q72" s="61">
        <f t="shared" si="1"/>
        <v>391528.45477022557</v>
      </c>
      <c r="R72" s="61">
        <f t="shared" si="1"/>
        <v>54591.410474306846</v>
      </c>
      <c r="S72" s="61">
        <f t="shared" si="1"/>
        <v>54381.183989853482</v>
      </c>
      <c r="T72" s="61">
        <f t="shared" si="1"/>
        <v>30396.353615889981</v>
      </c>
      <c r="W72">
        <v>2030</v>
      </c>
      <c r="X72" t="s">
        <v>240</v>
      </c>
      <c r="Y72" t="s">
        <v>240</v>
      </c>
      <c r="Z72" s="61">
        <f t="shared" si="4"/>
        <v>350556.46897084592</v>
      </c>
      <c r="AA72" s="61">
        <f t="shared" si="4"/>
        <v>46261.040515474451</v>
      </c>
      <c r="AB72" s="61">
        <f t="shared" si="4"/>
        <v>44385.511207456351</v>
      </c>
      <c r="AC72" s="61">
        <f t="shared" si="4"/>
        <v>27938.363082274009</v>
      </c>
      <c r="AG72">
        <v>2030</v>
      </c>
      <c r="AH72" t="s">
        <v>240</v>
      </c>
      <c r="AI72" t="s">
        <v>240</v>
      </c>
      <c r="AJ72" s="61">
        <f t="shared" si="5"/>
        <v>431255.08529038308</v>
      </c>
      <c r="AK72" s="61">
        <f t="shared" si="5"/>
        <v>62666.866400211875</v>
      </c>
      <c r="AL72" s="61">
        <f t="shared" si="5"/>
        <v>64116.843003900838</v>
      </c>
      <c r="AM72" s="61">
        <f t="shared" si="5"/>
        <v>32766.666804049484</v>
      </c>
    </row>
    <row r="73" spans="2:39">
      <c r="E73">
        <v>2040</v>
      </c>
      <c r="F73" s="322" t="s">
        <v>240</v>
      </c>
      <c r="G73" s="322" t="s">
        <v>240</v>
      </c>
      <c r="H73" s="61">
        <f t="shared" si="0"/>
        <v>846920.40798525885</v>
      </c>
      <c r="I73" s="61">
        <f t="shared" si="0"/>
        <v>56020.628835690499</v>
      </c>
      <c r="J73" s="61">
        <f t="shared" si="0"/>
        <v>94667.243796694907</v>
      </c>
      <c r="K73" s="61">
        <f t="shared" si="0"/>
        <v>57325.951414298412</v>
      </c>
      <c r="N73">
        <v>2040</v>
      </c>
      <c r="O73" t="s">
        <v>240</v>
      </c>
      <c r="P73" t="s">
        <v>240</v>
      </c>
      <c r="Q73" s="61">
        <f t="shared" si="1"/>
        <v>746849.45178079139</v>
      </c>
      <c r="R73" s="61">
        <f t="shared" si="1"/>
        <v>35821.685700771573</v>
      </c>
      <c r="S73" s="61">
        <f t="shared" si="1"/>
        <v>70001.257366303005</v>
      </c>
      <c r="T73" s="61">
        <f t="shared" si="1"/>
        <v>51427.919388594601</v>
      </c>
      <c r="W73">
        <v>2040</v>
      </c>
      <c r="X73" t="s">
        <v>240</v>
      </c>
      <c r="Y73" t="s">
        <v>240</v>
      </c>
      <c r="Z73" s="61">
        <f>Z35-Z54</f>
        <v>588992.76490358589</v>
      </c>
      <c r="AA73" s="61">
        <f t="shared" si="4"/>
        <v>8196.6856769081205</v>
      </c>
      <c r="AB73" s="61">
        <f t="shared" si="4"/>
        <v>38327.637800982571</v>
      </c>
      <c r="AC73" s="61">
        <f t="shared" si="4"/>
        <v>41202.640441819822</v>
      </c>
      <c r="AG73">
        <v>2040</v>
      </c>
      <c r="AH73" t="s">
        <v>240</v>
      </c>
      <c r="AI73" t="s">
        <v>240</v>
      </c>
      <c r="AJ73" s="61">
        <f>AJ35-AJ54</f>
        <v>781610.93438336998</v>
      </c>
      <c r="AK73" s="61">
        <f t="shared" si="5"/>
        <v>45951.06577161717</v>
      </c>
      <c r="AL73" s="61">
        <f t="shared" si="5"/>
        <v>83889.77449819888</v>
      </c>
      <c r="AM73" s="61">
        <f t="shared" si="5"/>
        <v>52842.036632318166</v>
      </c>
    </row>
    <row r="74" spans="2:39">
      <c r="E74">
        <v>2050</v>
      </c>
      <c r="F74" s="322" t="s">
        <v>240</v>
      </c>
      <c r="G74" s="322" t="s">
        <v>240</v>
      </c>
      <c r="H74" s="61">
        <f t="shared" si="0"/>
        <v>1411184.7218648433</v>
      </c>
      <c r="I74" s="61">
        <f t="shared" si="0"/>
        <v>59692.462180175353</v>
      </c>
      <c r="J74" s="61">
        <f t="shared" si="0"/>
        <v>142024.19967461296</v>
      </c>
      <c r="K74" s="61">
        <f t="shared" si="0"/>
        <v>90486.149906898499</v>
      </c>
      <c r="N74">
        <v>2050</v>
      </c>
      <c r="O74" t="s">
        <v>240</v>
      </c>
      <c r="P74" t="s">
        <v>240</v>
      </c>
      <c r="Q74" s="61">
        <f t="shared" si="1"/>
        <v>1245855.1272922922</v>
      </c>
      <c r="R74" s="61">
        <f t="shared" si="1"/>
        <v>26341.396843500261</v>
      </c>
      <c r="S74" s="61">
        <f t="shared" si="1"/>
        <v>101090.27605355438</v>
      </c>
      <c r="T74" s="61">
        <f t="shared" si="1"/>
        <v>80798.520456254744</v>
      </c>
      <c r="W74">
        <v>2050</v>
      </c>
      <c r="X74" t="s">
        <v>240</v>
      </c>
      <c r="Y74" t="s">
        <v>240</v>
      </c>
      <c r="Z74" s="61">
        <f>Z36-Z55</f>
        <v>998537.81865150388</v>
      </c>
      <c r="AA74" s="61">
        <f t="shared" si="4"/>
        <v>-18996.050891564926</v>
      </c>
      <c r="AB74" s="61">
        <f t="shared" si="4"/>
        <v>47690.227588768816</v>
      </c>
      <c r="AC74" s="61">
        <f t="shared" si="4"/>
        <v>65299.977549753734</v>
      </c>
      <c r="AG74">
        <v>2050</v>
      </c>
      <c r="AH74" t="s">
        <v>240</v>
      </c>
      <c r="AI74" t="s">
        <v>240</v>
      </c>
      <c r="AJ74" s="61">
        <f>AJ36-AJ55</f>
        <v>1333590.4468926182</v>
      </c>
      <c r="AK74" s="61">
        <f t="shared" si="5"/>
        <v>47213.552045498276</v>
      </c>
      <c r="AL74" s="61">
        <f t="shared" si="5"/>
        <v>128300.08659928432</v>
      </c>
      <c r="AM74" s="61">
        <f t="shared" si="5"/>
        <v>85274.707295833447</v>
      </c>
    </row>
    <row r="75" spans="2:39">
      <c r="E75">
        <v>2060</v>
      </c>
      <c r="F75" s="322" t="s">
        <v>240</v>
      </c>
      <c r="G75" s="322" t="s">
        <v>240</v>
      </c>
      <c r="H75" s="61">
        <f t="shared" si="0"/>
        <v>2140241.2376172817</v>
      </c>
      <c r="I75" s="61">
        <f t="shared" si="0"/>
        <v>73538.717468675808</v>
      </c>
      <c r="J75" s="61">
        <f t="shared" si="0"/>
        <v>206521.27124145592</v>
      </c>
      <c r="K75" s="61">
        <f t="shared" si="0"/>
        <v>133075.31683129995</v>
      </c>
      <c r="N75">
        <v>2060</v>
      </c>
      <c r="O75" t="s">
        <v>240</v>
      </c>
      <c r="P75" t="s">
        <v>240</v>
      </c>
      <c r="Q75" s="61">
        <f t="shared" si="1"/>
        <v>1906735.832080171</v>
      </c>
      <c r="R75" s="61">
        <f t="shared" si="1"/>
        <v>26448.309360446699</v>
      </c>
      <c r="S75" s="61">
        <f t="shared" si="1"/>
        <v>148585.82419493864</v>
      </c>
      <c r="T75" s="61">
        <f t="shared" si="1"/>
        <v>119430.6675966022</v>
      </c>
      <c r="W75">
        <v>2060</v>
      </c>
      <c r="X75" t="s">
        <v>240</v>
      </c>
      <c r="Y75" t="s">
        <v>240</v>
      </c>
      <c r="Z75" s="61">
        <f t="shared" ref="Z75:AC79" si="6">Z37-Z56</f>
        <v>1548444.589909086</v>
      </c>
      <c r="AA75" s="61">
        <f t="shared" si="6"/>
        <v>-40977.874067225726</v>
      </c>
      <c r="AB75" s="61">
        <f t="shared" si="6"/>
        <v>68020.107770619448</v>
      </c>
      <c r="AC75" s="61">
        <f t="shared" si="6"/>
        <v>97420.386297084042</v>
      </c>
      <c r="AG75">
        <v>2060</v>
      </c>
      <c r="AH75" t="s">
        <v>240</v>
      </c>
      <c r="AI75" t="s">
        <v>240</v>
      </c>
      <c r="AJ75" s="61">
        <f t="shared" ref="AJ75:AM79" si="7">AJ37-AJ56</f>
        <v>2048892.5442655608</v>
      </c>
      <c r="AK75" s="61">
        <f t="shared" si="7"/>
        <v>58291.744519529864</v>
      </c>
      <c r="AL75" s="61">
        <f t="shared" si="7"/>
        <v>189372.234509859</v>
      </c>
      <c r="AM75" s="61">
        <f t="shared" si="7"/>
        <v>127065.16904875776</v>
      </c>
    </row>
    <row r="76" spans="2:39">
      <c r="E76">
        <v>2070</v>
      </c>
      <c r="F76" s="322" t="s">
        <v>240</v>
      </c>
      <c r="G76" s="322" t="s">
        <v>240</v>
      </c>
      <c r="H76" s="61">
        <f t="shared" si="0"/>
        <v>3048038.0411513331</v>
      </c>
      <c r="I76" s="61">
        <f t="shared" si="0"/>
        <v>95910.850942731253</v>
      </c>
      <c r="J76" s="61">
        <f t="shared" si="0"/>
        <v>286524.64360256807</v>
      </c>
      <c r="K76" s="61">
        <f t="shared" si="0"/>
        <v>185838.08560689352</v>
      </c>
      <c r="N76">
        <v>2070</v>
      </c>
      <c r="O76" t="s">
        <v>240</v>
      </c>
      <c r="P76" t="s">
        <v>240</v>
      </c>
      <c r="Q76" s="61">
        <f t="shared" si="1"/>
        <v>2740746.2991492967</v>
      </c>
      <c r="R76" s="61">
        <f t="shared" si="1"/>
        <v>33950.974172099668</v>
      </c>
      <c r="S76" s="61">
        <f t="shared" si="1"/>
        <v>210183.50689717638</v>
      </c>
      <c r="T76" s="61">
        <f t="shared" si="1"/>
        <v>167912.33268397138</v>
      </c>
      <c r="W76">
        <v>2070</v>
      </c>
      <c r="X76" t="s">
        <v>240</v>
      </c>
      <c r="Y76" t="s">
        <v>240</v>
      </c>
      <c r="Z76" s="61">
        <f t="shared" si="6"/>
        <v>2252596.7036939641</v>
      </c>
      <c r="AA76" s="61">
        <f t="shared" si="6"/>
        <v>-59396.863720569876</v>
      </c>
      <c r="AB76" s="61">
        <f t="shared" si="6"/>
        <v>97693.328324103728</v>
      </c>
      <c r="AC76" s="61">
        <f t="shared" si="6"/>
        <v>138300.99869556303</v>
      </c>
      <c r="AG76">
        <v>2070</v>
      </c>
      <c r="AH76" t="s">
        <v>240</v>
      </c>
      <c r="AI76" t="s">
        <v>240</v>
      </c>
      <c r="AJ76" s="61">
        <f t="shared" si="7"/>
        <v>2941241.8356667566</v>
      </c>
      <c r="AK76" s="61">
        <f t="shared" si="7"/>
        <v>77503.10580402537</v>
      </c>
      <c r="AL76" s="61">
        <f t="shared" si="7"/>
        <v>265436.35016343812</v>
      </c>
      <c r="AM76" s="61">
        <f t="shared" si="7"/>
        <v>178942.60815491725</v>
      </c>
    </row>
    <row r="77" spans="2:39">
      <c r="E77">
        <v>2080</v>
      </c>
      <c r="F77" s="322" t="s">
        <v>240</v>
      </c>
      <c r="G77" s="322" t="s">
        <v>240</v>
      </c>
      <c r="H77" s="61">
        <f t="shared" si="0"/>
        <v>4158243.6845649071</v>
      </c>
      <c r="I77" s="61">
        <f t="shared" si="0"/>
        <v>126263.13218372531</v>
      </c>
      <c r="J77" s="61">
        <f t="shared" si="0"/>
        <v>381800.96484227269</v>
      </c>
      <c r="K77" s="61">
        <f t="shared" si="0"/>
        <v>250063.26720721158</v>
      </c>
      <c r="N77">
        <v>2080</v>
      </c>
      <c r="O77" t="s">
        <v>240</v>
      </c>
      <c r="P77" t="s">
        <v>240</v>
      </c>
      <c r="Q77" s="61">
        <f t="shared" si="1"/>
        <v>3774291.0658238642</v>
      </c>
      <c r="R77" s="61">
        <f t="shared" si="1"/>
        <v>48855.007180654677</v>
      </c>
      <c r="S77" s="61">
        <f t="shared" si="1"/>
        <v>286332.55343105586</v>
      </c>
      <c r="T77" s="61">
        <f t="shared" si="1"/>
        <v>227691.03791581909</v>
      </c>
      <c r="W77">
        <v>2080</v>
      </c>
      <c r="X77" t="s">
        <v>240</v>
      </c>
      <c r="Y77" t="s">
        <v>240</v>
      </c>
      <c r="Z77" s="61">
        <f t="shared" si="6"/>
        <v>3131883.7529503396</v>
      </c>
      <c r="AA77" s="61">
        <f t="shared" si="6"/>
        <v>-75349.787332382635</v>
      </c>
      <c r="AB77" s="61">
        <f t="shared" si="6"/>
        <v>135800.5327285626</v>
      </c>
      <c r="AC77" s="61">
        <f t="shared" si="6"/>
        <v>189066.91355637292</v>
      </c>
      <c r="AG77">
        <v>2080</v>
      </c>
      <c r="AH77" t="s">
        <v>240</v>
      </c>
      <c r="AI77" t="s">
        <v>240</v>
      </c>
      <c r="AJ77" s="61">
        <f t="shared" si="7"/>
        <v>4034232.3809460495</v>
      </c>
      <c r="AK77" s="61">
        <f t="shared" si="7"/>
        <v>104290.57426995982</v>
      </c>
      <c r="AL77" s="61">
        <f t="shared" si="7"/>
        <v>356247.0639204022</v>
      </c>
      <c r="AM77" s="61">
        <f t="shared" si="7"/>
        <v>242190.68653598957</v>
      </c>
    </row>
    <row r="78" spans="2:39">
      <c r="E78">
        <v>2090</v>
      </c>
      <c r="F78" s="322" t="s">
        <v>240</v>
      </c>
      <c r="G78" s="322" t="s">
        <v>240</v>
      </c>
      <c r="H78" s="61">
        <f t="shared" ref="H78:K79" si="8">H40-H59</f>
        <v>5499589.8790858705</v>
      </c>
      <c r="I78" s="61">
        <f t="shared" si="8"/>
        <v>164049.95412231132</v>
      </c>
      <c r="J78" s="61">
        <f t="shared" si="8"/>
        <v>492155.19415225217</v>
      </c>
      <c r="K78" s="61">
        <f t="shared" si="8"/>
        <v>327308.54703082726</v>
      </c>
      <c r="N78">
        <v>2090</v>
      </c>
      <c r="O78" t="s">
        <v>240</v>
      </c>
      <c r="P78" t="s">
        <v>240</v>
      </c>
      <c r="Q78" s="61">
        <f t="shared" ref="Q78:T79" si="9">Q40-Q59</f>
        <v>5033387.174266655</v>
      </c>
      <c r="R78" s="61">
        <f t="shared" si="9"/>
        <v>70067.675495833624</v>
      </c>
      <c r="S78" s="61">
        <f t="shared" si="9"/>
        <v>376161.34239571553</v>
      </c>
      <c r="T78" s="61">
        <f t="shared" si="9"/>
        <v>300166.78230622807</v>
      </c>
      <c r="W78">
        <v>2090</v>
      </c>
      <c r="X78" t="s">
        <v>240</v>
      </c>
      <c r="Y78" t="s">
        <v>240</v>
      </c>
      <c r="Z78" s="61">
        <f t="shared" si="6"/>
        <v>4209501.0175623819</v>
      </c>
      <c r="AA78" s="61">
        <f t="shared" si="6"/>
        <v>-90484.480725669884</v>
      </c>
      <c r="AB78" s="61">
        <f t="shared" si="6"/>
        <v>180791.38267497357</v>
      </c>
      <c r="AC78" s="61">
        <f t="shared" si="6"/>
        <v>250950.8924225996</v>
      </c>
      <c r="AG78">
        <v>2090</v>
      </c>
      <c r="AH78" t="s">
        <v>240</v>
      </c>
      <c r="AI78" t="s">
        <v>240</v>
      </c>
      <c r="AJ78" s="61">
        <f t="shared" si="7"/>
        <v>5353710.9216088876</v>
      </c>
      <c r="AK78" s="61">
        <f t="shared" si="7"/>
        <v>137534.5341063572</v>
      </c>
      <c r="AL78" s="61">
        <f t="shared" si="7"/>
        <v>460902.71833808278</v>
      </c>
      <c r="AM78" s="61">
        <f t="shared" si="7"/>
        <v>318198.0802629136</v>
      </c>
    </row>
    <row r="79" spans="2:39">
      <c r="E79">
        <v>2100</v>
      </c>
      <c r="F79" s="322" t="s">
        <v>240</v>
      </c>
      <c r="G79" s="322" t="s">
        <v>240</v>
      </c>
      <c r="H79" s="61">
        <f t="shared" si="8"/>
        <v>7098634.4172412157</v>
      </c>
      <c r="I79" s="61">
        <f t="shared" si="8"/>
        <v>207071.79678525502</v>
      </c>
      <c r="J79" s="61">
        <f t="shared" si="8"/>
        <v>615386.1255146116</v>
      </c>
      <c r="K79" s="61">
        <f t="shared" si="8"/>
        <v>418974.29412964033</v>
      </c>
      <c r="N79">
        <v>2100</v>
      </c>
      <c r="O79" t="s">
        <v>240</v>
      </c>
      <c r="P79" t="s">
        <v>240</v>
      </c>
      <c r="Q79" s="61">
        <f t="shared" si="9"/>
        <v>6541909.7221813742</v>
      </c>
      <c r="R79" s="61">
        <f t="shared" si="9"/>
        <v>94848.664073292341</v>
      </c>
      <c r="S79" s="61">
        <f t="shared" si="9"/>
        <v>476801.08807159727</v>
      </c>
      <c r="T79" s="61">
        <f t="shared" si="9"/>
        <v>386583.78578175884</v>
      </c>
      <c r="W79">
        <v>2100</v>
      </c>
      <c r="X79" t="s">
        <v>240</v>
      </c>
      <c r="Y79" t="s">
        <v>240</v>
      </c>
      <c r="Z79" s="61">
        <f t="shared" si="6"/>
        <v>5522950.2309622299</v>
      </c>
      <c r="AA79" s="61">
        <f t="shared" si="6"/>
        <v>-104795.07859041693</v>
      </c>
      <c r="AB79" s="61">
        <f t="shared" si="6"/>
        <v>233194.99689130229</v>
      </c>
      <c r="AC79" s="61">
        <f t="shared" si="6"/>
        <v>325988.14924184082</v>
      </c>
      <c r="AG79">
        <v>2100</v>
      </c>
      <c r="AH79" t="s">
        <v>240</v>
      </c>
      <c r="AI79" t="s">
        <v>240</v>
      </c>
      <c r="AJ79" s="61">
        <f>AJ41-AJ60</f>
        <v>6928747.7586643528</v>
      </c>
      <c r="AK79" s="61">
        <f t="shared" si="7"/>
        <v>175552.81802956952</v>
      </c>
      <c r="AL79" s="61">
        <f t="shared" si="7"/>
        <v>577848.63541322155</v>
      </c>
      <c r="AM79" s="61">
        <f t="shared" si="7"/>
        <v>408508.4224559493</v>
      </c>
    </row>
    <row r="80" spans="2:39">
      <c r="B80" s="61"/>
      <c r="F80" s="581" t="s">
        <v>284</v>
      </c>
      <c r="G80" s="581"/>
      <c r="H80" s="581"/>
      <c r="I80" s="581"/>
      <c r="J80" s="581"/>
      <c r="K80" s="581"/>
      <c r="O80" s="581" t="s">
        <v>284</v>
      </c>
      <c r="P80" s="581"/>
      <c r="Q80" s="581"/>
      <c r="R80" s="581"/>
      <c r="S80" s="581"/>
      <c r="T80" s="581"/>
      <c r="X80" s="581" t="s">
        <v>242</v>
      </c>
      <c r="Y80" s="581"/>
      <c r="Z80" s="581"/>
      <c r="AA80" s="581"/>
      <c r="AB80" s="581"/>
      <c r="AC80" s="581"/>
      <c r="AH80" s="581" t="s">
        <v>242</v>
      </c>
      <c r="AI80" s="581"/>
      <c r="AJ80" s="581"/>
      <c r="AK80" s="581"/>
      <c r="AL80" s="581"/>
      <c r="AM80" s="581"/>
    </row>
    <row r="81" spans="5:40">
      <c r="E81">
        <v>2020</v>
      </c>
      <c r="F81" s="61">
        <f>-F5*$C$4</f>
        <v>-15766.02</v>
      </c>
      <c r="G81" s="61">
        <f>-G5*$C$3</f>
        <v>-21061.74</v>
      </c>
      <c r="H81" s="61">
        <f>-(SUM($F81:$G81))*(H62/SUM($H62:$K62))</f>
        <v>19393.417927663519</v>
      </c>
      <c r="I81" s="61">
        <f t="shared" ref="I81:K81" si="10">-(SUM($F81:$G81))*(I62/SUM($H62:$K62))</f>
        <v>9380.854337877543</v>
      </c>
      <c r="J81" s="61">
        <f t="shared" si="10"/>
        <v>6091.7363548629774</v>
      </c>
      <c r="K81" s="61">
        <f t="shared" si="10"/>
        <v>1961.751379595964</v>
      </c>
      <c r="L81" s="61"/>
      <c r="M81" s="61"/>
      <c r="N81">
        <v>2020</v>
      </c>
      <c r="O81" s="61">
        <f t="shared" ref="O81:O91" si="11">-O5*$C$4</f>
        <v>-15766.02</v>
      </c>
      <c r="P81" s="61">
        <f t="shared" ref="P81:P91" si="12">-P5*$C$3</f>
        <v>-21061.74</v>
      </c>
      <c r="Q81" s="61">
        <f>-(SUM($F81:$G81))*(Q62/SUM($Q62:$T62))</f>
        <v>19393.417927663519</v>
      </c>
      <c r="R81" s="61">
        <f>-(SUM($F81:$G81))*(R62/SUM($Q62:$T62))</f>
        <v>9380.854337877543</v>
      </c>
      <c r="S81" s="61">
        <f>-(SUM($F81:$G81))*(S62/SUM($Q62:$T62))</f>
        <v>6091.7363548629774</v>
      </c>
      <c r="T81" s="61">
        <f>-(SUM($F81:$G81))*(T62/SUM($Q62:$T62))</f>
        <v>1961.751379595964</v>
      </c>
      <c r="U81" s="407"/>
      <c r="W81">
        <v>2020</v>
      </c>
      <c r="X81" s="61">
        <f t="shared" ref="X81:X91" si="13">-X5*$C$4</f>
        <v>-15766.02</v>
      </c>
      <c r="Y81" s="61">
        <f t="shared" ref="Y81:Y91" si="14">-Y5*$C$3</f>
        <v>-21061.74</v>
      </c>
      <c r="Z81" s="61">
        <f>-(SUM($X81:$Y81))*(Z62/SUM($Z62:$AC62))</f>
        <v>19393.417927663519</v>
      </c>
      <c r="AA81" s="61">
        <f t="shared" ref="AA81:AC81" si="15">-(SUM($X81:$Y81))*(AA62/SUM($Z62:$AC62))</f>
        <v>9380.854337877543</v>
      </c>
      <c r="AB81" s="61">
        <f t="shared" si="15"/>
        <v>6091.7363548629774</v>
      </c>
      <c r="AC81" s="61">
        <f t="shared" si="15"/>
        <v>1961.751379595964</v>
      </c>
      <c r="AD81" s="407"/>
      <c r="AG81">
        <v>2020</v>
      </c>
      <c r="AH81" s="61">
        <f t="shared" ref="AH81:AH91" si="16">-AH5*$C$4</f>
        <v>-15766.02</v>
      </c>
      <c r="AI81" s="61">
        <f t="shared" ref="AI81:AI91" si="17">-AI5*$C$3</f>
        <v>-21061.74</v>
      </c>
      <c r="AJ81" s="61">
        <f>-(SUM($AH81:$AI81))*(AJ62/SUM($AJ62:$AM62))</f>
        <v>19393.417927663519</v>
      </c>
      <c r="AK81" s="61">
        <f t="shared" ref="AK81:AM81" si="18">-(SUM($AH81:$AI81))*(AK62/SUM($AJ62:$AM62))</f>
        <v>9380.854337877543</v>
      </c>
      <c r="AL81" s="61">
        <f>-(SUM($AH81:$AI81))*(AL62/SUM($AJ62:$AM62))</f>
        <v>6091.7363548629774</v>
      </c>
      <c r="AM81" s="61">
        <f t="shared" si="18"/>
        <v>1961.751379595964</v>
      </c>
      <c r="AN81" s="407"/>
    </row>
    <row r="82" spans="5:40">
      <c r="E82">
        <v>2021</v>
      </c>
      <c r="F82" s="61">
        <f t="shared" ref="F82:F91" si="19">-F6*$C$4</f>
        <v>-15846.025271675464</v>
      </c>
      <c r="G82" s="61">
        <f t="shared" ref="G82:G91" si="20">-G6*$C$3</f>
        <v>-21142.124714802114</v>
      </c>
      <c r="H82" s="61">
        <f>-SUM($F82:$G82)*(MAX(H63,0)/SUM(MAX($H63,0)+MAX($I63,0)+MAX($J63,0)+MAX($K63,0)))</f>
        <v>20600.839940572241</v>
      </c>
      <c r="I82" s="61">
        <f t="shared" ref="H82:K97" si="21">-SUM($F82:$G82)*(MAX(I63,0)/SUM(MAX($H63,0)+MAX($I63,0)+MAX($J63,0)+MAX($K63,0)))</f>
        <v>8592.1819121907338</v>
      </c>
      <c r="J82" s="61">
        <f t="shared" si="21"/>
        <v>5812.3585774528792</v>
      </c>
      <c r="K82" s="61">
        <f t="shared" si="21"/>
        <v>1982.769556261718</v>
      </c>
      <c r="L82" s="61"/>
      <c r="M82" s="61"/>
      <c r="N82">
        <v>2021</v>
      </c>
      <c r="O82" s="61">
        <f t="shared" si="11"/>
        <v>-15880.807916639291</v>
      </c>
      <c r="P82" s="61">
        <f t="shared" si="12"/>
        <v>-21188.532505091982</v>
      </c>
      <c r="Q82" s="61">
        <f t="shared" ref="Q82:T91" si="22">-SUM($O82:$P82)*(MAX(Q63,0)/SUM(MAX($Q63,0)+MAX($R63,0)+MAX($S63,0)+MAX($T63,0)))</f>
        <v>20575.613100722181</v>
      </c>
      <c r="R82" s="61">
        <f t="shared" si="22"/>
        <v>8677.2068705798574</v>
      </c>
      <c r="S82" s="61">
        <f t="shared" si="22"/>
        <v>5819.1018016687294</v>
      </c>
      <c r="T82" s="61">
        <f t="shared" si="22"/>
        <v>1997.4186487605068</v>
      </c>
      <c r="U82" s="407"/>
      <c r="W82">
        <v>2021</v>
      </c>
      <c r="X82" s="61">
        <f t="shared" si="13"/>
        <v>-15911.955502334416</v>
      </c>
      <c r="Y82" s="61">
        <f t="shared" si="14"/>
        <v>-21230.090317227274</v>
      </c>
      <c r="Z82" s="61">
        <f>-SUM($X82:$Y82)*(MAX(Z63,0)/SUM(MAX($Z63,0)+MAX($AA63,0)+MAX($AB63,0)+MAX($AC63,0)))</f>
        <v>20550.574353003238</v>
      </c>
      <c r="AA82" s="61">
        <f t="shared" ref="AA82:AC82" si="23">-SUM($X82:$Y82)*(MAX(AA63,0)/SUM(MAX($Z63,0)+MAX($AA63,0)+MAX($AB63,0)+MAX($AC63,0)))</f>
        <v>8755.6455571275746</v>
      </c>
      <c r="AB82" s="61">
        <f t="shared" si="23"/>
        <v>5824.9312550896957</v>
      </c>
      <c r="AC82" s="61">
        <f t="shared" si="23"/>
        <v>2010.8946543411807</v>
      </c>
      <c r="AD82" s="407"/>
      <c r="AG82">
        <v>2021</v>
      </c>
      <c r="AH82" s="61">
        <f t="shared" si="16"/>
        <v>-15850.592690066227</v>
      </c>
      <c r="AI82" s="61">
        <f t="shared" si="17"/>
        <v>-21148.218667549667</v>
      </c>
      <c r="AJ82" s="61">
        <f>-SUM($AH82:$AI82)*(MAX(AJ63,0)/SUM(MAX($AJ63,0)+MAX($AK63,0)+MAX($AL63,0)+MAX($AM63,0)))</f>
        <v>20597.686726568812</v>
      </c>
      <c r="AK82" s="61">
        <f t="shared" ref="AK82:AM82" si="24">-SUM($AH82:$AI82)*(MAX(AK63,0)/SUM(MAX($AJ63,0)+MAX($AK63,0)+MAX($AL63,0)+MAX($AM63,0)))</f>
        <v>8603.1970933708526</v>
      </c>
      <c r="AL82" s="61">
        <f t="shared" si="24"/>
        <v>5813.2576620439804</v>
      </c>
      <c r="AM82" s="61">
        <f t="shared" si="24"/>
        <v>1984.6698756322446</v>
      </c>
      <c r="AN82" s="407"/>
    </row>
    <row r="83" spans="5:40">
      <c r="E83">
        <v>2022</v>
      </c>
      <c r="F83" s="61">
        <f>-F7*$C$4</f>
        <v>-15925.805895765488</v>
      </c>
      <c r="G83" s="61">
        <f t="shared" si="20"/>
        <v>-21221.975870155213</v>
      </c>
      <c r="H83" s="61">
        <f t="shared" si="21"/>
        <v>21704.66577806561</v>
      </c>
      <c r="I83" s="61">
        <f t="shared" si="21"/>
        <v>7880.9933453465728</v>
      </c>
      <c r="J83" s="61">
        <f t="shared" si="21"/>
        <v>5559.8734683430293</v>
      </c>
      <c r="K83" s="61">
        <f t="shared" si="21"/>
        <v>2002.2491741654919</v>
      </c>
      <c r="L83" s="61"/>
      <c r="M83" s="61"/>
      <c r="N83">
        <v>2022</v>
      </c>
      <c r="O83" s="61">
        <f t="shared" si="11"/>
        <v>-15995.284229080733</v>
      </c>
      <c r="P83" s="61">
        <f t="shared" si="12"/>
        <v>-21314.559411783506</v>
      </c>
      <c r="Q83" s="61">
        <f t="shared" si="22"/>
        <v>21699.459049417019</v>
      </c>
      <c r="R83" s="61">
        <f t="shared" si="22"/>
        <v>8016.3202907924006</v>
      </c>
      <c r="S83" s="61">
        <f t="shared" si="22"/>
        <v>5562.9148918596975</v>
      </c>
      <c r="T83" s="61">
        <f t="shared" si="22"/>
        <v>2031.1494087951178</v>
      </c>
      <c r="U83" s="407"/>
      <c r="W83">
        <v>2022</v>
      </c>
      <c r="X83" s="61">
        <f t="shared" si="13"/>
        <v>-16057.501531506743</v>
      </c>
      <c r="Y83" s="61">
        <f t="shared" si="14"/>
        <v>-21397.467246993408</v>
      </c>
      <c r="Z83" s="61">
        <f t="shared" ref="Z83:AC98" si="25">-SUM($X83:$Y83)*(MAX(Z64,0)/SUM(MAX($Z64,0)+MAX($AA64,0)+MAX($AB64,0)+MAX($AC64,0)))</f>
        <v>21688.023245744153</v>
      </c>
      <c r="AA83" s="61">
        <f t="shared" si="25"/>
        <v>8144.3524917659124</v>
      </c>
      <c r="AB83" s="61">
        <f t="shared" si="25"/>
        <v>5564.1930415370998</v>
      </c>
      <c r="AC83" s="61">
        <f t="shared" si="25"/>
        <v>2058.3999994529859</v>
      </c>
      <c r="AD83" s="407"/>
      <c r="AG83">
        <v>2022</v>
      </c>
      <c r="AH83" s="61">
        <f t="shared" si="16"/>
        <v>-15934.929314001036</v>
      </c>
      <c r="AI83" s="61">
        <f t="shared" si="17"/>
        <v>-21234.133305886582</v>
      </c>
      <c r="AJ83" s="61">
        <f t="shared" ref="AJ83:AM98" si="26">-SUM($AH83:$AI83)*(MAX(AJ64,0)/SUM(MAX($AJ64,0)+MAX($AK64,0)+MAX($AL64,0)+MAX($AM64,0)))</f>
        <v>21704.410351041755</v>
      </c>
      <c r="AK83" s="61">
        <f t="shared" si="26"/>
        <v>7898.3305483074855</v>
      </c>
      <c r="AL83" s="61">
        <f t="shared" si="26"/>
        <v>5560.3642269326028</v>
      </c>
      <c r="AM83" s="61">
        <f t="shared" si="26"/>
        <v>2005.957493605777</v>
      </c>
      <c r="AN83" s="407"/>
    </row>
    <row r="84" spans="5:40">
      <c r="E84">
        <v>2023</v>
      </c>
      <c r="F84" s="61">
        <f t="shared" si="19"/>
        <v>-16005.362308880796</v>
      </c>
      <c r="G84" s="61">
        <f t="shared" si="20"/>
        <v>-21301.295631452078</v>
      </c>
      <c r="H84" s="61">
        <f>-SUM($F84:$G84)*(MAX(H65,0)/SUM(MAX($H65,0)+MAX($I65,0)+MAX($J65,0)+MAX($K65,0)))</f>
        <v>22717.38998088189</v>
      </c>
      <c r="I84" s="61">
        <f t="shared" si="21"/>
        <v>7237.8785557328956</v>
      </c>
      <c r="J84" s="61">
        <f t="shared" si="21"/>
        <v>5331.0135811527962</v>
      </c>
      <c r="K84" s="61">
        <f t="shared" si="21"/>
        <v>2020.3758225652937</v>
      </c>
      <c r="L84" s="61"/>
      <c r="M84" s="61"/>
      <c r="N84">
        <v>2023</v>
      </c>
      <c r="O84" s="61">
        <f t="shared" si="11"/>
        <v>-16109.449536978698</v>
      </c>
      <c r="P84" s="61">
        <f t="shared" si="12"/>
        <v>-21439.823755613415</v>
      </c>
      <c r="Q84" s="61">
        <f t="shared" si="22"/>
        <v>22767.590608033777</v>
      </c>
      <c r="R84" s="61">
        <f t="shared" si="22"/>
        <v>7396.2042512411517</v>
      </c>
      <c r="S84" s="61">
        <f t="shared" si="22"/>
        <v>5322.4222375182189</v>
      </c>
      <c r="T84" s="61">
        <f t="shared" si="22"/>
        <v>2063.0561957989685</v>
      </c>
      <c r="U84" s="407"/>
      <c r="W84">
        <v>2023</v>
      </c>
      <c r="X84" s="61">
        <f t="shared" si="13"/>
        <v>-16202.65883317567</v>
      </c>
      <c r="Y84" s="61">
        <f t="shared" si="14"/>
        <v>-21563.874604046232</v>
      </c>
      <c r="Z84" s="61">
        <f t="shared" si="25"/>
        <v>22802.922749853642</v>
      </c>
      <c r="AA84" s="61">
        <f t="shared" si="25"/>
        <v>7548.9880209294024</v>
      </c>
      <c r="AB84" s="61">
        <f t="shared" si="25"/>
        <v>5310.4071380151245</v>
      </c>
      <c r="AC84" s="61">
        <f t="shared" si="25"/>
        <v>2104.2155284237292</v>
      </c>
      <c r="AD84" s="407"/>
      <c r="AG84">
        <v>2023</v>
      </c>
      <c r="AH84" s="61">
        <f t="shared" si="16"/>
        <v>-16019.030329824931</v>
      </c>
      <c r="AI84" s="61">
        <f t="shared" si="17"/>
        <v>-21319.486194665144</v>
      </c>
      <c r="AJ84" s="61">
        <f t="shared" si="26"/>
        <v>22724.574504742006</v>
      </c>
      <c r="AK84" s="61">
        <f t="shared" si="26"/>
        <v>7257.9912682863305</v>
      </c>
      <c r="AL84" s="61">
        <f t="shared" si="26"/>
        <v>5330.1513470241125</v>
      </c>
      <c r="AM84" s="61">
        <f t="shared" si="26"/>
        <v>2025.7994044376212</v>
      </c>
      <c r="AN84" s="407"/>
    </row>
    <row r="85" spans="5:40">
      <c r="E85">
        <v>2024</v>
      </c>
      <c r="F85" s="61">
        <f t="shared" si="19"/>
        <v>-16084.694946891608</v>
      </c>
      <c r="G85" s="61">
        <f t="shared" si="20"/>
        <v>-21380.086156593272</v>
      </c>
      <c r="H85" s="61">
        <f t="shared" si="21"/>
        <v>23649.686605084102</v>
      </c>
      <c r="I85" s="61">
        <f t="shared" si="21"/>
        <v>6654.7987573131559</v>
      </c>
      <c r="J85" s="61">
        <f t="shared" si="21"/>
        <v>5122.9874862549414</v>
      </c>
      <c r="K85" s="61">
        <f t="shared" si="21"/>
        <v>2037.3082548326784</v>
      </c>
      <c r="L85" s="61"/>
      <c r="M85" s="61"/>
      <c r="N85">
        <v>2024</v>
      </c>
      <c r="O85" s="61">
        <f t="shared" si="11"/>
        <v>-16223.304438975314</v>
      </c>
      <c r="P85" s="61">
        <f t="shared" si="12"/>
        <v>-21564.328561727856</v>
      </c>
      <c r="Q85" s="61">
        <f t="shared" si="22"/>
        <v>23782.680625819223</v>
      </c>
      <c r="R85" s="61">
        <f t="shared" si="22"/>
        <v>6814.8444996493736</v>
      </c>
      <c r="S85" s="61">
        <f t="shared" si="22"/>
        <v>5096.8586217864249</v>
      </c>
      <c r="T85" s="61">
        <f t="shared" si="22"/>
        <v>2093.2492534481512</v>
      </c>
      <c r="U85" s="407"/>
      <c r="W85">
        <v>2024</v>
      </c>
      <c r="X85" s="61">
        <f t="shared" si="13"/>
        <v>-16347.428151744278</v>
      </c>
      <c r="Y85" s="61">
        <f t="shared" si="14"/>
        <v>-21729.316190143498</v>
      </c>
      <c r="Z85" s="61">
        <f t="shared" si="25"/>
        <v>23892.849574501</v>
      </c>
      <c r="AA85" s="61">
        <f t="shared" si="25"/>
        <v>6971.2624701829682</v>
      </c>
      <c r="AB85" s="61">
        <f t="shared" si="25"/>
        <v>5064.3247612387095</v>
      </c>
      <c r="AC85" s="61">
        <f t="shared" si="25"/>
        <v>2148.3075359650984</v>
      </c>
      <c r="AD85" s="407"/>
      <c r="AG85">
        <v>2024</v>
      </c>
      <c r="AH85" s="61">
        <f t="shared" si="16"/>
        <v>-16102.896194782212</v>
      </c>
      <c r="AI85" s="61">
        <f t="shared" si="17"/>
        <v>-21404.279605666656</v>
      </c>
      <c r="AJ85" s="61">
        <f t="shared" si="26"/>
        <v>23667.687557929527</v>
      </c>
      <c r="AK85" s="61">
        <f t="shared" si="26"/>
        <v>6675.0274641923816</v>
      </c>
      <c r="AL85" s="61">
        <f t="shared" si="26"/>
        <v>5120.1047946807248</v>
      </c>
      <c r="AM85" s="61">
        <f t="shared" si="26"/>
        <v>2044.3559836462302</v>
      </c>
      <c r="AN85" s="407"/>
    </row>
    <row r="86" spans="5:40">
      <c r="E86">
        <v>2025</v>
      </c>
      <c r="F86" s="61">
        <f t="shared" si="19"/>
        <v>-16163.804244928786</v>
      </c>
      <c r="G86" s="61">
        <f t="shared" si="20"/>
        <v>-21458.349596011067</v>
      </c>
      <c r="H86" s="61">
        <f t="shared" si="21"/>
        <v>24510.717318812953</v>
      </c>
      <c r="I86" s="61">
        <f t="shared" si="21"/>
        <v>6124.8544388538276</v>
      </c>
      <c r="J86" s="61">
        <f t="shared" si="21"/>
        <v>4933.3992124905053</v>
      </c>
      <c r="K86" s="61">
        <f t="shared" si="21"/>
        <v>2053.1828707825607</v>
      </c>
      <c r="L86" s="61"/>
      <c r="M86" s="61"/>
      <c r="N86">
        <v>2025</v>
      </c>
      <c r="O86" s="61">
        <f t="shared" si="11"/>
        <v>-16336.849532702036</v>
      </c>
      <c r="P86" s="61">
        <f t="shared" si="12"/>
        <v>-21688.076844913248</v>
      </c>
      <c r="Q86" s="61">
        <f t="shared" si="22"/>
        <v>24747.404161028717</v>
      </c>
      <c r="R86" s="61">
        <f t="shared" si="22"/>
        <v>6270.2291284559342</v>
      </c>
      <c r="S86" s="61">
        <f t="shared" si="22"/>
        <v>4885.4574188723727</v>
      </c>
      <c r="T86" s="61">
        <f t="shared" si="22"/>
        <v>2121.8356692582565</v>
      </c>
      <c r="U86" s="407"/>
      <c r="W86">
        <v>2025</v>
      </c>
      <c r="X86" s="61">
        <f t="shared" si="13"/>
        <v>-16491.81023036204</v>
      </c>
      <c r="Y86" s="61">
        <f t="shared" si="14"/>
        <v>-21893.795794093996</v>
      </c>
      <c r="Z86" s="61">
        <f t="shared" si="25"/>
        <v>24955.79185978683</v>
      </c>
      <c r="AA86" s="61">
        <f t="shared" si="25"/>
        <v>6412.5893481264438</v>
      </c>
      <c r="AB86" s="61">
        <f t="shared" si="25"/>
        <v>4826.5655891531687</v>
      </c>
      <c r="AC86" s="61">
        <f t="shared" si="25"/>
        <v>2190.6592273895894</v>
      </c>
      <c r="AD86" s="407"/>
      <c r="AG86">
        <v>2025</v>
      </c>
      <c r="AH86" s="61">
        <f t="shared" si="16"/>
        <v>-16186.527365342208</v>
      </c>
      <c r="AI86" s="61">
        <f t="shared" si="17"/>
        <v>-21488.51580282444</v>
      </c>
      <c r="AJ86" s="61">
        <f t="shared" si="26"/>
        <v>24542.009327422584</v>
      </c>
      <c r="AK86" s="61">
        <f t="shared" si="26"/>
        <v>6143.2268775997327</v>
      </c>
      <c r="AL86" s="61">
        <f t="shared" si="26"/>
        <v>4928.0403605370002</v>
      </c>
      <c r="AM86" s="61">
        <f t="shared" si="26"/>
        <v>2061.7666026073348</v>
      </c>
      <c r="AN86" s="407"/>
    </row>
    <row r="87" spans="5:40">
      <c r="E87">
        <v>2026</v>
      </c>
      <c r="F87" s="61">
        <f t="shared" si="19"/>
        <v>-16242.690637385016</v>
      </c>
      <c r="G87" s="61">
        <f t="shared" si="20"/>
        <v>-21536.088092693291</v>
      </c>
      <c r="H87" s="61">
        <f t="shared" si="21"/>
        <v>25308.380458397765</v>
      </c>
      <c r="I87" s="61">
        <f t="shared" si="21"/>
        <v>5642.097791633284</v>
      </c>
      <c r="J87" s="61">
        <f t="shared" si="21"/>
        <v>4760.1831280269753</v>
      </c>
      <c r="K87" s="61">
        <f t="shared" si="21"/>
        <v>2068.1173520202842</v>
      </c>
      <c r="L87" s="61"/>
      <c r="M87" s="61"/>
      <c r="N87">
        <v>2026</v>
      </c>
      <c r="O87" s="61">
        <f t="shared" si="11"/>
        <v>-16450.085414781253</v>
      </c>
      <c r="P87" s="61">
        <f t="shared" si="12"/>
        <v>-21811.071609629202</v>
      </c>
      <c r="Q87" s="61">
        <f t="shared" si="22"/>
        <v>25664.409208660283</v>
      </c>
      <c r="R87" s="61">
        <f t="shared" si="22"/>
        <v>5760.3699724102762</v>
      </c>
      <c r="S87" s="61">
        <f t="shared" si="22"/>
        <v>4687.4591249613195</v>
      </c>
      <c r="T87" s="61">
        <f t="shared" si="22"/>
        <v>2148.918718378568</v>
      </c>
      <c r="U87" s="407"/>
      <c r="W87">
        <v>2026</v>
      </c>
      <c r="X87" s="61">
        <f t="shared" si="13"/>
        <v>-16635.805810926773</v>
      </c>
      <c r="Y87" s="61">
        <f t="shared" si="14"/>
        <v>-22057.317191798556</v>
      </c>
      <c r="Z87" s="61">
        <f t="shared" si="25"/>
        <v>25990.13459056888</v>
      </c>
      <c r="AA87" s="61">
        <f t="shared" si="25"/>
        <v>5874.0963926201157</v>
      </c>
      <c r="AB87" s="61">
        <f t="shared" si="25"/>
        <v>4597.6227679782332</v>
      </c>
      <c r="AC87" s="61">
        <f t="shared" si="25"/>
        <v>2231.2692515580998</v>
      </c>
      <c r="AD87" s="407"/>
      <c r="AG87">
        <v>2026</v>
      </c>
      <c r="AH87" s="61">
        <f t="shared" si="16"/>
        <v>-16269.924297200499</v>
      </c>
      <c r="AI87" s="61">
        <f t="shared" si="17"/>
        <v>-21572.197042248896</v>
      </c>
      <c r="AJ87" s="61">
        <f t="shared" si="26"/>
        <v>25354.739988927467</v>
      </c>
      <c r="AK87" s="61">
        <f t="shared" si="26"/>
        <v>5657.1746487307755</v>
      </c>
      <c r="AL87" s="61">
        <f t="shared" si="26"/>
        <v>4752.0539324695328</v>
      </c>
      <c r="AM87" s="61">
        <f t="shared" si="26"/>
        <v>2078.1527693216235</v>
      </c>
      <c r="AN87" s="407"/>
    </row>
    <row r="88" spans="5:40">
      <c r="E88">
        <v>2027</v>
      </c>
      <c r="F88" s="61">
        <f t="shared" si="19"/>
        <v>-16321.354557915973</v>
      </c>
      <c r="G88" s="61">
        <f t="shared" si="20"/>
        <v>-21613.303782207127</v>
      </c>
      <c r="H88" s="61">
        <f t="shared" si="21"/>
        <v>26049.513615371994</v>
      </c>
      <c r="I88" s="61">
        <f t="shared" si="21"/>
        <v>5201.3801241240953</v>
      </c>
      <c r="J88" s="61">
        <f t="shared" si="21"/>
        <v>4601.5509723872619</v>
      </c>
      <c r="K88" s="61">
        <f t="shared" si="21"/>
        <v>2082.2136282397541</v>
      </c>
      <c r="L88" s="61"/>
      <c r="M88" s="61"/>
      <c r="N88">
        <v>2027</v>
      </c>
      <c r="O88" s="61">
        <f t="shared" si="11"/>
        <v>-16563.012680827876</v>
      </c>
      <c r="P88" s="61">
        <f t="shared" si="12"/>
        <v>-21933.31585004129</v>
      </c>
      <c r="Q88" s="61">
        <f t="shared" si="22"/>
        <v>26536.293236152542</v>
      </c>
      <c r="R88" s="61">
        <f t="shared" si="22"/>
        <v>5283.3197000779855</v>
      </c>
      <c r="S88" s="61">
        <f t="shared" si="22"/>
        <v>4502.1182083870908</v>
      </c>
      <c r="T88" s="61">
        <f t="shared" si="22"/>
        <v>2174.5973862515525</v>
      </c>
      <c r="U88" s="407"/>
      <c r="W88">
        <v>2027</v>
      </c>
      <c r="X88" s="61">
        <f t="shared" si="13"/>
        <v>-16779.415634086607</v>
      </c>
      <c r="Y88" s="61">
        <f t="shared" si="14"/>
        <v>-22219.884146290882</v>
      </c>
      <c r="Z88" s="61">
        <f t="shared" si="25"/>
        <v>26994.63893025335</v>
      </c>
      <c r="AA88" s="61">
        <f t="shared" si="25"/>
        <v>5356.6409315947249</v>
      </c>
      <c r="AB88" s="61">
        <f t="shared" si="25"/>
        <v>4377.8698157242234</v>
      </c>
      <c r="AC88" s="61">
        <f t="shared" si="25"/>
        <v>2270.1501028051957</v>
      </c>
      <c r="AD88" s="407"/>
      <c r="AG88">
        <v>2027</v>
      </c>
      <c r="AH88" s="61">
        <f t="shared" si="16"/>
        <v>-16353.087445280138</v>
      </c>
      <c r="AI88" s="61">
        <f t="shared" si="17"/>
        <v>-21655.325572252466</v>
      </c>
      <c r="AJ88" s="61">
        <f t="shared" si="26"/>
        <v>26112.176807261094</v>
      </c>
      <c r="AK88" s="61">
        <f t="shared" si="26"/>
        <v>5212.1353893262276</v>
      </c>
      <c r="AL88" s="61">
        <f t="shared" si="26"/>
        <v>4590.4800788685252</v>
      </c>
      <c r="AM88" s="61">
        <f t="shared" si="26"/>
        <v>2093.6207420767555</v>
      </c>
      <c r="AN88" s="407"/>
    </row>
    <row r="89" spans="5:40">
      <c r="E89">
        <v>2028</v>
      </c>
      <c r="F89" s="61">
        <f t="shared" si="19"/>
        <v>-16399.796439441481</v>
      </c>
      <c r="G89" s="61">
        <f t="shared" si="20"/>
        <v>-21689.998792722818</v>
      </c>
      <c r="H89" s="61">
        <f t="shared" si="21"/>
        <v>26740.059394052991</v>
      </c>
      <c r="I89" s="61">
        <f t="shared" si="21"/>
        <v>4798.2270080764156</v>
      </c>
      <c r="J89" s="61">
        <f t="shared" si="21"/>
        <v>4455.9485186090305</v>
      </c>
      <c r="K89" s="61">
        <f t="shared" si="21"/>
        <v>2095.5603114258602</v>
      </c>
      <c r="L89" s="61"/>
      <c r="M89" s="61"/>
      <c r="N89">
        <v>2028</v>
      </c>
      <c r="O89" s="61">
        <f t="shared" si="11"/>
        <v>-16675.631925450925</v>
      </c>
      <c r="P89" s="61">
        <f t="shared" si="12"/>
        <v>-22054.812550053764</v>
      </c>
      <c r="Q89" s="61">
        <f t="shared" si="22"/>
        <v>27365.584808039086</v>
      </c>
      <c r="R89" s="61">
        <f t="shared" si="22"/>
        <v>4837.1851385005666</v>
      </c>
      <c r="S89" s="61">
        <f t="shared" si="22"/>
        <v>4328.7084858609223</v>
      </c>
      <c r="T89" s="61">
        <f t="shared" si="22"/>
        <v>2198.9660431041125</v>
      </c>
      <c r="U89" s="407"/>
      <c r="W89">
        <v>2028</v>
      </c>
      <c r="X89" s="61">
        <f t="shared" si="13"/>
        <v>-16922.640439241961</v>
      </c>
      <c r="Y89" s="61">
        <f t="shared" si="14"/>
        <v>-22381.500407778294</v>
      </c>
      <c r="Z89" s="61">
        <f>-SUM($X89:$Y89)*(MAX(Z70,0)/SUM(MAX($Z70,0)+MAX($AA70,0)+MAX($AB70,0)+MAX($AC70,0)))</f>
        <v>27968.416859747278</v>
      </c>
      <c r="AA89" s="61">
        <f t="shared" si="25"/>
        <v>4860.8285570673834</v>
      </c>
      <c r="AB89" s="61">
        <f t="shared" si="25"/>
        <v>4167.5689778811866</v>
      </c>
      <c r="AC89" s="61">
        <f t="shared" si="25"/>
        <v>2307.326452324417</v>
      </c>
      <c r="AD89" s="407"/>
      <c r="AG89">
        <v>2028</v>
      </c>
      <c r="AH89" s="61">
        <f t="shared" si="16"/>
        <v>-16436.017263732865</v>
      </c>
      <c r="AI89" s="61">
        <f t="shared" si="17"/>
        <v>-21737.903633374506</v>
      </c>
      <c r="AJ89" s="61">
        <f t="shared" si="26"/>
        <v>26819.844752147983</v>
      </c>
      <c r="AK89" s="61">
        <f t="shared" si="26"/>
        <v>4803.9548985198826</v>
      </c>
      <c r="AL89" s="61">
        <f t="shared" si="26"/>
        <v>4441.8575326121572</v>
      </c>
      <c r="AM89" s="61">
        <f t="shared" si="26"/>
        <v>2108.2637138273417</v>
      </c>
      <c r="AN89" s="407"/>
    </row>
    <row r="90" spans="5:40">
      <c r="E90">
        <v>2029</v>
      </c>
      <c r="F90" s="61">
        <f t="shared" si="19"/>
        <v>-16478.016714146674</v>
      </c>
      <c r="G90" s="61">
        <f t="shared" si="20"/>
        <v>-21766.175245037288</v>
      </c>
      <c r="H90" s="61">
        <f t="shared" si="21"/>
        <v>27385.201787944286</v>
      </c>
      <c r="I90" s="61">
        <f t="shared" si="21"/>
        <v>4428.7355493765881</v>
      </c>
      <c r="J90" s="61">
        <f t="shared" si="21"/>
        <v>4322.0199176972537</v>
      </c>
      <c r="K90" s="61">
        <f t="shared" si="21"/>
        <v>2108.234704165834</v>
      </c>
      <c r="L90" s="61"/>
      <c r="M90" s="61"/>
      <c r="N90">
        <v>2029</v>
      </c>
      <c r="O90" s="61">
        <f t="shared" si="11"/>
        <v>-16787.943742255102</v>
      </c>
      <c r="P90" s="61">
        <f t="shared" si="12"/>
        <v>-22175.564683342112</v>
      </c>
      <c r="Q90" s="61">
        <f t="shared" si="22"/>
        <v>28154.729610336901</v>
      </c>
      <c r="R90" s="61">
        <f t="shared" si="22"/>
        <v>4420.1373466042569</v>
      </c>
      <c r="S90" s="61">
        <f t="shared" si="22"/>
        <v>4166.5272232685729</v>
      </c>
      <c r="T90" s="61">
        <f t="shared" si="22"/>
        <v>2222.1142453874922</v>
      </c>
      <c r="U90" s="407"/>
      <c r="W90">
        <v>2029</v>
      </c>
      <c r="X90" s="61">
        <f t="shared" si="13"/>
        <v>-17065.4809645475</v>
      </c>
      <c r="Y90" s="61">
        <f t="shared" si="14"/>
        <v>-22542.16971368236</v>
      </c>
      <c r="Z90" s="61">
        <f t="shared" si="25"/>
        <v>28910.902456029762</v>
      </c>
      <c r="AA90" s="61">
        <f t="shared" si="25"/>
        <v>4387.0341504091402</v>
      </c>
      <c r="AB90" s="61">
        <f t="shared" si="25"/>
        <v>3966.8806091106949</v>
      </c>
      <c r="AC90" s="61">
        <f t="shared" si="25"/>
        <v>2342.8334626802643</v>
      </c>
      <c r="AD90" s="407"/>
      <c r="AG90">
        <v>2029</v>
      </c>
      <c r="AH90" s="61">
        <f t="shared" si="16"/>
        <v>-16518.714205940327</v>
      </c>
      <c r="AI90" s="61">
        <f t="shared" si="17"/>
        <v>-21819.933458406111</v>
      </c>
      <c r="AJ90" s="61">
        <f t="shared" si="26"/>
        <v>27482.605817559583</v>
      </c>
      <c r="AK90" s="61">
        <f t="shared" si="26"/>
        <v>4428.9778990263549</v>
      </c>
      <c r="AL90" s="61">
        <f t="shared" si="26"/>
        <v>4304.9003024784188</v>
      </c>
      <c r="AM90" s="61">
        <f t="shared" si="26"/>
        <v>2122.1636452820781</v>
      </c>
      <c r="AN90" s="407"/>
    </row>
    <row r="91" spans="5:40">
      <c r="E91">
        <v>2030</v>
      </c>
      <c r="F91" s="61">
        <f t="shared" si="19"/>
        <v>-16556.015813483176</v>
      </c>
      <c r="G91" s="61">
        <f t="shared" si="20"/>
        <v>-21841.835252597739</v>
      </c>
      <c r="H91" s="61">
        <f t="shared" si="21"/>
        <v>27989.47897160448</v>
      </c>
      <c r="I91" s="61">
        <f t="shared" si="21"/>
        <v>4089.4894199407972</v>
      </c>
      <c r="J91" s="61">
        <f t="shared" si="21"/>
        <v>4198.5782095226859</v>
      </c>
      <c r="K91" s="61">
        <f t="shared" si="21"/>
        <v>2120.3044650129473</v>
      </c>
      <c r="L91" s="61"/>
      <c r="M91" s="61"/>
      <c r="N91">
        <v>2030</v>
      </c>
      <c r="O91" s="61">
        <f t="shared" si="11"/>
        <v>-16899.948723842394</v>
      </c>
      <c r="P91" s="61">
        <f t="shared" si="12"/>
        <v>-22295.575213385589</v>
      </c>
      <c r="Q91" s="61">
        <f t="shared" si="22"/>
        <v>28906.080230684795</v>
      </c>
      <c r="R91" s="61">
        <f t="shared" si="22"/>
        <v>4030.4189180902499</v>
      </c>
      <c r="S91" s="61">
        <f t="shared" si="22"/>
        <v>4014.8981467333124</v>
      </c>
      <c r="T91" s="61">
        <f t="shared" si="22"/>
        <v>2244.1266417196284</v>
      </c>
      <c r="U91" s="407"/>
      <c r="W91">
        <v>2030</v>
      </c>
      <c r="X91" s="61">
        <f t="shared" si="13"/>
        <v>-17207.937946914091</v>
      </c>
      <c r="Y91" s="61">
        <f t="shared" si="14"/>
        <v>-22701.895788679365</v>
      </c>
      <c r="Z91" s="61">
        <f t="shared" si="25"/>
        <v>29821.82104455266</v>
      </c>
      <c r="AA91" s="61">
        <f t="shared" si="25"/>
        <v>3935.4243715354542</v>
      </c>
      <c r="AB91" s="61">
        <f t="shared" si="25"/>
        <v>3775.8731883787659</v>
      </c>
      <c r="AC91" s="61">
        <f t="shared" si="25"/>
        <v>2376.715131126572</v>
      </c>
      <c r="AD91" s="407"/>
      <c r="AG91">
        <v>2030</v>
      </c>
      <c r="AH91" s="61">
        <f t="shared" si="16"/>
        <v>-16601.178724515295</v>
      </c>
      <c r="AI91" s="61">
        <f t="shared" si="17"/>
        <v>-21901.417272414848</v>
      </c>
      <c r="AJ91" s="61">
        <f t="shared" si="26"/>
        <v>28104.750891166492</v>
      </c>
      <c r="AK91" s="61">
        <f t="shared" si="26"/>
        <v>4083.9789010767208</v>
      </c>
      <c r="AL91" s="61">
        <f t="shared" si="26"/>
        <v>4178.4733954831072</v>
      </c>
      <c r="AM91" s="61">
        <f t="shared" si="26"/>
        <v>2135.3928092038223</v>
      </c>
      <c r="AN91" s="407"/>
    </row>
    <row r="92" spans="5:40">
      <c r="E92">
        <v>2040</v>
      </c>
      <c r="F92" s="61">
        <f t="shared" ref="F92:F98" si="27">-F16*$C$9</f>
        <v>0</v>
      </c>
      <c r="G92" s="61">
        <f t="shared" ref="G92:G98" si="28">-G16*$C$8</f>
        <v>0</v>
      </c>
      <c r="H92" s="61">
        <f>-SUM($F92:$G92)*(MAX(H73,0)/SUM(MAX($H73,0)+MAX($I73,0)+MAX($J73,0)+MAX($K73,0)))</f>
        <v>0</v>
      </c>
      <c r="I92" s="61">
        <f>-SUM($F92:$G92)*(MAX(I73,0)/SUM(MAX($H73,0)+MAX($I73,0)+MAX($J73,0)+MAX($K73,0)))</f>
        <v>0</v>
      </c>
      <c r="J92" s="61">
        <f>-SUM($F92:$G92)*(MAX(J73,0)/SUM(MAX($H73,0)+MAX($I73,0)+MAX($J73,0)+MAX($K73,0)))</f>
        <v>0</v>
      </c>
      <c r="K92" s="61">
        <f>-SUM($F92:$G92)*(MAX(K73,0)/SUM(MAX($H73,0)+MAX($I73,0)+MAX($J73,0)+MAX($K73,0)))</f>
        <v>0</v>
      </c>
      <c r="L92" s="61"/>
      <c r="M92" s="61"/>
      <c r="N92">
        <v>2040</v>
      </c>
      <c r="O92" s="61">
        <f t="shared" ref="O92:O98" si="29">-O16*$C$9</f>
        <v>0</v>
      </c>
      <c r="P92" s="61">
        <f t="shared" ref="P92:P98" si="30">-P16*$C$8</f>
        <v>0</v>
      </c>
      <c r="Q92" s="61">
        <f>-SUM($O92:$P92)*(MAX(Q73,0)/SUM(MAX($Q73,0)+MAX($R73,0)+MAX($S73,0)+MAX($T73,0)))</f>
        <v>0</v>
      </c>
      <c r="R92" s="61">
        <f>-SUM($O92:$P92)*(MAX(R73,0)/SUM(MAX($Q73,0)+MAX($R73,0)+MAX($S73,0)+MAX($T73,0)))</f>
        <v>0</v>
      </c>
      <c r="S92" s="61">
        <f>-SUM($O92:$P92)*(MAX(S73,0)/SUM(MAX($Q73,0)+MAX($R73,0)+MAX($S73,0)+MAX($T73,0)))</f>
        <v>0</v>
      </c>
      <c r="T92" s="61">
        <f>-SUM($O92:$P92)*(MAX(T73,0)/SUM(MAX($Q73,0)+MAX($R73,0)+MAX($S73,0)+MAX($T73,0)))</f>
        <v>0</v>
      </c>
      <c r="U92" s="407"/>
      <c r="W92">
        <v>2040</v>
      </c>
      <c r="X92" s="61">
        <f t="shared" ref="X92:X98" si="31">-X16*$C$9</f>
        <v>0</v>
      </c>
      <c r="Y92" s="61">
        <f t="shared" ref="Y92:Y98" si="32">-Y16*$C$8</f>
        <v>0</v>
      </c>
      <c r="Z92" s="61">
        <f t="shared" si="25"/>
        <v>0</v>
      </c>
      <c r="AA92" s="61">
        <f t="shared" si="25"/>
        <v>0</v>
      </c>
      <c r="AB92" s="61">
        <f t="shared" si="25"/>
        <v>0</v>
      </c>
      <c r="AC92" s="61">
        <f t="shared" si="25"/>
        <v>0</v>
      </c>
      <c r="AD92" s="407"/>
      <c r="AG92">
        <v>2040</v>
      </c>
      <c r="AH92" s="61">
        <f t="shared" ref="AH92:AH98" si="33">-AH16*$C$9</f>
        <v>0</v>
      </c>
      <c r="AI92" s="61">
        <f t="shared" ref="AI92:AI98" si="34">-AI16*$C$8</f>
        <v>0</v>
      </c>
      <c r="AJ92" s="61">
        <f t="shared" si="26"/>
        <v>0</v>
      </c>
      <c r="AK92" s="61">
        <f t="shared" si="26"/>
        <v>0</v>
      </c>
      <c r="AL92" s="61">
        <f t="shared" si="26"/>
        <v>0</v>
      </c>
      <c r="AM92" s="61">
        <f t="shared" si="26"/>
        <v>0</v>
      </c>
      <c r="AN92" s="407"/>
    </row>
    <row r="93" spans="5:40">
      <c r="E93">
        <v>2050</v>
      </c>
      <c r="F93" s="61">
        <f t="shared" si="27"/>
        <v>0</v>
      </c>
      <c r="G93" s="61">
        <f t="shared" si="28"/>
        <v>0</v>
      </c>
      <c r="H93" s="61">
        <f t="shared" si="21"/>
        <v>0</v>
      </c>
      <c r="I93" s="61">
        <f t="shared" si="21"/>
        <v>0</v>
      </c>
      <c r="J93" s="61">
        <f>-SUM($F93:$G93)*(MAX(J74,0)/SUM(MAX($H74,0)+MAX($I74,0)+MAX($J74,0)+MAX($K74,0)))</f>
        <v>0</v>
      </c>
      <c r="K93" s="61">
        <f t="shared" si="21"/>
        <v>0</v>
      </c>
      <c r="L93" s="61"/>
      <c r="M93" s="61"/>
      <c r="N93">
        <v>2050</v>
      </c>
      <c r="O93" s="61">
        <f t="shared" si="29"/>
        <v>0</v>
      </c>
      <c r="P93" s="61">
        <f t="shared" si="30"/>
        <v>0</v>
      </c>
      <c r="Q93" s="61">
        <f t="shared" ref="Q93:T97" si="35">-SUM($O93:$P93)*(MAX(Q74,0)/SUM(MAX($Q74,0)+MAX($R74,0)+MAX($S74,0)+MAX($T74,0)))</f>
        <v>0</v>
      </c>
      <c r="R93" s="61">
        <f t="shared" si="35"/>
        <v>0</v>
      </c>
      <c r="S93" s="61">
        <f t="shared" si="35"/>
        <v>0</v>
      </c>
      <c r="T93" s="61">
        <f t="shared" si="35"/>
        <v>0</v>
      </c>
      <c r="U93" s="407"/>
      <c r="W93">
        <v>2050</v>
      </c>
      <c r="X93" s="61">
        <f t="shared" si="31"/>
        <v>0</v>
      </c>
      <c r="Y93" s="61">
        <f t="shared" si="32"/>
        <v>0</v>
      </c>
      <c r="Z93" s="61">
        <f t="shared" si="25"/>
        <v>0</v>
      </c>
      <c r="AA93" s="61">
        <f t="shared" si="25"/>
        <v>0</v>
      </c>
      <c r="AB93" s="61">
        <f t="shared" si="25"/>
        <v>0</v>
      </c>
      <c r="AC93" s="61">
        <f t="shared" si="25"/>
        <v>0</v>
      </c>
      <c r="AD93" s="407"/>
      <c r="AG93">
        <v>2050</v>
      </c>
      <c r="AH93" s="61">
        <f t="shared" si="33"/>
        <v>0</v>
      </c>
      <c r="AI93" s="61">
        <f t="shared" si="34"/>
        <v>0</v>
      </c>
      <c r="AJ93" s="61">
        <f t="shared" si="26"/>
        <v>0</v>
      </c>
      <c r="AK93" s="61">
        <f t="shared" si="26"/>
        <v>0</v>
      </c>
      <c r="AL93" s="61">
        <f t="shared" si="26"/>
        <v>0</v>
      </c>
      <c r="AM93" s="61">
        <f t="shared" si="26"/>
        <v>0</v>
      </c>
      <c r="AN93" s="407"/>
    </row>
    <row r="94" spans="5:40">
      <c r="E94">
        <v>2060</v>
      </c>
      <c r="F94" s="61">
        <f t="shared" si="27"/>
        <v>0</v>
      </c>
      <c r="G94" s="61">
        <f t="shared" si="28"/>
        <v>0</v>
      </c>
      <c r="H94" s="61">
        <f t="shared" si="21"/>
        <v>0</v>
      </c>
      <c r="I94" s="61">
        <f t="shared" si="21"/>
        <v>0</v>
      </c>
      <c r="J94" s="61">
        <f t="shared" si="21"/>
        <v>0</v>
      </c>
      <c r="K94" s="61">
        <f t="shared" si="21"/>
        <v>0</v>
      </c>
      <c r="L94" s="61"/>
      <c r="M94" s="61"/>
      <c r="N94">
        <v>2060</v>
      </c>
      <c r="O94" s="61">
        <f t="shared" si="29"/>
        <v>0</v>
      </c>
      <c r="P94" s="61">
        <f t="shared" si="30"/>
        <v>0</v>
      </c>
      <c r="Q94" s="61">
        <f t="shared" si="35"/>
        <v>0</v>
      </c>
      <c r="R94" s="61">
        <f t="shared" si="35"/>
        <v>0</v>
      </c>
      <c r="S94" s="61">
        <f t="shared" si="35"/>
        <v>0</v>
      </c>
      <c r="T94" s="61">
        <f t="shared" si="35"/>
        <v>0</v>
      </c>
      <c r="U94" s="407"/>
      <c r="W94">
        <v>2060</v>
      </c>
      <c r="X94" s="61">
        <f t="shared" si="31"/>
        <v>0</v>
      </c>
      <c r="Y94" s="61">
        <f t="shared" si="32"/>
        <v>0</v>
      </c>
      <c r="Z94" s="61">
        <f t="shared" si="25"/>
        <v>0</v>
      </c>
      <c r="AA94" s="61">
        <f t="shared" si="25"/>
        <v>0</v>
      </c>
      <c r="AB94" s="61">
        <f t="shared" si="25"/>
        <v>0</v>
      </c>
      <c r="AC94" s="61">
        <f t="shared" si="25"/>
        <v>0</v>
      </c>
      <c r="AD94" s="407"/>
      <c r="AG94">
        <v>2060</v>
      </c>
      <c r="AH94" s="61">
        <f t="shared" si="33"/>
        <v>0</v>
      </c>
      <c r="AI94" s="61">
        <f t="shared" si="34"/>
        <v>0</v>
      </c>
      <c r="AJ94" s="61">
        <f t="shared" si="26"/>
        <v>0</v>
      </c>
      <c r="AK94" s="61">
        <f t="shared" si="26"/>
        <v>0</v>
      </c>
      <c r="AL94" s="61">
        <f t="shared" si="26"/>
        <v>0</v>
      </c>
      <c r="AM94" s="61">
        <f t="shared" si="26"/>
        <v>0</v>
      </c>
      <c r="AN94" s="407"/>
    </row>
    <row r="95" spans="5:40">
      <c r="E95">
        <v>2070</v>
      </c>
      <c r="F95" s="61">
        <f t="shared" si="27"/>
        <v>0</v>
      </c>
      <c r="G95" s="61">
        <f t="shared" si="28"/>
        <v>0</v>
      </c>
      <c r="H95" s="61">
        <f t="shared" si="21"/>
        <v>0</v>
      </c>
      <c r="I95" s="61">
        <f t="shared" si="21"/>
        <v>0</v>
      </c>
      <c r="J95" s="61">
        <f t="shared" si="21"/>
        <v>0</v>
      </c>
      <c r="K95" s="61">
        <f t="shared" si="21"/>
        <v>0</v>
      </c>
      <c r="L95" s="61"/>
      <c r="M95" s="61"/>
      <c r="N95">
        <v>2070</v>
      </c>
      <c r="O95" s="61">
        <f t="shared" si="29"/>
        <v>0</v>
      </c>
      <c r="P95" s="61">
        <f t="shared" si="30"/>
        <v>0</v>
      </c>
      <c r="Q95" s="61">
        <f t="shared" si="35"/>
        <v>0</v>
      </c>
      <c r="R95" s="61">
        <f t="shared" si="35"/>
        <v>0</v>
      </c>
      <c r="S95" s="61">
        <f t="shared" si="35"/>
        <v>0</v>
      </c>
      <c r="T95" s="61">
        <f t="shared" si="35"/>
        <v>0</v>
      </c>
      <c r="U95" s="407"/>
      <c r="W95">
        <v>2070</v>
      </c>
      <c r="X95" s="61">
        <f t="shared" si="31"/>
        <v>0</v>
      </c>
      <c r="Y95" s="61">
        <f t="shared" si="32"/>
        <v>0</v>
      </c>
      <c r="Z95" s="61">
        <f t="shared" si="25"/>
        <v>0</v>
      </c>
      <c r="AA95" s="61">
        <f t="shared" si="25"/>
        <v>0</v>
      </c>
      <c r="AB95" s="61">
        <f t="shared" si="25"/>
        <v>0</v>
      </c>
      <c r="AC95" s="61">
        <f t="shared" si="25"/>
        <v>0</v>
      </c>
      <c r="AD95" s="407"/>
      <c r="AE95" s="61"/>
      <c r="AG95">
        <v>2070</v>
      </c>
      <c r="AH95" s="61">
        <f t="shared" si="33"/>
        <v>0</v>
      </c>
      <c r="AI95" s="61">
        <f t="shared" si="34"/>
        <v>0</v>
      </c>
      <c r="AJ95" s="61">
        <f t="shared" si="26"/>
        <v>0</v>
      </c>
      <c r="AK95" s="61">
        <f t="shared" si="26"/>
        <v>0</v>
      </c>
      <c r="AL95" s="61">
        <f t="shared" si="26"/>
        <v>0</v>
      </c>
      <c r="AM95" s="61">
        <f t="shared" si="26"/>
        <v>0</v>
      </c>
      <c r="AN95" s="407"/>
    </row>
    <row r="96" spans="5:40">
      <c r="E96">
        <v>2080</v>
      </c>
      <c r="F96" s="61">
        <f t="shared" si="27"/>
        <v>0</v>
      </c>
      <c r="G96" s="61">
        <f t="shared" si="28"/>
        <v>0</v>
      </c>
      <c r="H96" s="61">
        <f t="shared" si="21"/>
        <v>0</v>
      </c>
      <c r="I96" s="61">
        <f t="shared" si="21"/>
        <v>0</v>
      </c>
      <c r="J96" s="61">
        <f t="shared" si="21"/>
        <v>0</v>
      </c>
      <c r="K96" s="61">
        <f t="shared" si="21"/>
        <v>0</v>
      </c>
      <c r="L96" s="61"/>
      <c r="M96" s="61"/>
      <c r="N96">
        <v>2080</v>
      </c>
      <c r="O96" s="61">
        <f t="shared" si="29"/>
        <v>0</v>
      </c>
      <c r="P96" s="61">
        <f t="shared" si="30"/>
        <v>0</v>
      </c>
      <c r="Q96" s="61">
        <f t="shared" si="35"/>
        <v>0</v>
      </c>
      <c r="R96" s="61">
        <f t="shared" si="35"/>
        <v>0</v>
      </c>
      <c r="S96" s="61">
        <f t="shared" si="35"/>
        <v>0</v>
      </c>
      <c r="T96" s="61">
        <f t="shared" si="35"/>
        <v>0</v>
      </c>
      <c r="U96" s="407"/>
      <c r="W96">
        <v>2080</v>
      </c>
      <c r="X96" s="61">
        <f t="shared" si="31"/>
        <v>0</v>
      </c>
      <c r="Y96" s="61">
        <f t="shared" si="32"/>
        <v>0</v>
      </c>
      <c r="Z96" s="61">
        <f t="shared" si="25"/>
        <v>0</v>
      </c>
      <c r="AA96" s="61">
        <f t="shared" si="25"/>
        <v>0</v>
      </c>
      <c r="AB96" s="61">
        <f t="shared" si="25"/>
        <v>0</v>
      </c>
      <c r="AC96" s="61">
        <f t="shared" si="25"/>
        <v>0</v>
      </c>
      <c r="AD96" s="407"/>
      <c r="AE96" s="61"/>
      <c r="AG96">
        <v>2080</v>
      </c>
      <c r="AH96" s="61">
        <f t="shared" si="33"/>
        <v>0</v>
      </c>
      <c r="AI96" s="61">
        <f t="shared" si="34"/>
        <v>0</v>
      </c>
      <c r="AJ96" s="61">
        <f t="shared" si="26"/>
        <v>0</v>
      </c>
      <c r="AK96" s="61">
        <f t="shared" si="26"/>
        <v>0</v>
      </c>
      <c r="AL96" s="61">
        <f t="shared" si="26"/>
        <v>0</v>
      </c>
      <c r="AM96" s="61">
        <f t="shared" si="26"/>
        <v>0</v>
      </c>
      <c r="AN96" s="407"/>
    </row>
    <row r="97" spans="5:40">
      <c r="E97">
        <v>2090</v>
      </c>
      <c r="F97" s="61">
        <f t="shared" si="27"/>
        <v>0</v>
      </c>
      <c r="G97" s="61">
        <f t="shared" si="28"/>
        <v>0</v>
      </c>
      <c r="H97" s="61">
        <f t="shared" si="21"/>
        <v>0</v>
      </c>
      <c r="I97" s="61">
        <f t="shared" si="21"/>
        <v>0</v>
      </c>
      <c r="J97" s="61">
        <f t="shared" si="21"/>
        <v>0</v>
      </c>
      <c r="K97" s="61">
        <f t="shared" si="21"/>
        <v>0</v>
      </c>
      <c r="L97" s="61"/>
      <c r="M97" s="61"/>
      <c r="N97">
        <v>2090</v>
      </c>
      <c r="O97" s="61">
        <f t="shared" si="29"/>
        <v>0</v>
      </c>
      <c r="P97" s="61">
        <f t="shared" si="30"/>
        <v>0</v>
      </c>
      <c r="Q97" s="61">
        <f t="shared" si="35"/>
        <v>0</v>
      </c>
      <c r="R97" s="61">
        <f t="shared" si="35"/>
        <v>0</v>
      </c>
      <c r="S97" s="61">
        <f t="shared" si="35"/>
        <v>0</v>
      </c>
      <c r="T97" s="61">
        <f t="shared" si="35"/>
        <v>0</v>
      </c>
      <c r="U97" s="407"/>
      <c r="W97">
        <v>2090</v>
      </c>
      <c r="X97" s="61">
        <f t="shared" si="31"/>
        <v>0</v>
      </c>
      <c r="Y97" s="61">
        <f t="shared" si="32"/>
        <v>0</v>
      </c>
      <c r="Z97" s="61">
        <f t="shared" si="25"/>
        <v>0</v>
      </c>
      <c r="AA97" s="61">
        <f t="shared" si="25"/>
        <v>0</v>
      </c>
      <c r="AB97" s="61">
        <f t="shared" si="25"/>
        <v>0</v>
      </c>
      <c r="AC97" s="61">
        <f t="shared" si="25"/>
        <v>0</v>
      </c>
      <c r="AD97" s="407"/>
      <c r="AE97" s="61"/>
      <c r="AG97">
        <v>2090</v>
      </c>
      <c r="AH97" s="61">
        <f t="shared" si="33"/>
        <v>0</v>
      </c>
      <c r="AI97" s="61">
        <f t="shared" si="34"/>
        <v>0</v>
      </c>
      <c r="AJ97" s="61">
        <f t="shared" si="26"/>
        <v>0</v>
      </c>
      <c r="AK97" s="61">
        <f t="shared" si="26"/>
        <v>0</v>
      </c>
      <c r="AL97" s="61">
        <f t="shared" si="26"/>
        <v>0</v>
      </c>
      <c r="AM97" s="61">
        <f t="shared" si="26"/>
        <v>0</v>
      </c>
      <c r="AN97" s="407"/>
    </row>
    <row r="98" spans="5:40">
      <c r="E98">
        <v>2100</v>
      </c>
      <c r="F98" s="61">
        <f t="shared" si="27"/>
        <v>0</v>
      </c>
      <c r="G98" s="61">
        <f t="shared" si="28"/>
        <v>0</v>
      </c>
      <c r="H98" s="61">
        <f t="shared" ref="H98:K98" si="36">-SUM($F98:$G98)*(MAX(H79,0)/SUM(MAX($H79,0)+MAX($I79,0)+MAX($J79,0)+MAX($K79,0)))</f>
        <v>0</v>
      </c>
      <c r="I98" s="61">
        <f t="shared" si="36"/>
        <v>0</v>
      </c>
      <c r="J98" s="61">
        <f t="shared" si="36"/>
        <v>0</v>
      </c>
      <c r="K98" s="61">
        <f t="shared" si="36"/>
        <v>0</v>
      </c>
      <c r="L98" s="61"/>
      <c r="M98" s="61"/>
      <c r="N98">
        <v>2100</v>
      </c>
      <c r="O98" s="61">
        <f t="shared" si="29"/>
        <v>0</v>
      </c>
      <c r="P98" s="61">
        <f t="shared" si="30"/>
        <v>0</v>
      </c>
      <c r="Q98" s="61">
        <f>-SUM($O98:$P98)*(MAX(Q79,0)/SUM(MAX($Q79,0)+MAX($R79,0)+MAX($S79,0)+MAX($T79,0)))</f>
        <v>0</v>
      </c>
      <c r="R98" s="61">
        <f>-SUM($O98:$P98)*(MAX(R79,0)/SUM(MAX($Q79,0)+MAX($R79,0)+MAX($S79,0)+MAX($T79,0)))</f>
        <v>0</v>
      </c>
      <c r="S98" s="61">
        <f>-SUM($O98:$P98)*(MAX(S79,0)/SUM(MAX($Q79,0)+MAX($R79,0)+MAX($S79,0)+MAX($T79,0)))</f>
        <v>0</v>
      </c>
      <c r="T98" s="61">
        <f>-SUM($O98:$P98)*(MAX(T79,0)/SUM(MAX($Q79,0)+MAX($R79,0)+MAX($S79,0)+MAX($T79,0)))</f>
        <v>0</v>
      </c>
      <c r="U98" s="407"/>
      <c r="W98">
        <v>2100</v>
      </c>
      <c r="X98" s="61">
        <f t="shared" si="31"/>
        <v>0</v>
      </c>
      <c r="Y98" s="61">
        <f t="shared" si="32"/>
        <v>0</v>
      </c>
      <c r="Z98" s="61">
        <f t="shared" si="25"/>
        <v>0</v>
      </c>
      <c r="AA98" s="61">
        <f t="shared" si="25"/>
        <v>0</v>
      </c>
      <c r="AB98" s="61">
        <f t="shared" si="25"/>
        <v>0</v>
      </c>
      <c r="AC98" s="61">
        <f t="shared" si="25"/>
        <v>0</v>
      </c>
      <c r="AD98" s="407"/>
      <c r="AE98" s="61"/>
      <c r="AG98">
        <v>2100</v>
      </c>
      <c r="AH98" s="61">
        <f t="shared" si="33"/>
        <v>0</v>
      </c>
      <c r="AI98" s="61">
        <f t="shared" si="34"/>
        <v>0</v>
      </c>
      <c r="AJ98" s="61">
        <f t="shared" si="26"/>
        <v>0</v>
      </c>
      <c r="AK98" s="61">
        <f t="shared" si="26"/>
        <v>0</v>
      </c>
      <c r="AL98" s="61">
        <f t="shared" si="26"/>
        <v>0</v>
      </c>
      <c r="AM98" s="61">
        <f t="shared" si="26"/>
        <v>0</v>
      </c>
      <c r="AN98" s="407"/>
    </row>
    <row r="99" spans="5:40">
      <c r="F99" s="581" t="s">
        <v>306</v>
      </c>
      <c r="G99" s="581"/>
      <c r="H99" s="581"/>
      <c r="I99" s="581"/>
      <c r="J99" s="581"/>
      <c r="K99" s="581"/>
      <c r="L99" s="61"/>
      <c r="M99" s="61"/>
      <c r="O99" s="581" t="s">
        <v>306</v>
      </c>
      <c r="P99" s="581"/>
      <c r="Q99" s="581"/>
      <c r="R99" s="581"/>
      <c r="S99" s="581"/>
      <c r="T99" s="581"/>
      <c r="U99" s="407"/>
      <c r="X99" s="581" t="s">
        <v>306</v>
      </c>
      <c r="Y99" s="581"/>
      <c r="Z99" s="581"/>
      <c r="AA99" s="581"/>
      <c r="AB99" s="581"/>
      <c r="AC99" s="581"/>
      <c r="AD99" s="407"/>
      <c r="AE99" s="61"/>
      <c r="AH99" s="581" t="s">
        <v>306</v>
      </c>
      <c r="AI99" s="581"/>
      <c r="AJ99" s="581"/>
      <c r="AK99" s="581"/>
      <c r="AL99" s="581"/>
      <c r="AM99" s="581"/>
      <c r="AN99" s="407"/>
    </row>
    <row r="100" spans="5:40">
      <c r="E100">
        <v>2020</v>
      </c>
      <c r="F100" s="61">
        <f>F81/'Demographic-Economic'!C$29</f>
        <v>-6182.7529411764708</v>
      </c>
      <c r="G100" s="61">
        <f>G81/'Demographic-Economic'!D$29</f>
        <v>-8458.530120481928</v>
      </c>
      <c r="H100" s="61">
        <f>H81/'Demographic-Economic'!E$29</f>
        <v>7851.5862055317884</v>
      </c>
      <c r="I100" s="61">
        <f>I81/'Demographic-Economic'!F$29</f>
        <v>3752.341735151017</v>
      </c>
      <c r="J100" s="61">
        <f>J81/'Demographic-Economic'!G$29</f>
        <v>2436.6945419451908</v>
      </c>
      <c r="K100" s="61">
        <f>K81/'Demographic-Economic'!H$29</f>
        <v>740.28353947017513</v>
      </c>
      <c r="L100" s="61"/>
      <c r="M100" s="61"/>
      <c r="N100">
        <v>2020</v>
      </c>
      <c r="O100" s="61">
        <f>O81/'Demographic-Economic'!C$29</f>
        <v>-6182.7529411764708</v>
      </c>
      <c r="P100" s="61">
        <f>P81/'Demographic-Economic'!D$29</f>
        <v>-8458.530120481928</v>
      </c>
      <c r="Q100" s="61">
        <f>Q81/'Demographic-Economic'!E$29</f>
        <v>7851.5862055317884</v>
      </c>
      <c r="R100" s="61">
        <f>R81/'Demographic-Economic'!F$29</f>
        <v>3752.341735151017</v>
      </c>
      <c r="S100" s="61">
        <f>S81/'Demographic-Economic'!G$29</f>
        <v>2436.6945419451908</v>
      </c>
      <c r="T100" s="61">
        <f>T81/'Demographic-Economic'!H$29</f>
        <v>740.28353947017513</v>
      </c>
      <c r="U100" s="407"/>
      <c r="W100">
        <v>2020</v>
      </c>
      <c r="X100" s="61">
        <f>X81/'Demographic-Economic'!C$29</f>
        <v>-6182.7529411764708</v>
      </c>
      <c r="Y100" s="61">
        <f>Y81/'Demographic-Economic'!D$29</f>
        <v>-8458.530120481928</v>
      </c>
      <c r="Z100" s="61">
        <f>Z81/'Demographic-Economic'!E$29</f>
        <v>7851.5862055317884</v>
      </c>
      <c r="AA100" s="61">
        <f>AA81/'Demographic-Economic'!F$29</f>
        <v>3752.341735151017</v>
      </c>
      <c r="AB100" s="61">
        <f>AB81/'Demographic-Economic'!G$29</f>
        <v>2436.6945419451908</v>
      </c>
      <c r="AC100" s="61">
        <f>AC81/'Demographic-Economic'!H$29</f>
        <v>740.28353947017513</v>
      </c>
      <c r="AD100" s="407"/>
      <c r="AE100" s="61"/>
      <c r="AG100">
        <v>2020</v>
      </c>
      <c r="AH100" s="61">
        <f>AH81/'Demographic-Economic'!C$29</f>
        <v>-6182.7529411764708</v>
      </c>
      <c r="AI100" s="61">
        <f>AI81/'Demographic-Economic'!D$29</f>
        <v>-8458.530120481928</v>
      </c>
      <c r="AJ100" s="61">
        <f>AJ81/'Demographic-Economic'!E$29</f>
        <v>7851.5862055317884</v>
      </c>
      <c r="AK100" s="61">
        <f>AK81/'Demographic-Economic'!F$29</f>
        <v>3752.341735151017</v>
      </c>
      <c r="AL100" s="61">
        <f>AL81/'Demographic-Economic'!G$29</f>
        <v>2436.6945419451908</v>
      </c>
      <c r="AM100" s="61">
        <f>AM81/'Demographic-Economic'!H$29</f>
        <v>740.28353947017513</v>
      </c>
      <c r="AN100" s="407"/>
    </row>
    <row r="101" spans="5:40">
      <c r="E101">
        <v>2021</v>
      </c>
      <c r="F101" s="61">
        <f>F82/'Demographic-Economic'!C$29</f>
        <v>-6214.1275575197906</v>
      </c>
      <c r="G101" s="61">
        <f>G82/'Demographic-Economic'!D$29</f>
        <v>-8490.813138474743</v>
      </c>
      <c r="H101" s="61">
        <f>H82/'Demographic-Economic'!E$29</f>
        <v>8340.4210285717563</v>
      </c>
      <c r="I101" s="61">
        <f>I82/'Demographic-Economic'!F$29</f>
        <v>3436.8727648762933</v>
      </c>
      <c r="J101" s="61">
        <f>J82/'Demographic-Economic'!G$29</f>
        <v>2324.9434309811518</v>
      </c>
      <c r="K101" s="61">
        <f>K82/'Demographic-Economic'!H$29</f>
        <v>748.2149268912143</v>
      </c>
      <c r="L101" s="61"/>
      <c r="M101" s="61"/>
      <c r="N101">
        <v>2021</v>
      </c>
      <c r="O101" s="61">
        <f>O82/'Demographic-Economic'!C$29</f>
        <v>-6227.7678104467814</v>
      </c>
      <c r="P101" s="61">
        <f>P82/'Demographic-Economic'!D$29</f>
        <v>-8509.450805257824</v>
      </c>
      <c r="Q101" s="61">
        <f>Q82/'Demographic-Economic'!E$29</f>
        <v>8330.2077330859029</v>
      </c>
      <c r="R101" s="61">
        <f>R82/'Demographic-Economic'!F$29</f>
        <v>3470.882748231943</v>
      </c>
      <c r="S101" s="61">
        <f>S82/'Demographic-Economic'!G$29</f>
        <v>2327.6407206674917</v>
      </c>
      <c r="T101" s="61">
        <f>T82/'Demographic-Economic'!H$29</f>
        <v>753.74288632471962</v>
      </c>
      <c r="U101" s="407"/>
      <c r="W101">
        <v>2021</v>
      </c>
      <c r="X101" s="61">
        <f>X82/'Demographic-Economic'!C$29</f>
        <v>-6239.9825499350654</v>
      </c>
      <c r="Y101" s="61">
        <f>Y82/'Demographic-Economic'!D$29</f>
        <v>-8526.1406896495064</v>
      </c>
      <c r="Z101" s="61">
        <f>Z82/'Demographic-Economic'!E$29</f>
        <v>8320.0705882604198</v>
      </c>
      <c r="AA101" s="61">
        <f>AA82/'Demographic-Economic'!F$29</f>
        <v>3502.25822285103</v>
      </c>
      <c r="AB101" s="61">
        <f>AB82/'Demographic-Economic'!G$29</f>
        <v>2329.9725020358783</v>
      </c>
      <c r="AC101" s="61">
        <f>AC82/'Demographic-Economic'!H$29</f>
        <v>758.82817144950218</v>
      </c>
      <c r="AD101" s="407"/>
      <c r="AE101" s="61"/>
      <c r="AG101">
        <v>2021</v>
      </c>
      <c r="AH101" s="61">
        <f>AH82/'Demographic-Economic'!C$29</f>
        <v>-6215.9187019867559</v>
      </c>
      <c r="AI101" s="61">
        <f>AI82/'Demographic-Economic'!D$29</f>
        <v>-8493.2605090560901</v>
      </c>
      <c r="AJ101" s="61">
        <f>AJ82/'Demographic-Economic'!E$29</f>
        <v>8339.1444237120686</v>
      </c>
      <c r="AK101" s="61">
        <f>AK82/'Demographic-Economic'!F$29</f>
        <v>3441.2788373483409</v>
      </c>
      <c r="AL101" s="61">
        <f>AL82/'Demographic-Economic'!G$29</f>
        <v>2325.3030648175923</v>
      </c>
      <c r="AM101" s="61">
        <f>AM82/'Demographic-Economic'!H$29</f>
        <v>748.93202854046967</v>
      </c>
      <c r="AN101" s="407"/>
    </row>
    <row r="102" spans="5:40">
      <c r="E102">
        <v>2022</v>
      </c>
      <c r="F102" s="61">
        <f>F83/'Demographic-Economic'!C$29</f>
        <v>-6245.4140767707804</v>
      </c>
      <c r="G102" s="61">
        <f>G83/'Demographic-Economic'!D$29</f>
        <v>-8522.8818755643424</v>
      </c>
      <c r="H102" s="61">
        <f>H83/'Demographic-Economic'!E$29</f>
        <v>8787.3140801885056</v>
      </c>
      <c r="I102" s="61">
        <f>I83/'Demographic-Economic'!F$29</f>
        <v>3152.397338138629</v>
      </c>
      <c r="J102" s="61">
        <f>J83/'Demographic-Economic'!G$29</f>
        <v>2223.9493873372116</v>
      </c>
      <c r="K102" s="61">
        <f>K83/'Demographic-Economic'!H$29</f>
        <v>755.56572610018566</v>
      </c>
      <c r="L102" s="61"/>
      <c r="M102" s="61"/>
      <c r="N102">
        <v>2022</v>
      </c>
      <c r="O102" s="61">
        <f>O83/'Demographic-Economic'!C$29</f>
        <v>-6272.6604819924451</v>
      </c>
      <c r="P102" s="61">
        <f>P83/'Demographic-Economic'!D$29</f>
        <v>-8560.064020796588</v>
      </c>
      <c r="Q102" s="61">
        <f>Q83/'Demographic-Economic'!E$29</f>
        <v>8785.2060928813826</v>
      </c>
      <c r="R102" s="61">
        <f>R83/'Demographic-Economic'!F$29</f>
        <v>3206.5281163169602</v>
      </c>
      <c r="S102" s="61">
        <f>S83/'Demographic-Economic'!G$29</f>
        <v>2225.1659567438792</v>
      </c>
      <c r="T102" s="61">
        <f>T83/'Demographic-Economic'!H$29</f>
        <v>766.47147501702557</v>
      </c>
      <c r="U102" s="407"/>
      <c r="W102">
        <v>2022</v>
      </c>
      <c r="X102" s="61">
        <f>X83/'Demographic-Economic'!C$29</f>
        <v>-6297.0594241202916</v>
      </c>
      <c r="Y102" s="61">
        <f>Y83/'Demographic-Economic'!D$29</f>
        <v>-8593.3603401579949</v>
      </c>
      <c r="Z102" s="61">
        <f>Z83/'Demographic-Economic'!E$29</f>
        <v>8780.5762128518836</v>
      </c>
      <c r="AA102" s="61">
        <f>AA83/'Demographic-Economic'!F$29</f>
        <v>3257.740996706365</v>
      </c>
      <c r="AB102" s="61">
        <f>AB83/'Demographic-Economic'!G$29</f>
        <v>2225.6772166148398</v>
      </c>
      <c r="AC102" s="61">
        <f>AC83/'Demographic-Economic'!H$29</f>
        <v>776.75471677471171</v>
      </c>
      <c r="AD102" s="407"/>
      <c r="AE102" s="61"/>
      <c r="AG102">
        <v>2022</v>
      </c>
      <c r="AH102" s="61">
        <f>AH83/'Demographic-Economic'!C$29</f>
        <v>-6248.9918878435437</v>
      </c>
      <c r="AI102" s="61">
        <f>AI83/'Demographic-Economic'!D$29</f>
        <v>-8527.7643798741283</v>
      </c>
      <c r="AJ102" s="61">
        <f>AJ83/'Demographic-Economic'!E$29</f>
        <v>8787.2106684379578</v>
      </c>
      <c r="AK102" s="61">
        <f>AK83/'Demographic-Economic'!F$29</f>
        <v>3159.3322193229942</v>
      </c>
      <c r="AL102" s="61">
        <f>AL83/'Demographic-Economic'!G$29</f>
        <v>2224.1456907730412</v>
      </c>
      <c r="AM102" s="61">
        <f>AM83/'Demographic-Economic'!H$29</f>
        <v>756.96509192670828</v>
      </c>
      <c r="AN102" s="407"/>
    </row>
    <row r="103" spans="5:40">
      <c r="E103">
        <v>2023</v>
      </c>
      <c r="F103" s="61">
        <f>F84/'Demographic-Economic'!C$29</f>
        <v>-6276.6126701493322</v>
      </c>
      <c r="G103" s="61">
        <f>G84/'Demographic-Economic'!D$29</f>
        <v>-8554.7372013863751</v>
      </c>
      <c r="H103" s="61">
        <f>H84/'Demographic-Economic'!E$29</f>
        <v>9197.3238788995495</v>
      </c>
      <c r="I103" s="61">
        <f>I84/'Demographic-Economic'!F$29</f>
        <v>2895.1514222931582</v>
      </c>
      <c r="J103" s="61">
        <f>J84/'Demographic-Economic'!G$29</f>
        <v>2132.4054324611184</v>
      </c>
      <c r="K103" s="61">
        <f>K84/'Demographic-Economic'!H$29</f>
        <v>762.40597077935615</v>
      </c>
      <c r="L103" s="61"/>
      <c r="M103" s="61"/>
      <c r="N103">
        <v>2023</v>
      </c>
      <c r="O103" s="61">
        <f>O84/'Demographic-Economic'!C$29</f>
        <v>-6317.4311909720391</v>
      </c>
      <c r="P103" s="61">
        <f>P84/'Demographic-Economic'!D$29</f>
        <v>-8610.3709861901261</v>
      </c>
      <c r="Q103" s="61">
        <f>Q84/'Demographic-Economic'!E$29</f>
        <v>9217.6480194468731</v>
      </c>
      <c r="R103" s="61">
        <f>R84/'Demographic-Economic'!F$29</f>
        <v>2958.4817004964607</v>
      </c>
      <c r="S103" s="61">
        <f>S84/'Demographic-Economic'!G$29</f>
        <v>2128.9688950072878</v>
      </c>
      <c r="T103" s="61">
        <f>T84/'Demographic-Economic'!H$29</f>
        <v>778.5117719996108</v>
      </c>
      <c r="U103" s="407"/>
      <c r="W103">
        <v>2023</v>
      </c>
      <c r="X103" s="61">
        <f>X84/'Demographic-Economic'!C$29</f>
        <v>-6353.9838561473225</v>
      </c>
      <c r="Y103" s="61">
        <f>Y84/'Demographic-Economic'!D$29</f>
        <v>-8660.1906040346312</v>
      </c>
      <c r="Z103" s="61">
        <f>Z84/'Demographic-Economic'!E$29</f>
        <v>9231.9525303051178</v>
      </c>
      <c r="AA103" s="61">
        <f>AA84/'Demographic-Economic'!F$29</f>
        <v>3019.5952083717611</v>
      </c>
      <c r="AB103" s="61">
        <f>AB84/'Demographic-Economic'!G$29</f>
        <v>2124.1628552060497</v>
      </c>
      <c r="AC103" s="61">
        <f>AC84/'Demographic-Economic'!H$29</f>
        <v>794.04359563159596</v>
      </c>
      <c r="AD103" s="407"/>
      <c r="AE103" s="61"/>
      <c r="AG103">
        <v>2023</v>
      </c>
      <c r="AH103" s="61">
        <f>AH84/'Demographic-Economic'!C$29</f>
        <v>-6281.9726783627184</v>
      </c>
      <c r="AI103" s="61">
        <f>AI84/'Demographic-Economic'!D$29</f>
        <v>-8562.0426484598956</v>
      </c>
      <c r="AJ103" s="61">
        <f>AJ84/'Demographic-Economic'!E$29</f>
        <v>9200.2325930129573</v>
      </c>
      <c r="AK103" s="61">
        <f>AK84/'Demographic-Economic'!F$29</f>
        <v>2903.196507314532</v>
      </c>
      <c r="AL103" s="61">
        <f>AL84/'Demographic-Economic'!G$29</f>
        <v>2132.0605388096451</v>
      </c>
      <c r="AM103" s="61">
        <f>AM84/'Demographic-Economic'!H$29</f>
        <v>764.45260544815892</v>
      </c>
      <c r="AN103" s="407"/>
    </row>
    <row r="104" spans="5:40">
      <c r="E104">
        <v>2024</v>
      </c>
      <c r="F104" s="61">
        <f>F85/'Demographic-Economic'!C$29</f>
        <v>-6307.7235085849452</v>
      </c>
      <c r="G104" s="61">
        <f>G85/'Demographic-Economic'!D$29</f>
        <v>-8586.3799825675778</v>
      </c>
      <c r="H104" s="61">
        <f>H85/'Demographic-Economic'!E$29</f>
        <v>9574.7719048923482</v>
      </c>
      <c r="I104" s="61">
        <f>I85/'Demographic-Economic'!F$29</f>
        <v>2661.9195029252623</v>
      </c>
      <c r="J104" s="61">
        <f>J85/'Demographic-Economic'!G$29</f>
        <v>2049.1949945019765</v>
      </c>
      <c r="K104" s="61">
        <f>K85/'Demographic-Economic'!H$29</f>
        <v>768.79556786138812</v>
      </c>
      <c r="L104" s="61"/>
      <c r="M104" s="61"/>
      <c r="N104">
        <v>2024</v>
      </c>
      <c r="O104" s="61">
        <f>O85/'Demographic-Economic'!C$29</f>
        <v>-6362.0801721471826</v>
      </c>
      <c r="P104" s="61">
        <f>P85/'Demographic-Economic'!D$29</f>
        <v>-8660.3729163565677</v>
      </c>
      <c r="Q104" s="61">
        <f>Q85/'Demographic-Economic'!E$29</f>
        <v>9628.6156379834902</v>
      </c>
      <c r="R104" s="61">
        <f>R85/'Demographic-Economic'!F$29</f>
        <v>2725.9377998597492</v>
      </c>
      <c r="S104" s="61">
        <f>S85/'Demographic-Economic'!G$29</f>
        <v>2038.7434487145699</v>
      </c>
      <c r="T104" s="61">
        <f>T85/'Demographic-Economic'!H$29</f>
        <v>789.90537865967974</v>
      </c>
      <c r="U104" s="407"/>
      <c r="W104">
        <v>2024</v>
      </c>
      <c r="X104" s="61">
        <f>X85/'Demographic-Economic'!C$29</f>
        <v>-6410.7561379389326</v>
      </c>
      <c r="Y104" s="61">
        <f>Y85/'Demographic-Economic'!D$29</f>
        <v>-8726.6330080897569</v>
      </c>
      <c r="Z104" s="61">
        <f>Z85/'Demographic-Economic'!E$29</f>
        <v>9673.2184512149797</v>
      </c>
      <c r="AA104" s="61">
        <f>AA85/'Demographic-Economic'!F$29</f>
        <v>2788.5049880731872</v>
      </c>
      <c r="AB104" s="61">
        <f>AB85/'Demographic-Economic'!G$29</f>
        <v>2025.7299044954839</v>
      </c>
      <c r="AC104" s="61">
        <f>AC85/'Demographic-Economic'!H$29</f>
        <v>810.68208904343339</v>
      </c>
      <c r="AD104" s="407"/>
      <c r="AE104" s="61"/>
      <c r="AG104">
        <v>2024</v>
      </c>
      <c r="AH104" s="61">
        <f>AH85/'Demographic-Economic'!C$29</f>
        <v>-6314.8612528557696</v>
      </c>
      <c r="AI104" s="61">
        <f>AI85/'Demographic-Economic'!D$29</f>
        <v>-8596.0962271753633</v>
      </c>
      <c r="AJ104" s="61">
        <f>AJ85/'Demographic-Economic'!E$29</f>
        <v>9582.0597400524384</v>
      </c>
      <c r="AK104" s="61">
        <f>AK85/'Demographic-Economic'!F$29</f>
        <v>2670.0109856769527</v>
      </c>
      <c r="AL104" s="61">
        <f>AL85/'Demographic-Economic'!G$29</f>
        <v>2048.04191787229</v>
      </c>
      <c r="AM104" s="61">
        <f>AM85/'Demographic-Economic'!H$29</f>
        <v>771.45508816838878</v>
      </c>
      <c r="AN104" s="407"/>
    </row>
    <row r="105" spans="5:40">
      <c r="E105">
        <v>2025</v>
      </c>
      <c r="F105" s="61">
        <f>F86/'Demographic-Economic'!C$29</f>
        <v>-6338.7467627171718</v>
      </c>
      <c r="G105" s="61">
        <f>G86/'Demographic-Economic'!D$29</f>
        <v>-8617.8110827353667</v>
      </c>
      <c r="H105" s="61">
        <f>H86/'Demographic-Economic'!E$29</f>
        <v>9923.3673355518022</v>
      </c>
      <c r="I105" s="61">
        <f>I86/'Demographic-Economic'!F$29</f>
        <v>2449.9417755415311</v>
      </c>
      <c r="J105" s="61">
        <f>J86/'Demographic-Economic'!G$29</f>
        <v>1973.3596849962021</v>
      </c>
      <c r="K105" s="61">
        <f>K86/'Demographic-Economic'!H$29</f>
        <v>774.78598897455129</v>
      </c>
      <c r="L105" s="61"/>
      <c r="M105" s="61"/>
      <c r="N105">
        <v>2025</v>
      </c>
      <c r="O105" s="61">
        <f>O86/'Demographic-Economic'!C$29</f>
        <v>-6406.6076598831514</v>
      </c>
      <c r="P105" s="61">
        <f>P86/'Demographic-Economic'!D$29</f>
        <v>-8710.0710220535129</v>
      </c>
      <c r="Q105" s="61">
        <f>Q86/'Demographic-Economic'!E$29</f>
        <v>10019.191968027821</v>
      </c>
      <c r="R105" s="61">
        <f>R86/'Demographic-Economic'!F$29</f>
        <v>2508.0916513823736</v>
      </c>
      <c r="S105" s="61">
        <f>S86/'Demographic-Economic'!G$29</f>
        <v>1954.1829675489491</v>
      </c>
      <c r="T105" s="61">
        <f>T86/'Demographic-Economic'!H$29</f>
        <v>800.69270538047419</v>
      </c>
      <c r="U105" s="407"/>
      <c r="W105">
        <v>2025</v>
      </c>
      <c r="X105" s="61">
        <f>X86/'Demographic-Economic'!C$29</f>
        <v>-6467.3765609262909</v>
      </c>
      <c r="Y105" s="61">
        <f>Y86/'Demographic-Economic'!D$29</f>
        <v>-8792.6890739333303</v>
      </c>
      <c r="Z105" s="61">
        <f>Z86/'Demographic-Economic'!E$29</f>
        <v>10103.559457403575</v>
      </c>
      <c r="AA105" s="61">
        <f>AA86/'Demographic-Economic'!F$29</f>
        <v>2565.0357392505775</v>
      </c>
      <c r="AB105" s="61">
        <f>AB86/'Demographic-Economic'!G$29</f>
        <v>1930.6262356612674</v>
      </c>
      <c r="AC105" s="61">
        <f>AC86/'Demographic-Economic'!H$29</f>
        <v>826.66385939229792</v>
      </c>
      <c r="AD105" s="407"/>
      <c r="AE105" s="61"/>
      <c r="AG105">
        <v>2025</v>
      </c>
      <c r="AH105" s="61">
        <f>AH86/'Demographic-Economic'!C$29</f>
        <v>-6347.6577903302777</v>
      </c>
      <c r="AI105" s="61">
        <f>AI86/'Demographic-Economic'!D$29</f>
        <v>-8629.9260252306976</v>
      </c>
      <c r="AJ105" s="61">
        <f>AJ86/'Demographic-Economic'!E$29</f>
        <v>9936.036164948413</v>
      </c>
      <c r="AK105" s="61">
        <f>AK86/'Demographic-Economic'!F$29</f>
        <v>2457.2907510398932</v>
      </c>
      <c r="AL105" s="61">
        <f>AL86/'Demographic-Economic'!G$29</f>
        <v>1971.2161442148001</v>
      </c>
      <c r="AM105" s="61">
        <f>AM86/'Demographic-Economic'!H$29</f>
        <v>778.02513305937168</v>
      </c>
      <c r="AN105" s="407"/>
    </row>
    <row r="106" spans="5:40">
      <c r="E106">
        <v>2026</v>
      </c>
      <c r="F106" s="61">
        <f>F87/'Demographic-Economic'!C$29</f>
        <v>-6369.682602896085</v>
      </c>
      <c r="G106" s="61">
        <f>G87/'Demographic-Economic'!D$29</f>
        <v>-8649.0313625274248</v>
      </c>
      <c r="H106" s="61">
        <f>H87/'Demographic-Economic'!E$29</f>
        <v>10246.307877893831</v>
      </c>
      <c r="I106" s="61">
        <f>I87/'Demographic-Economic'!F$29</f>
        <v>2256.8391166533138</v>
      </c>
      <c r="J106" s="61">
        <f>J87/'Demographic-Economic'!G$29</f>
        <v>1904.0732512107902</v>
      </c>
      <c r="K106" s="61">
        <f>K87/'Demographic-Economic'!H$29</f>
        <v>780.42164227180535</v>
      </c>
      <c r="L106" s="61"/>
      <c r="M106" s="61"/>
      <c r="N106">
        <v>2026</v>
      </c>
      <c r="O106" s="61">
        <f>O87/'Demographic-Economic'!C$29</f>
        <v>-6451.0138881495113</v>
      </c>
      <c r="P106" s="61">
        <f>P87/'Demographic-Economic'!D$29</f>
        <v>-8759.4665098912446</v>
      </c>
      <c r="Q106" s="61">
        <f>Q87/'Demographic-Economic'!E$29</f>
        <v>10390.449072332098</v>
      </c>
      <c r="R106" s="61">
        <f>R87/'Demographic-Economic'!F$29</f>
        <v>2304.1479889641105</v>
      </c>
      <c r="S106" s="61">
        <f>S87/'Demographic-Economic'!G$29</f>
        <v>1874.9836499845278</v>
      </c>
      <c r="T106" s="61">
        <f>T87/'Demographic-Economic'!H$29</f>
        <v>810.91272391644077</v>
      </c>
      <c r="U106" s="407"/>
      <c r="W106">
        <v>2026</v>
      </c>
      <c r="X106" s="61">
        <f>X87/'Demographic-Economic'!C$29</f>
        <v>-6523.8454160497158</v>
      </c>
      <c r="Y106" s="61">
        <f>Y87/'Demographic-Economic'!D$29</f>
        <v>-8858.360317991388</v>
      </c>
      <c r="Z106" s="61">
        <f>Z87/'Demographic-Economic'!E$29</f>
        <v>10522.32169658659</v>
      </c>
      <c r="AA106" s="61">
        <f>AA87/'Demographic-Economic'!F$29</f>
        <v>2349.6385570480461</v>
      </c>
      <c r="AB106" s="61">
        <f>AB87/'Demographic-Economic'!G$29</f>
        <v>1839.0491071912934</v>
      </c>
      <c r="AC106" s="61">
        <f>AC87/'Demographic-Economic'!H$29</f>
        <v>841.98839681437732</v>
      </c>
      <c r="AD106" s="407"/>
      <c r="AE106" s="61"/>
      <c r="AG106">
        <v>2026</v>
      </c>
      <c r="AH106" s="61">
        <f>AH87/'Demographic-Economic'!C$29</f>
        <v>-6380.362469490392</v>
      </c>
      <c r="AI106" s="61">
        <f>AI87/'Demographic-Economic'!D$29</f>
        <v>-8663.5329486943356</v>
      </c>
      <c r="AJ106" s="61">
        <f>AJ87/'Demographic-Economic'!E$29</f>
        <v>10265.076918594115</v>
      </c>
      <c r="AK106" s="61">
        <f>AK87/'Demographic-Economic'!F$29</f>
        <v>2262.8698594923103</v>
      </c>
      <c r="AL106" s="61">
        <f>AL87/'Demographic-Economic'!G$29</f>
        <v>1900.8215729878132</v>
      </c>
      <c r="AM106" s="61">
        <f>AM87/'Demographic-Economic'!H$29</f>
        <v>784.20859219683905</v>
      </c>
      <c r="AN106" s="407"/>
    </row>
    <row r="107" spans="5:40">
      <c r="E107">
        <v>2027</v>
      </c>
      <c r="F107" s="61">
        <f>F88/'Demographic-Economic'!C$29</f>
        <v>-6400.5311991827348</v>
      </c>
      <c r="G107" s="61">
        <f>G88/'Demographic-Economic'!D$29</f>
        <v>-8680.041679601256</v>
      </c>
      <c r="H107" s="61">
        <f>H88/'Demographic-Economic'!E$29</f>
        <v>10546.361787599997</v>
      </c>
      <c r="I107" s="61">
        <f>I88/'Demographic-Economic'!F$29</f>
        <v>2080.5520496496383</v>
      </c>
      <c r="J107" s="61">
        <f>J88/'Demographic-Economic'!G$29</f>
        <v>1840.6203889549047</v>
      </c>
      <c r="K107" s="61">
        <f>K88/'Demographic-Economic'!H$29</f>
        <v>785.74099178858648</v>
      </c>
      <c r="L107" s="61"/>
      <c r="M107" s="61"/>
      <c r="N107">
        <v>2027</v>
      </c>
      <c r="O107" s="61">
        <f>O88/'Demographic-Economic'!C$29</f>
        <v>-6495.2990905207362</v>
      </c>
      <c r="P107" s="61">
        <f>P88/'Demographic-Economic'!D$29</f>
        <v>-8808.5605823458991</v>
      </c>
      <c r="Q107" s="61">
        <f>Q88/'Demographic-Economic'!E$29</f>
        <v>10743.438557146777</v>
      </c>
      <c r="R107" s="61">
        <f>R88/'Demographic-Economic'!F$29</f>
        <v>2113.3278800311941</v>
      </c>
      <c r="S107" s="61">
        <f>S88/'Demographic-Economic'!G$29</f>
        <v>1800.8472833548362</v>
      </c>
      <c r="T107" s="61">
        <f>T88/'Demographic-Economic'!H$29</f>
        <v>820.60278726473678</v>
      </c>
      <c r="U107" s="407"/>
      <c r="W107">
        <v>2027</v>
      </c>
      <c r="X107" s="61">
        <f>X88/'Demographic-Economic'!C$29</f>
        <v>-6580.1629937594544</v>
      </c>
      <c r="Y107" s="61">
        <f>Y88/'Demographic-Economic'!D$29</f>
        <v>-8923.6482515224416</v>
      </c>
      <c r="Z107" s="61">
        <f>Z88/'Demographic-Economic'!E$29</f>
        <v>10929.003615487185</v>
      </c>
      <c r="AA107" s="61">
        <f>AA88/'Demographic-Economic'!F$29</f>
        <v>2142.6563726378899</v>
      </c>
      <c r="AB107" s="61">
        <f>AB88/'Demographic-Economic'!G$29</f>
        <v>1751.1479262896894</v>
      </c>
      <c r="AC107" s="61">
        <f>AC88/'Demographic-Economic'!H$29</f>
        <v>856.66041615290408</v>
      </c>
      <c r="AD107" s="407"/>
      <c r="AE107" s="61"/>
      <c r="AG107">
        <v>2027</v>
      </c>
      <c r="AH107" s="61">
        <f>AH88/'Demographic-Economic'!C$29</f>
        <v>-6412.9754687373097</v>
      </c>
      <c r="AI107" s="61">
        <f>AI88/'Demographic-Economic'!D$29</f>
        <v>-8696.9179005029982</v>
      </c>
      <c r="AJ107" s="61">
        <f>AJ88/'Demographic-Economic'!E$29</f>
        <v>10571.731500915423</v>
      </c>
      <c r="AK107" s="61">
        <f>AK88/'Demographic-Economic'!F$29</f>
        <v>2084.8541557304911</v>
      </c>
      <c r="AL107" s="61">
        <f>AL88/'Demographic-Economic'!G$29</f>
        <v>1836.1920315474101</v>
      </c>
      <c r="AM107" s="61">
        <f>AM88/'Demographic-Economic'!H$29</f>
        <v>790.04556304783227</v>
      </c>
      <c r="AN107" s="407"/>
    </row>
    <row r="108" spans="5:40">
      <c r="E108">
        <v>2028</v>
      </c>
      <c r="F108" s="61">
        <f>F89/'Demographic-Economic'!C$29</f>
        <v>-6431.2927213496005</v>
      </c>
      <c r="G108" s="61">
        <f>G89/'Demographic-Economic'!D$29</f>
        <v>-8710.8428886437014</v>
      </c>
      <c r="H108" s="61">
        <f>H89/'Demographic-Economic'!E$29</f>
        <v>10825.934977349389</v>
      </c>
      <c r="I108" s="61">
        <f>I89/'Demographic-Economic'!F$29</f>
        <v>1919.2908032305663</v>
      </c>
      <c r="J108" s="61">
        <f>J89/'Demographic-Economic'!G$29</f>
        <v>1782.3794074436123</v>
      </c>
      <c r="K108" s="61">
        <f>K89/'Demographic-Economic'!H$29</f>
        <v>790.77747600975863</v>
      </c>
      <c r="L108" s="61"/>
      <c r="M108" s="61"/>
      <c r="N108">
        <v>2028</v>
      </c>
      <c r="O108" s="61">
        <f>O89/'Demographic-Economic'!C$29</f>
        <v>-6539.4635001768338</v>
      </c>
      <c r="P108" s="61">
        <f>P89/'Demographic-Economic'!D$29</f>
        <v>-8857.3544377725957</v>
      </c>
      <c r="Q108" s="61">
        <f>Q89/'Demographic-Economic'!E$29</f>
        <v>11079.184132809345</v>
      </c>
      <c r="R108" s="61">
        <f>R89/'Demographic-Economic'!F$29</f>
        <v>1934.8740554002266</v>
      </c>
      <c r="S108" s="61">
        <f>S89/'Demographic-Economic'!G$29</f>
        <v>1731.4833943443689</v>
      </c>
      <c r="T108" s="61">
        <f>T89/'Demographic-Economic'!H$29</f>
        <v>829.79850683174061</v>
      </c>
      <c r="U108" s="407"/>
      <c r="W108">
        <v>2028</v>
      </c>
      <c r="X108" s="61">
        <f>X89/'Demographic-Economic'!C$29</f>
        <v>-6636.3295840164556</v>
      </c>
      <c r="Y108" s="61">
        <f>Y89/'Demographic-Economic'!D$29</f>
        <v>-8988.5543806338519</v>
      </c>
      <c r="Z108" s="61">
        <f>Z89/'Demographic-Economic'!E$29</f>
        <v>11323.245692205375</v>
      </c>
      <c r="AA108" s="61">
        <f>AA89/'Demographic-Economic'!F$29</f>
        <v>1944.3314228269533</v>
      </c>
      <c r="AB108" s="61">
        <f>AB89/'Demographic-Economic'!G$29</f>
        <v>1667.0275911524745</v>
      </c>
      <c r="AC108" s="61">
        <f>AC89/'Demographic-Economic'!H$29</f>
        <v>870.68922729223289</v>
      </c>
      <c r="AD108" s="407"/>
      <c r="AE108" s="61"/>
      <c r="AG108">
        <v>2028</v>
      </c>
      <c r="AH108" s="61">
        <f>AH89/'Demographic-Economic'!C$29</f>
        <v>-6445.4969661697514</v>
      </c>
      <c r="AI108" s="61">
        <f>AI89/'Demographic-Economic'!D$29</f>
        <v>-8730.081780471688</v>
      </c>
      <c r="AJ108" s="61">
        <f>AJ89/'Demographic-Economic'!E$29</f>
        <v>10858.236741760316</v>
      </c>
      <c r="AK108" s="61">
        <f>AK89/'Demographic-Economic'!F$29</f>
        <v>1921.581959407953</v>
      </c>
      <c r="AL108" s="61">
        <f>AL89/'Demographic-Economic'!G$29</f>
        <v>1776.7430130448629</v>
      </c>
      <c r="AM108" s="61">
        <f>AM89/'Demographic-Economic'!H$29</f>
        <v>795.5712127650346</v>
      </c>
      <c r="AN108" s="407"/>
    </row>
    <row r="109" spans="5:40">
      <c r="E109">
        <v>2029</v>
      </c>
      <c r="F109" s="61">
        <f>F90/'Demographic-Economic'!C$29</f>
        <v>-6461.9673388810488</v>
      </c>
      <c r="G109" s="61">
        <f>G90/'Demographic-Economic'!D$29</f>
        <v>-8741.4358413804366</v>
      </c>
      <c r="H109" s="61">
        <f>H90/'Demographic-Economic'!E$29</f>
        <v>11087.126229936957</v>
      </c>
      <c r="I109" s="61">
        <f>I90/'Demographic-Economic'!F$29</f>
        <v>1771.4942197506352</v>
      </c>
      <c r="J109" s="61">
        <f>J90/'Demographic-Economic'!G$29</f>
        <v>1728.8079670789016</v>
      </c>
      <c r="K109" s="61">
        <f>K90/'Demographic-Economic'!H$29</f>
        <v>795.56026572295627</v>
      </c>
      <c r="L109" s="61"/>
      <c r="M109" s="61"/>
      <c r="N109">
        <v>2029</v>
      </c>
      <c r="O109" s="61">
        <f>O90/'Demographic-Economic'!C$29</f>
        <v>-6583.5073499039618</v>
      </c>
      <c r="P109" s="61">
        <f>P90/'Demographic-Economic'!D$29</f>
        <v>-8905.8492704185192</v>
      </c>
      <c r="Q109" s="61">
        <f>Q90/'Demographic-Economic'!E$29</f>
        <v>11398.675955601982</v>
      </c>
      <c r="R109" s="61">
        <f>R90/'Demographic-Economic'!F$29</f>
        <v>1768.0549386417028</v>
      </c>
      <c r="S109" s="61">
        <f>S90/'Demographic-Economic'!G$29</f>
        <v>1666.6108893074293</v>
      </c>
      <c r="T109" s="61">
        <f>T90/'Demographic-Economic'!H$29</f>
        <v>838.53367750471409</v>
      </c>
      <c r="U109" s="407"/>
      <c r="W109">
        <v>2029</v>
      </c>
      <c r="X109" s="61">
        <f>X90/'Demographic-Economic'!C$29</f>
        <v>-6692.3454762931378</v>
      </c>
      <c r="Y109" s="61">
        <f>Y90/'Demographic-Economic'!D$29</f>
        <v>-9053.0802062981365</v>
      </c>
      <c r="Z109" s="61">
        <f>Z90/'Demographic-Economic'!E$29</f>
        <v>11704.818808109214</v>
      </c>
      <c r="AA109" s="61">
        <f>AA90/'Demographic-Economic'!F$29</f>
        <v>1754.8136601636561</v>
      </c>
      <c r="AB109" s="61">
        <f>AB90/'Demographic-Economic'!G$29</f>
        <v>1586.752243644278</v>
      </c>
      <c r="AC109" s="61">
        <f>AC90/'Demographic-Economic'!H$29</f>
        <v>884.08809912462812</v>
      </c>
      <c r="AD109" s="407"/>
      <c r="AE109" s="61"/>
      <c r="AG109">
        <v>2029</v>
      </c>
      <c r="AH109" s="61">
        <f>AH90/'Demographic-Economic'!C$29</f>
        <v>-6477.9271395844426</v>
      </c>
      <c r="AI109" s="61">
        <f>AI90/'Demographic-Economic'!D$29</f>
        <v>-8763.0254853036586</v>
      </c>
      <c r="AJ109" s="61">
        <f>AJ90/'Demographic-Economic'!E$29</f>
        <v>11126.561059740721</v>
      </c>
      <c r="AK109" s="61">
        <f>AK90/'Demographic-Economic'!F$29</f>
        <v>1771.591159610542</v>
      </c>
      <c r="AL109" s="61">
        <f>AL90/'Demographic-Economic'!G$29</f>
        <v>1721.9601209913676</v>
      </c>
      <c r="AM109" s="61">
        <f>AM90/'Demographic-Economic'!H$29</f>
        <v>800.81646991776529</v>
      </c>
      <c r="AN109" s="407"/>
    </row>
    <row r="110" spans="5:40">
      <c r="E110">
        <v>2030</v>
      </c>
      <c r="F110" s="61">
        <f>F91/'Demographic-Economic'!C$29</f>
        <v>-6492.5552209737953</v>
      </c>
      <c r="G110" s="61">
        <f>G91/'Demographic-Economic'!D$29</f>
        <v>-8771.8213865854359</v>
      </c>
      <c r="H110" s="61">
        <f>H91/'Demographic-Economic'!E$29</f>
        <v>11331.772862997765</v>
      </c>
      <c r="I110" s="61">
        <f>I91/'Demographic-Economic'!F$29</f>
        <v>1635.795767976319</v>
      </c>
      <c r="J110" s="61">
        <f>J91/'Demographic-Economic'!G$29</f>
        <v>1679.4312838090743</v>
      </c>
      <c r="K110" s="61">
        <f>K91/'Demographic-Economic'!H$29</f>
        <v>800.114892457716</v>
      </c>
      <c r="L110" s="61"/>
      <c r="M110" s="61"/>
      <c r="N110">
        <v>2030</v>
      </c>
      <c r="O110" s="61">
        <f>O91/'Demographic-Economic'!C$29</f>
        <v>-6627.4308720950567</v>
      </c>
      <c r="P110" s="61">
        <f>P91/'Demographic-Economic'!D$29</f>
        <v>-8954.0462704359797</v>
      </c>
      <c r="Q110" s="61">
        <f>Q91/'Demographic-Economic'!E$29</f>
        <v>11702.866490155786</v>
      </c>
      <c r="R110" s="61">
        <f>R91/'Demographic-Economic'!F$29</f>
        <v>1612.1675672361</v>
      </c>
      <c r="S110" s="61">
        <f>S91/'Demographic-Economic'!G$29</f>
        <v>1605.959258693325</v>
      </c>
      <c r="T110" s="61">
        <f>T91/'Demographic-Economic'!H$29</f>
        <v>846.84024215835041</v>
      </c>
      <c r="U110" s="407"/>
      <c r="W110">
        <v>2030</v>
      </c>
      <c r="X110" s="61">
        <f>X91/'Demographic-Economic'!C$29</f>
        <v>-6748.210959574154</v>
      </c>
      <c r="Y110" s="61">
        <f>Y91/'Demographic-Economic'!D$29</f>
        <v>-9117.2272243692223</v>
      </c>
      <c r="Z110" s="61">
        <f>Z91/'Demographic-Economic'!E$29</f>
        <v>12073.611758928202</v>
      </c>
      <c r="AA110" s="61">
        <f>AA91/'Demographic-Economic'!F$29</f>
        <v>1574.1697486141816</v>
      </c>
      <c r="AB110" s="61">
        <f>AB91/'Demographic-Economic'!G$29</f>
        <v>1510.3492753515063</v>
      </c>
      <c r="AC110" s="61">
        <f>AC91/'Demographic-Economic'!H$29</f>
        <v>896.87363438738566</v>
      </c>
      <c r="AD110" s="407"/>
      <c r="AE110" s="61"/>
      <c r="AG110">
        <v>2030</v>
      </c>
      <c r="AH110" s="61">
        <f>AH91/'Demographic-Economic'!C$29</f>
        <v>-6510.2661664765865</v>
      </c>
      <c r="AI110" s="61">
        <f>AI91/'Demographic-Economic'!D$29</f>
        <v>-8795.7499086003409</v>
      </c>
      <c r="AJ110" s="61">
        <f>AJ91/'Demographic-Economic'!E$29</f>
        <v>11378.441656342708</v>
      </c>
      <c r="AK110" s="61">
        <f>AK91/'Demographic-Economic'!F$29</f>
        <v>1633.5915604306883</v>
      </c>
      <c r="AL110" s="61">
        <f>AL91/'Demographic-Economic'!G$29</f>
        <v>1671.389358193243</v>
      </c>
      <c r="AM110" s="61">
        <f>AM91/'Demographic-Economic'!H$29</f>
        <v>805.80860724672539</v>
      </c>
      <c r="AN110" s="407"/>
    </row>
    <row r="111" spans="5:40">
      <c r="E111">
        <v>2040</v>
      </c>
      <c r="F111" s="61">
        <f>F92/'Demographic-Economic'!C$29</f>
        <v>0</v>
      </c>
      <c r="G111" s="61">
        <f>G92/'Demographic-Economic'!D$29</f>
        <v>0</v>
      </c>
      <c r="H111" s="61">
        <f>H92/'Demographic-Economic'!E$29</f>
        <v>0</v>
      </c>
      <c r="I111" s="61">
        <f>I92/'Demographic-Economic'!F$29</f>
        <v>0</v>
      </c>
      <c r="J111" s="61">
        <f>J92/'Demographic-Economic'!G$29</f>
        <v>0</v>
      </c>
      <c r="K111" s="61">
        <f>K92/'Demographic-Economic'!H$29</f>
        <v>0</v>
      </c>
      <c r="L111" s="61"/>
      <c r="M111" s="61"/>
      <c r="N111">
        <v>2040</v>
      </c>
      <c r="O111" s="61">
        <f>O92/'Demographic-Economic'!C$29</f>
        <v>0</v>
      </c>
      <c r="P111" s="61">
        <f>P92/'Demographic-Economic'!D$29</f>
        <v>0</v>
      </c>
      <c r="Q111" s="61">
        <f>Q92/'Demographic-Economic'!E$29</f>
        <v>0</v>
      </c>
      <c r="R111" s="61">
        <f>R92/'Demographic-Economic'!F$29</f>
        <v>0</v>
      </c>
      <c r="S111" s="61">
        <f>S92/'Demographic-Economic'!G$29</f>
        <v>0</v>
      </c>
      <c r="T111" s="61">
        <f>T92/'Demographic-Economic'!H$29</f>
        <v>0</v>
      </c>
      <c r="U111" s="407"/>
      <c r="W111">
        <v>2040</v>
      </c>
      <c r="X111" s="61">
        <f>X92/'Demographic-Economic'!C$29</f>
        <v>0</v>
      </c>
      <c r="Y111" s="61">
        <f>Y92/'Demographic-Economic'!D$29</f>
        <v>0</v>
      </c>
      <c r="Z111" s="61">
        <f>Z92/'Demographic-Economic'!E$29</f>
        <v>0</v>
      </c>
      <c r="AA111" s="61">
        <f>AA92/'Demographic-Economic'!F$29</f>
        <v>0</v>
      </c>
      <c r="AB111" s="61">
        <f>AB92/'Demographic-Economic'!G$29</f>
        <v>0</v>
      </c>
      <c r="AC111" s="61">
        <f>AC92/'Demographic-Economic'!H$29</f>
        <v>0</v>
      </c>
      <c r="AD111" s="407"/>
      <c r="AE111" s="61"/>
      <c r="AG111">
        <v>2040</v>
      </c>
      <c r="AH111" s="61">
        <f>AH92/'Demographic-Economic'!C$29</f>
        <v>0</v>
      </c>
      <c r="AI111" s="61">
        <f>AI92/'Demographic-Economic'!D$29</f>
        <v>0</v>
      </c>
      <c r="AJ111" s="61">
        <f>AJ92/'Demographic-Economic'!E$29</f>
        <v>0</v>
      </c>
      <c r="AK111" s="61">
        <f>AK92/'Demographic-Economic'!F$29</f>
        <v>0</v>
      </c>
      <c r="AL111" s="61">
        <f>AL92/'Demographic-Economic'!G$29</f>
        <v>0</v>
      </c>
      <c r="AM111" s="61">
        <f>AM92/'Demographic-Economic'!H$29</f>
        <v>0</v>
      </c>
      <c r="AN111" s="407"/>
    </row>
    <row r="112" spans="5:40">
      <c r="E112">
        <v>2050</v>
      </c>
      <c r="F112" s="61">
        <f>F93/'Demographic-Economic'!C$29</f>
        <v>0</v>
      </c>
      <c r="G112" s="61">
        <f>G93/'Demographic-Economic'!D$29</f>
        <v>0</v>
      </c>
      <c r="H112" s="61">
        <f>H93/'Demographic-Economic'!E$29</f>
        <v>0</v>
      </c>
      <c r="I112" s="61">
        <f>I93/'Demographic-Economic'!F$29</f>
        <v>0</v>
      </c>
      <c r="J112" s="61">
        <f>J93/'Demographic-Economic'!G$29</f>
        <v>0</v>
      </c>
      <c r="K112" s="61">
        <f>K93/'Demographic-Economic'!H$29</f>
        <v>0</v>
      </c>
      <c r="L112" s="61"/>
      <c r="M112" s="61"/>
      <c r="N112">
        <v>2050</v>
      </c>
      <c r="O112" s="61">
        <f>O93/'Demographic-Economic'!C$29</f>
        <v>0</v>
      </c>
      <c r="P112" s="61">
        <f>P93/'Demographic-Economic'!D$29</f>
        <v>0</v>
      </c>
      <c r="Q112" s="61">
        <f>Q93/'Demographic-Economic'!E$29</f>
        <v>0</v>
      </c>
      <c r="R112" s="61">
        <f>R93/'Demographic-Economic'!F$29</f>
        <v>0</v>
      </c>
      <c r="S112" s="61">
        <f>S93/'Demographic-Economic'!G$29</f>
        <v>0</v>
      </c>
      <c r="T112" s="61">
        <f>T93/'Demographic-Economic'!H$29</f>
        <v>0</v>
      </c>
      <c r="U112" s="407"/>
      <c r="W112">
        <v>2050</v>
      </c>
      <c r="X112" s="61">
        <f>X93/'Demographic-Economic'!C$29</f>
        <v>0</v>
      </c>
      <c r="Y112" s="61">
        <f>Y93/'Demographic-Economic'!D$29</f>
        <v>0</v>
      </c>
      <c r="Z112" s="61">
        <f>Z93/'Demographic-Economic'!E$29</f>
        <v>0</v>
      </c>
      <c r="AA112" s="61">
        <f>AA93/'Demographic-Economic'!F$29</f>
        <v>0</v>
      </c>
      <c r="AB112" s="61">
        <f>AB93/'Demographic-Economic'!G$29</f>
        <v>0</v>
      </c>
      <c r="AC112" s="61">
        <f>AC93/'Demographic-Economic'!H$29</f>
        <v>0</v>
      </c>
      <c r="AD112" s="407"/>
      <c r="AE112" s="61"/>
      <c r="AG112">
        <v>2050</v>
      </c>
      <c r="AH112" s="61">
        <f>AH93/'Demographic-Economic'!C$29</f>
        <v>0</v>
      </c>
      <c r="AI112" s="61">
        <f>AI93/'Demographic-Economic'!D$29</f>
        <v>0</v>
      </c>
      <c r="AJ112" s="61">
        <f>AJ93/'Demographic-Economic'!E$29</f>
        <v>0</v>
      </c>
      <c r="AK112" s="61">
        <f>AK93/'Demographic-Economic'!F$29</f>
        <v>0</v>
      </c>
      <c r="AL112" s="61">
        <f>AL93/'Demographic-Economic'!G$29</f>
        <v>0</v>
      </c>
      <c r="AM112" s="61">
        <f>AM93/'Demographic-Economic'!H$29</f>
        <v>0</v>
      </c>
      <c r="AN112" s="407"/>
    </row>
    <row r="113" spans="5:40">
      <c r="E113">
        <v>2060</v>
      </c>
      <c r="F113" s="61">
        <f>F94/'Demographic-Economic'!C$29</f>
        <v>0</v>
      </c>
      <c r="G113" s="61">
        <f>G94/'Demographic-Economic'!D$29</f>
        <v>0</v>
      </c>
      <c r="H113" s="61">
        <f>H94/'Demographic-Economic'!E$29</f>
        <v>0</v>
      </c>
      <c r="I113" s="61">
        <f>I94/'Demographic-Economic'!F$29</f>
        <v>0</v>
      </c>
      <c r="J113" s="61">
        <f>J94/'Demographic-Economic'!G$29</f>
        <v>0</v>
      </c>
      <c r="K113" s="61">
        <f>K94/'Demographic-Economic'!H$29</f>
        <v>0</v>
      </c>
      <c r="L113" s="61"/>
      <c r="M113" s="61"/>
      <c r="N113">
        <v>2060</v>
      </c>
      <c r="O113" s="61">
        <f>O94/'Demographic-Economic'!C$29</f>
        <v>0</v>
      </c>
      <c r="P113" s="61">
        <f>P94/'Demographic-Economic'!D$29</f>
        <v>0</v>
      </c>
      <c r="Q113" s="61">
        <f>Q94/'Demographic-Economic'!E$29</f>
        <v>0</v>
      </c>
      <c r="R113" s="61">
        <f>R94/'Demographic-Economic'!F$29</f>
        <v>0</v>
      </c>
      <c r="S113" s="61">
        <f>S94/'Demographic-Economic'!G$29</f>
        <v>0</v>
      </c>
      <c r="T113" s="61">
        <f>T94/'Demographic-Economic'!H$29</f>
        <v>0</v>
      </c>
      <c r="U113" s="407"/>
      <c r="W113">
        <v>2060</v>
      </c>
      <c r="X113" s="61">
        <f>X94/'Demographic-Economic'!C$29</f>
        <v>0</v>
      </c>
      <c r="Y113" s="61">
        <f>Y94/'Demographic-Economic'!D$29</f>
        <v>0</v>
      </c>
      <c r="Z113" s="61">
        <f>Z94/'Demographic-Economic'!E$29</f>
        <v>0</v>
      </c>
      <c r="AA113" s="61">
        <f>AA94/'Demographic-Economic'!F$29</f>
        <v>0</v>
      </c>
      <c r="AB113" s="61">
        <f>AB94/'Demographic-Economic'!G$29</f>
        <v>0</v>
      </c>
      <c r="AC113" s="61">
        <f>AC94/'Demographic-Economic'!H$29</f>
        <v>0</v>
      </c>
      <c r="AD113" s="407"/>
      <c r="AE113" s="61"/>
      <c r="AG113">
        <v>2060</v>
      </c>
      <c r="AH113" s="61">
        <f>AH94/'Demographic-Economic'!C$29</f>
        <v>0</v>
      </c>
      <c r="AI113" s="61">
        <f>AI94/'Demographic-Economic'!D$29</f>
        <v>0</v>
      </c>
      <c r="AJ113" s="61">
        <f>AJ94/'Demographic-Economic'!E$29</f>
        <v>0</v>
      </c>
      <c r="AK113" s="61">
        <f>AK94/'Demographic-Economic'!F$29</f>
        <v>0</v>
      </c>
      <c r="AL113" s="61">
        <f>AL94/'Demographic-Economic'!G$29</f>
        <v>0</v>
      </c>
      <c r="AM113" s="61">
        <f>AM94/'Demographic-Economic'!H$29</f>
        <v>0</v>
      </c>
      <c r="AN113" s="407"/>
    </row>
    <row r="114" spans="5:40">
      <c r="E114">
        <v>2070</v>
      </c>
      <c r="F114" s="61">
        <f>F95/'Demographic-Economic'!C$29</f>
        <v>0</v>
      </c>
      <c r="G114" s="61">
        <f>G95/'Demographic-Economic'!D$29</f>
        <v>0</v>
      </c>
      <c r="H114" s="61">
        <f>H95/'Demographic-Economic'!E$29</f>
        <v>0</v>
      </c>
      <c r="I114" s="61">
        <f>I95/'Demographic-Economic'!F$29</f>
        <v>0</v>
      </c>
      <c r="J114" s="61">
        <f>J95/'Demographic-Economic'!G$29</f>
        <v>0</v>
      </c>
      <c r="K114" s="61">
        <f>K95/'Demographic-Economic'!H$29</f>
        <v>0</v>
      </c>
      <c r="L114" s="61"/>
      <c r="M114" s="61"/>
      <c r="N114">
        <v>2070</v>
      </c>
      <c r="O114" s="61">
        <f>O95/'Demographic-Economic'!C$29</f>
        <v>0</v>
      </c>
      <c r="P114" s="61">
        <f>P95/'Demographic-Economic'!D$29</f>
        <v>0</v>
      </c>
      <c r="Q114" s="61">
        <f>Q95/'Demographic-Economic'!E$29</f>
        <v>0</v>
      </c>
      <c r="R114" s="61">
        <f>R95/'Demographic-Economic'!F$29</f>
        <v>0</v>
      </c>
      <c r="S114" s="61">
        <f>S95/'Demographic-Economic'!G$29</f>
        <v>0</v>
      </c>
      <c r="T114" s="61">
        <f>T95/'Demographic-Economic'!H$29</f>
        <v>0</v>
      </c>
      <c r="U114" s="407"/>
      <c r="W114">
        <v>2070</v>
      </c>
      <c r="X114" s="61">
        <f>X95/'Demographic-Economic'!C$29</f>
        <v>0</v>
      </c>
      <c r="Y114" s="61">
        <f>Y95/'Demographic-Economic'!D$29</f>
        <v>0</v>
      </c>
      <c r="Z114" s="61">
        <f>Z95/'Demographic-Economic'!E$29</f>
        <v>0</v>
      </c>
      <c r="AA114" s="61">
        <f>AA95/'Demographic-Economic'!F$29</f>
        <v>0</v>
      </c>
      <c r="AB114" s="61">
        <f>AB95/'Demographic-Economic'!G$29</f>
        <v>0</v>
      </c>
      <c r="AC114" s="61">
        <f>AC95/'Demographic-Economic'!H$29</f>
        <v>0</v>
      </c>
      <c r="AD114" s="407"/>
      <c r="AE114" s="61"/>
      <c r="AG114">
        <v>2070</v>
      </c>
      <c r="AH114" s="61">
        <f>AH95/'Demographic-Economic'!C$29</f>
        <v>0</v>
      </c>
      <c r="AI114" s="61">
        <f>AI95/'Demographic-Economic'!D$29</f>
        <v>0</v>
      </c>
      <c r="AJ114" s="61">
        <f>AJ95/'Demographic-Economic'!E$29</f>
        <v>0</v>
      </c>
      <c r="AK114" s="61">
        <f>AK95/'Demographic-Economic'!F$29</f>
        <v>0</v>
      </c>
      <c r="AL114" s="61">
        <f>AL95/'Demographic-Economic'!G$29</f>
        <v>0</v>
      </c>
      <c r="AM114" s="61">
        <f>AM95/'Demographic-Economic'!H$29</f>
        <v>0</v>
      </c>
      <c r="AN114" s="407"/>
    </row>
    <row r="115" spans="5:40">
      <c r="E115">
        <v>2080</v>
      </c>
      <c r="F115" s="61">
        <f>F96/'Demographic-Economic'!C$29</f>
        <v>0</v>
      </c>
      <c r="G115" s="61">
        <f>G96/'Demographic-Economic'!D$29</f>
        <v>0</v>
      </c>
      <c r="H115" s="61">
        <f>H96/'Demographic-Economic'!E$29</f>
        <v>0</v>
      </c>
      <c r="I115" s="61">
        <f>I96/'Demographic-Economic'!F$29</f>
        <v>0</v>
      </c>
      <c r="J115" s="61">
        <f>J96/'Demographic-Economic'!G$29</f>
        <v>0</v>
      </c>
      <c r="K115" s="61">
        <f>K96/'Demographic-Economic'!H$29</f>
        <v>0</v>
      </c>
      <c r="L115" s="61"/>
      <c r="M115" s="61"/>
      <c r="N115">
        <v>2080</v>
      </c>
      <c r="O115" s="61">
        <f>O96/'Demographic-Economic'!C$29</f>
        <v>0</v>
      </c>
      <c r="P115" s="61">
        <f>P96/'Demographic-Economic'!D$29</f>
        <v>0</v>
      </c>
      <c r="Q115" s="61">
        <f>Q96/'Demographic-Economic'!E$29</f>
        <v>0</v>
      </c>
      <c r="R115" s="61">
        <f>R96/'Demographic-Economic'!F$29</f>
        <v>0</v>
      </c>
      <c r="S115" s="61">
        <f>S96/'Demographic-Economic'!G$29</f>
        <v>0</v>
      </c>
      <c r="T115" s="61">
        <f>T96/'Demographic-Economic'!H$29</f>
        <v>0</v>
      </c>
      <c r="U115" s="407"/>
      <c r="W115">
        <v>2080</v>
      </c>
      <c r="X115" s="61">
        <f>X96/'Demographic-Economic'!C$29</f>
        <v>0</v>
      </c>
      <c r="Y115" s="61">
        <f>Y96/'Demographic-Economic'!D$29</f>
        <v>0</v>
      </c>
      <c r="Z115" s="61">
        <f>Z96/'Demographic-Economic'!E$29</f>
        <v>0</v>
      </c>
      <c r="AA115" s="61">
        <f>AA96/'Demographic-Economic'!F$29</f>
        <v>0</v>
      </c>
      <c r="AB115" s="61">
        <f>AB96/'Demographic-Economic'!G$29</f>
        <v>0</v>
      </c>
      <c r="AC115" s="61">
        <f>AC96/'Demographic-Economic'!H$29</f>
        <v>0</v>
      </c>
      <c r="AD115" s="407"/>
      <c r="AE115" s="61"/>
      <c r="AG115">
        <v>2080</v>
      </c>
      <c r="AH115" s="61">
        <f>AH96/'Demographic-Economic'!C$29</f>
        <v>0</v>
      </c>
      <c r="AI115" s="61">
        <f>AI96/'Demographic-Economic'!D$29</f>
        <v>0</v>
      </c>
      <c r="AJ115" s="61">
        <f>AJ96/'Demographic-Economic'!E$29</f>
        <v>0</v>
      </c>
      <c r="AK115" s="61">
        <f>AK96/'Demographic-Economic'!F$29</f>
        <v>0</v>
      </c>
      <c r="AL115" s="61">
        <f>AL96/'Demographic-Economic'!G$29</f>
        <v>0</v>
      </c>
      <c r="AM115" s="61">
        <f>AM96/'Demographic-Economic'!H$29</f>
        <v>0</v>
      </c>
      <c r="AN115" s="407"/>
    </row>
    <row r="116" spans="5:40">
      <c r="E116">
        <v>2090</v>
      </c>
      <c r="F116" s="61">
        <f>F97/'Demographic-Economic'!C$29</f>
        <v>0</v>
      </c>
      <c r="G116" s="61">
        <f>G97/'Demographic-Economic'!D$29</f>
        <v>0</v>
      </c>
      <c r="H116" s="61">
        <f>H97/'Demographic-Economic'!E$29</f>
        <v>0</v>
      </c>
      <c r="I116" s="61">
        <f>I97/'Demographic-Economic'!F$29</f>
        <v>0</v>
      </c>
      <c r="J116" s="61">
        <f>J97/'Demographic-Economic'!G$29</f>
        <v>0</v>
      </c>
      <c r="K116" s="61">
        <f>K97/'Demographic-Economic'!H$29</f>
        <v>0</v>
      </c>
      <c r="L116" s="61"/>
      <c r="M116" s="61"/>
      <c r="N116">
        <v>2090</v>
      </c>
      <c r="O116" s="61">
        <f>O97/'Demographic-Economic'!C$29</f>
        <v>0</v>
      </c>
      <c r="P116" s="61">
        <f>P97/'Demographic-Economic'!D$29</f>
        <v>0</v>
      </c>
      <c r="Q116" s="61">
        <f>Q97/'Demographic-Economic'!E$29</f>
        <v>0</v>
      </c>
      <c r="R116" s="61">
        <f>R97/'Demographic-Economic'!F$29</f>
        <v>0</v>
      </c>
      <c r="S116" s="61">
        <f>S97/'Demographic-Economic'!G$29</f>
        <v>0</v>
      </c>
      <c r="T116" s="61">
        <f>T97/'Demographic-Economic'!H$29</f>
        <v>0</v>
      </c>
      <c r="U116" s="407"/>
      <c r="W116">
        <v>2090</v>
      </c>
      <c r="X116" s="61">
        <f>X97/'Demographic-Economic'!C$29</f>
        <v>0</v>
      </c>
      <c r="Y116" s="61">
        <f>Y97/'Demographic-Economic'!D$29</f>
        <v>0</v>
      </c>
      <c r="Z116" s="61">
        <f>Z97/'Demographic-Economic'!E$29</f>
        <v>0</v>
      </c>
      <c r="AA116" s="61">
        <f>AA97/'Demographic-Economic'!F$29</f>
        <v>0</v>
      </c>
      <c r="AB116" s="61">
        <f>AB97/'Demographic-Economic'!G$29</f>
        <v>0</v>
      </c>
      <c r="AC116" s="61">
        <f>AC97/'Demographic-Economic'!H$29</f>
        <v>0</v>
      </c>
      <c r="AD116" s="407"/>
      <c r="AE116" s="61"/>
      <c r="AG116">
        <v>2090</v>
      </c>
      <c r="AH116" s="61">
        <f>AH97/'Demographic-Economic'!C$29</f>
        <v>0</v>
      </c>
      <c r="AI116" s="61">
        <f>AI97/'Demographic-Economic'!D$29</f>
        <v>0</v>
      </c>
      <c r="AJ116" s="61">
        <f>AJ97/'Demographic-Economic'!E$29</f>
        <v>0</v>
      </c>
      <c r="AK116" s="61">
        <f>AK97/'Demographic-Economic'!F$29</f>
        <v>0</v>
      </c>
      <c r="AL116" s="61">
        <f>AL97/'Demographic-Economic'!G$29</f>
        <v>0</v>
      </c>
      <c r="AM116" s="61">
        <f>AM97/'Demographic-Economic'!H$29</f>
        <v>0</v>
      </c>
      <c r="AN116" s="407"/>
    </row>
    <row r="117" spans="5:40">
      <c r="E117">
        <v>2100</v>
      </c>
      <c r="F117" s="61">
        <f>F98/'Demographic-Economic'!C$29</f>
        <v>0</v>
      </c>
      <c r="G117" s="61">
        <f>G98/'Demographic-Economic'!D$29</f>
        <v>0</v>
      </c>
      <c r="H117" s="61">
        <f>H98/'Demographic-Economic'!E$29</f>
        <v>0</v>
      </c>
      <c r="I117" s="61">
        <f>I98/'Demographic-Economic'!F$29</f>
        <v>0</v>
      </c>
      <c r="J117" s="61">
        <f>J98/'Demographic-Economic'!G$29</f>
        <v>0</v>
      </c>
      <c r="K117" s="61">
        <f>K98/'Demographic-Economic'!H$29</f>
        <v>0</v>
      </c>
      <c r="L117" s="61"/>
      <c r="M117" s="61"/>
      <c r="N117">
        <v>2100</v>
      </c>
      <c r="O117" s="61">
        <f>O98/'Demographic-Economic'!C$29</f>
        <v>0</v>
      </c>
      <c r="P117" s="61">
        <f>P98/'Demographic-Economic'!D$29</f>
        <v>0</v>
      </c>
      <c r="Q117" s="61">
        <f>Q98/'Demographic-Economic'!E$29</f>
        <v>0</v>
      </c>
      <c r="R117" s="61">
        <f>R98/'Demographic-Economic'!F$29</f>
        <v>0</v>
      </c>
      <c r="S117" s="61">
        <f>S98/'Demographic-Economic'!G$29</f>
        <v>0</v>
      </c>
      <c r="T117" s="61">
        <f>T98/'Demographic-Economic'!H$29</f>
        <v>0</v>
      </c>
      <c r="U117" s="407"/>
      <c r="W117">
        <v>2100</v>
      </c>
      <c r="X117" s="61">
        <f>X98/'Demographic-Economic'!C$29</f>
        <v>0</v>
      </c>
      <c r="Y117" s="61">
        <f>Y98/'Demographic-Economic'!D$29</f>
        <v>0</v>
      </c>
      <c r="Z117" s="61">
        <f>Z98/'Demographic-Economic'!E$29</f>
        <v>0</v>
      </c>
      <c r="AA117" s="61">
        <f>AA98/'Demographic-Economic'!F$29</f>
        <v>0</v>
      </c>
      <c r="AB117" s="61">
        <f>AB98/'Demographic-Economic'!G$29</f>
        <v>0</v>
      </c>
      <c r="AC117" s="61">
        <f>AC98/'Demographic-Economic'!H$29</f>
        <v>0</v>
      </c>
      <c r="AD117" s="407"/>
      <c r="AE117" s="61"/>
      <c r="AG117">
        <v>2100</v>
      </c>
      <c r="AH117" s="61">
        <f>AH98/'Demographic-Economic'!C$29</f>
        <v>0</v>
      </c>
      <c r="AI117" s="61">
        <f>AI98/'Demographic-Economic'!D$29</f>
        <v>0</v>
      </c>
      <c r="AJ117" s="61">
        <f>AJ98/'Demographic-Economic'!E$29</f>
        <v>0</v>
      </c>
      <c r="AK117" s="61">
        <f>AK98/'Demographic-Economic'!F$29</f>
        <v>0</v>
      </c>
      <c r="AL117" s="61">
        <f>AL98/'Demographic-Economic'!G$29</f>
        <v>0</v>
      </c>
      <c r="AM117" s="61">
        <f>AM98/'Demographic-Economic'!H$29</f>
        <v>0</v>
      </c>
      <c r="AN117" s="407"/>
    </row>
    <row r="118" spans="5:40">
      <c r="F118" s="581" t="s">
        <v>243</v>
      </c>
      <c r="G118" s="581"/>
      <c r="H118" s="581"/>
      <c r="I118" s="581"/>
      <c r="J118" s="581"/>
      <c r="K118" s="581"/>
      <c r="O118" s="581" t="s">
        <v>243</v>
      </c>
      <c r="P118" s="581"/>
      <c r="Q118" s="581"/>
      <c r="R118" s="581"/>
      <c r="S118" s="581"/>
      <c r="T118" s="581"/>
      <c r="X118" s="581" t="s">
        <v>243</v>
      </c>
      <c r="Y118" s="581"/>
      <c r="Z118" s="581"/>
      <c r="AA118" s="581"/>
      <c r="AB118" s="581"/>
      <c r="AC118" s="581"/>
      <c r="AH118" s="581" t="s">
        <v>243</v>
      </c>
      <c r="AI118" s="581"/>
      <c r="AJ118" s="581"/>
      <c r="AK118" s="581"/>
      <c r="AL118" s="581"/>
      <c r="AM118" s="581"/>
    </row>
    <row r="119" spans="5:40">
      <c r="E119">
        <v>2020</v>
      </c>
      <c r="F119" s="61">
        <f>'Demographic-Economic'!C$56*$C$7</f>
        <v>36037.614999999998</v>
      </c>
      <c r="G119" s="61">
        <f>'Demographic-Economic'!D$56*$C$7</f>
        <v>31430.830000000005</v>
      </c>
      <c r="H119" s="61">
        <f>'Demographic-Economic'!E$56*$C$7</f>
        <v>30325.600000000002</v>
      </c>
      <c r="I119" s="61">
        <f>'Demographic-Economic'!F$56*$C$7</f>
        <v>19163.370000000003</v>
      </c>
      <c r="J119" s="61">
        <f>'Demographic-Economic'!G$56*$C$7</f>
        <v>20890.34</v>
      </c>
      <c r="K119" s="61">
        <f>'Demographic-Economic'!H$56*$C$7</f>
        <v>24903.495000000003</v>
      </c>
      <c r="N119">
        <v>2020</v>
      </c>
      <c r="O119" s="61">
        <f>'Demographic-Economic'!C$56*$C$7</f>
        <v>36037.614999999998</v>
      </c>
      <c r="P119" s="61">
        <f>'Demographic-Economic'!D$56*$C$7</f>
        <v>31430.830000000005</v>
      </c>
      <c r="Q119" s="61">
        <f>'Demographic-Economic'!E$56*$C$7</f>
        <v>30325.600000000002</v>
      </c>
      <c r="R119" s="61">
        <f>'Demographic-Economic'!F$56*$C$7</f>
        <v>19163.370000000003</v>
      </c>
      <c r="S119" s="61">
        <f>'Demographic-Economic'!G$56*$C$7</f>
        <v>20890.34</v>
      </c>
      <c r="T119" s="61">
        <f>'Demographic-Economic'!H$56*$C$7</f>
        <v>24903.495000000003</v>
      </c>
      <c r="W119">
        <v>2020</v>
      </c>
      <c r="X119" s="61">
        <f>'Demographic-Economic'!C$56*$C$7</f>
        <v>36037.614999999998</v>
      </c>
      <c r="Y119" s="61">
        <f>'Demographic-Economic'!D$56*$C$7</f>
        <v>31430.830000000005</v>
      </c>
      <c r="Z119" s="61">
        <f>'Demographic-Economic'!E$56*$C$7</f>
        <v>30325.600000000002</v>
      </c>
      <c r="AA119" s="61">
        <f>'Demographic-Economic'!F$56*$C$7</f>
        <v>19163.370000000003</v>
      </c>
      <c r="AB119" s="61">
        <f>'Demographic-Economic'!G$56*$C$7</f>
        <v>20890.34</v>
      </c>
      <c r="AC119" s="61">
        <f>'Demographic-Economic'!H$56*$C$7</f>
        <v>24903.495000000003</v>
      </c>
      <c r="AG119">
        <v>2020</v>
      </c>
      <c r="AH119" s="61">
        <f>'Demographic-Economic'!C$56*$C$7</f>
        <v>36037.614999999998</v>
      </c>
      <c r="AI119" s="61">
        <f>'Demographic-Economic'!D$56*$C$7</f>
        <v>31430.830000000005</v>
      </c>
      <c r="AJ119" s="61">
        <f>'Demographic-Economic'!E$56*$C$7</f>
        <v>30325.600000000002</v>
      </c>
      <c r="AK119" s="61">
        <f>'Demographic-Economic'!F$56*$C$7</f>
        <v>19163.370000000003</v>
      </c>
      <c r="AL119" s="61">
        <f>'Demographic-Economic'!G$56*$C$7</f>
        <v>20890.34</v>
      </c>
      <c r="AM119" s="61">
        <f>'Demographic-Economic'!H$56*$C$7</f>
        <v>24903.495000000003</v>
      </c>
    </row>
    <row r="120" spans="5:40">
      <c r="E120">
        <v>2021</v>
      </c>
      <c r="F120" s="61">
        <f>(1+$C$6)*F119</f>
        <v>37390.437035754163</v>
      </c>
      <c r="G120" s="61">
        <f t="shared" ref="G120:K129" si="37">(1+$C$6)*G119</f>
        <v>32610.717165841674</v>
      </c>
      <c r="H120" s="61">
        <f t="shared" si="37"/>
        <v>31463.99775266667</v>
      </c>
      <c r="I120" s="61">
        <f t="shared" si="37"/>
        <v>19882.746940325003</v>
      </c>
      <c r="J120" s="61">
        <f t="shared" si="37"/>
        <v>21674.545954983332</v>
      </c>
      <c r="K120" s="61">
        <f t="shared" si="37"/>
        <v>25838.351449387505</v>
      </c>
      <c r="N120">
        <v>2021</v>
      </c>
      <c r="O120" s="61">
        <f>(1+$C$6)*O119</f>
        <v>37390.437035754163</v>
      </c>
      <c r="P120" s="61">
        <f t="shared" ref="P120:T129" si="38">(1+$C$6)*P119</f>
        <v>32610.717165841674</v>
      </c>
      <c r="Q120" s="61">
        <f t="shared" si="38"/>
        <v>31463.99775266667</v>
      </c>
      <c r="R120" s="61">
        <f t="shared" si="38"/>
        <v>19882.746940325003</v>
      </c>
      <c r="S120" s="61">
        <f t="shared" si="38"/>
        <v>21674.545954983332</v>
      </c>
      <c r="T120" s="61">
        <f t="shared" si="38"/>
        <v>25838.351449387505</v>
      </c>
      <c r="W120">
        <v>2021</v>
      </c>
      <c r="X120" s="61">
        <f>(1+$C$6)*X119</f>
        <v>37390.437035754163</v>
      </c>
      <c r="Y120" s="61">
        <f t="shared" ref="Y120:AC120" si="39">(1+$C$6)*Y119</f>
        <v>32610.717165841674</v>
      </c>
      <c r="Z120" s="61">
        <f t="shared" si="39"/>
        <v>31463.99775266667</v>
      </c>
      <c r="AA120" s="61">
        <f t="shared" si="39"/>
        <v>19882.746940325003</v>
      </c>
      <c r="AB120" s="61">
        <f t="shared" si="39"/>
        <v>21674.545954983332</v>
      </c>
      <c r="AC120" s="61">
        <f t="shared" si="39"/>
        <v>25838.351449387505</v>
      </c>
      <c r="AG120">
        <v>2021</v>
      </c>
      <c r="AH120" s="61">
        <f>(1+$C$6)*AH119</f>
        <v>37390.437035754163</v>
      </c>
      <c r="AI120" s="61">
        <f t="shared" ref="AI120:AM120" si="40">(1+$C$6)*AI119</f>
        <v>32610.717165841674</v>
      </c>
      <c r="AJ120" s="61">
        <f t="shared" si="40"/>
        <v>31463.99775266667</v>
      </c>
      <c r="AK120" s="61">
        <f t="shared" si="40"/>
        <v>19882.746940325003</v>
      </c>
      <c r="AL120" s="61">
        <f t="shared" si="40"/>
        <v>21674.545954983332</v>
      </c>
      <c r="AM120" s="61">
        <f t="shared" si="40"/>
        <v>25838.351449387505</v>
      </c>
    </row>
    <row r="121" spans="5:40">
      <c r="E121">
        <v>2022</v>
      </c>
      <c r="F121" s="61">
        <f t="shared" ref="F121:F129" si="41">(1+$C$6)*F120</f>
        <v>38794.042883378846</v>
      </c>
      <c r="G121" s="61">
        <f t="shared" si="37"/>
        <v>33834.896312649733</v>
      </c>
      <c r="H121" s="61">
        <f t="shared" si="37"/>
        <v>32645.130008303651</v>
      </c>
      <c r="I121" s="61">
        <f t="shared" si="37"/>
        <v>20629.12869150902</v>
      </c>
      <c r="J121" s="61">
        <f t="shared" si="37"/>
        <v>22488.190348011776</v>
      </c>
      <c r="K121" s="61">
        <f t="shared" si="37"/>
        <v>26808.30163083797</v>
      </c>
      <c r="N121">
        <v>2022</v>
      </c>
      <c r="O121" s="61">
        <f t="shared" ref="O121:O129" si="42">(1+$C$6)*O120</f>
        <v>38794.042883378846</v>
      </c>
      <c r="P121" s="61">
        <f t="shared" si="38"/>
        <v>33834.896312649733</v>
      </c>
      <c r="Q121" s="61">
        <f t="shared" si="38"/>
        <v>32645.130008303651</v>
      </c>
      <c r="R121" s="61">
        <f t="shared" si="38"/>
        <v>20629.12869150902</v>
      </c>
      <c r="S121" s="61">
        <f t="shared" si="38"/>
        <v>22488.190348011776</v>
      </c>
      <c r="T121" s="61">
        <f t="shared" si="38"/>
        <v>26808.30163083797</v>
      </c>
      <c r="W121">
        <v>2022</v>
      </c>
      <c r="X121" s="61">
        <f t="shared" ref="X121:AC129" si="43">(1+$C$6)*X120</f>
        <v>38794.042883378846</v>
      </c>
      <c r="Y121" s="61">
        <f t="shared" si="43"/>
        <v>33834.896312649733</v>
      </c>
      <c r="Z121" s="61">
        <f t="shared" si="43"/>
        <v>32645.130008303651</v>
      </c>
      <c r="AA121" s="61">
        <f t="shared" si="43"/>
        <v>20629.12869150902</v>
      </c>
      <c r="AB121" s="61">
        <f t="shared" si="43"/>
        <v>22488.190348011776</v>
      </c>
      <c r="AC121" s="61">
        <f t="shared" si="43"/>
        <v>26808.30163083797</v>
      </c>
      <c r="AG121">
        <v>2022</v>
      </c>
      <c r="AH121" s="61">
        <f t="shared" ref="AH121:AM129" si="44">(1+$C$6)*AH120</f>
        <v>38794.042883378846</v>
      </c>
      <c r="AI121" s="61">
        <f t="shared" si="44"/>
        <v>33834.896312649733</v>
      </c>
      <c r="AJ121" s="61">
        <f t="shared" si="44"/>
        <v>32645.130008303651</v>
      </c>
      <c r="AK121" s="61">
        <f t="shared" si="44"/>
        <v>20629.12869150902</v>
      </c>
      <c r="AL121" s="61">
        <f t="shared" si="44"/>
        <v>22488.190348011776</v>
      </c>
      <c r="AM121" s="61">
        <f t="shared" si="44"/>
        <v>26808.30163083797</v>
      </c>
    </row>
    <row r="122" spans="5:40">
      <c r="E122">
        <v>2023</v>
      </c>
      <c r="F122" s="61">
        <f t="shared" si="41"/>
        <v>40250.338924851822</v>
      </c>
      <c r="G122" s="61">
        <f t="shared" si="37"/>
        <v>35105.030124479679</v>
      </c>
      <c r="H122" s="61">
        <f t="shared" si="37"/>
        <v>33870.600984540361</v>
      </c>
      <c r="I122" s="61">
        <f t="shared" si="37"/>
        <v>21403.528991647694</v>
      </c>
      <c r="J122" s="61">
        <f t="shared" si="37"/>
        <v>23332.378273517515</v>
      </c>
      <c r="K122" s="61">
        <f t="shared" si="37"/>
        <v>27814.662933808268</v>
      </c>
      <c r="N122">
        <v>2023</v>
      </c>
      <c r="O122" s="61">
        <f t="shared" si="42"/>
        <v>40250.338924851822</v>
      </c>
      <c r="P122" s="61">
        <f t="shared" si="38"/>
        <v>35105.030124479679</v>
      </c>
      <c r="Q122" s="61">
        <f t="shared" si="38"/>
        <v>33870.600984540361</v>
      </c>
      <c r="R122" s="61">
        <f t="shared" si="38"/>
        <v>21403.528991647694</v>
      </c>
      <c r="S122" s="61">
        <f t="shared" si="38"/>
        <v>23332.378273517515</v>
      </c>
      <c r="T122" s="61">
        <f t="shared" si="38"/>
        <v>27814.662933808268</v>
      </c>
      <c r="W122">
        <v>2023</v>
      </c>
      <c r="X122" s="61">
        <f t="shared" si="43"/>
        <v>40250.338924851822</v>
      </c>
      <c r="Y122" s="61">
        <f t="shared" si="43"/>
        <v>35105.030124479679</v>
      </c>
      <c r="Z122" s="61">
        <f t="shared" si="43"/>
        <v>33870.600984540361</v>
      </c>
      <c r="AA122" s="61">
        <f t="shared" si="43"/>
        <v>21403.528991647694</v>
      </c>
      <c r="AB122" s="61">
        <f t="shared" si="43"/>
        <v>23332.378273517515</v>
      </c>
      <c r="AC122" s="61">
        <f t="shared" si="43"/>
        <v>27814.662933808268</v>
      </c>
      <c r="AG122">
        <v>2023</v>
      </c>
      <c r="AH122" s="61">
        <f t="shared" si="44"/>
        <v>40250.338924851822</v>
      </c>
      <c r="AI122" s="61">
        <f t="shared" si="44"/>
        <v>35105.030124479679</v>
      </c>
      <c r="AJ122" s="61">
        <f t="shared" si="44"/>
        <v>33870.600984540361</v>
      </c>
      <c r="AK122" s="61">
        <f t="shared" si="44"/>
        <v>21403.528991647694</v>
      </c>
      <c r="AL122" s="61">
        <f t="shared" si="44"/>
        <v>23332.378273517515</v>
      </c>
      <c r="AM122" s="61">
        <f t="shared" si="44"/>
        <v>27814.662933808268</v>
      </c>
    </row>
    <row r="123" spans="5:40">
      <c r="E123">
        <v>2024</v>
      </c>
      <c r="F123" s="61">
        <f>(1+$C$6)*F122</f>
        <v>41761.303106141655</v>
      </c>
      <c r="G123" s="61">
        <f t="shared" si="37"/>
        <v>36422.843701160877</v>
      </c>
      <c r="H123" s="61">
        <f t="shared" si="37"/>
        <v>35142.075119999186</v>
      </c>
      <c r="I123" s="61">
        <f t="shared" si="37"/>
        <v>22206.999633719988</v>
      </c>
      <c r="J123" s="61">
        <f t="shared" si="37"/>
        <v>24208.256310256802</v>
      </c>
      <c r="K123" s="61">
        <f t="shared" si="37"/>
        <v>28858.802201457653</v>
      </c>
      <c r="N123">
        <v>2024</v>
      </c>
      <c r="O123" s="61">
        <f t="shared" si="42"/>
        <v>41761.303106141655</v>
      </c>
      <c r="P123" s="61">
        <f t="shared" si="38"/>
        <v>36422.843701160877</v>
      </c>
      <c r="Q123" s="61">
        <f t="shared" si="38"/>
        <v>35142.075119999186</v>
      </c>
      <c r="R123" s="61">
        <f t="shared" si="38"/>
        <v>22206.999633719988</v>
      </c>
      <c r="S123" s="61">
        <f t="shared" si="38"/>
        <v>24208.256310256802</v>
      </c>
      <c r="T123" s="61">
        <f t="shared" si="38"/>
        <v>28858.802201457653</v>
      </c>
      <c r="W123">
        <v>2024</v>
      </c>
      <c r="X123" s="61">
        <f t="shared" si="43"/>
        <v>41761.303106141655</v>
      </c>
      <c r="Y123" s="61">
        <f t="shared" si="43"/>
        <v>36422.843701160877</v>
      </c>
      <c r="Z123" s="61">
        <f t="shared" si="43"/>
        <v>35142.075119999186</v>
      </c>
      <c r="AA123" s="61">
        <f t="shared" si="43"/>
        <v>22206.999633719988</v>
      </c>
      <c r="AB123" s="61">
        <f t="shared" si="43"/>
        <v>24208.256310256802</v>
      </c>
      <c r="AC123" s="61">
        <f t="shared" si="43"/>
        <v>28858.802201457653</v>
      </c>
      <c r="AG123">
        <v>2024</v>
      </c>
      <c r="AH123" s="61">
        <f t="shared" si="44"/>
        <v>41761.303106141655</v>
      </c>
      <c r="AI123" s="61">
        <f t="shared" si="44"/>
        <v>36422.843701160877</v>
      </c>
      <c r="AJ123" s="61">
        <f t="shared" si="44"/>
        <v>35142.075119999186</v>
      </c>
      <c r="AK123" s="61">
        <f t="shared" si="44"/>
        <v>22206.999633719988</v>
      </c>
      <c r="AL123" s="61">
        <f t="shared" si="44"/>
        <v>24208.256310256802</v>
      </c>
      <c r="AM123" s="61">
        <f t="shared" si="44"/>
        <v>28858.802201457653</v>
      </c>
    </row>
    <row r="124" spans="5:40">
      <c r="E124">
        <v>2025</v>
      </c>
      <c r="F124" s="61">
        <f t="shared" si="41"/>
        <v>43328.987623660294</v>
      </c>
      <c r="G124" s="61">
        <f t="shared" si="37"/>
        <v>37790.126901332704</v>
      </c>
      <c r="H124" s="61">
        <f t="shared" si="37"/>
        <v>36461.279334941355</v>
      </c>
      <c r="I124" s="61">
        <f t="shared" si="37"/>
        <v>23040.631894136808</v>
      </c>
      <c r="J124" s="61">
        <f t="shared" si="37"/>
        <v>25117.014078596916</v>
      </c>
      <c r="K124" s="61">
        <f t="shared" si="37"/>
        <v>29942.137587098539</v>
      </c>
      <c r="N124">
        <v>2025</v>
      </c>
      <c r="O124" s="61">
        <f t="shared" si="42"/>
        <v>43328.987623660294</v>
      </c>
      <c r="P124" s="61">
        <f t="shared" si="38"/>
        <v>37790.126901332704</v>
      </c>
      <c r="Q124" s="61">
        <f t="shared" si="38"/>
        <v>36461.279334941355</v>
      </c>
      <c r="R124" s="61">
        <f t="shared" si="38"/>
        <v>23040.631894136808</v>
      </c>
      <c r="S124" s="61">
        <f t="shared" si="38"/>
        <v>25117.014078596916</v>
      </c>
      <c r="T124" s="61">
        <f t="shared" si="38"/>
        <v>29942.137587098539</v>
      </c>
      <c r="W124">
        <v>2025</v>
      </c>
      <c r="X124" s="61">
        <f t="shared" si="43"/>
        <v>43328.987623660294</v>
      </c>
      <c r="Y124" s="61">
        <f t="shared" si="43"/>
        <v>37790.126901332704</v>
      </c>
      <c r="Z124" s="61">
        <f t="shared" si="43"/>
        <v>36461.279334941355</v>
      </c>
      <c r="AA124" s="61">
        <f t="shared" si="43"/>
        <v>23040.631894136808</v>
      </c>
      <c r="AB124" s="61">
        <f t="shared" si="43"/>
        <v>25117.014078596916</v>
      </c>
      <c r="AC124" s="61">
        <f t="shared" si="43"/>
        <v>29942.137587098539</v>
      </c>
      <c r="AG124">
        <v>2025</v>
      </c>
      <c r="AH124" s="61">
        <f t="shared" si="44"/>
        <v>43328.987623660294</v>
      </c>
      <c r="AI124" s="61">
        <f t="shared" si="44"/>
        <v>37790.126901332704</v>
      </c>
      <c r="AJ124" s="61">
        <f t="shared" si="44"/>
        <v>36461.279334941355</v>
      </c>
      <c r="AK124" s="61">
        <f t="shared" si="44"/>
        <v>23040.631894136808</v>
      </c>
      <c r="AL124" s="61">
        <f t="shared" si="44"/>
        <v>25117.014078596916</v>
      </c>
      <c r="AM124" s="61">
        <f t="shared" si="44"/>
        <v>29942.137587098539</v>
      </c>
    </row>
    <row r="125" spans="5:40">
      <c r="E125">
        <v>2026</v>
      </c>
      <c r="F125" s="61">
        <f t="shared" si="41"/>
        <v>44955.521711562818</v>
      </c>
      <c r="G125" s="61">
        <f t="shared" si="37"/>
        <v>39208.736773436314</v>
      </c>
      <c r="H125" s="61">
        <f t="shared" si="37"/>
        <v>37830.005376775611</v>
      </c>
      <c r="I125" s="61">
        <f t="shared" si="37"/>
        <v>23905.558014916125</v>
      </c>
      <c r="J125" s="61">
        <f t="shared" si="37"/>
        <v>26059.885856262379</v>
      </c>
      <c r="K125" s="61">
        <f t="shared" si="37"/>
        <v>31066.140480336897</v>
      </c>
      <c r="N125">
        <v>2026</v>
      </c>
      <c r="O125" s="61">
        <f t="shared" si="42"/>
        <v>44955.521711562818</v>
      </c>
      <c r="P125" s="61">
        <f t="shared" si="38"/>
        <v>39208.736773436314</v>
      </c>
      <c r="Q125" s="61">
        <f t="shared" si="38"/>
        <v>37830.005376775611</v>
      </c>
      <c r="R125" s="61">
        <f t="shared" si="38"/>
        <v>23905.558014916125</v>
      </c>
      <c r="S125" s="61">
        <f t="shared" si="38"/>
        <v>26059.885856262379</v>
      </c>
      <c r="T125" s="61">
        <f t="shared" si="38"/>
        <v>31066.140480336897</v>
      </c>
      <c r="W125">
        <v>2026</v>
      </c>
      <c r="X125" s="61">
        <f t="shared" si="43"/>
        <v>44955.521711562818</v>
      </c>
      <c r="Y125" s="61">
        <f t="shared" si="43"/>
        <v>39208.736773436314</v>
      </c>
      <c r="Z125" s="61">
        <f t="shared" si="43"/>
        <v>37830.005376775611</v>
      </c>
      <c r="AA125" s="61">
        <f t="shared" si="43"/>
        <v>23905.558014916125</v>
      </c>
      <c r="AB125" s="61">
        <f t="shared" si="43"/>
        <v>26059.885856262379</v>
      </c>
      <c r="AC125" s="61">
        <f t="shared" si="43"/>
        <v>31066.140480336897</v>
      </c>
      <c r="AG125">
        <v>2026</v>
      </c>
      <c r="AH125" s="61">
        <f t="shared" si="44"/>
        <v>44955.521711562818</v>
      </c>
      <c r="AI125" s="61">
        <f t="shared" si="44"/>
        <v>39208.736773436314</v>
      </c>
      <c r="AJ125" s="61">
        <f t="shared" si="44"/>
        <v>37830.005376775611</v>
      </c>
      <c r="AK125" s="61">
        <f t="shared" si="44"/>
        <v>23905.558014916125</v>
      </c>
      <c r="AL125" s="61">
        <f t="shared" si="44"/>
        <v>26059.885856262379</v>
      </c>
      <c r="AM125" s="61">
        <f t="shared" si="44"/>
        <v>31066.140480336897</v>
      </c>
    </row>
    <row r="126" spans="5:40">
      <c r="E126">
        <v>2027</v>
      </c>
      <c r="F126" s="61">
        <f t="shared" si="41"/>
        <v>46643.114533680127</v>
      </c>
      <c r="G126" s="61">
        <f t="shared" si="37"/>
        <v>40680.600077963805</v>
      </c>
      <c r="H126" s="61">
        <f t="shared" si="37"/>
        <v>39250.112253615283</v>
      </c>
      <c r="I126" s="61">
        <f t="shared" si="37"/>
        <v>24802.952741497731</v>
      </c>
      <c r="J126" s="61">
        <f t="shared" si="37"/>
        <v>27038.152254734923</v>
      </c>
      <c r="K126" s="61">
        <f t="shared" si="37"/>
        <v>32232.337505518342</v>
      </c>
      <c r="N126">
        <v>2027</v>
      </c>
      <c r="O126" s="61">
        <f t="shared" si="42"/>
        <v>46643.114533680127</v>
      </c>
      <c r="P126" s="61">
        <f t="shared" si="38"/>
        <v>40680.600077963805</v>
      </c>
      <c r="Q126" s="61">
        <f t="shared" si="38"/>
        <v>39250.112253615283</v>
      </c>
      <c r="R126" s="61">
        <f t="shared" si="38"/>
        <v>24802.952741497731</v>
      </c>
      <c r="S126" s="61">
        <f t="shared" si="38"/>
        <v>27038.152254734923</v>
      </c>
      <c r="T126" s="61">
        <f t="shared" si="38"/>
        <v>32232.337505518342</v>
      </c>
      <c r="W126">
        <v>2027</v>
      </c>
      <c r="X126" s="61">
        <f t="shared" si="43"/>
        <v>46643.114533680127</v>
      </c>
      <c r="Y126" s="61">
        <f t="shared" si="43"/>
        <v>40680.600077963805</v>
      </c>
      <c r="Z126" s="61">
        <f t="shared" si="43"/>
        <v>39250.112253615283</v>
      </c>
      <c r="AA126" s="61">
        <f t="shared" si="43"/>
        <v>24802.952741497731</v>
      </c>
      <c r="AB126" s="61">
        <f t="shared" si="43"/>
        <v>27038.152254734923</v>
      </c>
      <c r="AC126" s="61">
        <f t="shared" si="43"/>
        <v>32232.337505518342</v>
      </c>
      <c r="AG126">
        <v>2027</v>
      </c>
      <c r="AH126" s="61">
        <f t="shared" si="44"/>
        <v>46643.114533680127</v>
      </c>
      <c r="AI126" s="61">
        <f t="shared" si="44"/>
        <v>40680.600077963805</v>
      </c>
      <c r="AJ126" s="61">
        <f t="shared" si="44"/>
        <v>39250.112253615283</v>
      </c>
      <c r="AK126" s="61">
        <f t="shared" si="44"/>
        <v>24802.952741497731</v>
      </c>
      <c r="AL126" s="61">
        <f t="shared" si="44"/>
        <v>27038.152254734923</v>
      </c>
      <c r="AM126" s="61">
        <f t="shared" si="44"/>
        <v>32232.337505518342</v>
      </c>
    </row>
    <row r="127" spans="5:40">
      <c r="E127">
        <v>2028</v>
      </c>
      <c r="F127" s="61">
        <f t="shared" si="41"/>
        <v>48394.05818401237</v>
      </c>
      <c r="G127" s="61">
        <f t="shared" si="37"/>
        <v>42207.715904390505</v>
      </c>
      <c r="H127" s="61">
        <f t="shared" si="37"/>
        <v>40723.528759189125</v>
      </c>
      <c r="I127" s="61">
        <f t="shared" si="37"/>
        <v>25734.03491828627</v>
      </c>
      <c r="J127" s="61">
        <f t="shared" si="37"/>
        <v>28053.141958584129</v>
      </c>
      <c r="K127" s="61">
        <f t="shared" si="37"/>
        <v>33442.312595194249</v>
      </c>
      <c r="N127">
        <v>2028</v>
      </c>
      <c r="O127" s="61">
        <f t="shared" si="42"/>
        <v>48394.05818401237</v>
      </c>
      <c r="P127" s="61">
        <f t="shared" si="38"/>
        <v>42207.715904390505</v>
      </c>
      <c r="Q127" s="61">
        <f t="shared" si="38"/>
        <v>40723.528759189125</v>
      </c>
      <c r="R127" s="61">
        <f t="shared" si="38"/>
        <v>25734.03491828627</v>
      </c>
      <c r="S127" s="61">
        <f t="shared" si="38"/>
        <v>28053.141958584129</v>
      </c>
      <c r="T127" s="61">
        <f t="shared" si="38"/>
        <v>33442.312595194249</v>
      </c>
      <c r="W127">
        <v>2028</v>
      </c>
      <c r="X127" s="61">
        <f t="shared" si="43"/>
        <v>48394.05818401237</v>
      </c>
      <c r="Y127" s="61">
        <f t="shared" si="43"/>
        <v>42207.715904390505</v>
      </c>
      <c r="Z127" s="61">
        <f t="shared" si="43"/>
        <v>40723.528759189125</v>
      </c>
      <c r="AA127" s="61">
        <f t="shared" si="43"/>
        <v>25734.03491828627</v>
      </c>
      <c r="AB127" s="61">
        <f t="shared" si="43"/>
        <v>28053.141958584129</v>
      </c>
      <c r="AC127" s="61">
        <f t="shared" si="43"/>
        <v>33442.312595194249</v>
      </c>
      <c r="AG127">
        <v>2028</v>
      </c>
      <c r="AH127" s="61">
        <f t="shared" si="44"/>
        <v>48394.05818401237</v>
      </c>
      <c r="AI127" s="61">
        <f t="shared" si="44"/>
        <v>42207.715904390505</v>
      </c>
      <c r="AJ127" s="61">
        <f t="shared" si="44"/>
        <v>40723.528759189125</v>
      </c>
      <c r="AK127" s="61">
        <f t="shared" si="44"/>
        <v>25734.03491828627</v>
      </c>
      <c r="AL127" s="61">
        <f t="shared" si="44"/>
        <v>28053.141958584129</v>
      </c>
      <c r="AM127" s="61">
        <f t="shared" si="44"/>
        <v>33442.312595194249</v>
      </c>
    </row>
    <row r="128" spans="5:40">
      <c r="E128">
        <v>2029</v>
      </c>
      <c r="F128" s="61">
        <f t="shared" si="41"/>
        <v>50210.730799858378</v>
      </c>
      <c r="G128" s="61">
        <f t="shared" si="37"/>
        <v>43792.158386344738</v>
      </c>
      <c r="H128" s="61">
        <f t="shared" si="37"/>
        <v>42252.256092535121</v>
      </c>
      <c r="I128" s="61">
        <f t="shared" si="37"/>
        <v>26700.069144089637</v>
      </c>
      <c r="J128" s="61">
        <f t="shared" si="37"/>
        <v>29106.233530091078</v>
      </c>
      <c r="K128" s="61">
        <f t="shared" si="37"/>
        <v>34697.709141424013</v>
      </c>
      <c r="N128">
        <v>2029</v>
      </c>
      <c r="O128" s="61">
        <f t="shared" si="42"/>
        <v>50210.730799858378</v>
      </c>
      <c r="P128" s="61">
        <f t="shared" si="38"/>
        <v>43792.158386344738</v>
      </c>
      <c r="Q128" s="61">
        <f t="shared" si="38"/>
        <v>42252.256092535121</v>
      </c>
      <c r="R128" s="61">
        <f t="shared" si="38"/>
        <v>26700.069144089637</v>
      </c>
      <c r="S128" s="61">
        <f t="shared" si="38"/>
        <v>29106.233530091078</v>
      </c>
      <c r="T128" s="61">
        <f t="shared" si="38"/>
        <v>34697.709141424013</v>
      </c>
      <c r="W128">
        <v>2029</v>
      </c>
      <c r="X128" s="61">
        <f t="shared" si="43"/>
        <v>50210.730799858378</v>
      </c>
      <c r="Y128" s="61">
        <f t="shared" si="43"/>
        <v>43792.158386344738</v>
      </c>
      <c r="Z128" s="61">
        <f t="shared" si="43"/>
        <v>42252.256092535121</v>
      </c>
      <c r="AA128" s="61">
        <f t="shared" si="43"/>
        <v>26700.069144089637</v>
      </c>
      <c r="AB128" s="61">
        <f t="shared" si="43"/>
        <v>29106.233530091078</v>
      </c>
      <c r="AC128" s="61">
        <f t="shared" si="43"/>
        <v>34697.709141424013</v>
      </c>
      <c r="AG128">
        <v>2029</v>
      </c>
      <c r="AH128" s="61">
        <f t="shared" si="44"/>
        <v>50210.730799858378</v>
      </c>
      <c r="AI128" s="61">
        <f t="shared" si="44"/>
        <v>43792.158386344738</v>
      </c>
      <c r="AJ128" s="61">
        <f t="shared" si="44"/>
        <v>42252.256092535121</v>
      </c>
      <c r="AK128" s="61">
        <f t="shared" si="44"/>
        <v>26700.069144089637</v>
      </c>
      <c r="AL128" s="61">
        <f t="shared" si="44"/>
        <v>29106.233530091078</v>
      </c>
      <c r="AM128" s="61">
        <f t="shared" si="44"/>
        <v>34697.709141424013</v>
      </c>
    </row>
    <row r="129" spans="2:40">
      <c r="E129">
        <v>2030</v>
      </c>
      <c r="F129" s="61">
        <f t="shared" si="41"/>
        <v>52095.599791809393</v>
      </c>
      <c r="G129" s="61">
        <f t="shared" si="37"/>
        <v>45436.079518702798</v>
      </c>
      <c r="H129" s="61">
        <f t="shared" si="37"/>
        <v>43838.370576035479</v>
      </c>
      <c r="I129" s="61">
        <f t="shared" si="37"/>
        <v>27702.367489701141</v>
      </c>
      <c r="J129" s="61">
        <f t="shared" si="37"/>
        <v>30198.857281616089</v>
      </c>
      <c r="K129" s="61">
        <f t="shared" si="37"/>
        <v>36000.232227835455</v>
      </c>
      <c r="N129">
        <v>2030</v>
      </c>
      <c r="O129" s="61">
        <f t="shared" si="42"/>
        <v>52095.599791809393</v>
      </c>
      <c r="P129" s="61">
        <f t="shared" si="38"/>
        <v>45436.079518702798</v>
      </c>
      <c r="Q129" s="61">
        <f t="shared" si="38"/>
        <v>43838.370576035479</v>
      </c>
      <c r="R129" s="61">
        <f t="shared" si="38"/>
        <v>27702.367489701141</v>
      </c>
      <c r="S129" s="61">
        <f t="shared" si="38"/>
        <v>30198.857281616089</v>
      </c>
      <c r="T129" s="61">
        <f t="shared" si="38"/>
        <v>36000.232227835455</v>
      </c>
      <c r="W129">
        <v>2030</v>
      </c>
      <c r="X129" s="61">
        <f t="shared" si="43"/>
        <v>52095.599791809393</v>
      </c>
      <c r="Y129" s="61">
        <f t="shared" si="43"/>
        <v>45436.079518702798</v>
      </c>
      <c r="Z129" s="61">
        <f t="shared" si="43"/>
        <v>43838.370576035479</v>
      </c>
      <c r="AA129" s="61">
        <f t="shared" si="43"/>
        <v>27702.367489701141</v>
      </c>
      <c r="AB129" s="61">
        <f t="shared" si="43"/>
        <v>30198.857281616089</v>
      </c>
      <c r="AC129" s="61">
        <f t="shared" si="43"/>
        <v>36000.232227835455</v>
      </c>
      <c r="AG129">
        <v>2030</v>
      </c>
      <c r="AH129" s="61">
        <f t="shared" si="44"/>
        <v>52095.599791809393</v>
      </c>
      <c r="AI129" s="61">
        <f t="shared" si="44"/>
        <v>45436.079518702798</v>
      </c>
      <c r="AJ129" s="61">
        <f t="shared" si="44"/>
        <v>43838.370576035479</v>
      </c>
      <c r="AK129" s="61">
        <f t="shared" si="44"/>
        <v>27702.367489701141</v>
      </c>
      <c r="AL129" s="61">
        <f t="shared" si="44"/>
        <v>30198.857281616089</v>
      </c>
      <c r="AM129" s="61">
        <f t="shared" si="44"/>
        <v>36000.232227835455</v>
      </c>
    </row>
    <row r="130" spans="2:40">
      <c r="E130">
        <v>2040</v>
      </c>
      <c r="F130" s="61">
        <f>(1+$C$6)^10*F129</f>
        <v>75308.854863685367</v>
      </c>
      <c r="G130" s="61">
        <f t="shared" ref="G130:K136" si="45">(1+$C$6)^10*G129</f>
        <v>65681.921922834474</v>
      </c>
      <c r="H130" s="61">
        <f t="shared" si="45"/>
        <v>63372.290565126925</v>
      </c>
      <c r="I130" s="61">
        <f t="shared" si="45"/>
        <v>40046.253061671865</v>
      </c>
      <c r="J130" s="61">
        <f t="shared" si="45"/>
        <v>43655.152626305615</v>
      </c>
      <c r="K130" s="61">
        <f t="shared" si="45"/>
        <v>52041.559646872149</v>
      </c>
      <c r="N130">
        <v>2040</v>
      </c>
      <c r="O130" s="61">
        <f>(1+$C$6)^10*O129</f>
        <v>75308.854863685367</v>
      </c>
      <c r="P130" s="61">
        <f t="shared" ref="P130:T136" si="46">(1+$C$6)^10*P129</f>
        <v>65681.921922834474</v>
      </c>
      <c r="Q130" s="61">
        <f t="shared" si="46"/>
        <v>63372.290565126925</v>
      </c>
      <c r="R130" s="61">
        <f t="shared" si="46"/>
        <v>40046.253061671865</v>
      </c>
      <c r="S130" s="61">
        <f t="shared" si="46"/>
        <v>43655.152626305615</v>
      </c>
      <c r="T130" s="61">
        <f t="shared" si="46"/>
        <v>52041.559646872149</v>
      </c>
      <c r="W130">
        <v>2040</v>
      </c>
      <c r="X130" s="61">
        <f>(1+$C$6)^10*X129</f>
        <v>75308.854863685367</v>
      </c>
      <c r="Y130" s="61">
        <f t="shared" ref="Y130:AC130" si="47">(1+$C$6)^10*Y129</f>
        <v>65681.921922834474</v>
      </c>
      <c r="Z130" s="61">
        <f t="shared" si="47"/>
        <v>63372.290565126925</v>
      </c>
      <c r="AA130" s="61">
        <f t="shared" si="47"/>
        <v>40046.253061671865</v>
      </c>
      <c r="AB130" s="61">
        <f t="shared" si="47"/>
        <v>43655.152626305615</v>
      </c>
      <c r="AC130" s="61">
        <f t="shared" si="47"/>
        <v>52041.559646872149</v>
      </c>
      <c r="AG130">
        <v>2040</v>
      </c>
      <c r="AH130" s="61">
        <f>(1+$C$6)^10*AH129</f>
        <v>75308.854863685367</v>
      </c>
      <c r="AI130" s="61">
        <f t="shared" ref="AI130:AM130" si="48">(1+$C$6)^10*AI129</f>
        <v>65681.921922834474</v>
      </c>
      <c r="AJ130" s="61">
        <f t="shared" si="48"/>
        <v>63372.290565126925</v>
      </c>
      <c r="AK130" s="61">
        <f t="shared" si="48"/>
        <v>40046.253061671865</v>
      </c>
      <c r="AL130" s="61">
        <f t="shared" si="48"/>
        <v>43655.152626305615</v>
      </c>
      <c r="AM130" s="61">
        <f t="shared" si="48"/>
        <v>52041.559646872149</v>
      </c>
    </row>
    <row r="131" spans="2:40">
      <c r="E131">
        <v>2050</v>
      </c>
      <c r="F131" s="61">
        <f t="shared" ref="F131:F136" si="49">(1+$C$6)^10*F130</f>
        <v>108865.69390782411</v>
      </c>
      <c r="G131" s="61">
        <f t="shared" si="45"/>
        <v>94949.100212343576</v>
      </c>
      <c r="H131" s="61">
        <f t="shared" si="45"/>
        <v>91610.321248259919</v>
      </c>
      <c r="I131" s="61">
        <f t="shared" si="45"/>
        <v>57890.44509916594</v>
      </c>
      <c r="J131" s="61">
        <f t="shared" si="45"/>
        <v>63107.432610908734</v>
      </c>
      <c r="K131" s="61">
        <f t="shared" si="45"/>
        <v>75230.734994672326</v>
      </c>
      <c r="N131">
        <v>2050</v>
      </c>
      <c r="O131" s="61">
        <f t="shared" ref="O131:O136" si="50">(1+$C$6)^10*O130</f>
        <v>108865.69390782411</v>
      </c>
      <c r="P131" s="61">
        <f t="shared" si="46"/>
        <v>94949.100212343576</v>
      </c>
      <c r="Q131" s="61">
        <f t="shared" si="46"/>
        <v>91610.321248259919</v>
      </c>
      <c r="R131" s="61">
        <f t="shared" si="46"/>
        <v>57890.44509916594</v>
      </c>
      <c r="S131" s="61">
        <f t="shared" si="46"/>
        <v>63107.432610908734</v>
      </c>
      <c r="T131" s="61">
        <f t="shared" si="46"/>
        <v>75230.734994672326</v>
      </c>
      <c r="W131">
        <v>2050</v>
      </c>
      <c r="X131" s="61">
        <f t="shared" ref="X131:AC136" si="51">(1+$C$6)^10*X130</f>
        <v>108865.69390782411</v>
      </c>
      <c r="Y131" s="61">
        <f t="shared" si="51"/>
        <v>94949.100212343576</v>
      </c>
      <c r="Z131" s="61">
        <f t="shared" si="51"/>
        <v>91610.321248259919</v>
      </c>
      <c r="AA131" s="61">
        <f t="shared" si="51"/>
        <v>57890.44509916594</v>
      </c>
      <c r="AB131" s="61">
        <f t="shared" si="51"/>
        <v>63107.432610908734</v>
      </c>
      <c r="AC131" s="61">
        <f t="shared" si="51"/>
        <v>75230.734994672326</v>
      </c>
      <c r="AG131">
        <v>2050</v>
      </c>
      <c r="AH131" s="61">
        <f t="shared" ref="AH131:AM136" si="52">(1+$C$6)^10*AH130</f>
        <v>108865.69390782411</v>
      </c>
      <c r="AI131" s="61">
        <f t="shared" si="52"/>
        <v>94949.100212343576</v>
      </c>
      <c r="AJ131" s="61">
        <f t="shared" si="52"/>
        <v>91610.321248259919</v>
      </c>
      <c r="AK131" s="61">
        <f t="shared" si="52"/>
        <v>57890.44509916594</v>
      </c>
      <c r="AL131" s="61">
        <f t="shared" si="52"/>
        <v>63107.432610908734</v>
      </c>
      <c r="AM131" s="61">
        <f t="shared" si="52"/>
        <v>75230.734994672326</v>
      </c>
    </row>
    <row r="132" spans="2:40">
      <c r="E132">
        <v>2060</v>
      </c>
      <c r="F132" s="61">
        <f t="shared" si="49"/>
        <v>157375.10989225082</v>
      </c>
      <c r="G132" s="61">
        <f t="shared" si="45"/>
        <v>137257.42742006248</v>
      </c>
      <c r="H132" s="61">
        <f t="shared" si="45"/>
        <v>132430.92342677063</v>
      </c>
      <c r="I132" s="61">
        <f t="shared" si="45"/>
        <v>83685.822706521009</v>
      </c>
      <c r="J132" s="61">
        <f t="shared" si="45"/>
        <v>91227.445356372278</v>
      </c>
      <c r="K132" s="61">
        <f t="shared" si="45"/>
        <v>108752.76464122608</v>
      </c>
      <c r="N132">
        <v>2060</v>
      </c>
      <c r="O132" s="61">
        <f t="shared" si="50"/>
        <v>157375.10989225082</v>
      </c>
      <c r="P132" s="61">
        <f t="shared" si="46"/>
        <v>137257.42742006248</v>
      </c>
      <c r="Q132" s="61">
        <f t="shared" si="46"/>
        <v>132430.92342677063</v>
      </c>
      <c r="R132" s="61">
        <f t="shared" si="46"/>
        <v>83685.822706521009</v>
      </c>
      <c r="S132" s="61">
        <f t="shared" si="46"/>
        <v>91227.445356372278</v>
      </c>
      <c r="T132" s="61">
        <f t="shared" si="46"/>
        <v>108752.76464122608</v>
      </c>
      <c r="W132">
        <v>2060</v>
      </c>
      <c r="X132" s="61">
        <f t="shared" si="51"/>
        <v>157375.10989225082</v>
      </c>
      <c r="Y132" s="61">
        <f t="shared" si="51"/>
        <v>137257.42742006248</v>
      </c>
      <c r="Z132" s="61">
        <f t="shared" si="51"/>
        <v>132430.92342677063</v>
      </c>
      <c r="AA132" s="61">
        <f t="shared" si="51"/>
        <v>83685.822706521009</v>
      </c>
      <c r="AB132" s="61">
        <f t="shared" si="51"/>
        <v>91227.445356372278</v>
      </c>
      <c r="AC132" s="61">
        <f t="shared" si="51"/>
        <v>108752.76464122608</v>
      </c>
      <c r="AG132">
        <v>2060</v>
      </c>
      <c r="AH132" s="61">
        <f t="shared" si="52"/>
        <v>157375.10989225082</v>
      </c>
      <c r="AI132" s="61">
        <f t="shared" si="52"/>
        <v>137257.42742006248</v>
      </c>
      <c r="AJ132" s="61">
        <f t="shared" si="52"/>
        <v>132430.92342677063</v>
      </c>
      <c r="AK132" s="61">
        <f t="shared" si="52"/>
        <v>83685.822706521009</v>
      </c>
      <c r="AL132" s="61">
        <f t="shared" si="52"/>
        <v>91227.445356372278</v>
      </c>
      <c r="AM132" s="61">
        <f t="shared" si="52"/>
        <v>108752.76464122608</v>
      </c>
    </row>
    <row r="133" spans="2:40">
      <c r="E133">
        <v>2070</v>
      </c>
      <c r="F133" s="61">
        <f t="shared" si="49"/>
        <v>227499.81490558467</v>
      </c>
      <c r="G133" s="61">
        <f t="shared" si="45"/>
        <v>198417.90327492257</v>
      </c>
      <c r="H133" s="61">
        <f t="shared" si="45"/>
        <v>191440.75952031778</v>
      </c>
      <c r="I133" s="61">
        <f t="shared" si="45"/>
        <v>120975.35111486244</v>
      </c>
      <c r="J133" s="61">
        <f t="shared" si="45"/>
        <v>131877.44203701409</v>
      </c>
      <c r="K133" s="61">
        <f t="shared" si="45"/>
        <v>157211.86052412604</v>
      </c>
      <c r="N133">
        <v>2070</v>
      </c>
      <c r="O133" s="61">
        <f t="shared" si="50"/>
        <v>227499.81490558467</v>
      </c>
      <c r="P133" s="61">
        <f t="shared" si="46"/>
        <v>198417.90327492257</v>
      </c>
      <c r="Q133" s="61">
        <f t="shared" si="46"/>
        <v>191440.75952031778</v>
      </c>
      <c r="R133" s="61">
        <f t="shared" si="46"/>
        <v>120975.35111486244</v>
      </c>
      <c r="S133" s="61">
        <f t="shared" si="46"/>
        <v>131877.44203701409</v>
      </c>
      <c r="T133" s="61">
        <f t="shared" si="46"/>
        <v>157211.86052412604</v>
      </c>
      <c r="W133">
        <v>2070</v>
      </c>
      <c r="X133" s="61">
        <f t="shared" si="51"/>
        <v>227499.81490558467</v>
      </c>
      <c r="Y133" s="61">
        <f t="shared" si="51"/>
        <v>198417.90327492257</v>
      </c>
      <c r="Z133" s="61">
        <f t="shared" si="51"/>
        <v>191440.75952031778</v>
      </c>
      <c r="AA133" s="61">
        <f t="shared" si="51"/>
        <v>120975.35111486244</v>
      </c>
      <c r="AB133" s="61">
        <f t="shared" si="51"/>
        <v>131877.44203701409</v>
      </c>
      <c r="AC133" s="61">
        <f t="shared" si="51"/>
        <v>157211.86052412604</v>
      </c>
      <c r="AG133">
        <v>2070</v>
      </c>
      <c r="AH133" s="61">
        <f t="shared" si="52"/>
        <v>227499.81490558467</v>
      </c>
      <c r="AI133" s="61">
        <f t="shared" si="52"/>
        <v>198417.90327492257</v>
      </c>
      <c r="AJ133" s="61">
        <f t="shared" si="52"/>
        <v>191440.75952031778</v>
      </c>
      <c r="AK133" s="61">
        <f t="shared" si="52"/>
        <v>120975.35111486244</v>
      </c>
      <c r="AL133" s="61">
        <f t="shared" si="52"/>
        <v>131877.44203701409</v>
      </c>
      <c r="AM133" s="61">
        <f t="shared" si="52"/>
        <v>157211.86052412604</v>
      </c>
    </row>
    <row r="134" spans="2:40">
      <c r="E134">
        <v>2080</v>
      </c>
      <c r="F134" s="61">
        <f t="shared" si="49"/>
        <v>328871.35594383953</v>
      </c>
      <c r="G134" s="61">
        <f t="shared" si="45"/>
        <v>286830.8482828376</v>
      </c>
      <c r="H134" s="61">
        <f t="shared" si="45"/>
        <v>276744.76215505652</v>
      </c>
      <c r="I134" s="61">
        <f t="shared" si="45"/>
        <v>174880.70385216933</v>
      </c>
      <c r="J134" s="61">
        <f t="shared" si="45"/>
        <v>190640.65260500245</v>
      </c>
      <c r="K134" s="61">
        <f t="shared" si="45"/>
        <v>227263.82332434115</v>
      </c>
      <c r="N134">
        <v>2080</v>
      </c>
      <c r="O134" s="61">
        <f t="shared" si="50"/>
        <v>328871.35594383953</v>
      </c>
      <c r="P134" s="61">
        <f t="shared" si="46"/>
        <v>286830.8482828376</v>
      </c>
      <c r="Q134" s="61">
        <f t="shared" si="46"/>
        <v>276744.76215505652</v>
      </c>
      <c r="R134" s="61">
        <f t="shared" si="46"/>
        <v>174880.70385216933</v>
      </c>
      <c r="S134" s="61">
        <f t="shared" si="46"/>
        <v>190640.65260500245</v>
      </c>
      <c r="T134" s="61">
        <f t="shared" si="46"/>
        <v>227263.82332434115</v>
      </c>
      <c r="W134">
        <v>2080</v>
      </c>
      <c r="X134" s="61">
        <f t="shared" si="51"/>
        <v>328871.35594383953</v>
      </c>
      <c r="Y134" s="61">
        <f t="shared" si="51"/>
        <v>286830.8482828376</v>
      </c>
      <c r="Z134" s="61">
        <f t="shared" si="51"/>
        <v>276744.76215505652</v>
      </c>
      <c r="AA134" s="61">
        <f t="shared" si="51"/>
        <v>174880.70385216933</v>
      </c>
      <c r="AB134" s="61">
        <f t="shared" si="51"/>
        <v>190640.65260500245</v>
      </c>
      <c r="AC134" s="61">
        <f t="shared" si="51"/>
        <v>227263.82332434115</v>
      </c>
      <c r="AG134">
        <v>2080</v>
      </c>
      <c r="AH134" s="61">
        <f t="shared" si="52"/>
        <v>328871.35594383953</v>
      </c>
      <c r="AI134" s="61">
        <f t="shared" si="52"/>
        <v>286830.8482828376</v>
      </c>
      <c r="AJ134" s="61">
        <f t="shared" si="52"/>
        <v>276744.76215505652</v>
      </c>
      <c r="AK134" s="61">
        <f t="shared" si="52"/>
        <v>174880.70385216933</v>
      </c>
      <c r="AL134" s="61">
        <f t="shared" si="52"/>
        <v>190640.65260500245</v>
      </c>
      <c r="AM134" s="61">
        <f t="shared" si="52"/>
        <v>227263.82332434115</v>
      </c>
    </row>
    <row r="135" spans="2:40">
      <c r="E135">
        <v>2090</v>
      </c>
      <c r="F135" s="61">
        <f t="shared" si="49"/>
        <v>475412.99673244072</v>
      </c>
      <c r="G135" s="61">
        <f t="shared" si="45"/>
        <v>414639.67801664746</v>
      </c>
      <c r="H135" s="61">
        <f t="shared" si="45"/>
        <v>400059.33727049641</v>
      </c>
      <c r="I135" s="61">
        <f t="shared" si="45"/>
        <v>252805.71866902267</v>
      </c>
      <c r="J135" s="61">
        <f t="shared" si="45"/>
        <v>275588.13595626602</v>
      </c>
      <c r="K135" s="61">
        <f t="shared" si="45"/>
        <v>328530.20897918334</v>
      </c>
      <c r="N135">
        <v>2090</v>
      </c>
      <c r="O135" s="61">
        <f t="shared" si="50"/>
        <v>475412.99673244072</v>
      </c>
      <c r="P135" s="61">
        <f t="shared" si="46"/>
        <v>414639.67801664746</v>
      </c>
      <c r="Q135" s="61">
        <f t="shared" si="46"/>
        <v>400059.33727049641</v>
      </c>
      <c r="R135" s="61">
        <f t="shared" si="46"/>
        <v>252805.71866902267</v>
      </c>
      <c r="S135" s="61">
        <f t="shared" si="46"/>
        <v>275588.13595626602</v>
      </c>
      <c r="T135" s="61">
        <f t="shared" si="46"/>
        <v>328530.20897918334</v>
      </c>
      <c r="W135">
        <v>2090</v>
      </c>
      <c r="X135" s="61">
        <f t="shared" si="51"/>
        <v>475412.99673244072</v>
      </c>
      <c r="Y135" s="61">
        <f t="shared" si="51"/>
        <v>414639.67801664746</v>
      </c>
      <c r="Z135" s="61">
        <f t="shared" si="51"/>
        <v>400059.33727049641</v>
      </c>
      <c r="AA135" s="61">
        <f t="shared" si="51"/>
        <v>252805.71866902267</v>
      </c>
      <c r="AB135" s="61">
        <f t="shared" si="51"/>
        <v>275588.13595626602</v>
      </c>
      <c r="AC135" s="61">
        <f t="shared" si="51"/>
        <v>328530.20897918334</v>
      </c>
      <c r="AG135">
        <v>2090</v>
      </c>
      <c r="AH135" s="61">
        <f t="shared" si="52"/>
        <v>475412.99673244072</v>
      </c>
      <c r="AI135" s="61">
        <f t="shared" si="52"/>
        <v>414639.67801664746</v>
      </c>
      <c r="AJ135" s="61">
        <f t="shared" si="52"/>
        <v>400059.33727049641</v>
      </c>
      <c r="AK135" s="61">
        <f t="shared" si="52"/>
        <v>252805.71866902267</v>
      </c>
      <c r="AL135" s="61">
        <f t="shared" si="52"/>
        <v>275588.13595626602</v>
      </c>
      <c r="AM135" s="61">
        <f t="shared" si="52"/>
        <v>328530.20897918334</v>
      </c>
    </row>
    <row r="136" spans="2:40">
      <c r="E136">
        <v>2100</v>
      </c>
      <c r="F136" s="61">
        <f t="shared" si="49"/>
        <v>687252.06186918903</v>
      </c>
      <c r="G136" s="61">
        <f t="shared" si="45"/>
        <v>599398.78717723058</v>
      </c>
      <c r="H136" s="61">
        <f t="shared" si="45"/>
        <v>578321.59890215471</v>
      </c>
      <c r="I136" s="61">
        <f t="shared" si="45"/>
        <v>365453.30607650254</v>
      </c>
      <c r="J136" s="61">
        <f t="shared" si="45"/>
        <v>398387.33051974693</v>
      </c>
      <c r="K136" s="61">
        <f t="shared" si="45"/>
        <v>474919.83824398584</v>
      </c>
      <c r="N136">
        <v>2100</v>
      </c>
      <c r="O136" s="61">
        <f t="shared" si="50"/>
        <v>687252.06186918903</v>
      </c>
      <c r="P136" s="61">
        <f t="shared" si="46"/>
        <v>599398.78717723058</v>
      </c>
      <c r="Q136" s="61">
        <f t="shared" si="46"/>
        <v>578321.59890215471</v>
      </c>
      <c r="R136" s="61">
        <f t="shared" si="46"/>
        <v>365453.30607650254</v>
      </c>
      <c r="S136" s="61">
        <f t="shared" si="46"/>
        <v>398387.33051974693</v>
      </c>
      <c r="T136" s="61">
        <f t="shared" si="46"/>
        <v>474919.83824398584</v>
      </c>
      <c r="W136">
        <v>2100</v>
      </c>
      <c r="X136" s="61">
        <f t="shared" si="51"/>
        <v>687252.06186918903</v>
      </c>
      <c r="Y136" s="61">
        <f t="shared" si="51"/>
        <v>599398.78717723058</v>
      </c>
      <c r="Z136" s="61">
        <f t="shared" si="51"/>
        <v>578321.59890215471</v>
      </c>
      <c r="AA136" s="61">
        <f t="shared" si="51"/>
        <v>365453.30607650254</v>
      </c>
      <c r="AB136" s="61">
        <f t="shared" si="51"/>
        <v>398387.33051974693</v>
      </c>
      <c r="AC136" s="61">
        <f t="shared" si="51"/>
        <v>474919.83824398584</v>
      </c>
      <c r="AG136">
        <v>2100</v>
      </c>
      <c r="AH136" s="61">
        <f t="shared" si="52"/>
        <v>687252.06186918903</v>
      </c>
      <c r="AI136" s="61">
        <f t="shared" si="52"/>
        <v>599398.78717723058</v>
      </c>
      <c r="AJ136" s="61">
        <f t="shared" si="52"/>
        <v>578321.59890215471</v>
      </c>
      <c r="AK136" s="61">
        <f t="shared" si="52"/>
        <v>365453.30607650254</v>
      </c>
      <c r="AL136" s="61">
        <f t="shared" si="52"/>
        <v>398387.33051974693</v>
      </c>
      <c r="AM136" s="61">
        <f t="shared" si="52"/>
        <v>474919.83824398584</v>
      </c>
    </row>
    <row r="137" spans="2:40">
      <c r="B137" s="383"/>
      <c r="F137" s="581" t="s">
        <v>244</v>
      </c>
      <c r="G137" s="581"/>
      <c r="H137" s="581"/>
      <c r="I137" s="581"/>
      <c r="J137" s="581"/>
      <c r="K137" s="581"/>
      <c r="O137" s="581" t="s">
        <v>244</v>
      </c>
      <c r="P137" s="581"/>
      <c r="Q137" s="581"/>
      <c r="R137" s="581"/>
      <c r="S137" s="581"/>
      <c r="T137" s="581"/>
      <c r="X137" s="581" t="s">
        <v>244</v>
      </c>
      <c r="Y137" s="581"/>
      <c r="Z137" s="581"/>
      <c r="AA137" s="581"/>
      <c r="AB137" s="581"/>
      <c r="AC137" s="581"/>
      <c r="AH137" s="581" t="s">
        <v>244</v>
      </c>
      <c r="AI137" s="581"/>
      <c r="AJ137" s="581"/>
      <c r="AK137" s="581"/>
      <c r="AL137" s="581"/>
      <c r="AM137" s="581"/>
    </row>
    <row r="138" spans="2:40">
      <c r="E138">
        <v>2020</v>
      </c>
      <c r="F138" s="320" t="s">
        <v>240</v>
      </c>
      <c r="G138" s="320" t="s">
        <v>240</v>
      </c>
      <c r="H138" s="61">
        <f>H100*H119/'Demographic-Economic'!E$29</f>
        <v>96398405.924888581</v>
      </c>
      <c r="I138" s="61">
        <f>I100*I119/'Demographic-Economic'!F$29</f>
        <v>28763005.214856379</v>
      </c>
      <c r="J138" s="61">
        <f>J100*J119/'Demographic-Economic'!G$29</f>
        <v>20361350.982951719</v>
      </c>
      <c r="K138" s="61">
        <f>K100*K119/'Demographic-Economic'!H$29</f>
        <v>6956848.0844444577</v>
      </c>
      <c r="L138" s="194">
        <f t="shared" ref="L138:L155" si="53">SUM(H138:K138)/(SUM(F271:K271)*1000)</f>
        <v>1.1756884431535409E-4</v>
      </c>
      <c r="M138" s="194"/>
      <c r="N138">
        <v>2020</v>
      </c>
      <c r="O138" t="s">
        <v>240</v>
      </c>
      <c r="P138" t="s">
        <v>240</v>
      </c>
      <c r="Q138" s="61">
        <f>Q100*Q119/'Demographic-Economic'!E$29</f>
        <v>96398405.924888581</v>
      </c>
      <c r="R138" s="61">
        <f>R100*R119/'Demographic-Economic'!F$29</f>
        <v>28763005.214856379</v>
      </c>
      <c r="S138" s="61">
        <f>S100*S119/'Demographic-Economic'!G$29</f>
        <v>20361350.982951719</v>
      </c>
      <c r="T138" s="61">
        <f>T100*T119/'Demographic-Economic'!H$29</f>
        <v>6956848.0844444577</v>
      </c>
      <c r="U138" s="194">
        <f t="shared" ref="U138:U155" si="54">SUM(Q138:T138)/(SUM(O271:T271)*1000)</f>
        <v>1.1756884431535409E-4</v>
      </c>
      <c r="W138">
        <v>2020</v>
      </c>
      <c r="X138" t="s">
        <v>240</v>
      </c>
      <c r="Y138" t="s">
        <v>240</v>
      </c>
      <c r="Z138" s="61">
        <f>Z100*Z119/'Demographic-Economic'!E$29</f>
        <v>96398405.924888581</v>
      </c>
      <c r="AA138" s="61">
        <f>AA100*AA119/'Demographic-Economic'!F$29</f>
        <v>28763005.214856379</v>
      </c>
      <c r="AB138" s="61">
        <f>AB100*AB119/'Demographic-Economic'!G$29</f>
        <v>20361350.982951719</v>
      </c>
      <c r="AC138" s="61">
        <f>AC100*AC119/'Demographic-Economic'!H$29</f>
        <v>6956848.0844444577</v>
      </c>
      <c r="AD138" s="194">
        <f t="shared" ref="AD138:AD155" si="55">SUM(Z138:AC138)/(SUM(X271:AC271)*1000)</f>
        <v>1.1756884431535409E-4</v>
      </c>
      <c r="AG138">
        <v>2020</v>
      </c>
      <c r="AH138" t="s">
        <v>240</v>
      </c>
      <c r="AI138" t="s">
        <v>240</v>
      </c>
      <c r="AJ138" s="61">
        <f>AJ100*AJ119/'Demographic-Economic'!E$29</f>
        <v>96398405.924888581</v>
      </c>
      <c r="AK138" s="61">
        <f>AK100*AK119/'Demographic-Economic'!F$29</f>
        <v>28763005.214856379</v>
      </c>
      <c r="AL138" s="61">
        <f>AL100*AL119/'Demographic-Economic'!G$29</f>
        <v>20361350.982951719</v>
      </c>
      <c r="AM138" s="61">
        <f>AM100*AM119/'Demographic-Economic'!H$29</f>
        <v>6956848.0844444577</v>
      </c>
      <c r="AN138" s="194">
        <f t="shared" ref="AN138:AN155" si="56">SUM(AJ138:AM138)/(SUM(AH271:AM271)*1000)</f>
        <v>1.1756884431535409E-4</v>
      </c>
    </row>
    <row r="139" spans="2:40">
      <c r="E139">
        <v>2021</v>
      </c>
      <c r="F139" s="320" t="s">
        <v>240</v>
      </c>
      <c r="G139" s="320" t="s">
        <v>240</v>
      </c>
      <c r="H139" s="61">
        <f>H101*H120/'Demographic-Economic'!E$29</f>
        <v>106244124.89849213</v>
      </c>
      <c r="I139" s="61">
        <f>I101*I120/'Demographic-Economic'!F$29</f>
        <v>27333788.580052186</v>
      </c>
      <c r="J139" s="61">
        <f>J101*J120/'Demographic-Economic'!G$29</f>
        <v>20156837.295015037</v>
      </c>
      <c r="K139" s="61">
        <f>K101*K120/'Demographic-Economic'!H$29</f>
        <v>7295335.9398841411</v>
      </c>
      <c r="L139" s="194">
        <f t="shared" si="53"/>
        <v>1.1790511368329698E-4</v>
      </c>
      <c r="M139" s="194"/>
      <c r="N139">
        <v>2021</v>
      </c>
      <c r="O139" t="s">
        <v>240</v>
      </c>
      <c r="P139" t="s">
        <v>240</v>
      </c>
      <c r="Q139" s="61">
        <f>Q101*Q120/'Demographic-Economic'!E$29</f>
        <v>106114023.23605722</v>
      </c>
      <c r="R139" s="61">
        <f>R101*R120/'Demographic-Economic'!F$29</f>
        <v>27604273.3370542</v>
      </c>
      <c r="S139" s="61">
        <f>S101*S120/'Demographic-Economic'!G$29</f>
        <v>20180222.306719229</v>
      </c>
      <c r="T139" s="61">
        <f>T101*T120/'Demographic-Economic'!H$29</f>
        <v>7349235.3205033364</v>
      </c>
      <c r="U139" s="194">
        <f t="shared" si="54"/>
        <v>1.1940390159608663E-4</v>
      </c>
      <c r="W139">
        <v>2021</v>
      </c>
      <c r="X139" t="s">
        <v>240</v>
      </c>
      <c r="Y139" t="s">
        <v>240</v>
      </c>
      <c r="Z139" s="61">
        <f>Z101*Z120/'Demographic-Economic'!E$29</f>
        <v>105984891.61581129</v>
      </c>
      <c r="AA139" s="61">
        <f>AA101*AA120/'Demographic-Economic'!F$29</f>
        <v>27853805.585847758</v>
      </c>
      <c r="AB139" s="61">
        <f>AB101*AB120/'Demographic-Economic'!G$29</f>
        <v>20200438.427689657</v>
      </c>
      <c r="AC139" s="61">
        <f>AC101*AC120/'Demographic-Economic'!H$29</f>
        <v>7398818.4843804957</v>
      </c>
      <c r="AD139" s="194">
        <f t="shared" si="55"/>
        <v>1.2041731258389262E-4</v>
      </c>
      <c r="AG139">
        <v>2021</v>
      </c>
      <c r="AH139" t="s">
        <v>240</v>
      </c>
      <c r="AI139" t="s">
        <v>240</v>
      </c>
      <c r="AJ139" s="61">
        <f>AJ101*AJ120/'Demographic-Economic'!E$29</f>
        <v>106227862.9177487</v>
      </c>
      <c r="AK139" s="61">
        <f>AK101*AK120/'Demographic-Economic'!F$29</f>
        <v>27368830.509637166</v>
      </c>
      <c r="AL139" s="61">
        <f>AL101*AL120/'Demographic-Economic'!G$29</f>
        <v>20159955.255060993</v>
      </c>
      <c r="AM139" s="61">
        <f>AM101*AM120/'Demographic-Economic'!H$29</f>
        <v>7302327.9113703277</v>
      </c>
      <c r="AN139" s="194">
        <f t="shared" si="56"/>
        <v>1.1685606061552614E-4</v>
      </c>
    </row>
    <row r="140" spans="2:40">
      <c r="E140">
        <v>2022</v>
      </c>
      <c r="F140" s="320" t="s">
        <v>240</v>
      </c>
      <c r="G140" s="320" t="s">
        <v>240</v>
      </c>
      <c r="H140" s="61">
        <f>H102*H121/'Demographic-Economic'!E$29</f>
        <v>116138870.67674127</v>
      </c>
      <c r="I140" s="61">
        <f>I102*I121/'Demographic-Economic'!F$29</f>
        <v>26012484.150092904</v>
      </c>
      <c r="J140" s="61">
        <f>J102*J121/'Demographic-Economic'!G$29</f>
        <v>20005038.858713355</v>
      </c>
      <c r="K140" s="61">
        <f>K102*K121/'Demographic-Economic'!H$29</f>
        <v>7643559.9574403325</v>
      </c>
      <c r="L140" s="194">
        <f t="shared" si="53"/>
        <v>1.1836204935275825E-4</v>
      </c>
      <c r="M140" s="194"/>
      <c r="N140">
        <v>2022</v>
      </c>
      <c r="O140" t="s">
        <v>240</v>
      </c>
      <c r="P140" t="s">
        <v>240</v>
      </c>
      <c r="Q140" s="61">
        <f>Q102*Q121/'Demographic-Economic'!E$29</f>
        <v>116111010.14245103</v>
      </c>
      <c r="R140" s="61">
        <f>R102*R121/'Demographic-Economic'!F$29</f>
        <v>26459152.465777833</v>
      </c>
      <c r="S140" s="61">
        <f>S102*S121/'Demographic-Economic'!G$29</f>
        <v>20015982.236468837</v>
      </c>
      <c r="T140" s="61">
        <f>T102*T121/'Demographic-Economic'!H$29</f>
        <v>7753886.224033854</v>
      </c>
      <c r="U140" s="194">
        <f t="shared" si="54"/>
        <v>1.2132997368257454E-4</v>
      </c>
      <c r="W140">
        <v>2022</v>
      </c>
      <c r="X140" t="s">
        <v>240</v>
      </c>
      <c r="Y140" t="s">
        <v>240</v>
      </c>
      <c r="Z140" s="61">
        <f>Z102*Z121/'Demographic-Economic'!E$29</f>
        <v>116049818.63010859</v>
      </c>
      <c r="AA140" s="61">
        <f>AA102*AA121/'Demographic-Economic'!F$29</f>
        <v>26881743.305864185</v>
      </c>
      <c r="AB140" s="61">
        <f>AB102*AB121/'Demographic-Economic'!G$29</f>
        <v>20020581.160187025</v>
      </c>
      <c r="AC140" s="61">
        <f>AC102*AC121/'Demographic-Economic'!H$29</f>
        <v>7857914.9964047503</v>
      </c>
      <c r="AD140" s="194">
        <f t="shared" si="55"/>
        <v>1.2338476496945891E-4</v>
      </c>
      <c r="AG140">
        <v>2022</v>
      </c>
      <c r="AH140" t="s">
        <v>240</v>
      </c>
      <c r="AI140" t="s">
        <v>240</v>
      </c>
      <c r="AJ140" s="61">
        <f>AJ102*AJ121/'Demographic-Economic'!E$29</f>
        <v>116137503.91963966</v>
      </c>
      <c r="AK140" s="61">
        <f>AK102*AK121/'Demographic-Economic'!F$29</f>
        <v>26069708.37265794</v>
      </c>
      <c r="AL140" s="61">
        <f>AL102*AL121/'Demographic-Economic'!G$29</f>
        <v>20006804.662325718</v>
      </c>
      <c r="AM140" s="61">
        <f>AM102*AM121/'Demographic-Economic'!H$29</f>
        <v>7657716.4182589389</v>
      </c>
      <c r="AN140" s="194">
        <f t="shared" si="56"/>
        <v>1.1638261045631316E-4</v>
      </c>
    </row>
    <row r="141" spans="2:40">
      <c r="E141">
        <v>2023</v>
      </c>
      <c r="F141" s="320" t="s">
        <v>240</v>
      </c>
      <c r="G141" s="320" t="s">
        <v>240</v>
      </c>
      <c r="H141" s="61">
        <f>H103*H122/'Demographic-Economic'!E$29</f>
        <v>126121006.97481443</v>
      </c>
      <c r="I141" s="61">
        <f>I103*I122/'Demographic-Economic'!F$29</f>
        <v>24786582.960904665</v>
      </c>
      <c r="J141" s="61">
        <f>J103*J122/'Demographic-Economic'!G$29</f>
        <v>19901636.073074609</v>
      </c>
      <c r="K141" s="61">
        <f>K103*K122/'Demographic-Economic'!H$29</f>
        <v>8002288.7154530818</v>
      </c>
      <c r="L141" s="194">
        <f t="shared" si="53"/>
        <v>1.1893791564557865E-4</v>
      </c>
      <c r="M141" s="194"/>
      <c r="N141">
        <v>2023</v>
      </c>
      <c r="O141" t="s">
        <v>240</v>
      </c>
      <c r="P141" t="s">
        <v>240</v>
      </c>
      <c r="Q141" s="61">
        <f>Q103*Q122/'Demographic-Economic'!E$29</f>
        <v>126399707.72575861</v>
      </c>
      <c r="R141" s="61">
        <f>R103*R122/'Demographic-Economic'!F$29</f>
        <v>25328779.539134067</v>
      </c>
      <c r="S141" s="61">
        <f>S103*S122/'Demographic-Economic'!G$29</f>
        <v>19869563.036345053</v>
      </c>
      <c r="T141" s="61">
        <f>T103*T122/'Demographic-Economic'!H$29</f>
        <v>8171336.8030833853</v>
      </c>
      <c r="U141" s="194">
        <f t="shared" si="54"/>
        <v>1.2334592038256231E-4</v>
      </c>
      <c r="W141">
        <v>2023</v>
      </c>
      <c r="X141" t="s">
        <v>240</v>
      </c>
      <c r="Y141" t="s">
        <v>240</v>
      </c>
      <c r="Z141" s="61">
        <f>Z103*Z122/'Demographic-Economic'!E$29</f>
        <v>126595862.53529651</v>
      </c>
      <c r="AA141" s="61">
        <f>AA103*AA122/'Demographic-Economic'!F$29</f>
        <v>25851997.434170179</v>
      </c>
      <c r="AB141" s="61">
        <f>AB103*AB122/'Demographic-Economic'!G$29</f>
        <v>19824708.500889026</v>
      </c>
      <c r="AC141" s="61">
        <f>AC103*AC122/'Demographic-Economic'!H$29</f>
        <v>8334360.3649969781</v>
      </c>
      <c r="AD141" s="194">
        <f t="shared" si="55"/>
        <v>1.2646798211354246E-4</v>
      </c>
      <c r="AG141">
        <v>2023</v>
      </c>
      <c r="AH141" t="s">
        <v>240</v>
      </c>
      <c r="AI141" t="s">
        <v>240</v>
      </c>
      <c r="AJ141" s="61">
        <f>AJ103*AJ122/'Demographic-Economic'!E$29</f>
        <v>126160893.57202628</v>
      </c>
      <c r="AK141" s="61">
        <f>AK103*AK122/'Demographic-Economic'!F$29</f>
        <v>24855460.245102767</v>
      </c>
      <c r="AL141" s="61">
        <f>AL103*AL122/'Demographic-Economic'!G$29</f>
        <v>19898417.197418485</v>
      </c>
      <c r="AM141" s="61">
        <f>AM103*AM122/'Demographic-Economic'!H$29</f>
        <v>8023770.3960045511</v>
      </c>
      <c r="AN141" s="194">
        <f t="shared" si="56"/>
        <v>1.1612400628887146E-4</v>
      </c>
    </row>
    <row r="142" spans="2:40">
      <c r="E142">
        <v>2024</v>
      </c>
      <c r="F142" s="320" t="s">
        <v>240</v>
      </c>
      <c r="G142" s="320" t="s">
        <v>240</v>
      </c>
      <c r="H142" s="61">
        <f>H104*H123/'Demographic-Economic'!E$29</f>
        <v>136225649.20590469</v>
      </c>
      <c r="I142" s="61">
        <f>I104*I123/'Demographic-Economic'!F$29</f>
        <v>23645298.170581359</v>
      </c>
      <c r="J142" s="61">
        <f>J104*J123/'Demographic-Economic'!G$29</f>
        <v>19842975.06263965</v>
      </c>
      <c r="K142" s="61">
        <f>K104*K123/'Demographic-Economic'!H$29</f>
        <v>8372271.406139289</v>
      </c>
      <c r="L142" s="194">
        <f t="shared" si="53"/>
        <v>1.1963072117210572E-4</v>
      </c>
      <c r="M142" s="194"/>
      <c r="N142">
        <v>2024</v>
      </c>
      <c r="O142" t="s">
        <v>240</v>
      </c>
      <c r="P142" t="s">
        <v>240</v>
      </c>
      <c r="Q142" s="61">
        <f>Q104*Q123/'Demographic-Economic'!E$29</f>
        <v>136991714.1909371</v>
      </c>
      <c r="R142" s="61">
        <f>R104*R123/'Demographic-Economic'!F$29</f>
        <v>24213959.889211569</v>
      </c>
      <c r="S142" s="61">
        <f>S104*S123/'Demographic-Economic'!G$29</f>
        <v>19741769.582935683</v>
      </c>
      <c r="T142" s="61">
        <f>T104*T123/'Demographic-Economic'!H$29</f>
        <v>8602159.6530593224</v>
      </c>
      <c r="U142" s="194">
        <f t="shared" si="54"/>
        <v>1.2545131544351474E-4</v>
      </c>
      <c r="W142">
        <v>2024</v>
      </c>
      <c r="X142" t="s">
        <v>240</v>
      </c>
      <c r="Y142" t="s">
        <v>240</v>
      </c>
      <c r="Z142" s="61">
        <f>Z104*Z123/'Demographic-Economic'!E$29</f>
        <v>137626303.42702791</v>
      </c>
      <c r="AA142" s="61">
        <f>AA104*AA123/'Demographic-Economic'!F$29</f>
        <v>24769731.69950705</v>
      </c>
      <c r="AB142" s="61">
        <f>AB104*AB123/'Demographic-Economic'!G$29</f>
        <v>19615755.497351483</v>
      </c>
      <c r="AC142" s="61">
        <f>AC104*AC123/'Demographic-Economic'!H$29</f>
        <v>8828420.3984788395</v>
      </c>
      <c r="AD142" s="194">
        <f t="shared" si="55"/>
        <v>1.296645606159227E-4</v>
      </c>
      <c r="AG142">
        <v>2024</v>
      </c>
      <c r="AH142" t="s">
        <v>240</v>
      </c>
      <c r="AI142" t="s">
        <v>240</v>
      </c>
      <c r="AJ142" s="61">
        <f>AJ104*AJ123/'Demographic-Economic'!E$29</f>
        <v>136329337.32358003</v>
      </c>
      <c r="AK142" s="61">
        <f>AK104*AK123/'Demographic-Economic'!F$29</f>
        <v>23717173.192382574</v>
      </c>
      <c r="AL142" s="61">
        <f>AL104*AL123/'Demographic-Economic'!G$29</f>
        <v>19831809.472800922</v>
      </c>
      <c r="AM142" s="61">
        <f>AM104*AM123/'Demographic-Economic'!H$29</f>
        <v>8401233.8855696619</v>
      </c>
      <c r="AN142" s="194">
        <f t="shared" si="56"/>
        <v>1.160603581797121E-4</v>
      </c>
    </row>
    <row r="143" spans="2:40">
      <c r="E143">
        <v>2025</v>
      </c>
      <c r="F143" s="320" t="s">
        <v>240</v>
      </c>
      <c r="G143" s="320" t="s">
        <v>240</v>
      </c>
      <c r="H143" s="61">
        <f>H105*H124/'Demographic-Economic'!E$29</f>
        <v>146485290.83594614</v>
      </c>
      <c r="I143" s="61">
        <f>I105*I124/'Demographic-Economic'!F$29</f>
        <v>22579282.644928146</v>
      </c>
      <c r="J143" s="61">
        <f>J105*J124/'Demographic-Economic'!G$29</f>
        <v>19825961.196074076</v>
      </c>
      <c r="K143" s="61">
        <f>K105*K124/'Demographic-Economic'!H$29</f>
        <v>8754244.785823483</v>
      </c>
      <c r="L143" s="194">
        <f t="shared" si="53"/>
        <v>1.2043842138563404E-4</v>
      </c>
      <c r="M143" s="194"/>
      <c r="N143">
        <v>2025</v>
      </c>
      <c r="O143" t="s">
        <v>240</v>
      </c>
      <c r="P143" t="s">
        <v>240</v>
      </c>
      <c r="Q143" s="61">
        <f>Q105*Q124/'Demographic-Economic'!E$29</f>
        <v>147899820.67071381</v>
      </c>
      <c r="R143" s="61">
        <f>R105*R124/'Demographic-Economic'!F$29</f>
        <v>23115206.59850359</v>
      </c>
      <c r="S143" s="61">
        <f>S105*S124/'Demographic-Economic'!G$29</f>
        <v>19633296.443232503</v>
      </c>
      <c r="T143" s="61">
        <f>T105*T124/'Demographic-Economic'!H$29</f>
        <v>9046962.6979201194</v>
      </c>
      <c r="U143" s="194">
        <f t="shared" si="54"/>
        <v>1.2764631871079916E-4</v>
      </c>
      <c r="W143">
        <v>2025</v>
      </c>
      <c r="X143" t="s">
        <v>240</v>
      </c>
      <c r="Y143" t="s">
        <v>240</v>
      </c>
      <c r="Z143" s="61">
        <f>Z105*Z124/'Demographic-Economic'!E$29</f>
        <v>149145224.15124705</v>
      </c>
      <c r="AA143" s="61">
        <f>AA105*AA124/'Demographic-Economic'!F$29</f>
        <v>23640017.705351058</v>
      </c>
      <c r="AB143" s="61">
        <f>AB105*AB124/'Demographic-Economic'!G$29</f>
        <v>19396626.536645047</v>
      </c>
      <c r="AC143" s="61">
        <f>AC105*AC124/'Demographic-Economic'!H$29</f>
        <v>9340408.68536078</v>
      </c>
      <c r="AD143" s="194">
        <f t="shared" si="55"/>
        <v>1.329728545777406E-4</v>
      </c>
      <c r="AG143">
        <v>2025</v>
      </c>
      <c r="AH143" t="s">
        <v>240</v>
      </c>
      <c r="AI143" t="s">
        <v>240</v>
      </c>
      <c r="AJ143" s="61">
        <f>AJ105*AJ124/'Demographic-Economic'!E$29</f>
        <v>146672303.68107834</v>
      </c>
      <c r="AK143" s="61">
        <f>AK105*AK124/'Demographic-Economic'!F$29</f>
        <v>22647012.660630859</v>
      </c>
      <c r="AL143" s="61">
        <f>AL105*AL124/'Demographic-Economic'!G$29</f>
        <v>19804425.458480265</v>
      </c>
      <c r="AM143" s="61">
        <f>AM105*AM124/'Demographic-Economic'!H$29</f>
        <v>8790843.6152016446</v>
      </c>
      <c r="AN143" s="194">
        <f t="shared" si="56"/>
        <v>1.1617537566937848E-4</v>
      </c>
    </row>
    <row r="144" spans="2:40">
      <c r="E144">
        <v>2026</v>
      </c>
      <c r="F144" s="320" t="s">
        <v>240</v>
      </c>
      <c r="G144" s="320" t="s">
        <v>240</v>
      </c>
      <c r="H144" s="61">
        <f>H106*H125/'Demographic-Economic'!E$29</f>
        <v>156930316.64486718</v>
      </c>
      <c r="I144" s="61">
        <f>I106*I125/'Demographic-Economic'!F$29</f>
        <v>21580399.373395141</v>
      </c>
      <c r="J144" s="61">
        <f>J106*J125/'Demographic-Economic'!G$29</f>
        <v>19847972.635406237</v>
      </c>
      <c r="K144" s="61">
        <f>K106*K125/'Demographic-Economic'!H$29</f>
        <v>9148939.0085702389</v>
      </c>
      <c r="L144" s="194">
        <f t="shared" si="53"/>
        <v>1.2135904803802968E-4</v>
      </c>
      <c r="M144" s="194"/>
      <c r="N144">
        <v>2026</v>
      </c>
      <c r="O144" t="s">
        <v>240</v>
      </c>
      <c r="P144" t="s">
        <v>240</v>
      </c>
      <c r="Q144" s="61">
        <f>Q106*Q125/'Demographic-Economic'!E$29</f>
        <v>159137953.14714023</v>
      </c>
      <c r="R144" s="61">
        <f>R106*R125/'Demographic-Economic'!F$29</f>
        <v>22032777.370053545</v>
      </c>
      <c r="S144" s="61">
        <f>S106*S125/'Demographic-Economic'!G$29</f>
        <v>19544743.960382003</v>
      </c>
      <c r="T144" s="61">
        <f>T106*T125/'Demographic-Economic'!H$29</f>
        <v>9506388.1503701136</v>
      </c>
      <c r="U144" s="194">
        <f t="shared" si="54"/>
        <v>1.299315754161807E-4</v>
      </c>
      <c r="W144">
        <v>2026</v>
      </c>
      <c r="X144" t="s">
        <v>240</v>
      </c>
      <c r="Y144" t="s">
        <v>240</v>
      </c>
      <c r="Z144" s="61">
        <f>Z106*Z125/'Demographic-Economic'!E$29</f>
        <v>161157686.78462887</v>
      </c>
      <c r="AA144" s="61">
        <f>AA106*AA125/'Demographic-Economic'!F$29</f>
        <v>22467768.335838351</v>
      </c>
      <c r="AB144" s="61">
        <f>AB106*AB125/'Demographic-Economic'!G$29</f>
        <v>19170163.926986538</v>
      </c>
      <c r="AC144" s="61">
        <f>AC106*AC125/'Demographic-Economic'!H$29</f>
        <v>9870690.4974524882</v>
      </c>
      <c r="AD144" s="194">
        <f t="shared" si="55"/>
        <v>1.3639192224173226E-4</v>
      </c>
      <c r="AG144">
        <v>2026</v>
      </c>
      <c r="AH144" t="s">
        <v>240</v>
      </c>
      <c r="AI144" t="s">
        <v>240</v>
      </c>
      <c r="AJ144" s="61">
        <f>AJ106*AJ125/'Demographic-Economic'!E$29</f>
        <v>157217779.36171278</v>
      </c>
      <c r="AK144" s="61">
        <f>AK106*AK125/'Demographic-Economic'!F$29</f>
        <v>21638066.68251941</v>
      </c>
      <c r="AL144" s="61">
        <f>AL106*AL125/'Demographic-Economic'!G$29</f>
        <v>19814077.290073406</v>
      </c>
      <c r="AM144" s="61">
        <f>AM106*AM125/'Demographic-Economic'!H$29</f>
        <v>9193333.694744993</v>
      </c>
      <c r="AN144" s="194">
        <f t="shared" si="56"/>
        <v>1.1645562888510574E-4</v>
      </c>
    </row>
    <row r="145" spans="5:40">
      <c r="E145">
        <v>2027</v>
      </c>
      <c r="F145" s="320" t="s">
        <v>240</v>
      </c>
      <c r="G145" s="320" t="s">
        <v>240</v>
      </c>
      <c r="H145" s="61">
        <f>H107*H126/'Demographic-Economic'!E$29</f>
        <v>167589426.73301157</v>
      </c>
      <c r="I145" s="61">
        <f>I107*I126/'Demographic-Economic'!F$29</f>
        <v>20641533.665474489</v>
      </c>
      <c r="J145" s="61">
        <f>J107*J126/'Demographic-Economic'!G$29</f>
        <v>19906789.727892853</v>
      </c>
      <c r="K145" s="61">
        <f>K107*K126/'Demographic-Economic'!H$29</f>
        <v>9557082.580849221</v>
      </c>
      <c r="L145" s="194">
        <f t="shared" si="53"/>
        <v>1.2239079030398285E-4</v>
      </c>
      <c r="M145" s="194"/>
      <c r="N145">
        <v>2027</v>
      </c>
      <c r="O145" t="s">
        <v>240</v>
      </c>
      <c r="P145" t="s">
        <v>240</v>
      </c>
      <c r="Q145" s="61">
        <f>Q107*Q126/'Demographic-Economic'!E$29</f>
        <v>170721121.19750187</v>
      </c>
      <c r="R145" s="61">
        <f>R107*R126/'Demographic-Economic'!F$29</f>
        <v>20966708.614281319</v>
      </c>
      <c r="S145" s="61">
        <f>S107*S126/'Demographic-Economic'!G$29</f>
        <v>19476633.213949531</v>
      </c>
      <c r="T145" s="61">
        <f>T107*T126/'Demographic-Economic'!H$29</f>
        <v>9981111.6970136091</v>
      </c>
      <c r="U145" s="194">
        <f t="shared" si="54"/>
        <v>1.3230813668707424E-4</v>
      </c>
      <c r="W145">
        <v>2027</v>
      </c>
      <c r="X145" t="s">
        <v>240</v>
      </c>
      <c r="Y145" t="s">
        <v>240</v>
      </c>
      <c r="Z145" s="61">
        <f>Z107*Z126/'Demographic-Economic'!E$29</f>
        <v>173669886.12471226</v>
      </c>
      <c r="AA145" s="61">
        <f>AA107*AA126/'Demographic-Economic'!F$29</f>
        <v>21257681.900722615</v>
      </c>
      <c r="AB145" s="61">
        <f>AB107*AB126/'Demographic-Economic'!G$29</f>
        <v>18939121.700633578</v>
      </c>
      <c r="AC145" s="61">
        <f>AC107*AC126/'Demographic-Economic'!H$29</f>
        <v>10419685.909833284</v>
      </c>
      <c r="AD145" s="194">
        <f t="shared" si="55"/>
        <v>1.3992147648949726E-4</v>
      </c>
      <c r="AG145">
        <v>2027</v>
      </c>
      <c r="AH145" t="s">
        <v>240</v>
      </c>
      <c r="AI145" t="s">
        <v>240</v>
      </c>
      <c r="AJ145" s="61">
        <f>AJ107*AJ126/'Demographic-Economic'!E$29</f>
        <v>167992570.09150246</v>
      </c>
      <c r="AK145" s="61">
        <f>AK107*AK126/'Demographic-Economic'!F$29</f>
        <v>20684215.63899941</v>
      </c>
      <c r="AL145" s="61">
        <f>AL107*AL126/'Demographic-Economic'!G$29</f>
        <v>19858895.887163963</v>
      </c>
      <c r="AM145" s="61">
        <f>AM107*AM126/'Demographic-Economic'!H$29</f>
        <v>9609439.7105264161</v>
      </c>
      <c r="AN145" s="194">
        <f t="shared" si="56"/>
        <v>1.1688999235817408E-4</v>
      </c>
    </row>
    <row r="146" spans="5:40">
      <c r="E146">
        <v>2028</v>
      </c>
      <c r="F146" s="320" t="s">
        <v>240</v>
      </c>
      <c r="G146" s="320" t="s">
        <v>240</v>
      </c>
      <c r="H146" s="61">
        <f>H108*H127/'Demographic-Economic'!E$29</f>
        <v>178489989.63368392</v>
      </c>
      <c r="I146" s="61">
        <f>I108*I127/'Demographic-Economic'!F$29</f>
        <v>19756438.619472437</v>
      </c>
      <c r="J146" s="61">
        <f>J108*J127/'Demographic-Economic'!G$29</f>
        <v>20000537.016429089</v>
      </c>
      <c r="K146" s="61">
        <f>K108*K127/'Demographic-Economic'!H$29</f>
        <v>9979406.6211158764</v>
      </c>
      <c r="L146" s="194">
        <f t="shared" si="53"/>
        <v>1.2353204386404348E-4</v>
      </c>
      <c r="M146" s="194"/>
      <c r="N146">
        <v>2028</v>
      </c>
      <c r="O146" t="s">
        <v>240</v>
      </c>
      <c r="P146" t="s">
        <v>240</v>
      </c>
      <c r="Q146" s="61">
        <f>Q108*Q127/'Demographic-Economic'!E$29</f>
        <v>182665373.95174623</v>
      </c>
      <c r="R146" s="61">
        <f>R108*R127/'Demographic-Economic'!F$29</f>
        <v>19916846.601662237</v>
      </c>
      <c r="S146" s="61">
        <f>S108*S127/'Demographic-Economic'!G$29</f>
        <v>19429419.784189474</v>
      </c>
      <c r="T146" s="61">
        <f>T108*T127/'Demographic-Economic'!H$29</f>
        <v>10471841.908110378</v>
      </c>
      <c r="U146" s="194">
        <f t="shared" si="54"/>
        <v>1.3477739676521895E-4</v>
      </c>
      <c r="W146">
        <v>2028</v>
      </c>
      <c r="X146" t="s">
        <v>240</v>
      </c>
      <c r="Y146" t="s">
        <v>240</v>
      </c>
      <c r="Z146" s="61">
        <f>Z108*Z127/'Demographic-Economic'!E$29</f>
        <v>186689279.99752629</v>
      </c>
      <c r="AA146" s="61">
        <f>AA108*AA127/'Demographic-Economic'!F$29</f>
        <v>20014197.091100015</v>
      </c>
      <c r="AB146" s="61">
        <f>AB108*AB127/'Demographic-Economic'!G$29</f>
        <v>18706144.665390767</v>
      </c>
      <c r="AC146" s="61">
        <f>AC108*AC127/'Demographic-Economic'!H$29</f>
        <v>10987872.193349052</v>
      </c>
      <c r="AD146" s="194">
        <f t="shared" si="55"/>
        <v>1.4356183845629043E-4</v>
      </c>
      <c r="AG146">
        <v>2028</v>
      </c>
      <c r="AH146" t="s">
        <v>240</v>
      </c>
      <c r="AI146" t="s">
        <v>240</v>
      </c>
      <c r="AJ146" s="61">
        <f>AJ108*AJ127/'Demographic-Economic'!E$29</f>
        <v>179022557.17698795</v>
      </c>
      <c r="AK146" s="61">
        <f>AK108*AK127/'Demographic-Economic'!F$29</f>
        <v>19780022.896701284</v>
      </c>
      <c r="AL146" s="61">
        <f>AL108*AL127/'Demographic-Economic'!G$29</f>
        <v>19937289.58754801</v>
      </c>
      <c r="AM146" s="61">
        <f>AM108*AM127/'Demographic-Economic'!H$29</f>
        <v>10039902.335481539</v>
      </c>
      <c r="AN146" s="194">
        <f t="shared" si="56"/>
        <v>1.1746922007297518E-4</v>
      </c>
    </row>
    <row r="147" spans="5:40">
      <c r="E147">
        <v>2029</v>
      </c>
      <c r="F147" s="320" t="s">
        <v>240</v>
      </c>
      <c r="G147" s="320" t="s">
        <v>240</v>
      </c>
      <c r="H147" s="61">
        <f>H109*H128/'Demographic-Economic'!E$29</f>
        <v>189658338.78443712</v>
      </c>
      <c r="I147" s="61">
        <f>I109*I128/'Demographic-Economic'!F$29</f>
        <v>18919607.262278832</v>
      </c>
      <c r="J147" s="61">
        <f>J109*J128/'Demographic-Economic'!G$29</f>
        <v>20127635.367392205</v>
      </c>
      <c r="K147" s="61">
        <f>K109*K128/'Demographic-Economic'!H$29</f>
        <v>10416648.567746844</v>
      </c>
      <c r="L147" s="194">
        <f t="shared" si="53"/>
        <v>1.2478143876365943E-4</v>
      </c>
      <c r="M147" s="194"/>
      <c r="N147">
        <v>2029</v>
      </c>
      <c r="O147" t="s">
        <v>240</v>
      </c>
      <c r="P147" t="s">
        <v>240</v>
      </c>
      <c r="Q147" s="61">
        <f>Q109*Q128/'Demographic-Economic'!E$29</f>
        <v>194987763.39753741</v>
      </c>
      <c r="R147" s="61">
        <f>R109*R128/'Demographic-Economic'!F$29</f>
        <v>18882875.644913051</v>
      </c>
      <c r="S147" s="61">
        <f>S109*S128/'Demographic-Economic'!G$29</f>
        <v>19403506.299189921</v>
      </c>
      <c r="T147" s="61">
        <f>T109*T128/'Demographic-Economic'!H$29</f>
        <v>10979319.866923476</v>
      </c>
      <c r="U147" s="194">
        <f t="shared" si="54"/>
        <v>1.373410434575052E-4</v>
      </c>
      <c r="W147">
        <v>2029</v>
      </c>
      <c r="X147" t="s">
        <v>240</v>
      </c>
      <c r="Y147" t="s">
        <v>240</v>
      </c>
      <c r="Z147" s="61">
        <f>Z109*Z128/'Demographic-Economic'!E$29</f>
        <v>200224697.08378631</v>
      </c>
      <c r="AA147" s="61">
        <f>AA109*AA128/'Demographic-Economic'!F$29</f>
        <v>18741458.424545053</v>
      </c>
      <c r="AB147" s="61">
        <f>AB109*AB128/'Demographic-Economic'!G$29</f>
        <v>18473752.543162532</v>
      </c>
      <c r="AC147" s="61">
        <f>AC109*AC128/'Demographic-Economic'!H$29</f>
        <v>11575785.554271996</v>
      </c>
      <c r="AD147" s="194">
        <f t="shared" si="55"/>
        <v>1.4731389387218665E-4</v>
      </c>
      <c r="AG147">
        <v>2029</v>
      </c>
      <c r="AH147" t="s">
        <v>240</v>
      </c>
      <c r="AI147" t="s">
        <v>240</v>
      </c>
      <c r="AJ147" s="61">
        <f>AJ109*AJ128/'Demographic-Economic'!E$29</f>
        <v>190332917.94550359</v>
      </c>
      <c r="AK147" s="61">
        <f>AK109*AK128/'Demographic-Economic'!F$29</f>
        <v>18920642.582663767</v>
      </c>
      <c r="AL147" s="61">
        <f>AL109*AL128/'Demographic-Economic'!G$29</f>
        <v>20047909.364431452</v>
      </c>
      <c r="AM147" s="61">
        <f>AM109*AM128/'Demographic-Economic'!H$29</f>
        <v>10485470.546742851</v>
      </c>
      <c r="AN147" s="194">
        <f t="shared" si="56"/>
        <v>1.1818561641118293E-4</v>
      </c>
    </row>
    <row r="148" spans="5:40">
      <c r="E148">
        <v>2030</v>
      </c>
      <c r="F148" s="320" t="s">
        <v>240</v>
      </c>
      <c r="G148" s="320" t="s">
        <v>240</v>
      </c>
      <c r="H148" s="61">
        <f>H110*H129/'Demographic-Economic'!E$29</f>
        <v>201120023.50265524</v>
      </c>
      <c r="I148" s="61">
        <f>I110*I129/'Demographic-Economic'!F$29</f>
        <v>18126166.201031156</v>
      </c>
      <c r="J148" s="61">
        <f>J110*J129/'Demographic-Economic'!G$29</f>
        <v>20286762.261612609</v>
      </c>
      <c r="K148" s="61">
        <f>K110*K129/'Demographic-Economic'!H$29</f>
        <v>10869555.4480858</v>
      </c>
      <c r="L148" s="194">
        <f t="shared" si="53"/>
        <v>1.2613785328671628E-4</v>
      </c>
      <c r="M148" s="194"/>
      <c r="N148">
        <v>2030</v>
      </c>
      <c r="O148" t="s">
        <v>240</v>
      </c>
      <c r="P148" t="s">
        <v>240</v>
      </c>
      <c r="Q148" s="61">
        <f>Q110*Q129/'Demographic-Economic'!E$29</f>
        <v>207706314.97867084</v>
      </c>
      <c r="R148" s="61">
        <f>R110*R129/'Demographic-Economic'!F$29</f>
        <v>17864343.361020766</v>
      </c>
      <c r="S148" s="61">
        <f>S110*S129/'Demographic-Economic'!G$29</f>
        <v>19399253.781347878</v>
      </c>
      <c r="T148" s="61">
        <f>T110*T129/'Demographic-Economic'!H$29</f>
        <v>11504319.010406425</v>
      </c>
      <c r="U148" s="194">
        <f t="shared" si="54"/>
        <v>1.4000101911623627E-4</v>
      </c>
      <c r="W148">
        <v>2030</v>
      </c>
      <c r="X148" t="s">
        <v>240</v>
      </c>
      <c r="Y148" t="s">
        <v>240</v>
      </c>
      <c r="Z148" s="61">
        <f>Z110*Z129/'Demographic-Economic'!E$29</f>
        <v>214286423.67573848</v>
      </c>
      <c r="AA148" s="61">
        <f>AA110*AA129/'Demographic-Economic'!F$29</f>
        <v>17443291.546912208</v>
      </c>
      <c r="AB148" s="61">
        <f>AB110*AB129/'Demographic-Economic'!G$29</f>
        <v>18244328.884692967</v>
      </c>
      <c r="AC148" s="61">
        <f>AC110*AC129/'Demographic-Economic'!H$29</f>
        <v>12184022.308290066</v>
      </c>
      <c r="AD148" s="194">
        <f t="shared" si="55"/>
        <v>1.5117905196893321E-4</v>
      </c>
      <c r="AG148">
        <v>2030</v>
      </c>
      <c r="AH148" t="s">
        <v>240</v>
      </c>
      <c r="AI148" t="s">
        <v>240</v>
      </c>
      <c r="AJ148" s="61">
        <f>AJ110*AJ129/'Demographic-Economic'!E$29</f>
        <v>201948316.56216621</v>
      </c>
      <c r="AK148" s="61">
        <f>AK110*AK129/'Demographic-Economic'!F$29</f>
        <v>18101741.494050104</v>
      </c>
      <c r="AL148" s="61">
        <f>AL110*AL129/'Demographic-Economic'!G$29</f>
        <v>20189619.476035863</v>
      </c>
      <c r="AM148" s="61">
        <f>AM110*AM129/'Demographic-Economic'!H$29</f>
        <v>10946904.525309723</v>
      </c>
      <c r="AN148" s="194">
        <f t="shared" si="56"/>
        <v>1.1903277827164451E-4</v>
      </c>
    </row>
    <row r="149" spans="5:40">
      <c r="E149">
        <v>2040</v>
      </c>
      <c r="F149" s="320" t="s">
        <v>240</v>
      </c>
      <c r="G149" s="320" t="s">
        <v>240</v>
      </c>
      <c r="H149" s="61">
        <f>H111*H130/'Demographic-Economic'!E$29</f>
        <v>0</v>
      </c>
      <c r="I149" s="61">
        <f>I111*I130/'Demographic-Economic'!F$29</f>
        <v>0</v>
      </c>
      <c r="J149" s="61">
        <f>J111*J130/'Demographic-Economic'!G$29</f>
        <v>0</v>
      </c>
      <c r="K149" s="61">
        <f>K111*K130/'Demographic-Economic'!H$29</f>
        <v>0</v>
      </c>
      <c r="L149" s="194">
        <f t="shared" si="53"/>
        <v>0</v>
      </c>
      <c r="M149" s="194"/>
      <c r="N149">
        <v>2040</v>
      </c>
      <c r="O149" t="s">
        <v>240</v>
      </c>
      <c r="P149" t="s">
        <v>240</v>
      </c>
      <c r="Q149" s="61">
        <f>Q111*Q130/'Demographic-Economic'!E$29</f>
        <v>0</v>
      </c>
      <c r="R149" s="61">
        <f>R111*R130/'Demographic-Economic'!F$29</f>
        <v>0</v>
      </c>
      <c r="S149" s="61">
        <f>S111*S130/'Demographic-Economic'!G$29</f>
        <v>0</v>
      </c>
      <c r="T149" s="61">
        <f>T111*T130/'Demographic-Economic'!H$29</f>
        <v>0</v>
      </c>
      <c r="U149" s="194">
        <f t="shared" si="54"/>
        <v>0</v>
      </c>
      <c r="W149">
        <v>2040</v>
      </c>
      <c r="X149" t="s">
        <v>240</v>
      </c>
      <c r="Y149" t="s">
        <v>240</v>
      </c>
      <c r="Z149" s="61">
        <f>Z111*Z130/'Demographic-Economic'!E$29</f>
        <v>0</v>
      </c>
      <c r="AA149" s="61">
        <f>AA111*AA130/'Demographic-Economic'!F$29</f>
        <v>0</v>
      </c>
      <c r="AB149" s="61">
        <f>AB111*AB130/'Demographic-Economic'!G$29</f>
        <v>0</v>
      </c>
      <c r="AC149" s="61">
        <f>AC111*AC130/'Demographic-Economic'!H$29</f>
        <v>0</v>
      </c>
      <c r="AD149" s="194">
        <f t="shared" si="55"/>
        <v>0</v>
      </c>
      <c r="AG149">
        <v>2040</v>
      </c>
      <c r="AH149" t="s">
        <v>240</v>
      </c>
      <c r="AI149" t="s">
        <v>240</v>
      </c>
      <c r="AJ149" s="61">
        <f>AJ111*AJ130/'Demographic-Economic'!E$29</f>
        <v>0</v>
      </c>
      <c r="AK149" s="61">
        <f>AK111*AK130/'Demographic-Economic'!F$29</f>
        <v>0</v>
      </c>
      <c r="AL149" s="61">
        <f>AL111*AL130/'Demographic-Economic'!G$29</f>
        <v>0</v>
      </c>
      <c r="AM149" s="61">
        <f>AM111*AM130/'Demographic-Economic'!H$29</f>
        <v>0</v>
      </c>
      <c r="AN149" s="194">
        <f t="shared" si="56"/>
        <v>0</v>
      </c>
    </row>
    <row r="150" spans="5:40">
      <c r="E150">
        <v>2050</v>
      </c>
      <c r="F150" s="320" t="s">
        <v>240</v>
      </c>
      <c r="G150" s="320" t="s">
        <v>240</v>
      </c>
      <c r="H150" s="61">
        <f>H112*H131/'Demographic-Economic'!E$29</f>
        <v>0</v>
      </c>
      <c r="I150" s="61">
        <f>I112*I131/'Demographic-Economic'!F$29</f>
        <v>0</v>
      </c>
      <c r="J150" s="61">
        <f>J112*J131/'Demographic-Economic'!G$29</f>
        <v>0</v>
      </c>
      <c r="K150" s="61">
        <f>K112*K131/'Demographic-Economic'!H$29</f>
        <v>0</v>
      </c>
      <c r="L150" s="194">
        <f t="shared" si="53"/>
        <v>0</v>
      </c>
      <c r="M150" s="194"/>
      <c r="N150">
        <v>2050</v>
      </c>
      <c r="O150" t="s">
        <v>240</v>
      </c>
      <c r="P150" t="s">
        <v>240</v>
      </c>
      <c r="Q150" s="61">
        <f>Q112*Q131/'Demographic-Economic'!E$29</f>
        <v>0</v>
      </c>
      <c r="R150" s="61">
        <f>R112*R131/'Demographic-Economic'!F$29</f>
        <v>0</v>
      </c>
      <c r="S150" s="61">
        <f>S112*S131/'Demographic-Economic'!G$29</f>
        <v>0</v>
      </c>
      <c r="T150" s="61">
        <f>T112*T131/'Demographic-Economic'!H$29</f>
        <v>0</v>
      </c>
      <c r="U150" s="194">
        <f t="shared" si="54"/>
        <v>0</v>
      </c>
      <c r="W150">
        <v>2050</v>
      </c>
      <c r="X150" t="s">
        <v>240</v>
      </c>
      <c r="Y150" t="s">
        <v>240</v>
      </c>
      <c r="Z150" s="61">
        <f>Z112*Z131/'Demographic-Economic'!E$29</f>
        <v>0</v>
      </c>
      <c r="AA150" s="61">
        <f>AA112*AA131/'Demographic-Economic'!F$29</f>
        <v>0</v>
      </c>
      <c r="AB150" s="61">
        <f>AB112*AB131/'Demographic-Economic'!G$29</f>
        <v>0</v>
      </c>
      <c r="AC150" s="61">
        <f>AC112*AC131/'Demographic-Economic'!H$29</f>
        <v>0</v>
      </c>
      <c r="AD150" s="194">
        <f t="shared" si="55"/>
        <v>0</v>
      </c>
      <c r="AG150">
        <v>2050</v>
      </c>
      <c r="AH150" t="s">
        <v>240</v>
      </c>
      <c r="AI150" t="s">
        <v>240</v>
      </c>
      <c r="AJ150" s="61">
        <f>AJ112*AJ131/'Demographic-Economic'!E$29</f>
        <v>0</v>
      </c>
      <c r="AK150" s="61">
        <f>AK112*AK131/'Demographic-Economic'!F$29</f>
        <v>0</v>
      </c>
      <c r="AL150" s="61">
        <f>AL112*AL131/'Demographic-Economic'!G$29</f>
        <v>0</v>
      </c>
      <c r="AM150" s="61">
        <f>AM112*AM131/'Demographic-Economic'!H$29</f>
        <v>0</v>
      </c>
      <c r="AN150" s="194">
        <f t="shared" si="56"/>
        <v>0</v>
      </c>
    </row>
    <row r="151" spans="5:40">
      <c r="E151">
        <v>2060</v>
      </c>
      <c r="F151" s="320" t="s">
        <v>240</v>
      </c>
      <c r="G151" s="320" t="s">
        <v>240</v>
      </c>
      <c r="H151" s="61">
        <f>H113*H132/'Demographic-Economic'!E$29</f>
        <v>0</v>
      </c>
      <c r="I151" s="61">
        <f>I113*I132/'Demographic-Economic'!F$29</f>
        <v>0</v>
      </c>
      <c r="J151" s="61">
        <f>J113*J132/'Demographic-Economic'!G$29</f>
        <v>0</v>
      </c>
      <c r="K151" s="61">
        <f>K113*K132/'Demographic-Economic'!H$29</f>
        <v>0</v>
      </c>
      <c r="L151" s="194">
        <f t="shared" si="53"/>
        <v>0</v>
      </c>
      <c r="M151" s="194"/>
      <c r="N151">
        <v>2060</v>
      </c>
      <c r="O151" t="s">
        <v>240</v>
      </c>
      <c r="P151" t="s">
        <v>240</v>
      </c>
      <c r="Q151" s="61">
        <f>Q113*Q132/'Demographic-Economic'!E$29</f>
        <v>0</v>
      </c>
      <c r="R151" s="61">
        <f>R113*R132/'Demographic-Economic'!F$29</f>
        <v>0</v>
      </c>
      <c r="S151" s="61">
        <f>S113*S132/'Demographic-Economic'!G$29</f>
        <v>0</v>
      </c>
      <c r="T151" s="61">
        <f>T113*T132/'Demographic-Economic'!H$29</f>
        <v>0</v>
      </c>
      <c r="U151" s="194">
        <f t="shared" si="54"/>
        <v>0</v>
      </c>
      <c r="W151">
        <v>2060</v>
      </c>
      <c r="X151" t="s">
        <v>240</v>
      </c>
      <c r="Y151" t="s">
        <v>240</v>
      </c>
      <c r="Z151" s="61">
        <f>Z113*Z132/'Demographic-Economic'!E$29</f>
        <v>0</v>
      </c>
      <c r="AA151" s="61">
        <f>AA113*AA132/'Demographic-Economic'!F$29</f>
        <v>0</v>
      </c>
      <c r="AB151" s="61">
        <f>AB113*AB132/'Demographic-Economic'!G$29</f>
        <v>0</v>
      </c>
      <c r="AC151" s="61">
        <f>AC113*AC132/'Demographic-Economic'!H$29</f>
        <v>0</v>
      </c>
      <c r="AD151" s="194">
        <f t="shared" si="55"/>
        <v>0</v>
      </c>
      <c r="AG151">
        <v>2060</v>
      </c>
      <c r="AH151" t="s">
        <v>240</v>
      </c>
      <c r="AI151" t="s">
        <v>240</v>
      </c>
      <c r="AJ151" s="61">
        <f>AJ113*AJ132/'Demographic-Economic'!E$29</f>
        <v>0</v>
      </c>
      <c r="AK151" s="61">
        <f>AK113*AK132/'Demographic-Economic'!F$29</f>
        <v>0</v>
      </c>
      <c r="AL151" s="61">
        <f>AL113*AL132/'Demographic-Economic'!G$29</f>
        <v>0</v>
      </c>
      <c r="AM151" s="61">
        <f>AM113*AM132/'Demographic-Economic'!H$29</f>
        <v>0</v>
      </c>
      <c r="AN151" s="194">
        <f t="shared" si="56"/>
        <v>0</v>
      </c>
    </row>
    <row r="152" spans="5:40">
      <c r="E152">
        <v>2070</v>
      </c>
      <c r="F152" s="320" t="s">
        <v>240</v>
      </c>
      <c r="G152" s="320" t="s">
        <v>240</v>
      </c>
      <c r="H152" s="61">
        <f>H114*H133/'Demographic-Economic'!E$29</f>
        <v>0</v>
      </c>
      <c r="I152" s="61">
        <f>I114*I133/'Demographic-Economic'!F$29</f>
        <v>0</v>
      </c>
      <c r="J152" s="61">
        <f>J114*J133/'Demographic-Economic'!G$29</f>
        <v>0</v>
      </c>
      <c r="K152" s="61">
        <f>K114*K133/'Demographic-Economic'!H$29</f>
        <v>0</v>
      </c>
      <c r="L152" s="194">
        <f t="shared" si="53"/>
        <v>0</v>
      </c>
      <c r="M152" s="194"/>
      <c r="N152">
        <v>2070</v>
      </c>
      <c r="O152" t="s">
        <v>240</v>
      </c>
      <c r="P152" t="s">
        <v>240</v>
      </c>
      <c r="Q152" s="61">
        <f>Q114*Q133/'Demographic-Economic'!E$29</f>
        <v>0</v>
      </c>
      <c r="R152" s="61">
        <f>R114*R133/'Demographic-Economic'!F$29</f>
        <v>0</v>
      </c>
      <c r="S152" s="61">
        <f>S114*S133/'Demographic-Economic'!G$29</f>
        <v>0</v>
      </c>
      <c r="T152" s="61">
        <f>T114*T133/'Demographic-Economic'!H$29</f>
        <v>0</v>
      </c>
      <c r="U152" s="194">
        <f t="shared" si="54"/>
        <v>0</v>
      </c>
      <c r="W152">
        <v>2070</v>
      </c>
      <c r="X152" t="s">
        <v>240</v>
      </c>
      <c r="Y152" t="s">
        <v>240</v>
      </c>
      <c r="Z152" s="61">
        <f>Z114*Z133/'Demographic-Economic'!E$29</f>
        <v>0</v>
      </c>
      <c r="AA152" s="61">
        <f>AA114*AA133/'Demographic-Economic'!F$29</f>
        <v>0</v>
      </c>
      <c r="AB152" s="61">
        <f>AB114*AB133/'Demographic-Economic'!G$29</f>
        <v>0</v>
      </c>
      <c r="AC152" s="61">
        <f>AC114*AC133/'Demographic-Economic'!H$29</f>
        <v>0</v>
      </c>
      <c r="AD152" s="194">
        <f t="shared" si="55"/>
        <v>0</v>
      </c>
      <c r="AG152">
        <v>2070</v>
      </c>
      <c r="AH152" t="s">
        <v>240</v>
      </c>
      <c r="AI152" t="s">
        <v>240</v>
      </c>
      <c r="AJ152" s="61">
        <f>AJ114*AJ133/'Demographic-Economic'!E$29</f>
        <v>0</v>
      </c>
      <c r="AK152" s="61">
        <f>AK114*AK133/'Demographic-Economic'!F$29</f>
        <v>0</v>
      </c>
      <c r="AL152" s="61">
        <f>AL114*AL133/'Demographic-Economic'!G$29</f>
        <v>0</v>
      </c>
      <c r="AM152" s="61">
        <f>AM114*AM133/'Demographic-Economic'!H$29</f>
        <v>0</v>
      </c>
      <c r="AN152" s="194">
        <f t="shared" si="56"/>
        <v>0</v>
      </c>
    </row>
    <row r="153" spans="5:40">
      <c r="E153">
        <v>2080</v>
      </c>
      <c r="F153" s="320" t="s">
        <v>240</v>
      </c>
      <c r="G153" s="320" t="s">
        <v>240</v>
      </c>
      <c r="H153" s="61">
        <f>H115*H134/'Demographic-Economic'!E$29</f>
        <v>0</v>
      </c>
      <c r="I153" s="61">
        <f>I115*I134/'Demographic-Economic'!F$29</f>
        <v>0</v>
      </c>
      <c r="J153" s="61">
        <f>J115*J134/'Demographic-Economic'!G$29</f>
        <v>0</v>
      </c>
      <c r="K153" s="61">
        <f>K115*K134/'Demographic-Economic'!H$29</f>
        <v>0</v>
      </c>
      <c r="L153" s="194">
        <f t="shared" si="53"/>
        <v>0</v>
      </c>
      <c r="M153" s="194"/>
      <c r="N153">
        <v>2080</v>
      </c>
      <c r="O153" t="s">
        <v>240</v>
      </c>
      <c r="P153" t="s">
        <v>240</v>
      </c>
      <c r="Q153" s="61">
        <f>Q115*Q134/'Demographic-Economic'!E$29</f>
        <v>0</v>
      </c>
      <c r="R153" s="61">
        <f>R115*R134/'Demographic-Economic'!F$29</f>
        <v>0</v>
      </c>
      <c r="S153" s="61">
        <f>S115*S134/'Demographic-Economic'!G$29</f>
        <v>0</v>
      </c>
      <c r="T153" s="61">
        <f>T115*T134/'Demographic-Economic'!H$29</f>
        <v>0</v>
      </c>
      <c r="U153" s="194">
        <f t="shared" si="54"/>
        <v>0</v>
      </c>
      <c r="W153">
        <v>2080</v>
      </c>
      <c r="X153" t="s">
        <v>240</v>
      </c>
      <c r="Y153" t="s">
        <v>240</v>
      </c>
      <c r="Z153" s="61">
        <f>Z115*Z134/'Demographic-Economic'!E$29</f>
        <v>0</v>
      </c>
      <c r="AA153" s="61">
        <f>AA115*AA134/'Demographic-Economic'!F$29</f>
        <v>0</v>
      </c>
      <c r="AB153" s="61">
        <f>AB115*AB134/'Demographic-Economic'!G$29</f>
        <v>0</v>
      </c>
      <c r="AC153" s="61">
        <f>AC115*AC134/'Demographic-Economic'!H$29</f>
        <v>0</v>
      </c>
      <c r="AD153" s="194">
        <f t="shared" si="55"/>
        <v>0</v>
      </c>
      <c r="AG153">
        <v>2080</v>
      </c>
      <c r="AH153" t="s">
        <v>240</v>
      </c>
      <c r="AI153" t="s">
        <v>240</v>
      </c>
      <c r="AJ153" s="61">
        <f>AJ115*AJ134/'Demographic-Economic'!E$29</f>
        <v>0</v>
      </c>
      <c r="AK153" s="61">
        <f>AK115*AK134/'Demographic-Economic'!F$29</f>
        <v>0</v>
      </c>
      <c r="AL153" s="61">
        <f>AL115*AL134/'Demographic-Economic'!G$29</f>
        <v>0</v>
      </c>
      <c r="AM153" s="61">
        <f>AM115*AM134/'Demographic-Economic'!H$29</f>
        <v>0</v>
      </c>
      <c r="AN153" s="194">
        <f t="shared" si="56"/>
        <v>0</v>
      </c>
    </row>
    <row r="154" spans="5:40">
      <c r="E154">
        <v>2090</v>
      </c>
      <c r="F154" s="320" t="s">
        <v>240</v>
      </c>
      <c r="G154" s="320" t="s">
        <v>240</v>
      </c>
      <c r="H154" s="61">
        <f>H116*H135/'Demographic-Economic'!E$29</f>
        <v>0</v>
      </c>
      <c r="I154" s="61">
        <f>I116*I135/'Demographic-Economic'!F$29</f>
        <v>0</v>
      </c>
      <c r="J154" s="61">
        <f>J116*J135/'Demographic-Economic'!G$29</f>
        <v>0</v>
      </c>
      <c r="K154" s="61">
        <f>K116*K135/'Demographic-Economic'!H$29</f>
        <v>0</v>
      </c>
      <c r="L154" s="194">
        <f t="shared" si="53"/>
        <v>0</v>
      </c>
      <c r="M154" s="194"/>
      <c r="N154">
        <v>2090</v>
      </c>
      <c r="O154" t="s">
        <v>240</v>
      </c>
      <c r="P154" t="s">
        <v>240</v>
      </c>
      <c r="Q154" s="61">
        <f>Q116*Q135/'Demographic-Economic'!E$29</f>
        <v>0</v>
      </c>
      <c r="R154" s="61">
        <f>R116*R135/'Demographic-Economic'!F$29</f>
        <v>0</v>
      </c>
      <c r="S154" s="61">
        <f>S116*S135/'Demographic-Economic'!G$29</f>
        <v>0</v>
      </c>
      <c r="T154" s="61">
        <f>T116*T135/'Demographic-Economic'!H$29</f>
        <v>0</v>
      </c>
      <c r="U154" s="194">
        <f t="shared" si="54"/>
        <v>0</v>
      </c>
      <c r="W154">
        <v>2090</v>
      </c>
      <c r="X154" t="s">
        <v>240</v>
      </c>
      <c r="Y154" t="s">
        <v>240</v>
      </c>
      <c r="Z154" s="61">
        <f>Z116*Z135/'Demographic-Economic'!E$29</f>
        <v>0</v>
      </c>
      <c r="AA154" s="61">
        <f>AA116*AA135/'Demographic-Economic'!F$29</f>
        <v>0</v>
      </c>
      <c r="AB154" s="61">
        <f>AB116*AB135/'Demographic-Economic'!G$29</f>
        <v>0</v>
      </c>
      <c r="AC154" s="61">
        <f>AC116*AC135/'Demographic-Economic'!H$29</f>
        <v>0</v>
      </c>
      <c r="AD154" s="194">
        <f t="shared" si="55"/>
        <v>0</v>
      </c>
      <c r="AG154">
        <v>2090</v>
      </c>
      <c r="AH154" t="s">
        <v>240</v>
      </c>
      <c r="AI154" t="s">
        <v>240</v>
      </c>
      <c r="AJ154" s="61">
        <f>AJ116*AJ135/'Demographic-Economic'!E$29</f>
        <v>0</v>
      </c>
      <c r="AK154" s="61">
        <f>AK116*AK135/'Demographic-Economic'!F$29</f>
        <v>0</v>
      </c>
      <c r="AL154" s="61">
        <f>AL116*AL135/'Demographic-Economic'!G$29</f>
        <v>0</v>
      </c>
      <c r="AM154" s="61">
        <f>AM116*AM135/'Demographic-Economic'!H$29</f>
        <v>0</v>
      </c>
      <c r="AN154" s="194">
        <f t="shared" si="56"/>
        <v>0</v>
      </c>
    </row>
    <row r="155" spans="5:40">
      <c r="E155">
        <v>2100</v>
      </c>
      <c r="F155" s="320" t="s">
        <v>240</v>
      </c>
      <c r="G155" s="320" t="s">
        <v>240</v>
      </c>
      <c r="H155" s="61">
        <f>H117*H136/'Demographic-Economic'!E$29</f>
        <v>0</v>
      </c>
      <c r="I155" s="61">
        <f>I117*I136/'Demographic-Economic'!F$29</f>
        <v>0</v>
      </c>
      <c r="J155" s="61">
        <f>J117*J136/'Demographic-Economic'!G$29</f>
        <v>0</v>
      </c>
      <c r="K155" s="61">
        <f>K117*K136/'Demographic-Economic'!H$29</f>
        <v>0</v>
      </c>
      <c r="L155" s="194">
        <f t="shared" si="53"/>
        <v>0</v>
      </c>
      <c r="M155" s="194"/>
      <c r="N155">
        <v>2100</v>
      </c>
      <c r="O155" t="s">
        <v>240</v>
      </c>
      <c r="P155" t="s">
        <v>240</v>
      </c>
      <c r="Q155" s="61">
        <f>Q117*Q136/'Demographic-Economic'!E$29</f>
        <v>0</v>
      </c>
      <c r="R155" s="61">
        <f>R117*R136/'Demographic-Economic'!F$29</f>
        <v>0</v>
      </c>
      <c r="S155" s="61">
        <f>S117*S136/'Demographic-Economic'!G$29</f>
        <v>0</v>
      </c>
      <c r="T155" s="61">
        <f>T117*T136/'Demographic-Economic'!H$29</f>
        <v>0</v>
      </c>
      <c r="U155" s="194">
        <f t="shared" si="54"/>
        <v>0</v>
      </c>
      <c r="W155">
        <v>2100</v>
      </c>
      <c r="X155" t="s">
        <v>240</v>
      </c>
      <c r="Y155" t="s">
        <v>240</v>
      </c>
      <c r="Z155" s="61">
        <f>Z117*Z136/'Demographic-Economic'!E$29</f>
        <v>0</v>
      </c>
      <c r="AA155" s="61">
        <f>AA117*AA136/'Demographic-Economic'!F$29</f>
        <v>0</v>
      </c>
      <c r="AB155" s="61">
        <f>AB117*AB136/'Demographic-Economic'!G$29</f>
        <v>0</v>
      </c>
      <c r="AC155" s="61">
        <f>AC117*AC136/'Demographic-Economic'!H$29</f>
        <v>0</v>
      </c>
      <c r="AD155" s="194">
        <f t="shared" si="55"/>
        <v>0</v>
      </c>
      <c r="AG155">
        <v>2100</v>
      </c>
      <c r="AH155" t="s">
        <v>240</v>
      </c>
      <c r="AI155" t="s">
        <v>240</v>
      </c>
      <c r="AJ155" s="61">
        <f>AJ117*AJ136/'Demographic-Economic'!E$29</f>
        <v>0</v>
      </c>
      <c r="AK155" s="61">
        <f>AK117*AK136/'Demographic-Economic'!F$29</f>
        <v>0</v>
      </c>
      <c r="AL155" s="61">
        <f>AL117*AL136/'Demographic-Economic'!G$29</f>
        <v>0</v>
      </c>
      <c r="AM155" s="61">
        <f>AM117*AM136/'Demographic-Economic'!H$29</f>
        <v>0</v>
      </c>
      <c r="AN155" s="194">
        <f t="shared" si="56"/>
        <v>0</v>
      </c>
    </row>
    <row r="156" spans="5:40">
      <c r="F156" s="581" t="s">
        <v>307</v>
      </c>
      <c r="G156" s="581"/>
      <c r="H156" s="581"/>
      <c r="I156" s="581"/>
      <c r="J156" s="581"/>
      <c r="K156" s="581"/>
      <c r="O156" s="581" t="s">
        <v>307</v>
      </c>
      <c r="P156" s="581"/>
      <c r="Q156" s="581"/>
      <c r="R156" s="581"/>
      <c r="S156" s="581"/>
      <c r="T156" s="581"/>
      <c r="X156" s="581" t="s">
        <v>307</v>
      </c>
      <c r="Y156" s="581"/>
      <c r="Z156" s="581"/>
      <c r="AA156" s="581"/>
      <c r="AB156" s="581"/>
      <c r="AC156" s="581"/>
      <c r="AH156" s="581" t="s">
        <v>307</v>
      </c>
      <c r="AI156" s="581"/>
      <c r="AJ156" s="581"/>
      <c r="AK156" s="581"/>
      <c r="AL156" s="581"/>
      <c r="AM156" s="581"/>
    </row>
    <row r="157" spans="5:40">
      <c r="E157">
        <v>2020</v>
      </c>
      <c r="F157" s="320" t="s">
        <v>240</v>
      </c>
      <c r="G157" s="320" t="s">
        <v>240</v>
      </c>
      <c r="H157" s="170">
        <f>(('Demographic-Economic'!E$23*1000*(1+'Inflation-Interest'!$C$65)*(1+'Inflation-Interest'!$C$66)*(1+'Inflation-Interest'!$C$67))/'Voluntary Costs'!H43)*$C$5</f>
        <v>18178.663480423558</v>
      </c>
      <c r="I157" s="170">
        <f>(('Demographic-Economic'!F$23*1000*(1+'Inflation-Interest'!$C$65)*(1+'Inflation-Interest'!$C$66)*(1+'Inflation-Interest'!$C$67))/'Voluntary Costs'!I43)*$C$5</f>
        <v>8629.164640600522</v>
      </c>
      <c r="J157" s="170">
        <f>(('Demographic-Economic'!G$23*1000*(1+'Inflation-Interest'!$C$65)*(1+'Inflation-Interest'!$C$66)*(1+'Inflation-Interest'!$C$67))/'Voluntary Costs'!J43)*$C$5</f>
        <v>9867.4255012584727</v>
      </c>
      <c r="K157" s="170">
        <f>(('Demographic-Economic'!H$23*1000*(1+'Inflation-Interest'!$C$65)*(1+'Inflation-Interest'!$C$66)*(1+'Inflation-Interest'!$C$67))/'Voluntary Costs'!K43)*$C$5</f>
        <v>3146.7761067548531</v>
      </c>
      <c r="L157" s="329">
        <f t="shared" ref="L157:L174" si="57" xml:space="preserve"> AVERAGE(H157:K157)</f>
        <v>9955.5074322593537</v>
      </c>
      <c r="M157" s="329"/>
      <c r="N157">
        <v>2020</v>
      </c>
      <c r="O157" s="320" t="s">
        <v>240</v>
      </c>
      <c r="P157" s="320" t="s">
        <v>240</v>
      </c>
      <c r="Q157" s="170">
        <f>(('Demographic-Economic'!E$23*1000*(1+'Inflation-Interest'!$C$65)*(1+'Inflation-Interest'!$C$66)*(1+'Inflation-Interest'!$C$67))/'Voluntary Costs'!H43)*$C$5</f>
        <v>18178.663480423558</v>
      </c>
      <c r="R157" s="170">
        <f>(('Demographic-Economic'!F$23*1000*(1+'Inflation-Interest'!$C$65)*(1+'Inflation-Interest'!$C$66)*(1+'Inflation-Interest'!$C$67))/'Voluntary Costs'!I43)*$C$5</f>
        <v>8629.164640600522</v>
      </c>
      <c r="S157" s="170">
        <f>(('Demographic-Economic'!G$23*1000*(1+'Inflation-Interest'!$C$65)*(1+'Inflation-Interest'!$C$66)*(1+'Inflation-Interest'!$C$67))/'Voluntary Costs'!J43)*$C$5</f>
        <v>9867.4255012584727</v>
      </c>
      <c r="T157" s="170">
        <f>(('Demographic-Economic'!H$23*1000*(1+'Inflation-Interest'!$C$65)*(1+'Inflation-Interest'!$C$66)*(1+'Inflation-Interest'!$C$67))/'Voluntary Costs'!K43)*$C$5</f>
        <v>3146.7761067548531</v>
      </c>
      <c r="U157" s="172">
        <f xml:space="preserve"> AVERAGE(Q157:T157)</f>
        <v>9955.5074322593537</v>
      </c>
      <c r="W157">
        <v>2020</v>
      </c>
      <c r="X157" s="320" t="s">
        <v>240</v>
      </c>
      <c r="Y157" s="320" t="s">
        <v>240</v>
      </c>
      <c r="Z157" s="170">
        <f>(('Demographic-Economic'!E$23*1000*(1+'Inflation-Interest'!$C$65)*(1+'Inflation-Interest'!$C$66)*(1+'Inflation-Interest'!$C$67)) /Z43)*$C$5</f>
        <v>18178.663480423558</v>
      </c>
      <c r="AA157" s="170">
        <f>(('Demographic-Economic'!F$23*1000*(1+'Inflation-Interest'!$C$65)*(1+'Inflation-Interest'!$C$66)*(1+'Inflation-Interest'!$C$67)) /AA43)*$C$5</f>
        <v>8629.164640600522</v>
      </c>
      <c r="AB157" s="170">
        <f>(('Demographic-Economic'!G$23*1000*(1+'Inflation-Interest'!$C$65)*(1+'Inflation-Interest'!$C$66)*(1+'Inflation-Interest'!$C$67)) /AB43)*$C$5</f>
        <v>9867.4255012584727</v>
      </c>
      <c r="AC157" s="170">
        <f>(('Demographic-Economic'!H$23*1000*(1+'Inflation-Interest'!$C$65)*(1+'Inflation-Interest'!$C$66)*(1+'Inflation-Interest'!$C$67)) /AC43)*$C$5</f>
        <v>3146.7761067548531</v>
      </c>
      <c r="AD157" s="172">
        <f t="shared" ref="AD157:AD174" si="58">AVERAGE(Z157:AC157)</f>
        <v>9955.5074322593537</v>
      </c>
      <c r="AG157">
        <v>2020</v>
      </c>
      <c r="AH157" t="s">
        <v>240</v>
      </c>
      <c r="AI157" t="s">
        <v>240</v>
      </c>
      <c r="AJ157" s="170">
        <f>(('Demographic-Economic'!E$23*1000*(1+'Inflation-Interest'!$C$65)*(1+'Inflation-Interest'!$C$66)*(1+'Inflation-Interest'!$C$67)) /AJ43)*$C$5</f>
        <v>18178.663480423558</v>
      </c>
      <c r="AK157" s="170">
        <f>(('Demographic-Economic'!F$23*1000*(1+'Inflation-Interest'!$C$65)*(1+'Inflation-Interest'!$C$66)*(1+'Inflation-Interest'!$C$67)) /AK43)*$C$5</f>
        <v>8629.164640600522</v>
      </c>
      <c r="AL157" s="170">
        <f>(('Demographic-Economic'!G$23*1000*(1+'Inflation-Interest'!$C$65)*(1+'Inflation-Interest'!$C$66)*(1+'Inflation-Interest'!$C$67)) /AL43)*$C$5</f>
        <v>9867.4255012584727</v>
      </c>
      <c r="AM157" s="170">
        <f>(('Demographic-Economic'!H$23*1000*(1+'Inflation-Interest'!$C$65)*(1+'Inflation-Interest'!$C$66)*(1+'Inflation-Interest'!$C$67)) /AM43)*$C$5</f>
        <v>3146.7761067548531</v>
      </c>
      <c r="AN157" s="172">
        <f t="shared" ref="AN157:AN174" si="59">AVERAGE(AJ157:AM157)</f>
        <v>9955.5074322593537</v>
      </c>
    </row>
    <row r="158" spans="5:40">
      <c r="E158">
        <v>2021</v>
      </c>
      <c r="F158" s="320" t="s">
        <v>240</v>
      </c>
      <c r="G158" s="320" t="s">
        <v>240</v>
      </c>
      <c r="H158" s="170">
        <f>H157*(1+$C$6)</f>
        <v>18861.075358592425</v>
      </c>
      <c r="I158" s="170">
        <f t="shared" ref="I158:K167" si="60">I157*(1+$C$6)</f>
        <v>8953.0962902381325</v>
      </c>
      <c r="J158" s="170">
        <f t="shared" si="60"/>
        <v>10237.840431721132</v>
      </c>
      <c r="K158" s="170">
        <f t="shared" si="60"/>
        <v>3264.9034594890081</v>
      </c>
      <c r="L158" s="329">
        <f t="shared" si="57"/>
        <v>10329.228885010176</v>
      </c>
      <c r="M158" s="329"/>
      <c r="N158">
        <v>2021</v>
      </c>
      <c r="O158" s="320" t="s">
        <v>240</v>
      </c>
      <c r="P158" s="320" t="s">
        <v>240</v>
      </c>
      <c r="Q158" s="170">
        <f>Q157*(1+$C$6)</f>
        <v>18861.075358592425</v>
      </c>
      <c r="R158" s="170">
        <f t="shared" ref="R158:T158" si="61">R157*(1+$C$6)</f>
        <v>8953.0962902381325</v>
      </c>
      <c r="S158" s="170">
        <f t="shared" si="61"/>
        <v>10237.840431721132</v>
      </c>
      <c r="T158" s="170">
        <f t="shared" si="61"/>
        <v>3264.9034594890081</v>
      </c>
      <c r="U158" s="172">
        <f t="shared" ref="U158:U174" si="62" xml:space="preserve"> AVERAGE(Q158:T158)</f>
        <v>10329.228885010176</v>
      </c>
      <c r="W158">
        <v>2021</v>
      </c>
      <c r="X158" s="320" t="s">
        <v>240</v>
      </c>
      <c r="Y158" s="320" t="s">
        <v>240</v>
      </c>
      <c r="Z158" s="170">
        <f>Z157*(1+$C$6)^($W158-$W157)</f>
        <v>18861.075358592425</v>
      </c>
      <c r="AA158" s="170">
        <f t="shared" ref="AA158:AC173" si="63">AA157*(1+$C$6)^($W158-$W157)</f>
        <v>8953.0962902381325</v>
      </c>
      <c r="AB158" s="170">
        <f t="shared" si="63"/>
        <v>10237.840431721132</v>
      </c>
      <c r="AC158" s="170">
        <f t="shared" si="63"/>
        <v>3264.9034594890081</v>
      </c>
      <c r="AD158" s="172">
        <f t="shared" si="58"/>
        <v>10329.228885010176</v>
      </c>
      <c r="AG158">
        <v>2021</v>
      </c>
      <c r="AH158" t="s">
        <v>240</v>
      </c>
      <c r="AI158" t="s">
        <v>240</v>
      </c>
      <c r="AJ158" s="170">
        <f>AJ157*(1+$C$6)^($AG158-$AG157)</f>
        <v>18861.075358592425</v>
      </c>
      <c r="AK158" s="170">
        <f t="shared" ref="AK158:AM173" si="64">AK157*(1+$C$6)^($AG158-$AG157)</f>
        <v>8953.0962902381325</v>
      </c>
      <c r="AL158" s="170">
        <f t="shared" si="64"/>
        <v>10237.840431721132</v>
      </c>
      <c r="AM158" s="170">
        <f t="shared" si="64"/>
        <v>3264.9034594890081</v>
      </c>
      <c r="AN158" s="172">
        <f t="shared" si="59"/>
        <v>10329.228885010176</v>
      </c>
    </row>
    <row r="159" spans="5:40">
      <c r="E159">
        <v>2022</v>
      </c>
      <c r="F159" s="320" t="s">
        <v>240</v>
      </c>
      <c r="G159" s="320" t="s">
        <v>240</v>
      </c>
      <c r="H159" s="170">
        <f t="shared" ref="H159:H167" si="65">H158*(1+$C$6)</f>
        <v>19569.104409991185</v>
      </c>
      <c r="I159" s="170">
        <f t="shared" si="60"/>
        <v>9289.1880640600975</v>
      </c>
      <c r="J159" s="170">
        <f t="shared" si="60"/>
        <v>10622.16042999425</v>
      </c>
      <c r="K159" s="170">
        <f t="shared" si="60"/>
        <v>3387.4652146053427</v>
      </c>
      <c r="L159" s="329">
        <f t="shared" si="57"/>
        <v>10716.979529662718</v>
      </c>
      <c r="M159" s="329"/>
      <c r="N159">
        <v>2022</v>
      </c>
      <c r="O159" s="320" t="s">
        <v>240</v>
      </c>
      <c r="P159" s="320" t="s">
        <v>240</v>
      </c>
      <c r="Q159" s="170">
        <f t="shared" ref="Q159:T167" si="66">Q158*(1+$C$6)</f>
        <v>19569.104409991185</v>
      </c>
      <c r="R159" s="170">
        <f t="shared" si="66"/>
        <v>9289.1880640600975</v>
      </c>
      <c r="S159" s="170">
        <f t="shared" si="66"/>
        <v>10622.16042999425</v>
      </c>
      <c r="T159" s="170">
        <f t="shared" si="66"/>
        <v>3387.4652146053427</v>
      </c>
      <c r="U159" s="172">
        <f t="shared" si="62"/>
        <v>10716.979529662718</v>
      </c>
      <c r="W159">
        <v>2022</v>
      </c>
      <c r="X159" s="320" t="s">
        <v>240</v>
      </c>
      <c r="Y159" s="320" t="s">
        <v>240</v>
      </c>
      <c r="Z159" s="170">
        <f t="shared" ref="Z159:AC174" si="67">Z158*(1+$C$6)^($W159-$W158)</f>
        <v>19569.104409991185</v>
      </c>
      <c r="AA159" s="170">
        <f t="shared" si="63"/>
        <v>9289.1880640600975</v>
      </c>
      <c r="AB159" s="170">
        <f t="shared" si="63"/>
        <v>10622.16042999425</v>
      </c>
      <c r="AC159" s="170">
        <f t="shared" si="63"/>
        <v>3387.4652146053427</v>
      </c>
      <c r="AD159" s="172">
        <f t="shared" si="58"/>
        <v>10716.979529662718</v>
      </c>
      <c r="AG159">
        <v>2022</v>
      </c>
      <c r="AH159" t="s">
        <v>240</v>
      </c>
      <c r="AI159" t="s">
        <v>240</v>
      </c>
      <c r="AJ159" s="170">
        <f t="shared" ref="AJ159:AM174" si="68">AJ158*(1+$C$6)^($AG159-$AG158)</f>
        <v>19569.104409991185</v>
      </c>
      <c r="AK159" s="170">
        <f t="shared" si="64"/>
        <v>9289.1880640600975</v>
      </c>
      <c r="AL159" s="170">
        <f t="shared" si="64"/>
        <v>10622.16042999425</v>
      </c>
      <c r="AM159" s="170">
        <f t="shared" si="64"/>
        <v>3387.4652146053427</v>
      </c>
      <c r="AN159" s="172">
        <f t="shared" si="59"/>
        <v>10716.979529662718</v>
      </c>
    </row>
    <row r="160" spans="5:40">
      <c r="E160">
        <v>2023</v>
      </c>
      <c r="F160" s="320" t="s">
        <v>240</v>
      </c>
      <c r="G160" s="320" t="s">
        <v>240</v>
      </c>
      <c r="H160" s="170">
        <f>H159*(1+$C$6)</f>
        <v>20303.712281955246</v>
      </c>
      <c r="I160" s="170">
        <f t="shared" si="60"/>
        <v>9637.896442994861</v>
      </c>
      <c r="J160" s="170">
        <f t="shared" si="60"/>
        <v>11020.907480735876</v>
      </c>
      <c r="K160" s="170">
        <f t="shared" si="60"/>
        <v>3514.6278358739482</v>
      </c>
      <c r="L160" s="329">
        <f t="shared" si="57"/>
        <v>11119.286010389984</v>
      </c>
      <c r="M160" s="329"/>
      <c r="N160">
        <v>2023</v>
      </c>
      <c r="O160" s="320" t="s">
        <v>240</v>
      </c>
      <c r="P160" s="320" t="s">
        <v>240</v>
      </c>
      <c r="Q160" s="170">
        <f t="shared" si="66"/>
        <v>20303.712281955246</v>
      </c>
      <c r="R160" s="170">
        <f t="shared" si="66"/>
        <v>9637.896442994861</v>
      </c>
      <c r="S160" s="170">
        <f t="shared" si="66"/>
        <v>11020.907480735876</v>
      </c>
      <c r="T160" s="170">
        <f t="shared" si="66"/>
        <v>3514.6278358739482</v>
      </c>
      <c r="U160" s="172">
        <f t="shared" si="62"/>
        <v>11119.286010389984</v>
      </c>
      <c r="W160">
        <v>2023</v>
      </c>
      <c r="X160" s="320" t="s">
        <v>240</v>
      </c>
      <c r="Y160" s="320" t="s">
        <v>240</v>
      </c>
      <c r="Z160" s="170">
        <f t="shared" si="67"/>
        <v>20303.712281955246</v>
      </c>
      <c r="AA160" s="170">
        <f t="shared" si="63"/>
        <v>9637.896442994861</v>
      </c>
      <c r="AB160" s="170">
        <f t="shared" si="63"/>
        <v>11020.907480735876</v>
      </c>
      <c r="AC160" s="170">
        <f t="shared" si="63"/>
        <v>3514.6278358739482</v>
      </c>
      <c r="AD160" s="172">
        <f t="shared" si="58"/>
        <v>11119.286010389984</v>
      </c>
      <c r="AG160">
        <v>2023</v>
      </c>
      <c r="AH160" t="s">
        <v>240</v>
      </c>
      <c r="AI160" t="s">
        <v>240</v>
      </c>
      <c r="AJ160" s="170">
        <f t="shared" si="68"/>
        <v>20303.712281955246</v>
      </c>
      <c r="AK160" s="170">
        <f t="shared" si="64"/>
        <v>9637.896442994861</v>
      </c>
      <c r="AL160" s="170">
        <f t="shared" si="64"/>
        <v>11020.907480735876</v>
      </c>
      <c r="AM160" s="170">
        <f t="shared" si="64"/>
        <v>3514.6278358739482</v>
      </c>
      <c r="AN160" s="172">
        <f t="shared" si="59"/>
        <v>11119.286010389984</v>
      </c>
    </row>
    <row r="161" spans="5:40">
      <c r="E161">
        <v>2024</v>
      </c>
      <c r="F161" s="320" t="s">
        <v>240</v>
      </c>
      <c r="G161" s="320" t="s">
        <v>240</v>
      </c>
      <c r="H161" s="170">
        <f t="shared" si="65"/>
        <v>21065.896721259611</v>
      </c>
      <c r="I161" s="170">
        <f t="shared" si="60"/>
        <v>9999.6950438845197</v>
      </c>
      <c r="J161" s="170">
        <f t="shared" si="60"/>
        <v>11434.623163473134</v>
      </c>
      <c r="K161" s="170">
        <f t="shared" si="60"/>
        <v>3646.5640359761264</v>
      </c>
      <c r="L161" s="329">
        <f t="shared" si="57"/>
        <v>11536.694741148347</v>
      </c>
      <c r="M161" s="329"/>
      <c r="N161">
        <v>2024</v>
      </c>
      <c r="O161" s="320" t="s">
        <v>240</v>
      </c>
      <c r="P161" s="320" t="s">
        <v>240</v>
      </c>
      <c r="Q161" s="170">
        <f>Q160*(1+$C$6)</f>
        <v>21065.896721259611</v>
      </c>
      <c r="R161" s="170">
        <f t="shared" si="66"/>
        <v>9999.6950438845197</v>
      </c>
      <c r="S161" s="170">
        <f t="shared" si="66"/>
        <v>11434.623163473134</v>
      </c>
      <c r="T161" s="170">
        <f t="shared" si="66"/>
        <v>3646.5640359761264</v>
      </c>
      <c r="U161" s="172">
        <f t="shared" si="62"/>
        <v>11536.694741148347</v>
      </c>
      <c r="W161">
        <v>2024</v>
      </c>
      <c r="X161" s="320" t="s">
        <v>240</v>
      </c>
      <c r="Y161" s="320" t="s">
        <v>240</v>
      </c>
      <c r="Z161" s="170">
        <f t="shared" si="67"/>
        <v>21065.896721259611</v>
      </c>
      <c r="AA161" s="170">
        <f t="shared" si="63"/>
        <v>9999.6950438845197</v>
      </c>
      <c r="AB161" s="170">
        <f t="shared" si="63"/>
        <v>11434.623163473134</v>
      </c>
      <c r="AC161" s="170">
        <f t="shared" si="63"/>
        <v>3646.5640359761264</v>
      </c>
      <c r="AD161" s="172">
        <f t="shared" si="58"/>
        <v>11536.694741148347</v>
      </c>
      <c r="AG161">
        <v>2024</v>
      </c>
      <c r="AH161" t="s">
        <v>240</v>
      </c>
      <c r="AI161" t="s">
        <v>240</v>
      </c>
      <c r="AJ161" s="170">
        <f t="shared" si="68"/>
        <v>21065.896721259611</v>
      </c>
      <c r="AK161" s="170">
        <f t="shared" si="64"/>
        <v>9999.6950438845197</v>
      </c>
      <c r="AL161" s="170">
        <f t="shared" si="64"/>
        <v>11434.623163473134</v>
      </c>
      <c r="AM161" s="170">
        <f t="shared" si="64"/>
        <v>3646.5640359761264</v>
      </c>
      <c r="AN161" s="172">
        <f t="shared" si="59"/>
        <v>11536.694741148347</v>
      </c>
    </row>
    <row r="162" spans="5:40">
      <c r="E162">
        <v>2025</v>
      </c>
      <c r="F162" s="320" t="s">
        <v>240</v>
      </c>
      <c r="G162" s="320" t="s">
        <v>240</v>
      </c>
      <c r="H162" s="170">
        <f t="shared" si="65"/>
        <v>21856.692929261764</v>
      </c>
      <c r="I162" s="170">
        <f t="shared" si="60"/>
        <v>10375.075262752742</v>
      </c>
      <c r="J162" s="170">
        <f t="shared" si="60"/>
        <v>11863.86938817728</v>
      </c>
      <c r="K162" s="170">
        <f t="shared" si="60"/>
        <v>3783.453011083307</v>
      </c>
      <c r="L162" s="329">
        <f t="shared" si="57"/>
        <v>11969.772647818772</v>
      </c>
      <c r="M162" s="329"/>
      <c r="N162">
        <v>2025</v>
      </c>
      <c r="O162" s="320" t="s">
        <v>240</v>
      </c>
      <c r="P162" s="320" t="s">
        <v>240</v>
      </c>
      <c r="Q162" s="170">
        <f t="shared" si="66"/>
        <v>21856.692929261764</v>
      </c>
      <c r="R162" s="170">
        <f t="shared" si="66"/>
        <v>10375.075262752742</v>
      </c>
      <c r="S162" s="170">
        <f t="shared" si="66"/>
        <v>11863.86938817728</v>
      </c>
      <c r="T162" s="170">
        <f t="shared" si="66"/>
        <v>3783.453011083307</v>
      </c>
      <c r="U162" s="172">
        <f t="shared" si="62"/>
        <v>11969.772647818772</v>
      </c>
      <c r="W162">
        <v>2025</v>
      </c>
      <c r="X162" s="320" t="s">
        <v>240</v>
      </c>
      <c r="Y162" s="320" t="s">
        <v>240</v>
      </c>
      <c r="Z162" s="170">
        <f t="shared" si="67"/>
        <v>21856.692929261764</v>
      </c>
      <c r="AA162" s="170">
        <f t="shared" si="63"/>
        <v>10375.075262752742</v>
      </c>
      <c r="AB162" s="170">
        <f t="shared" si="63"/>
        <v>11863.86938817728</v>
      </c>
      <c r="AC162" s="170">
        <f t="shared" si="63"/>
        <v>3783.453011083307</v>
      </c>
      <c r="AD162" s="172">
        <f t="shared" si="58"/>
        <v>11969.772647818772</v>
      </c>
      <c r="AG162">
        <v>2025</v>
      </c>
      <c r="AH162" t="s">
        <v>240</v>
      </c>
      <c r="AI162" t="s">
        <v>240</v>
      </c>
      <c r="AJ162" s="170">
        <f t="shared" si="68"/>
        <v>21856.692929261764</v>
      </c>
      <c r="AK162" s="170">
        <f t="shared" si="64"/>
        <v>10375.075262752742</v>
      </c>
      <c r="AL162" s="170">
        <f t="shared" si="64"/>
        <v>11863.86938817728</v>
      </c>
      <c r="AM162" s="170">
        <f t="shared" si="64"/>
        <v>3783.453011083307</v>
      </c>
      <c r="AN162" s="172">
        <f t="shared" si="59"/>
        <v>11969.772647818772</v>
      </c>
    </row>
    <row r="163" spans="5:40">
      <c r="E163">
        <v>2026</v>
      </c>
      <c r="F163" s="320" t="s">
        <v>240</v>
      </c>
      <c r="G163" s="320" t="s">
        <v>240</v>
      </c>
      <c r="H163" s="170">
        <f t="shared" si="65"/>
        <v>22677.174967915478</v>
      </c>
      <c r="I163" s="170">
        <f t="shared" si="60"/>
        <v>10764.546942220428</v>
      </c>
      <c r="J163" s="170">
        <f t="shared" si="60"/>
        <v>12309.229158451632</v>
      </c>
      <c r="K163" s="170">
        <f t="shared" si="60"/>
        <v>3925.4806842418652</v>
      </c>
      <c r="L163" s="329">
        <f t="shared" si="57"/>
        <v>12419.107938207351</v>
      </c>
      <c r="M163" s="329"/>
      <c r="N163">
        <v>2026</v>
      </c>
      <c r="O163" s="320" t="s">
        <v>240</v>
      </c>
      <c r="P163" s="320" t="s">
        <v>240</v>
      </c>
      <c r="Q163" s="170">
        <f t="shared" si="66"/>
        <v>22677.174967915478</v>
      </c>
      <c r="R163" s="170">
        <f t="shared" si="66"/>
        <v>10764.546942220428</v>
      </c>
      <c r="S163" s="170">
        <f t="shared" si="66"/>
        <v>12309.229158451632</v>
      </c>
      <c r="T163" s="170">
        <f t="shared" si="66"/>
        <v>3925.4806842418652</v>
      </c>
      <c r="U163" s="172">
        <f t="shared" si="62"/>
        <v>12419.107938207351</v>
      </c>
      <c r="W163">
        <v>2026</v>
      </c>
      <c r="X163" s="320" t="s">
        <v>240</v>
      </c>
      <c r="Y163" s="320" t="s">
        <v>240</v>
      </c>
      <c r="Z163" s="170">
        <f t="shared" si="67"/>
        <v>22677.174967915478</v>
      </c>
      <c r="AA163" s="170">
        <f t="shared" si="63"/>
        <v>10764.546942220428</v>
      </c>
      <c r="AB163" s="170">
        <f t="shared" si="63"/>
        <v>12309.229158451632</v>
      </c>
      <c r="AC163" s="170">
        <f t="shared" si="63"/>
        <v>3925.4806842418652</v>
      </c>
      <c r="AD163" s="172">
        <f t="shared" si="58"/>
        <v>12419.107938207351</v>
      </c>
      <c r="AG163">
        <v>2026</v>
      </c>
      <c r="AH163" t="s">
        <v>240</v>
      </c>
      <c r="AI163" t="s">
        <v>240</v>
      </c>
      <c r="AJ163" s="170">
        <f t="shared" si="68"/>
        <v>22677.174967915478</v>
      </c>
      <c r="AK163" s="170">
        <f t="shared" si="64"/>
        <v>10764.546942220428</v>
      </c>
      <c r="AL163" s="170">
        <f t="shared" si="64"/>
        <v>12309.229158451632</v>
      </c>
      <c r="AM163" s="170">
        <f t="shared" si="64"/>
        <v>3925.4806842418652</v>
      </c>
      <c r="AN163" s="172">
        <f t="shared" si="59"/>
        <v>12419.107938207351</v>
      </c>
    </row>
    <row r="164" spans="5:40">
      <c r="E164">
        <v>2027</v>
      </c>
      <c r="F164" s="320" t="s">
        <v>240</v>
      </c>
      <c r="G164" s="320" t="s">
        <v>240</v>
      </c>
      <c r="H164" s="170">
        <f t="shared" si="65"/>
        <v>23528.457218565218</v>
      </c>
      <c r="I164" s="170">
        <f t="shared" si="60"/>
        <v>11168.639063975597</v>
      </c>
      <c r="J164" s="170">
        <f t="shared" si="60"/>
        <v>12771.30736336894</v>
      </c>
      <c r="K164" s="170">
        <f t="shared" si="60"/>
        <v>4072.8399578944013</v>
      </c>
      <c r="L164" s="329">
        <f t="shared" si="57"/>
        <v>12885.310900951039</v>
      </c>
      <c r="M164" s="329"/>
      <c r="N164">
        <v>2027</v>
      </c>
      <c r="O164" s="320" t="s">
        <v>240</v>
      </c>
      <c r="P164" s="320" t="s">
        <v>240</v>
      </c>
      <c r="Q164" s="170">
        <f t="shared" si="66"/>
        <v>23528.457218565218</v>
      </c>
      <c r="R164" s="170">
        <f t="shared" si="66"/>
        <v>11168.639063975597</v>
      </c>
      <c r="S164" s="170">
        <f t="shared" si="66"/>
        <v>12771.30736336894</v>
      </c>
      <c r="T164" s="170">
        <f t="shared" si="66"/>
        <v>4072.8399578944013</v>
      </c>
      <c r="U164" s="172">
        <f t="shared" si="62"/>
        <v>12885.310900951039</v>
      </c>
      <c r="W164">
        <v>2027</v>
      </c>
      <c r="X164" s="320" t="s">
        <v>240</v>
      </c>
      <c r="Y164" s="320" t="s">
        <v>240</v>
      </c>
      <c r="Z164" s="170">
        <f t="shared" si="67"/>
        <v>23528.457218565218</v>
      </c>
      <c r="AA164" s="170">
        <f t="shared" si="63"/>
        <v>11168.639063975597</v>
      </c>
      <c r="AB164" s="170">
        <f t="shared" si="63"/>
        <v>12771.30736336894</v>
      </c>
      <c r="AC164" s="170">
        <f t="shared" si="63"/>
        <v>4072.8399578944013</v>
      </c>
      <c r="AD164" s="172">
        <f t="shared" si="58"/>
        <v>12885.310900951039</v>
      </c>
      <c r="AG164">
        <v>2027</v>
      </c>
      <c r="AH164" t="s">
        <v>240</v>
      </c>
      <c r="AI164" t="s">
        <v>240</v>
      </c>
      <c r="AJ164" s="170">
        <f t="shared" si="68"/>
        <v>23528.457218565218</v>
      </c>
      <c r="AK164" s="170">
        <f t="shared" si="64"/>
        <v>11168.639063975597</v>
      </c>
      <c r="AL164" s="170">
        <f t="shared" si="64"/>
        <v>12771.30736336894</v>
      </c>
      <c r="AM164" s="170">
        <f t="shared" si="64"/>
        <v>4072.8399578944013</v>
      </c>
      <c r="AN164" s="172">
        <f t="shared" si="59"/>
        <v>12885.310900951039</v>
      </c>
    </row>
    <row r="165" spans="5:40">
      <c r="E165">
        <v>2028</v>
      </c>
      <c r="F165" s="320" t="s">
        <v>240</v>
      </c>
      <c r="G165" s="320" t="s">
        <v>240</v>
      </c>
      <c r="H165" s="170">
        <f t="shared" si="65"/>
        <v>24411.695895502475</v>
      </c>
      <c r="I165" s="170">
        <f t="shared" si="60"/>
        <v>11587.900467238022</v>
      </c>
      <c r="J165" s="170">
        <f t="shared" si="60"/>
        <v>13250.731599033674</v>
      </c>
      <c r="K165" s="170">
        <f t="shared" si="60"/>
        <v>4225.7309758804586</v>
      </c>
      <c r="L165" s="329">
        <f t="shared" si="57"/>
        <v>13369.014734413657</v>
      </c>
      <c r="M165" s="329"/>
      <c r="N165">
        <v>2028</v>
      </c>
      <c r="O165" s="320" t="s">
        <v>240</v>
      </c>
      <c r="P165" s="320" t="s">
        <v>240</v>
      </c>
      <c r="Q165" s="170">
        <f t="shared" si="66"/>
        <v>24411.695895502475</v>
      </c>
      <c r="R165" s="170">
        <f t="shared" si="66"/>
        <v>11587.900467238022</v>
      </c>
      <c r="S165" s="170">
        <f t="shared" si="66"/>
        <v>13250.731599033674</v>
      </c>
      <c r="T165" s="170">
        <f t="shared" si="66"/>
        <v>4225.7309758804586</v>
      </c>
      <c r="U165" s="172">
        <f t="shared" si="62"/>
        <v>13369.014734413657</v>
      </c>
      <c r="W165">
        <v>2028</v>
      </c>
      <c r="X165" s="320" t="s">
        <v>240</v>
      </c>
      <c r="Y165" s="320" t="s">
        <v>240</v>
      </c>
      <c r="Z165" s="170">
        <f t="shared" si="67"/>
        <v>24411.695895502475</v>
      </c>
      <c r="AA165" s="170">
        <f t="shared" si="63"/>
        <v>11587.900467238022</v>
      </c>
      <c r="AB165" s="170">
        <f t="shared" si="63"/>
        <v>13250.731599033674</v>
      </c>
      <c r="AC165" s="170">
        <f t="shared" si="63"/>
        <v>4225.7309758804586</v>
      </c>
      <c r="AD165" s="172">
        <f t="shared" si="58"/>
        <v>13369.014734413657</v>
      </c>
      <c r="AG165">
        <v>2028</v>
      </c>
      <c r="AH165" t="s">
        <v>240</v>
      </c>
      <c r="AI165" t="s">
        <v>240</v>
      </c>
      <c r="AJ165" s="170">
        <f t="shared" si="68"/>
        <v>24411.695895502475</v>
      </c>
      <c r="AK165" s="170">
        <f t="shared" si="64"/>
        <v>11587.900467238022</v>
      </c>
      <c r="AL165" s="170">
        <f t="shared" si="64"/>
        <v>13250.731599033674</v>
      </c>
      <c r="AM165" s="170">
        <f t="shared" si="64"/>
        <v>4225.7309758804586</v>
      </c>
      <c r="AN165" s="172">
        <f t="shared" si="59"/>
        <v>13369.014734413657</v>
      </c>
    </row>
    <row r="166" spans="5:40">
      <c r="E166">
        <v>2029</v>
      </c>
      <c r="F166" s="320" t="s">
        <v>240</v>
      </c>
      <c r="G166" s="320" t="s">
        <v>240</v>
      </c>
      <c r="H166" s="170">
        <f t="shared" si="65"/>
        <v>25328.090616339727</v>
      </c>
      <c r="I166" s="170">
        <f t="shared" si="60"/>
        <v>12022.900594194414</v>
      </c>
      <c r="J166" s="170">
        <f t="shared" si="60"/>
        <v>13748.153020985066</v>
      </c>
      <c r="K166" s="170">
        <f t="shared" si="60"/>
        <v>4384.3613952725309</v>
      </c>
      <c r="L166" s="329">
        <f t="shared" si="57"/>
        <v>13870.876406697935</v>
      </c>
      <c r="M166" s="329"/>
      <c r="N166">
        <v>2029</v>
      </c>
      <c r="O166" s="320" t="s">
        <v>240</v>
      </c>
      <c r="P166" s="320" t="s">
        <v>240</v>
      </c>
      <c r="Q166" s="170">
        <f t="shared" si="66"/>
        <v>25328.090616339727</v>
      </c>
      <c r="R166" s="170">
        <f t="shared" si="66"/>
        <v>12022.900594194414</v>
      </c>
      <c r="S166" s="170">
        <f t="shared" si="66"/>
        <v>13748.153020985066</v>
      </c>
      <c r="T166" s="170">
        <f t="shared" si="66"/>
        <v>4384.3613952725309</v>
      </c>
      <c r="U166" s="172">
        <f t="shared" si="62"/>
        <v>13870.876406697935</v>
      </c>
      <c r="W166">
        <v>2029</v>
      </c>
      <c r="X166" s="320" t="s">
        <v>240</v>
      </c>
      <c r="Y166" s="320" t="s">
        <v>240</v>
      </c>
      <c r="Z166" s="170">
        <f t="shared" si="67"/>
        <v>25328.090616339727</v>
      </c>
      <c r="AA166" s="170">
        <f t="shared" si="63"/>
        <v>12022.900594194414</v>
      </c>
      <c r="AB166" s="170">
        <f t="shared" si="63"/>
        <v>13748.153020985066</v>
      </c>
      <c r="AC166" s="170">
        <f t="shared" si="63"/>
        <v>4384.3613952725309</v>
      </c>
      <c r="AD166" s="172">
        <f t="shared" si="58"/>
        <v>13870.876406697935</v>
      </c>
      <c r="AG166">
        <v>2029</v>
      </c>
      <c r="AH166" t="s">
        <v>240</v>
      </c>
      <c r="AI166" t="s">
        <v>240</v>
      </c>
      <c r="AJ166" s="170">
        <f t="shared" si="68"/>
        <v>25328.090616339727</v>
      </c>
      <c r="AK166" s="170">
        <f t="shared" si="64"/>
        <v>12022.900594194414</v>
      </c>
      <c r="AL166" s="170">
        <f t="shared" si="64"/>
        <v>13748.153020985066</v>
      </c>
      <c r="AM166" s="170">
        <f t="shared" si="64"/>
        <v>4384.3613952725309</v>
      </c>
      <c r="AN166" s="172">
        <f t="shared" si="59"/>
        <v>13870.876406697935</v>
      </c>
    </row>
    <row r="167" spans="5:40">
      <c r="E167">
        <v>2030</v>
      </c>
      <c r="F167" s="320" t="s">
        <v>240</v>
      </c>
      <c r="G167" s="320" t="s">
        <v>240</v>
      </c>
      <c r="H167" s="170">
        <f t="shared" si="65"/>
        <v>26278.88603133494</v>
      </c>
      <c r="I167" s="170">
        <f t="shared" si="60"/>
        <v>12474.230263416644</v>
      </c>
      <c r="J167" s="170">
        <f t="shared" si="60"/>
        <v>14264.247228598662</v>
      </c>
      <c r="K167" s="170">
        <f t="shared" si="60"/>
        <v>4548.9466684165654</v>
      </c>
      <c r="L167" s="329">
        <f t="shared" si="57"/>
        <v>14391.577547941703</v>
      </c>
      <c r="M167" s="329"/>
      <c r="N167">
        <v>2030</v>
      </c>
      <c r="O167" s="320" t="s">
        <v>240</v>
      </c>
      <c r="P167" s="320" t="s">
        <v>240</v>
      </c>
      <c r="Q167" s="170">
        <f t="shared" si="66"/>
        <v>26278.88603133494</v>
      </c>
      <c r="R167" s="170">
        <f t="shared" si="66"/>
        <v>12474.230263416644</v>
      </c>
      <c r="S167" s="170">
        <f t="shared" si="66"/>
        <v>14264.247228598662</v>
      </c>
      <c r="T167" s="170">
        <f t="shared" si="66"/>
        <v>4548.9466684165654</v>
      </c>
      <c r="U167" s="172">
        <f t="shared" si="62"/>
        <v>14391.577547941703</v>
      </c>
      <c r="W167">
        <v>2030</v>
      </c>
      <c r="X167" s="320" t="s">
        <v>240</v>
      </c>
      <c r="Y167" s="320" t="s">
        <v>240</v>
      </c>
      <c r="Z167" s="170">
        <f t="shared" si="67"/>
        <v>26278.88603133494</v>
      </c>
      <c r="AA167" s="170">
        <f t="shared" si="63"/>
        <v>12474.230263416644</v>
      </c>
      <c r="AB167" s="170">
        <f t="shared" si="63"/>
        <v>14264.247228598662</v>
      </c>
      <c r="AC167" s="170">
        <f t="shared" si="63"/>
        <v>4548.9466684165654</v>
      </c>
      <c r="AD167" s="172">
        <f t="shared" si="58"/>
        <v>14391.577547941703</v>
      </c>
      <c r="AG167">
        <v>2030</v>
      </c>
      <c r="AH167" t="s">
        <v>240</v>
      </c>
      <c r="AI167" t="s">
        <v>240</v>
      </c>
      <c r="AJ167" s="170">
        <f t="shared" si="68"/>
        <v>26278.88603133494</v>
      </c>
      <c r="AK167" s="170">
        <f t="shared" si="64"/>
        <v>12474.230263416644</v>
      </c>
      <c r="AL167" s="170">
        <f t="shared" si="64"/>
        <v>14264.247228598662</v>
      </c>
      <c r="AM167" s="170">
        <f t="shared" si="64"/>
        <v>4548.9466684165654</v>
      </c>
      <c r="AN167" s="172">
        <f t="shared" si="59"/>
        <v>14391.577547941703</v>
      </c>
    </row>
    <row r="168" spans="5:40">
      <c r="E168">
        <v>2040</v>
      </c>
      <c r="F168" s="320" t="s">
        <v>240</v>
      </c>
      <c r="G168" s="320" t="s">
        <v>240</v>
      </c>
      <c r="H168" s="170">
        <f t="shared" ref="H168:K174" si="69">H167*(1+$C$6)^10</f>
        <v>37988.483135273935</v>
      </c>
      <c r="I168" s="170">
        <f t="shared" si="69"/>
        <v>18032.616961855842</v>
      </c>
      <c r="J168" s="170">
        <f t="shared" si="69"/>
        <v>20620.246788043605</v>
      </c>
      <c r="K168" s="170">
        <f t="shared" si="69"/>
        <v>6575.9097851540409</v>
      </c>
      <c r="L168" s="329">
        <f t="shared" si="57"/>
        <v>20804.314167581855</v>
      </c>
      <c r="M168" s="329"/>
      <c r="N168">
        <v>2040</v>
      </c>
      <c r="O168" s="320" t="s">
        <v>240</v>
      </c>
      <c r="P168" s="320" t="s">
        <v>240</v>
      </c>
      <c r="Q168" s="170">
        <f t="shared" ref="Q168:T174" si="70">Q167*(1+$C$6)^10</f>
        <v>37988.483135273935</v>
      </c>
      <c r="R168" s="170">
        <f t="shared" si="70"/>
        <v>18032.616961855842</v>
      </c>
      <c r="S168" s="170">
        <f t="shared" si="70"/>
        <v>20620.246788043605</v>
      </c>
      <c r="T168" s="170">
        <f t="shared" si="70"/>
        <v>6575.9097851540409</v>
      </c>
      <c r="U168" s="172">
        <f t="shared" si="62"/>
        <v>20804.314167581855</v>
      </c>
      <c r="W168">
        <v>2040</v>
      </c>
      <c r="X168" s="320" t="s">
        <v>240</v>
      </c>
      <c r="Y168" s="320" t="s">
        <v>240</v>
      </c>
      <c r="Z168" s="170">
        <f t="shared" si="67"/>
        <v>37988.483135273935</v>
      </c>
      <c r="AA168" s="170">
        <f t="shared" si="63"/>
        <v>18032.616961855842</v>
      </c>
      <c r="AB168" s="170">
        <f t="shared" si="63"/>
        <v>20620.246788043605</v>
      </c>
      <c r="AC168" s="170">
        <f t="shared" si="63"/>
        <v>6575.9097851540409</v>
      </c>
      <c r="AD168" s="172">
        <f t="shared" si="58"/>
        <v>20804.314167581855</v>
      </c>
      <c r="AG168">
        <v>2040</v>
      </c>
      <c r="AH168" t="s">
        <v>240</v>
      </c>
      <c r="AI168" t="s">
        <v>240</v>
      </c>
      <c r="AJ168" s="170">
        <f t="shared" si="68"/>
        <v>37988.483135273935</v>
      </c>
      <c r="AK168" s="170">
        <f t="shared" si="64"/>
        <v>18032.616961855842</v>
      </c>
      <c r="AL168" s="170">
        <f t="shared" si="64"/>
        <v>20620.246788043605</v>
      </c>
      <c r="AM168" s="170">
        <f t="shared" si="64"/>
        <v>6575.9097851540409</v>
      </c>
      <c r="AN168" s="172">
        <f t="shared" si="59"/>
        <v>20804.314167581855</v>
      </c>
    </row>
    <row r="169" spans="5:40">
      <c r="E169">
        <v>2050</v>
      </c>
      <c r="F169" s="320" t="s">
        <v>240</v>
      </c>
      <c r="G169" s="320" t="s">
        <v>240</v>
      </c>
      <c r="H169" s="170">
        <f t="shared" si="69"/>
        <v>54915.754389216134</v>
      </c>
      <c r="I169" s="170">
        <f t="shared" si="69"/>
        <v>26067.762709708608</v>
      </c>
      <c r="J169" s="170">
        <f t="shared" si="69"/>
        <v>29808.413355830085</v>
      </c>
      <c r="K169" s="170">
        <f t="shared" si="69"/>
        <v>9506.0664928694132</v>
      </c>
      <c r="L169" s="329">
        <f t="shared" si="57"/>
        <v>30074.49923690606</v>
      </c>
      <c r="M169" s="329"/>
      <c r="N169">
        <v>2050</v>
      </c>
      <c r="O169" s="320" t="s">
        <v>240</v>
      </c>
      <c r="P169" s="320" t="s">
        <v>240</v>
      </c>
      <c r="Q169" s="170">
        <f t="shared" si="70"/>
        <v>54915.754389216134</v>
      </c>
      <c r="R169" s="170">
        <f t="shared" si="70"/>
        <v>26067.762709708608</v>
      </c>
      <c r="S169" s="170">
        <f t="shared" si="70"/>
        <v>29808.413355830085</v>
      </c>
      <c r="T169" s="170">
        <f t="shared" si="70"/>
        <v>9506.0664928694132</v>
      </c>
      <c r="U169" s="172">
        <f t="shared" si="62"/>
        <v>30074.49923690606</v>
      </c>
      <c r="W169">
        <v>2050</v>
      </c>
      <c r="X169" s="320" t="s">
        <v>240</v>
      </c>
      <c r="Y169" s="320" t="s">
        <v>240</v>
      </c>
      <c r="Z169" s="170">
        <f t="shared" si="67"/>
        <v>54915.754389216134</v>
      </c>
      <c r="AA169" s="170">
        <f t="shared" si="63"/>
        <v>26067.762709708608</v>
      </c>
      <c r="AB169" s="170">
        <f t="shared" si="63"/>
        <v>29808.413355830085</v>
      </c>
      <c r="AC169" s="170">
        <f t="shared" si="63"/>
        <v>9506.0664928694132</v>
      </c>
      <c r="AD169" s="172">
        <f t="shared" si="58"/>
        <v>30074.49923690606</v>
      </c>
      <c r="AG169">
        <v>2050</v>
      </c>
      <c r="AH169" t="s">
        <v>240</v>
      </c>
      <c r="AI169" t="s">
        <v>240</v>
      </c>
      <c r="AJ169" s="170">
        <f t="shared" si="68"/>
        <v>54915.754389216134</v>
      </c>
      <c r="AK169" s="170">
        <f t="shared" si="64"/>
        <v>26067.762709708608</v>
      </c>
      <c r="AL169" s="170">
        <f t="shared" si="64"/>
        <v>29808.413355830085</v>
      </c>
      <c r="AM169" s="170">
        <f t="shared" si="64"/>
        <v>9506.0664928694132</v>
      </c>
      <c r="AN169" s="172">
        <f t="shared" si="59"/>
        <v>30074.49923690606</v>
      </c>
    </row>
    <row r="170" spans="5:40">
      <c r="E170">
        <v>2060</v>
      </c>
      <c r="F170" s="320" t="s">
        <v>240</v>
      </c>
      <c r="G170" s="320" t="s">
        <v>240</v>
      </c>
      <c r="H170" s="170">
        <f t="shared" si="69"/>
        <v>79385.640890106166</v>
      </c>
      <c r="I170" s="170">
        <f t="shared" si="69"/>
        <v>37683.285466944253</v>
      </c>
      <c r="J170" s="170">
        <f t="shared" si="69"/>
        <v>43090.73096580198</v>
      </c>
      <c r="K170" s="170">
        <f t="shared" si="69"/>
        <v>13741.87042086037</v>
      </c>
      <c r="L170" s="329">
        <f t="shared" si="57"/>
        <v>43475.381935928192</v>
      </c>
      <c r="M170" s="329"/>
      <c r="N170">
        <v>2060</v>
      </c>
      <c r="O170" s="320" t="s">
        <v>240</v>
      </c>
      <c r="P170" s="320" t="s">
        <v>240</v>
      </c>
      <c r="Q170" s="170">
        <f t="shared" si="70"/>
        <v>79385.640890106166</v>
      </c>
      <c r="R170" s="170">
        <f t="shared" si="70"/>
        <v>37683.285466944253</v>
      </c>
      <c r="S170" s="170">
        <f t="shared" si="70"/>
        <v>43090.73096580198</v>
      </c>
      <c r="T170" s="170">
        <f t="shared" si="70"/>
        <v>13741.87042086037</v>
      </c>
      <c r="U170" s="172">
        <f t="shared" si="62"/>
        <v>43475.381935928192</v>
      </c>
      <c r="W170">
        <v>2060</v>
      </c>
      <c r="X170" s="320" t="s">
        <v>240</v>
      </c>
      <c r="Y170" s="320" t="s">
        <v>240</v>
      </c>
      <c r="Z170" s="170">
        <f t="shared" si="67"/>
        <v>79385.640890106166</v>
      </c>
      <c r="AA170" s="170">
        <f t="shared" si="63"/>
        <v>37683.285466944253</v>
      </c>
      <c r="AB170" s="170">
        <f t="shared" si="63"/>
        <v>43090.73096580198</v>
      </c>
      <c r="AC170" s="170">
        <f t="shared" si="63"/>
        <v>13741.87042086037</v>
      </c>
      <c r="AD170" s="172">
        <f t="shared" si="58"/>
        <v>43475.381935928192</v>
      </c>
      <c r="AG170">
        <v>2060</v>
      </c>
      <c r="AH170" t="s">
        <v>240</v>
      </c>
      <c r="AI170" t="s">
        <v>240</v>
      </c>
      <c r="AJ170" s="170">
        <f t="shared" si="68"/>
        <v>79385.640890106166</v>
      </c>
      <c r="AK170" s="170">
        <f t="shared" si="64"/>
        <v>37683.285466944253</v>
      </c>
      <c r="AL170" s="170">
        <f t="shared" si="64"/>
        <v>43090.73096580198</v>
      </c>
      <c r="AM170" s="170">
        <f t="shared" si="64"/>
        <v>13741.87042086037</v>
      </c>
      <c r="AN170" s="172">
        <f t="shared" si="59"/>
        <v>43475.381935928192</v>
      </c>
    </row>
    <row r="171" spans="5:40">
      <c r="E171">
        <v>2070</v>
      </c>
      <c r="F171" s="320" t="s">
        <v>240</v>
      </c>
      <c r="G171" s="320" t="s">
        <v>240</v>
      </c>
      <c r="H171" s="170">
        <f t="shared" si="69"/>
        <v>114759.05320114191</v>
      </c>
      <c r="I171" s="170">
        <f t="shared" si="69"/>
        <v>54474.563828001235</v>
      </c>
      <c r="J171" s="170">
        <f t="shared" si="69"/>
        <v>62291.51055448447</v>
      </c>
      <c r="K171" s="170">
        <f t="shared" si="69"/>
        <v>19865.104331572584</v>
      </c>
      <c r="L171" s="329">
        <f t="shared" si="57"/>
        <v>62847.557978800047</v>
      </c>
      <c r="M171" s="329"/>
      <c r="N171">
        <v>2070</v>
      </c>
      <c r="O171" s="320" t="s">
        <v>240</v>
      </c>
      <c r="P171" s="320" t="s">
        <v>240</v>
      </c>
      <c r="Q171" s="170">
        <f t="shared" si="70"/>
        <v>114759.05320114191</v>
      </c>
      <c r="R171" s="170">
        <f t="shared" si="70"/>
        <v>54474.563828001235</v>
      </c>
      <c r="S171" s="170">
        <f t="shared" si="70"/>
        <v>62291.51055448447</v>
      </c>
      <c r="T171" s="170">
        <f t="shared" si="70"/>
        <v>19865.104331572584</v>
      </c>
      <c r="U171" s="172">
        <f t="shared" si="62"/>
        <v>62847.557978800047</v>
      </c>
      <c r="W171">
        <v>2070</v>
      </c>
      <c r="X171" s="320" t="s">
        <v>240</v>
      </c>
      <c r="Y171" s="320" t="s">
        <v>240</v>
      </c>
      <c r="Z171" s="170">
        <f t="shared" si="67"/>
        <v>114759.05320114191</v>
      </c>
      <c r="AA171" s="170">
        <f t="shared" si="63"/>
        <v>54474.563828001235</v>
      </c>
      <c r="AB171" s="170">
        <f t="shared" si="63"/>
        <v>62291.51055448447</v>
      </c>
      <c r="AC171" s="170">
        <f t="shared" si="63"/>
        <v>19865.104331572584</v>
      </c>
      <c r="AD171" s="172">
        <f t="shared" si="58"/>
        <v>62847.557978800047</v>
      </c>
      <c r="AG171">
        <v>2070</v>
      </c>
      <c r="AH171" t="s">
        <v>240</v>
      </c>
      <c r="AI171" t="s">
        <v>240</v>
      </c>
      <c r="AJ171" s="170">
        <f t="shared" si="68"/>
        <v>114759.05320114191</v>
      </c>
      <c r="AK171" s="170">
        <f t="shared" si="64"/>
        <v>54474.563828001235</v>
      </c>
      <c r="AL171" s="170">
        <f t="shared" si="64"/>
        <v>62291.51055448447</v>
      </c>
      <c r="AM171" s="170">
        <f t="shared" si="64"/>
        <v>19865.104331572584</v>
      </c>
      <c r="AN171" s="172">
        <f t="shared" si="59"/>
        <v>62847.557978800047</v>
      </c>
    </row>
    <row r="172" spans="5:40">
      <c r="E172">
        <v>2080</v>
      </c>
      <c r="F172" s="320" t="s">
        <v>240</v>
      </c>
      <c r="G172" s="320" t="s">
        <v>240</v>
      </c>
      <c r="H172" s="170">
        <f t="shared" si="69"/>
        <v>165894.48852410601</v>
      </c>
      <c r="I172" s="170">
        <f t="shared" si="69"/>
        <v>78747.860423530481</v>
      </c>
      <c r="J172" s="170">
        <f t="shared" si="69"/>
        <v>90047.956954801077</v>
      </c>
      <c r="K172" s="170">
        <f t="shared" si="69"/>
        <v>28716.78730904208</v>
      </c>
      <c r="L172" s="329">
        <f t="shared" si="57"/>
        <v>90851.7733028699</v>
      </c>
      <c r="M172" s="329"/>
      <c r="N172">
        <v>2080</v>
      </c>
      <c r="O172" s="320" t="s">
        <v>240</v>
      </c>
      <c r="P172" s="320" t="s">
        <v>240</v>
      </c>
      <c r="Q172" s="170">
        <f t="shared" si="70"/>
        <v>165894.48852410601</v>
      </c>
      <c r="R172" s="170">
        <f t="shared" si="70"/>
        <v>78747.860423530481</v>
      </c>
      <c r="S172" s="170">
        <f t="shared" si="70"/>
        <v>90047.956954801077</v>
      </c>
      <c r="T172" s="170">
        <f t="shared" si="70"/>
        <v>28716.78730904208</v>
      </c>
      <c r="U172" s="172">
        <f t="shared" si="62"/>
        <v>90851.7733028699</v>
      </c>
      <c r="W172">
        <v>2080</v>
      </c>
      <c r="X172" s="320" t="s">
        <v>240</v>
      </c>
      <c r="Y172" s="320" t="s">
        <v>240</v>
      </c>
      <c r="Z172" s="170">
        <f t="shared" si="67"/>
        <v>165894.48852410601</v>
      </c>
      <c r="AA172" s="170">
        <f t="shared" si="63"/>
        <v>78747.860423530481</v>
      </c>
      <c r="AB172" s="170">
        <f t="shared" si="63"/>
        <v>90047.956954801077</v>
      </c>
      <c r="AC172" s="170">
        <f t="shared" si="63"/>
        <v>28716.78730904208</v>
      </c>
      <c r="AD172" s="172">
        <f t="shared" si="58"/>
        <v>90851.7733028699</v>
      </c>
      <c r="AG172">
        <v>2080</v>
      </c>
      <c r="AH172" t="s">
        <v>240</v>
      </c>
      <c r="AI172" t="s">
        <v>240</v>
      </c>
      <c r="AJ172" s="170">
        <f t="shared" si="68"/>
        <v>165894.48852410601</v>
      </c>
      <c r="AK172" s="170">
        <f t="shared" si="64"/>
        <v>78747.860423530481</v>
      </c>
      <c r="AL172" s="170">
        <f t="shared" si="64"/>
        <v>90047.956954801077</v>
      </c>
      <c r="AM172" s="170">
        <f t="shared" si="64"/>
        <v>28716.78730904208</v>
      </c>
      <c r="AN172" s="172">
        <f t="shared" si="59"/>
        <v>90851.7733028699</v>
      </c>
    </row>
    <row r="173" spans="5:40">
      <c r="E173">
        <v>2090</v>
      </c>
      <c r="F173" s="320" t="s">
        <v>240</v>
      </c>
      <c r="G173" s="320" t="s">
        <v>240</v>
      </c>
      <c r="H173" s="170">
        <f t="shared" si="69"/>
        <v>239815.33966159364</v>
      </c>
      <c r="I173" s="170">
        <f t="shared" si="69"/>
        <v>113837.08442097262</v>
      </c>
      <c r="J173" s="170">
        <f t="shared" si="69"/>
        <v>130172.38592474545</v>
      </c>
      <c r="K173" s="170">
        <f t="shared" si="69"/>
        <v>41512.687755789804</v>
      </c>
      <c r="L173" s="329">
        <f t="shared" si="57"/>
        <v>131334.3744407754</v>
      </c>
      <c r="M173" s="329"/>
      <c r="N173">
        <v>2090</v>
      </c>
      <c r="O173" s="320" t="s">
        <v>240</v>
      </c>
      <c r="P173" s="320" t="s">
        <v>240</v>
      </c>
      <c r="Q173" s="170">
        <f t="shared" si="70"/>
        <v>239815.33966159364</v>
      </c>
      <c r="R173" s="170">
        <f t="shared" si="70"/>
        <v>113837.08442097262</v>
      </c>
      <c r="S173" s="170">
        <f t="shared" si="70"/>
        <v>130172.38592474545</v>
      </c>
      <c r="T173" s="170">
        <f t="shared" si="70"/>
        <v>41512.687755789804</v>
      </c>
      <c r="U173" s="172">
        <f t="shared" si="62"/>
        <v>131334.3744407754</v>
      </c>
      <c r="W173">
        <v>2090</v>
      </c>
      <c r="X173" s="320" t="s">
        <v>240</v>
      </c>
      <c r="Y173" s="320" t="s">
        <v>240</v>
      </c>
      <c r="Z173" s="170">
        <f t="shared" si="67"/>
        <v>239815.33966159364</v>
      </c>
      <c r="AA173" s="170">
        <f t="shared" si="63"/>
        <v>113837.08442097262</v>
      </c>
      <c r="AB173" s="170">
        <f t="shared" si="63"/>
        <v>130172.38592474545</v>
      </c>
      <c r="AC173" s="170">
        <f t="shared" si="63"/>
        <v>41512.687755789804</v>
      </c>
      <c r="AD173" s="172">
        <f t="shared" si="58"/>
        <v>131334.3744407754</v>
      </c>
      <c r="AG173">
        <v>2090</v>
      </c>
      <c r="AH173" t="s">
        <v>240</v>
      </c>
      <c r="AI173" t="s">
        <v>240</v>
      </c>
      <c r="AJ173" s="170">
        <f t="shared" si="68"/>
        <v>239815.33966159364</v>
      </c>
      <c r="AK173" s="170">
        <f t="shared" si="64"/>
        <v>113837.08442097262</v>
      </c>
      <c r="AL173" s="170">
        <f t="shared" si="64"/>
        <v>130172.38592474545</v>
      </c>
      <c r="AM173" s="170">
        <f t="shared" si="64"/>
        <v>41512.687755789804</v>
      </c>
      <c r="AN173" s="172">
        <f t="shared" si="59"/>
        <v>131334.3744407754</v>
      </c>
    </row>
    <row r="174" spans="5:40">
      <c r="E174">
        <v>2100</v>
      </c>
      <c r="F174" s="320" t="s">
        <v>240</v>
      </c>
      <c r="G174" s="320" t="s">
        <v>240</v>
      </c>
      <c r="H174" s="170">
        <f t="shared" si="69"/>
        <v>346674.54988203896</v>
      </c>
      <c r="I174" s="170">
        <f t="shared" si="69"/>
        <v>164561.70008646269</v>
      </c>
      <c r="J174" s="170">
        <f t="shared" si="69"/>
        <v>188175.84130027751</v>
      </c>
      <c r="K174" s="170">
        <f t="shared" si="69"/>
        <v>60010.307774473185</v>
      </c>
      <c r="L174" s="329">
        <f t="shared" si="57"/>
        <v>189855.59976081309</v>
      </c>
      <c r="M174" s="329"/>
      <c r="N174">
        <v>2100</v>
      </c>
      <c r="O174" s="320" t="s">
        <v>240</v>
      </c>
      <c r="P174" s="320" t="s">
        <v>240</v>
      </c>
      <c r="Q174" s="170">
        <f t="shared" si="70"/>
        <v>346674.54988203896</v>
      </c>
      <c r="R174" s="170">
        <f t="shared" si="70"/>
        <v>164561.70008646269</v>
      </c>
      <c r="S174" s="170">
        <f t="shared" si="70"/>
        <v>188175.84130027751</v>
      </c>
      <c r="T174" s="170">
        <f t="shared" si="70"/>
        <v>60010.307774473185</v>
      </c>
      <c r="U174" s="172">
        <f t="shared" si="62"/>
        <v>189855.59976081309</v>
      </c>
      <c r="W174">
        <v>2100</v>
      </c>
      <c r="X174" s="320" t="s">
        <v>240</v>
      </c>
      <c r="Y174" s="320" t="s">
        <v>240</v>
      </c>
      <c r="Z174" s="170">
        <f t="shared" si="67"/>
        <v>346674.54988203896</v>
      </c>
      <c r="AA174" s="170">
        <f t="shared" si="67"/>
        <v>164561.70008646269</v>
      </c>
      <c r="AB174" s="170">
        <f t="shared" si="67"/>
        <v>188175.84130027751</v>
      </c>
      <c r="AC174" s="170">
        <f t="shared" si="67"/>
        <v>60010.307774473185</v>
      </c>
      <c r="AD174" s="172">
        <f t="shared" si="58"/>
        <v>189855.59976081309</v>
      </c>
      <c r="AG174">
        <v>2100</v>
      </c>
      <c r="AH174" t="s">
        <v>240</v>
      </c>
      <c r="AI174" t="s">
        <v>240</v>
      </c>
      <c r="AJ174" s="170">
        <f t="shared" si="68"/>
        <v>346674.54988203896</v>
      </c>
      <c r="AK174" s="170">
        <f t="shared" si="68"/>
        <v>164561.70008646269</v>
      </c>
      <c r="AL174" s="170">
        <f t="shared" si="68"/>
        <v>188175.84130027751</v>
      </c>
      <c r="AM174" s="170">
        <f t="shared" si="68"/>
        <v>60010.307774473185</v>
      </c>
      <c r="AN174" s="172">
        <f t="shared" si="59"/>
        <v>189855.59976081309</v>
      </c>
    </row>
    <row r="175" spans="5:40">
      <c r="F175" s="581" t="s">
        <v>308</v>
      </c>
      <c r="G175" s="581"/>
      <c r="H175" s="581"/>
      <c r="I175" s="581"/>
      <c r="J175" s="581"/>
      <c r="K175" s="581"/>
      <c r="O175" s="581" t="s">
        <v>308</v>
      </c>
      <c r="P175" s="581"/>
      <c r="Q175" s="581"/>
      <c r="R175" s="581"/>
      <c r="S175" s="581"/>
      <c r="T175" s="581"/>
      <c r="X175" s="581" t="s">
        <v>308</v>
      </c>
      <c r="Y175" s="581"/>
      <c r="Z175" s="581"/>
      <c r="AA175" s="581"/>
      <c r="AB175" s="581"/>
      <c r="AC175" s="581"/>
      <c r="AD175" s="172"/>
      <c r="AH175" s="581" t="s">
        <v>308</v>
      </c>
      <c r="AI175" s="581"/>
      <c r="AJ175" s="581"/>
      <c r="AK175" s="581"/>
      <c r="AL175" s="581"/>
      <c r="AM175" s="581"/>
    </row>
    <row r="176" spans="5:40">
      <c r="E176">
        <v>2020</v>
      </c>
      <c r="F176" s="320" t="s">
        <v>240</v>
      </c>
      <c r="G176" s="320" t="s">
        <v>240</v>
      </c>
      <c r="H176" s="63">
        <f>'Demographic-Economic'!E$22*1000/H43*(1+'Inflation-Interest'!$C$65)*(1+'Inflation-Interest'!$C$66)*(1+'Inflation-Interest'!$C$67)*$C$5</f>
        <v>4537.4067061404139</v>
      </c>
      <c r="I176" s="63">
        <f>'Demographic-Economic'!F$22*1000/I43*(1+'Inflation-Interest'!$C$65)*(1+'Inflation-Interest'!$C$66)*(1+'Inflation-Interest'!$C$67)*$C$5</f>
        <v>3595.5706980610607</v>
      </c>
      <c r="J176" s="63">
        <f>'Demographic-Economic'!G$22*1000/J43*(1+'Inflation-Interest'!$C$65)*(1+'Inflation-Interest'!$C$66)*(1+'Inflation-Interest'!$C$67)*$C$5</f>
        <v>2700.6787876953404</v>
      </c>
      <c r="K176" s="63">
        <f>'Demographic-Economic'!H$22*1000/K43*(1+'Inflation-Interest'!$C$65)*(1+'Inflation-Interest'!$C$66)*(1+'Inflation-Interest'!$C$67)*$C$5</f>
        <v>681.56630675889505</v>
      </c>
      <c r="L176" s="63">
        <f t="shared" ref="L176:L193" si="71">AVERAGE(H176:K176)</f>
        <v>2878.8056246639276</v>
      </c>
      <c r="M176" s="63"/>
      <c r="N176">
        <v>2020</v>
      </c>
      <c r="O176" s="320" t="s">
        <v>240</v>
      </c>
      <c r="P176" s="320" t="s">
        <v>240</v>
      </c>
      <c r="Q176" s="170">
        <f>'Demographic-Economic'!E$22*1000/H43*(1+'Inflation-Interest'!$C$65)*(1+'Inflation-Interest'!$C$66)*(1+'Inflation-Interest'!$C$67)*$C$5</f>
        <v>4537.4067061404139</v>
      </c>
      <c r="R176" s="170">
        <f>'Demographic-Economic'!F$22*1000/I43*(1+'Inflation-Interest'!$C$65)*(1+'Inflation-Interest'!$C$66)*(1+'Inflation-Interest'!$C$67)*$C$5</f>
        <v>3595.5706980610607</v>
      </c>
      <c r="S176" s="170">
        <f>'Demographic-Economic'!G$22*1000/J43*(1+'Inflation-Interest'!$C$65)*(1+'Inflation-Interest'!$C$66)*(1+'Inflation-Interest'!$C$67)*$C$5</f>
        <v>2700.6787876953404</v>
      </c>
      <c r="T176" s="170">
        <f>'Demographic-Economic'!H$22*1000/K43*(1+'Inflation-Interest'!$C$65)*(1+'Inflation-Interest'!$C$66)*(1+'Inflation-Interest'!$C$67)*$C$5</f>
        <v>681.56630675889505</v>
      </c>
      <c r="U176" s="172">
        <f xml:space="preserve"> AVERAGE(Q176:T176)</f>
        <v>2878.8056246639276</v>
      </c>
      <c r="W176">
        <v>2020</v>
      </c>
      <c r="X176" s="320" t="s">
        <v>240</v>
      </c>
      <c r="Y176" s="320" t="s">
        <v>240</v>
      </c>
      <c r="Z176" s="170">
        <f>'Demographic-Economic'!E$22*1000/Z43*(1+'Inflation-Interest'!$C$65)*(1+'Inflation-Interest'!$C$66)*(1+'Inflation-Interest'!$C$67)*$C$5</f>
        <v>4537.4067061404139</v>
      </c>
      <c r="AA176" s="170">
        <f>'Demographic-Economic'!F$22*1000/AA43*(1+'Inflation-Interest'!$C$65)*(1+'Inflation-Interest'!$C$66)*(1+'Inflation-Interest'!$C$67)*$C$5</f>
        <v>3595.5706980610607</v>
      </c>
      <c r="AB176" s="170">
        <f>'Demographic-Economic'!G$22*1000/AB43*(1+'Inflation-Interest'!$C$65)*(1+'Inflation-Interest'!$C$66)*(1+'Inflation-Interest'!$C$67)*$C$5</f>
        <v>2700.6787876953404</v>
      </c>
      <c r="AC176" s="170">
        <f>'Demographic-Economic'!H$22*1000/AC43*(1+'Inflation-Interest'!$C$65)*(1+'Inflation-Interest'!$C$66)*(1+'Inflation-Interest'!$C$67)*$C$5</f>
        <v>681.56630675889505</v>
      </c>
      <c r="AD176" s="172">
        <f t="shared" ref="AD176:AD193" si="72">AVERAGE(Z176:AC176)</f>
        <v>2878.8056246639276</v>
      </c>
      <c r="AG176">
        <v>2020</v>
      </c>
      <c r="AJ176" s="63">
        <f>'Demographic-Economic'!E$22*1000/AJ43*(1+'Inflation-Interest'!$C$65)*(1+'Inflation-Interest'!$C$66)*(1+'Inflation-Interest'!$C$67)*$C$5</f>
        <v>4537.4067061404139</v>
      </c>
      <c r="AK176" s="63">
        <f>'Demographic-Economic'!F$22*1000/AK43*(1+'Inflation-Interest'!$C$65)*(1+'Inflation-Interest'!$C$66)*(1+'Inflation-Interest'!$C$67)*$C$5</f>
        <v>3595.5706980610607</v>
      </c>
      <c r="AL176" s="63">
        <f>'Demographic-Economic'!G$22*1000/AL43*(1+'Inflation-Interest'!$C$65)*(1+'Inflation-Interest'!$C$66)*(1+'Inflation-Interest'!$C$67)*$C$5</f>
        <v>2700.6787876953404</v>
      </c>
      <c r="AM176" s="63">
        <f>'Demographic-Economic'!H$22*1000/AM43*(1+'Inflation-Interest'!$C$65)*(1+'Inflation-Interest'!$C$66)*(1+'Inflation-Interest'!$C$67)*$C$5</f>
        <v>681.56630675889505</v>
      </c>
      <c r="AN176" s="172">
        <f t="shared" ref="AN176:AN193" si="73">AVERAGE(AJ176:AM176)</f>
        <v>2878.8056246639276</v>
      </c>
    </row>
    <row r="177" spans="5:40">
      <c r="E177">
        <v>2021</v>
      </c>
      <c r="F177" s="320" t="s">
        <v>240</v>
      </c>
      <c r="G177" s="320" t="s">
        <v>240</v>
      </c>
      <c r="H177" s="63">
        <f t="shared" ref="H177:K186" si="74">H176*(1+$C$6)</f>
        <v>4707.7371727166701</v>
      </c>
      <c r="I177" s="63">
        <f t="shared" si="74"/>
        <v>3730.5454257573579</v>
      </c>
      <c r="J177" s="63">
        <f t="shared" si="74"/>
        <v>2802.0600188197673</v>
      </c>
      <c r="K177" s="63">
        <f t="shared" si="74"/>
        <v>707.15173794270163</v>
      </c>
      <c r="L177" s="63">
        <f t="shared" si="71"/>
        <v>2986.8735888091246</v>
      </c>
      <c r="M177" s="63"/>
      <c r="N177">
        <v>2021</v>
      </c>
      <c r="O177" s="320" t="s">
        <v>240</v>
      </c>
      <c r="P177" s="320" t="s">
        <v>240</v>
      </c>
      <c r="Q177" s="63">
        <f t="shared" ref="Q177:T186" si="75">Q176*(1+$C$6)</f>
        <v>4707.7371727166701</v>
      </c>
      <c r="R177" s="63">
        <f t="shared" si="75"/>
        <v>3730.5454257573579</v>
      </c>
      <c r="S177" s="63">
        <f t="shared" si="75"/>
        <v>2802.0600188197673</v>
      </c>
      <c r="T177" s="63">
        <f t="shared" si="75"/>
        <v>707.15173794270163</v>
      </c>
      <c r="U177" s="172">
        <f t="shared" ref="U177:U193" si="76" xml:space="preserve"> AVERAGE(Q177:T177)</f>
        <v>2986.8735888091246</v>
      </c>
      <c r="W177">
        <v>2021</v>
      </c>
      <c r="X177" s="320" t="s">
        <v>240</v>
      </c>
      <c r="Y177" s="320" t="s">
        <v>240</v>
      </c>
      <c r="Z177" s="170">
        <f t="shared" ref="Z177:Z186" si="77">Z176*(1+$C$6)</f>
        <v>4707.7371727166701</v>
      </c>
      <c r="AA177" s="170">
        <f t="shared" ref="AA177:AA186" si="78">AA176*(1+$C$6)</f>
        <v>3730.5454257573579</v>
      </c>
      <c r="AB177" s="170">
        <f t="shared" ref="AB177:AB186" si="79">AB176*(1+$C$6)</f>
        <v>2802.0600188197673</v>
      </c>
      <c r="AC177" s="170">
        <f t="shared" ref="AC177:AC186" si="80">AC176*(1+$C$6)</f>
        <v>707.15173794270163</v>
      </c>
      <c r="AD177" s="172">
        <f t="shared" si="72"/>
        <v>2986.8735888091246</v>
      </c>
      <c r="AG177">
        <v>2021</v>
      </c>
      <c r="AJ177" s="63">
        <f>'Demographic-Economic'!E$22*1000/AJ44*(1+'Inflation-Interest'!$C$65)*(1+'Inflation-Interest'!$C$66)*(1+'Inflation-Interest'!$C$67)*$C$5</f>
        <v>4498.8197020698535</v>
      </c>
      <c r="AK177" s="63">
        <f>'Demographic-Economic'!F$22*1000/AK44*(1+'Inflation-Interest'!$C$65)*(1+'Inflation-Interest'!$C$66)*(1+'Inflation-Interest'!$C$67)*$C$5</f>
        <v>3555.4153676183487</v>
      </c>
      <c r="AL177" s="63">
        <f>'Demographic-Economic'!G$22*1000/AL44*(1+'Inflation-Interest'!$C$65)*(1+'Inflation-Interest'!$C$66)*(1+'Inflation-Interest'!$C$67)*$C$5</f>
        <v>2676.4752510893659</v>
      </c>
      <c r="AM177" s="63">
        <f>'Demographic-Economic'!H$22*1000/AM44*(1+'Inflation-Interest'!$C$65)*(1+'Inflation-Interest'!$C$66)*(1+'Inflation-Interest'!$C$67)*$C$5</f>
        <v>674.93207797855871</v>
      </c>
      <c r="AN177" s="172">
        <f t="shared" si="73"/>
        <v>2851.4105996890321</v>
      </c>
    </row>
    <row r="178" spans="5:40">
      <c r="E178">
        <v>2022</v>
      </c>
      <c r="F178" s="320" t="s">
        <v>240</v>
      </c>
      <c r="G178" s="320" t="s">
        <v>240</v>
      </c>
      <c r="H178" s="63">
        <f t="shared" si="74"/>
        <v>4884.4617030661429</v>
      </c>
      <c r="I178" s="63">
        <f t="shared" si="74"/>
        <v>3870.5869922524344</v>
      </c>
      <c r="J178" s="63">
        <f t="shared" si="74"/>
        <v>2907.2470168762457</v>
      </c>
      <c r="K178" s="63">
        <f t="shared" si="74"/>
        <v>733.69762489195568</v>
      </c>
      <c r="L178" s="63">
        <f t="shared" si="71"/>
        <v>3098.9983342716951</v>
      </c>
      <c r="M178" s="63"/>
      <c r="N178">
        <v>2022</v>
      </c>
      <c r="O178" s="320" t="s">
        <v>240</v>
      </c>
      <c r="P178" s="320" t="s">
        <v>240</v>
      </c>
      <c r="Q178" s="63">
        <f t="shared" si="75"/>
        <v>4884.4617030661429</v>
      </c>
      <c r="R178" s="63">
        <f t="shared" si="75"/>
        <v>3870.5869922524344</v>
      </c>
      <c r="S178" s="63">
        <f t="shared" si="75"/>
        <v>2907.2470168762457</v>
      </c>
      <c r="T178" s="63">
        <f t="shared" si="75"/>
        <v>733.69762489195568</v>
      </c>
      <c r="U178" s="172">
        <f t="shared" si="76"/>
        <v>3098.9983342716951</v>
      </c>
      <c r="W178">
        <v>2022</v>
      </c>
      <c r="X178" s="320" t="s">
        <v>240</v>
      </c>
      <c r="Y178" s="320" t="s">
        <v>240</v>
      </c>
      <c r="Z178" s="170">
        <f t="shared" si="77"/>
        <v>4884.4617030661429</v>
      </c>
      <c r="AA178" s="170">
        <f t="shared" si="78"/>
        <v>3870.5869922524344</v>
      </c>
      <c r="AB178" s="170">
        <f t="shared" si="79"/>
        <v>2907.2470168762457</v>
      </c>
      <c r="AC178" s="170">
        <f t="shared" si="80"/>
        <v>733.69762489195568</v>
      </c>
      <c r="AD178" s="172">
        <f t="shared" si="72"/>
        <v>3098.9983342716951</v>
      </c>
      <c r="AG178">
        <v>2022</v>
      </c>
      <c r="AJ178" s="63">
        <f>'Demographic-Economic'!E$22*1000/AJ45*(1+'Inflation-Interest'!$C$65)*(1+'Inflation-Interest'!$C$66)*(1+'Inflation-Interest'!$C$67)*$C$5</f>
        <v>4460.2952299191475</v>
      </c>
      <c r="AK178" s="63">
        <f>'Demographic-Economic'!F$22*1000/AK45*(1+'Inflation-Interest'!$C$65)*(1+'Inflation-Interest'!$C$66)*(1+'Inflation-Interest'!$C$67)*$C$5</f>
        <v>3517.3740433257876</v>
      </c>
      <c r="AL178" s="63">
        <f>'Demographic-Economic'!G$22*1000/AL45*(1+'Inflation-Interest'!$C$65)*(1+'Inflation-Interest'!$C$66)*(1+'Inflation-Interest'!$C$67)*$C$5</f>
        <v>2652.9487925540275</v>
      </c>
      <c r="AM178" s="63">
        <f>'Demographic-Economic'!H$22*1000/AM45*(1+'Inflation-Interest'!$C$65)*(1+'Inflation-Interest'!$C$66)*(1+'Inflation-Interest'!$C$67)*$C$5</f>
        <v>668.38745976984239</v>
      </c>
      <c r="AN178" s="172">
        <f t="shared" si="73"/>
        <v>2824.7513813922014</v>
      </c>
    </row>
    <row r="179" spans="5:40">
      <c r="E179">
        <v>2023</v>
      </c>
      <c r="F179" s="320" t="s">
        <v>240</v>
      </c>
      <c r="G179" s="320" t="s">
        <v>240</v>
      </c>
      <c r="H179" s="63">
        <f t="shared" si="74"/>
        <v>5067.8203250144934</v>
      </c>
      <c r="I179" s="63">
        <f t="shared" si="74"/>
        <v>4015.8856024524307</v>
      </c>
      <c r="J179" s="63">
        <f t="shared" si="74"/>
        <v>3016.3826471839325</v>
      </c>
      <c r="K179" s="63">
        <f t="shared" si="74"/>
        <v>761.24002231571228</v>
      </c>
      <c r="L179" s="63">
        <f t="shared" si="71"/>
        <v>3215.3321492416426</v>
      </c>
      <c r="M179" s="63"/>
      <c r="N179">
        <v>2023</v>
      </c>
      <c r="O179" s="320" t="s">
        <v>240</v>
      </c>
      <c r="P179" s="320" t="s">
        <v>240</v>
      </c>
      <c r="Q179" s="63">
        <f t="shared" si="75"/>
        <v>5067.8203250144934</v>
      </c>
      <c r="R179" s="63">
        <f t="shared" si="75"/>
        <v>4015.8856024524307</v>
      </c>
      <c r="S179" s="63">
        <f t="shared" si="75"/>
        <v>3016.3826471839325</v>
      </c>
      <c r="T179" s="63">
        <f t="shared" si="75"/>
        <v>761.24002231571228</v>
      </c>
      <c r="U179" s="172">
        <f t="shared" si="76"/>
        <v>3215.3321492416426</v>
      </c>
      <c r="W179">
        <v>2023</v>
      </c>
      <c r="X179" s="320" t="s">
        <v>240</v>
      </c>
      <c r="Y179" s="320" t="s">
        <v>240</v>
      </c>
      <c r="Z179" s="170">
        <f t="shared" si="77"/>
        <v>5067.8203250144934</v>
      </c>
      <c r="AA179" s="170">
        <f t="shared" si="78"/>
        <v>4015.8856024524307</v>
      </c>
      <c r="AB179" s="170">
        <f t="shared" si="79"/>
        <v>3016.3826471839325</v>
      </c>
      <c r="AC179" s="170">
        <f t="shared" si="80"/>
        <v>761.24002231571228</v>
      </c>
      <c r="AD179" s="172">
        <f t="shared" si="72"/>
        <v>3215.3321492416426</v>
      </c>
      <c r="AG179">
        <v>2023</v>
      </c>
      <c r="AJ179" s="63">
        <f>'Demographic-Economic'!E$22*1000/AJ46*(1+'Inflation-Interest'!$C$65)*(1+'Inflation-Interest'!$C$66)*(1+'Inflation-Interest'!$C$67)*$C$5</f>
        <v>4421.8861543618441</v>
      </c>
      <c r="AK179" s="63">
        <f>'Demographic-Economic'!F$22*1000/AK46*(1+'Inflation-Interest'!$C$65)*(1+'Inflation-Interest'!$C$66)*(1+'Inflation-Interest'!$C$67)*$C$5</f>
        <v>3481.2270663286763</v>
      </c>
      <c r="AL179" s="63">
        <f>'Demographic-Economic'!G$22*1000/AL46*(1+'Inflation-Interest'!$C$65)*(1+'Inflation-Interest'!$C$66)*(1+'Inflation-Interest'!$C$67)*$C$5</f>
        <v>2630.0512496506881</v>
      </c>
      <c r="AM179" s="63">
        <f>'Demographic-Economic'!H$22*1000/AM46*(1+'Inflation-Interest'!$C$65)*(1+'Inflation-Interest'!$C$66)*(1+'Inflation-Interest'!$C$67)*$C$5</f>
        <v>661.93263104828725</v>
      </c>
      <c r="AN179" s="172">
        <f t="shared" si="73"/>
        <v>2798.774275347374</v>
      </c>
    </row>
    <row r="180" spans="5:40">
      <c r="E180">
        <v>2024</v>
      </c>
      <c r="F180" s="320" t="s">
        <v>240</v>
      </c>
      <c r="G180" s="320" t="s">
        <v>240</v>
      </c>
      <c r="H180" s="63">
        <f t="shared" si="74"/>
        <v>5258.0620768319332</v>
      </c>
      <c r="I180" s="63">
        <f t="shared" si="74"/>
        <v>4166.6386013971596</v>
      </c>
      <c r="J180" s="63">
        <f t="shared" si="74"/>
        <v>3129.6151381070113</v>
      </c>
      <c r="K180" s="63">
        <f t="shared" si="74"/>
        <v>789.81633838675884</v>
      </c>
      <c r="L180" s="63">
        <f t="shared" si="71"/>
        <v>3336.0330386807159</v>
      </c>
      <c r="M180" s="63"/>
      <c r="N180">
        <v>2024</v>
      </c>
      <c r="O180" s="320" t="s">
        <v>240</v>
      </c>
      <c r="P180" s="320" t="s">
        <v>240</v>
      </c>
      <c r="Q180" s="63">
        <f t="shared" si="75"/>
        <v>5258.0620768319332</v>
      </c>
      <c r="R180" s="63">
        <f t="shared" si="75"/>
        <v>4166.6386013971596</v>
      </c>
      <c r="S180" s="63">
        <f t="shared" si="75"/>
        <v>3129.6151381070113</v>
      </c>
      <c r="T180" s="63">
        <f t="shared" si="75"/>
        <v>789.81633838675884</v>
      </c>
      <c r="U180" s="172">
        <f t="shared" si="76"/>
        <v>3336.0330386807159</v>
      </c>
      <c r="W180">
        <v>2024</v>
      </c>
      <c r="X180" s="320" t="s">
        <v>240</v>
      </c>
      <c r="Y180" s="320" t="s">
        <v>240</v>
      </c>
      <c r="Z180" s="170">
        <f t="shared" si="77"/>
        <v>5258.0620768319332</v>
      </c>
      <c r="AA180" s="170">
        <f t="shared" si="78"/>
        <v>4166.6386013971596</v>
      </c>
      <c r="AB180" s="170">
        <f t="shared" si="79"/>
        <v>3129.6151381070113</v>
      </c>
      <c r="AC180" s="170">
        <f t="shared" si="80"/>
        <v>789.81633838675884</v>
      </c>
      <c r="AD180" s="172">
        <f t="shared" si="72"/>
        <v>3336.0330386807159</v>
      </c>
      <c r="AG180">
        <v>2024</v>
      </c>
      <c r="AJ180" s="63">
        <f>'Demographic-Economic'!E$22*1000/AJ47*(1+'Inflation-Interest'!$C$65)*(1+'Inflation-Interest'!$C$66)*(1+'Inflation-Interest'!$C$67)*$C$5</f>
        <v>4383.6377225405658</v>
      </c>
      <c r="AK180" s="63">
        <f>'Demographic-Economic'!F$22*1000/AK47*(1+'Inflation-Interest'!$C$65)*(1+'Inflation-Interest'!$C$66)*(1+'Inflation-Interest'!$C$67)*$C$5</f>
        <v>3446.7848781353123</v>
      </c>
      <c r="AL180" s="63">
        <f>'Demographic-Economic'!G$22*1000/AL47*(1+'Inflation-Interest'!$C$65)*(1+'Inflation-Interest'!$C$66)*(1+'Inflation-Interest'!$C$67)*$C$5</f>
        <v>2607.7399831251505</v>
      </c>
      <c r="AM180" s="63">
        <f>'Demographic-Economic'!H$22*1000/AM47*(1+'Inflation-Interest'!$C$65)*(1+'Inflation-Interest'!$C$66)*(1+'Inflation-Interest'!$C$67)*$C$5</f>
        <v>655.56749161924893</v>
      </c>
      <c r="AN180" s="172">
        <f t="shared" si="73"/>
        <v>2773.4325188550697</v>
      </c>
    </row>
    <row r="181" spans="5:40">
      <c r="E181">
        <v>2025</v>
      </c>
      <c r="F181" s="320" t="s">
        <v>240</v>
      </c>
      <c r="G181" s="320" t="s">
        <v>240</v>
      </c>
      <c r="H181" s="63">
        <f t="shared" si="74"/>
        <v>5455.4453454778068</v>
      </c>
      <c r="I181" s="63">
        <f t="shared" si="74"/>
        <v>4323.0507422947749</v>
      </c>
      <c r="J181" s="63">
        <f t="shared" si="74"/>
        <v>3247.0982823789336</v>
      </c>
      <c r="K181" s="63">
        <f t="shared" si="74"/>
        <v>819.46538554951576</v>
      </c>
      <c r="L181" s="63">
        <f t="shared" si="71"/>
        <v>3461.2649389252583</v>
      </c>
      <c r="M181" s="63"/>
      <c r="N181">
        <v>2025</v>
      </c>
      <c r="O181" s="320" t="s">
        <v>240</v>
      </c>
      <c r="P181" s="320" t="s">
        <v>240</v>
      </c>
      <c r="Q181" s="63">
        <f t="shared" si="75"/>
        <v>5455.4453454778068</v>
      </c>
      <c r="R181" s="63">
        <f t="shared" si="75"/>
        <v>4323.0507422947749</v>
      </c>
      <c r="S181" s="63">
        <f t="shared" si="75"/>
        <v>3247.0982823789336</v>
      </c>
      <c r="T181" s="63">
        <f t="shared" si="75"/>
        <v>819.46538554951576</v>
      </c>
      <c r="U181" s="172">
        <f t="shared" si="76"/>
        <v>3461.2649389252583</v>
      </c>
      <c r="W181">
        <v>2025</v>
      </c>
      <c r="X181" s="320" t="s">
        <v>240</v>
      </c>
      <c r="Y181" s="320" t="s">
        <v>240</v>
      </c>
      <c r="Z181" s="170">
        <f t="shared" si="77"/>
        <v>5455.4453454778068</v>
      </c>
      <c r="AA181" s="170">
        <f t="shared" si="78"/>
        <v>4323.0507422947749</v>
      </c>
      <c r="AB181" s="170">
        <f t="shared" si="79"/>
        <v>3247.0982823789336</v>
      </c>
      <c r="AC181" s="170">
        <f t="shared" si="80"/>
        <v>819.46538554951576</v>
      </c>
      <c r="AD181" s="172">
        <f t="shared" si="72"/>
        <v>3461.2649389252583</v>
      </c>
      <c r="AG181">
        <v>2025</v>
      </c>
      <c r="AJ181" s="63">
        <f>'Demographic-Economic'!E$22*1000/AJ48*(1+'Inflation-Interest'!$C$65)*(1+'Inflation-Interest'!$C$66)*(1+'Inflation-Interest'!$C$67)*$C$5</f>
        <v>4345.5886194496888</v>
      </c>
      <c r="AK181" s="63">
        <f>'Demographic-Economic'!F$22*1000/AK48*(1+'Inflation-Interest'!$C$65)*(1+'Inflation-Interest'!$C$66)*(1+'Inflation-Interest'!$C$67)*$C$5</f>
        <v>3413.8830797234091</v>
      </c>
      <c r="AL181" s="63">
        <f>'Demographic-Economic'!G$22*1000/AL48*(1+'Inflation-Interest'!$C$65)*(1+'Inflation-Interest'!$C$66)*(1+'Inflation-Interest'!$C$67)*$C$5</f>
        <v>2585.9770799837511</v>
      </c>
      <c r="AM181" s="63">
        <f>'Demographic-Economic'!H$22*1000/AM48*(1+'Inflation-Interest'!$C$65)*(1+'Inflation-Interest'!$C$66)*(1+'Inflation-Interest'!$C$67)*$C$5</f>
        <v>649.29170980752247</v>
      </c>
      <c r="AN181" s="172">
        <f t="shared" si="73"/>
        <v>2748.6851222410933</v>
      </c>
    </row>
    <row r="182" spans="5:40">
      <c r="E182">
        <v>2026</v>
      </c>
      <c r="F182" s="320" t="s">
        <v>240</v>
      </c>
      <c r="G182" s="320" t="s">
        <v>240</v>
      </c>
      <c r="H182" s="63">
        <f t="shared" si="74"/>
        <v>5660.2382175425892</v>
      </c>
      <c r="I182" s="63">
        <f t="shared" si="74"/>
        <v>4485.3344646182359</v>
      </c>
      <c r="J182" s="63">
        <f t="shared" si="74"/>
        <v>3368.9916459842034</v>
      </c>
      <c r="K182" s="63">
        <f t="shared" si="74"/>
        <v>850.22743323522332</v>
      </c>
      <c r="L182" s="63">
        <f t="shared" si="71"/>
        <v>3591.1979403450628</v>
      </c>
      <c r="M182" s="63"/>
      <c r="N182">
        <v>2026</v>
      </c>
      <c r="O182" s="320" t="s">
        <v>240</v>
      </c>
      <c r="P182" s="320" t="s">
        <v>240</v>
      </c>
      <c r="Q182" s="63">
        <f t="shared" si="75"/>
        <v>5660.2382175425892</v>
      </c>
      <c r="R182" s="63">
        <f t="shared" si="75"/>
        <v>4485.3344646182359</v>
      </c>
      <c r="S182" s="63">
        <f t="shared" si="75"/>
        <v>3368.9916459842034</v>
      </c>
      <c r="T182" s="63">
        <f t="shared" si="75"/>
        <v>850.22743323522332</v>
      </c>
      <c r="U182" s="172">
        <f t="shared" si="76"/>
        <v>3591.1979403450628</v>
      </c>
      <c r="W182">
        <v>2026</v>
      </c>
      <c r="X182" s="320" t="s">
        <v>240</v>
      </c>
      <c r="Y182" s="320" t="s">
        <v>240</v>
      </c>
      <c r="Z182" s="170">
        <f t="shared" si="77"/>
        <v>5660.2382175425892</v>
      </c>
      <c r="AA182" s="170">
        <f t="shared" si="78"/>
        <v>4485.3344646182359</v>
      </c>
      <c r="AB182" s="170">
        <f t="shared" si="79"/>
        <v>3368.9916459842034</v>
      </c>
      <c r="AC182" s="170">
        <f t="shared" si="80"/>
        <v>850.22743323522332</v>
      </c>
      <c r="AD182" s="172">
        <f t="shared" si="72"/>
        <v>3591.1979403450628</v>
      </c>
      <c r="AG182">
        <v>2026</v>
      </c>
      <c r="AJ182" s="63">
        <f>'Demographic-Economic'!E$22*1000/AJ49*(1+'Inflation-Interest'!$C$65)*(1+'Inflation-Interest'!$C$66)*(1+'Inflation-Interest'!$C$67)*$C$5</f>
        <v>4307.7718646960557</v>
      </c>
      <c r="AK182" s="63">
        <f>'Demographic-Economic'!F$22*1000/AK49*(1+'Inflation-Interest'!$C$65)*(1+'Inflation-Interest'!$C$66)*(1+'Inflation-Interest'!$C$67)*$C$5</f>
        <v>3382.3784263348189</v>
      </c>
      <c r="AL182" s="63">
        <f>'Demographic-Economic'!G$22*1000/AL49*(1+'Inflation-Interest'!$C$65)*(1+'Inflation-Interest'!$C$66)*(1+'Inflation-Interest'!$C$67)*$C$5</f>
        <v>2564.7286902142309</v>
      </c>
      <c r="AM182" s="63">
        <f>'Demographic-Economic'!H$22*1000/AM49*(1+'Inflation-Interest'!$C$65)*(1+'Inflation-Interest'!$C$66)*(1+'Inflation-Interest'!$C$67)*$C$5</f>
        <v>643.10476229317317</v>
      </c>
      <c r="AN182" s="172">
        <f t="shared" si="73"/>
        <v>2724.4959358845695</v>
      </c>
    </row>
    <row r="183" spans="5:40">
      <c r="E183">
        <v>2027</v>
      </c>
      <c r="F183" s="320" t="s">
        <v>240</v>
      </c>
      <c r="G183" s="320" t="s">
        <v>240</v>
      </c>
      <c r="H183" s="63">
        <f t="shared" si="74"/>
        <v>5872.7188433639567</v>
      </c>
      <c r="I183" s="63">
        <f t="shared" si="74"/>
        <v>4653.7101826412836</v>
      </c>
      <c r="J183" s="63">
        <f t="shared" si="74"/>
        <v>3495.4607848814121</v>
      </c>
      <c r="K183" s="63">
        <f t="shared" si="74"/>
        <v>882.14426255601256</v>
      </c>
      <c r="L183" s="63">
        <f t="shared" si="71"/>
        <v>3726.0085183606661</v>
      </c>
      <c r="M183" s="63"/>
      <c r="N183">
        <v>2027</v>
      </c>
      <c r="O183" s="320" t="s">
        <v>240</v>
      </c>
      <c r="P183" s="320" t="s">
        <v>240</v>
      </c>
      <c r="Q183" s="63">
        <f t="shared" si="75"/>
        <v>5872.7188433639567</v>
      </c>
      <c r="R183" s="63">
        <f t="shared" si="75"/>
        <v>4653.7101826412836</v>
      </c>
      <c r="S183" s="63">
        <f t="shared" si="75"/>
        <v>3495.4607848814121</v>
      </c>
      <c r="T183" s="63">
        <f t="shared" si="75"/>
        <v>882.14426255601256</v>
      </c>
      <c r="U183" s="172">
        <f t="shared" si="76"/>
        <v>3726.0085183606661</v>
      </c>
      <c r="W183">
        <v>2027</v>
      </c>
      <c r="X183" s="320" t="s">
        <v>240</v>
      </c>
      <c r="Y183" s="320" t="s">
        <v>240</v>
      </c>
      <c r="Z183" s="170">
        <f t="shared" si="77"/>
        <v>5872.7188433639567</v>
      </c>
      <c r="AA183" s="170">
        <f t="shared" si="78"/>
        <v>4653.7101826412836</v>
      </c>
      <c r="AB183" s="170">
        <f t="shared" si="79"/>
        <v>3495.4607848814121</v>
      </c>
      <c r="AC183" s="170">
        <f t="shared" si="80"/>
        <v>882.14426255601256</v>
      </c>
      <c r="AD183" s="172">
        <f t="shared" si="72"/>
        <v>3726.0085183606661</v>
      </c>
      <c r="AG183">
        <v>2027</v>
      </c>
      <c r="AJ183" s="63">
        <f>'Demographic-Economic'!E$22*1000/AJ50*(1+'Inflation-Interest'!$C$65)*(1+'Inflation-Interest'!$C$66)*(1+'Inflation-Interest'!$C$67)*$C$5</f>
        <v>4270.2155767799386</v>
      </c>
      <c r="AK183" s="63">
        <f>'Demographic-Economic'!F$22*1000/AK50*(1+'Inflation-Interest'!$C$65)*(1+'Inflation-Interest'!$C$66)*(1+'Inflation-Interest'!$C$67)*$C$5</f>
        <v>3352.1455583641955</v>
      </c>
      <c r="AL183" s="63">
        <f>'Demographic-Economic'!G$22*1000/AL50*(1+'Inflation-Interest'!$C$65)*(1+'Inflation-Interest'!$C$66)*(1+'Inflation-Interest'!$C$67)*$C$5</f>
        <v>2543.964471907128</v>
      </c>
      <c r="AM183" s="63">
        <f>'Demographic-Economic'!H$22*1000/AM50*(1+'Inflation-Interest'!$C$65)*(1+'Inflation-Interest'!$C$66)*(1+'Inflation-Interest'!$C$67)*$C$5</f>
        <v>637.00596751659327</v>
      </c>
      <c r="AN183" s="172">
        <f t="shared" si="73"/>
        <v>2700.8328936419639</v>
      </c>
    </row>
    <row r="184" spans="5:40">
      <c r="E184">
        <v>2028</v>
      </c>
      <c r="F184" s="320" t="s">
        <v>240</v>
      </c>
      <c r="G184" s="320" t="s">
        <v>240</v>
      </c>
      <c r="H184" s="63">
        <f t="shared" si="74"/>
        <v>6093.1758148114704</v>
      </c>
      <c r="I184" s="63">
        <f t="shared" si="74"/>
        <v>4828.406584805819</v>
      </c>
      <c r="J184" s="63">
        <f t="shared" si="74"/>
        <v>3626.6774698618729</v>
      </c>
      <c r="K184" s="63">
        <f t="shared" si="74"/>
        <v>915.25922305214647</v>
      </c>
      <c r="L184" s="63">
        <f t="shared" si="71"/>
        <v>3865.8797731328273</v>
      </c>
      <c r="M184" s="63"/>
      <c r="N184">
        <v>2028</v>
      </c>
      <c r="O184" s="320" t="s">
        <v>240</v>
      </c>
      <c r="P184" s="320" t="s">
        <v>240</v>
      </c>
      <c r="Q184" s="63">
        <f t="shared" si="75"/>
        <v>6093.1758148114704</v>
      </c>
      <c r="R184" s="63">
        <f t="shared" si="75"/>
        <v>4828.406584805819</v>
      </c>
      <c r="S184" s="63">
        <f t="shared" si="75"/>
        <v>3626.6774698618729</v>
      </c>
      <c r="T184" s="63">
        <f t="shared" si="75"/>
        <v>915.25922305214647</v>
      </c>
      <c r="U184" s="172">
        <f t="shared" si="76"/>
        <v>3865.8797731328273</v>
      </c>
      <c r="W184">
        <v>2028</v>
      </c>
      <c r="X184" s="320" t="s">
        <v>240</v>
      </c>
      <c r="Y184" s="320" t="s">
        <v>240</v>
      </c>
      <c r="Z184" s="170">
        <f t="shared" si="77"/>
        <v>6093.1758148114704</v>
      </c>
      <c r="AA184" s="170">
        <f t="shared" si="78"/>
        <v>4828.406584805819</v>
      </c>
      <c r="AB184" s="170">
        <f t="shared" si="79"/>
        <v>3626.6774698618729</v>
      </c>
      <c r="AC184" s="170">
        <f t="shared" si="80"/>
        <v>915.25922305214647</v>
      </c>
      <c r="AD184" s="172">
        <f t="shared" si="72"/>
        <v>3865.8797731328273</v>
      </c>
      <c r="AG184">
        <v>2028</v>
      </c>
      <c r="AJ184" s="63">
        <f>'Demographic-Economic'!E$22*1000/AJ51*(1+'Inflation-Interest'!$C$65)*(1+'Inflation-Interest'!$C$66)*(1+'Inflation-Interest'!$C$67)*$C$5</f>
        <v>4232.9436263475</v>
      </c>
      <c r="AK184" s="63">
        <f>'Demographic-Economic'!F$22*1000/AK51*(1+'Inflation-Interest'!$C$65)*(1+'Inflation-Interest'!$C$66)*(1+'Inflation-Interest'!$C$67)*$C$5</f>
        <v>3323.0743158603404</v>
      </c>
      <c r="AL184" s="63">
        <f>'Demographic-Economic'!G$22*1000/AL51*(1+'Inflation-Interest'!$C$65)*(1+'Inflation-Interest'!$C$66)*(1+'Inflation-Interest'!$C$67)*$C$5</f>
        <v>2523.6571248073619</v>
      </c>
      <c r="AM184" s="63">
        <f>'Demographic-Economic'!H$22*1000/AM51*(1+'Inflation-Interest'!$C$65)*(1+'Inflation-Interest'!$C$66)*(1+'Inflation-Interest'!$C$67)*$C$5</f>
        <v>630.99451375729086</v>
      </c>
      <c r="AN184" s="172">
        <f t="shared" si="73"/>
        <v>2677.667395193123</v>
      </c>
    </row>
    <row r="185" spans="5:40">
      <c r="E185">
        <v>2029</v>
      </c>
      <c r="F185" s="320" t="s">
        <v>240</v>
      </c>
      <c r="G185" s="320" t="s">
        <v>240</v>
      </c>
      <c r="H185" s="63">
        <f t="shared" si="74"/>
        <v>6321.9085572529812</v>
      </c>
      <c r="I185" s="63">
        <f t="shared" si="74"/>
        <v>5009.6609443272755</v>
      </c>
      <c r="J185" s="63">
        <f t="shared" si="74"/>
        <v>3762.8199198492625</v>
      </c>
      <c r="K185" s="63">
        <f t="shared" si="74"/>
        <v>949.6172915695048</v>
      </c>
      <c r="L185" s="63">
        <f t="shared" si="71"/>
        <v>4011.0016782497555</v>
      </c>
      <c r="M185" s="63"/>
      <c r="N185">
        <v>2029</v>
      </c>
      <c r="O185" s="320" t="s">
        <v>240</v>
      </c>
      <c r="P185" s="320" t="s">
        <v>240</v>
      </c>
      <c r="Q185" s="63">
        <f t="shared" si="75"/>
        <v>6321.9085572529812</v>
      </c>
      <c r="R185" s="63">
        <f t="shared" si="75"/>
        <v>5009.6609443272755</v>
      </c>
      <c r="S185" s="63">
        <f t="shared" si="75"/>
        <v>3762.8199198492625</v>
      </c>
      <c r="T185" s="63">
        <f t="shared" si="75"/>
        <v>949.6172915695048</v>
      </c>
      <c r="U185" s="172">
        <f t="shared" si="76"/>
        <v>4011.0016782497555</v>
      </c>
      <c r="W185">
        <v>2029</v>
      </c>
      <c r="X185" s="320" t="s">
        <v>240</v>
      </c>
      <c r="Y185" s="320" t="s">
        <v>240</v>
      </c>
      <c r="Z185" s="170">
        <f t="shared" si="77"/>
        <v>6321.9085572529812</v>
      </c>
      <c r="AA185" s="170">
        <f t="shared" si="78"/>
        <v>5009.6609443272755</v>
      </c>
      <c r="AB185" s="170">
        <f t="shared" si="79"/>
        <v>3762.8199198492625</v>
      </c>
      <c r="AC185" s="170">
        <f t="shared" si="80"/>
        <v>949.6172915695048</v>
      </c>
      <c r="AD185" s="172">
        <f t="shared" si="72"/>
        <v>4011.0016782497555</v>
      </c>
      <c r="AG185">
        <v>2029</v>
      </c>
      <c r="AJ185" s="63">
        <f>'Demographic-Economic'!E$22*1000/AJ52*(1+'Inflation-Interest'!$C$65)*(1+'Inflation-Interest'!$C$66)*(1+'Inflation-Interest'!$C$67)*$C$5</f>
        <v>4195.9761960827536</v>
      </c>
      <c r="AK185" s="63">
        <f>'Demographic-Economic'!F$22*1000/AK52*(1+'Inflation-Interest'!$C$65)*(1+'Inflation-Interest'!$C$66)*(1+'Inflation-Interest'!$C$67)*$C$5</f>
        <v>3295.0675191348323</v>
      </c>
      <c r="AL185" s="63">
        <f>'Demographic-Economic'!G$22*1000/AL52*(1+'Inflation-Interest'!$C$65)*(1+'Inflation-Interest'!$C$66)*(1+'Inflation-Interest'!$C$67)*$C$5</f>
        <v>2503.7819963968336</v>
      </c>
      <c r="AM185" s="63">
        <f>'Demographic-Economic'!H$22*1000/AM52*(1+'Inflation-Interest'!$C$65)*(1+'Inflation-Interest'!$C$66)*(1+'Inflation-Interest'!$C$67)*$C$5</f>
        <v>625.069482785422</v>
      </c>
      <c r="AN185" s="172">
        <f t="shared" si="73"/>
        <v>2654.9737985999604</v>
      </c>
    </row>
    <row r="186" spans="5:40">
      <c r="E186">
        <v>2030</v>
      </c>
      <c r="F186" s="320" t="s">
        <v>240</v>
      </c>
      <c r="G186" s="320" t="s">
        <v>240</v>
      </c>
      <c r="H186" s="63">
        <f t="shared" si="74"/>
        <v>6559.2277362351269</v>
      </c>
      <c r="I186" s="63">
        <f t="shared" si="74"/>
        <v>5197.719441459868</v>
      </c>
      <c r="J186" s="63">
        <f t="shared" si="74"/>
        <v>3904.0730439571375</v>
      </c>
      <c r="K186" s="63">
        <f t="shared" si="74"/>
        <v>985.26513334728099</v>
      </c>
      <c r="L186" s="63">
        <f t="shared" si="71"/>
        <v>4161.5713387498536</v>
      </c>
      <c r="M186" s="63"/>
      <c r="N186">
        <v>2030</v>
      </c>
      <c r="O186" s="320" t="s">
        <v>240</v>
      </c>
      <c r="P186" s="320" t="s">
        <v>240</v>
      </c>
      <c r="Q186" s="63">
        <f t="shared" si="75"/>
        <v>6559.2277362351269</v>
      </c>
      <c r="R186" s="63">
        <f t="shared" si="75"/>
        <v>5197.719441459868</v>
      </c>
      <c r="S186" s="63">
        <f t="shared" si="75"/>
        <v>3904.0730439571375</v>
      </c>
      <c r="T186" s="63">
        <f t="shared" si="75"/>
        <v>985.26513334728099</v>
      </c>
      <c r="U186" s="172">
        <f t="shared" si="76"/>
        <v>4161.5713387498536</v>
      </c>
      <c r="W186">
        <v>2030</v>
      </c>
      <c r="X186" s="320" t="s">
        <v>240</v>
      </c>
      <c r="Y186" s="320" t="s">
        <v>240</v>
      </c>
      <c r="Z186" s="170">
        <f t="shared" si="77"/>
        <v>6559.2277362351269</v>
      </c>
      <c r="AA186" s="170">
        <f t="shared" si="78"/>
        <v>5197.719441459868</v>
      </c>
      <c r="AB186" s="170">
        <f t="shared" si="79"/>
        <v>3904.0730439571375</v>
      </c>
      <c r="AC186" s="170">
        <f t="shared" si="80"/>
        <v>985.26513334728099</v>
      </c>
      <c r="AD186" s="172">
        <f t="shared" si="72"/>
        <v>4161.5713387498536</v>
      </c>
      <c r="AG186">
        <v>2030</v>
      </c>
      <c r="AJ186" s="63">
        <f>'Demographic-Economic'!E$22*1000/AJ53*(1+'Inflation-Interest'!$C$65)*(1+'Inflation-Interest'!$C$66)*(1+'Inflation-Interest'!$C$67)*$C$5</f>
        <v>4159.3302618438329</v>
      </c>
      <c r="AK186" s="63">
        <f>'Demographic-Economic'!F$22*1000/AK53*(1+'Inflation-Interest'!$C$65)*(1+'Inflation-Interest'!$C$66)*(1+'Inflation-Interest'!$C$67)*$C$5</f>
        <v>3268.0391241865141</v>
      </c>
      <c r="AL186" s="63">
        <f>'Demographic-Economic'!G$22*1000/AL53*(1+'Inflation-Interest'!$C$65)*(1+'Inflation-Interest'!$C$66)*(1+'Inflation-Interest'!$C$67)*$C$5</f>
        <v>2484.3167477736606</v>
      </c>
      <c r="AM186" s="63">
        <f>'Demographic-Economic'!H$22*1000/AM53*(1+'Inflation-Interest'!$C$65)*(1+'Inflation-Interest'!$C$66)*(1+'Inflation-Interest'!$C$67)*$C$5</f>
        <v>619.22986982092903</v>
      </c>
      <c r="AN186" s="172">
        <f t="shared" si="73"/>
        <v>2632.729000906234</v>
      </c>
    </row>
    <row r="187" spans="5:40">
      <c r="E187">
        <v>2040</v>
      </c>
      <c r="F187" s="320" t="s">
        <v>240</v>
      </c>
      <c r="G187" s="320" t="s">
        <v>240</v>
      </c>
      <c r="H187" s="63">
        <f>H186*(1+$C$6)^10</f>
        <v>9481.9510972144253</v>
      </c>
      <c r="I187" s="63">
        <f t="shared" ref="I187:K193" si="81">I186*(1+$C$6)^10</f>
        <v>7513.7689287262847</v>
      </c>
      <c r="J187" s="63">
        <f t="shared" si="81"/>
        <v>5643.6872100437859</v>
      </c>
      <c r="K187" s="63">
        <f t="shared" si="81"/>
        <v>1424.2889845980001</v>
      </c>
      <c r="L187" s="63">
        <f t="shared" si="71"/>
        <v>6015.9240551456242</v>
      </c>
      <c r="M187" s="63"/>
      <c r="N187">
        <v>2040</v>
      </c>
      <c r="O187" s="320" t="s">
        <v>240</v>
      </c>
      <c r="P187" s="320" t="s">
        <v>240</v>
      </c>
      <c r="Q187" s="63">
        <f>Q186*(1+$C$6)^10</f>
        <v>9481.9510972144253</v>
      </c>
      <c r="R187" s="63">
        <f t="shared" ref="R187:T187" si="82">R186*(1+$C$6)^10</f>
        <v>7513.7689287262847</v>
      </c>
      <c r="S187" s="63">
        <f t="shared" si="82"/>
        <v>5643.6872100437859</v>
      </c>
      <c r="T187" s="63">
        <f t="shared" si="82"/>
        <v>1424.2889845980001</v>
      </c>
      <c r="U187" s="172">
        <f t="shared" si="76"/>
        <v>6015.9240551456242</v>
      </c>
      <c r="W187">
        <v>2040</v>
      </c>
      <c r="X187" s="320" t="s">
        <v>240</v>
      </c>
      <c r="Y187" s="320" t="s">
        <v>240</v>
      </c>
      <c r="Z187" s="170">
        <f t="shared" ref="Z187:AC193" si="83">Z186*(1+$C$6)^10</f>
        <v>9481.9510972144253</v>
      </c>
      <c r="AA187" s="170">
        <f t="shared" si="83"/>
        <v>7513.7689287262847</v>
      </c>
      <c r="AB187" s="170">
        <f t="shared" si="83"/>
        <v>5643.6872100437859</v>
      </c>
      <c r="AC187" s="170">
        <f t="shared" si="83"/>
        <v>1424.2889845980001</v>
      </c>
      <c r="AD187" s="172">
        <f t="shared" si="72"/>
        <v>6015.9240551456242</v>
      </c>
      <c r="AG187">
        <v>2040</v>
      </c>
      <c r="AJ187" s="63">
        <f>'Demographic-Economic'!E$22*1000/AJ54*(1+'Inflation-Interest'!$C$65)*(1+'Inflation-Interest'!$C$66)*(1+'Inflation-Interest'!$C$67)*$C$5</f>
        <v>3885.7904325934728</v>
      </c>
      <c r="AK187" s="63">
        <f>'Demographic-Economic'!F$22*1000/AK54*(1+'Inflation-Interest'!$C$65)*(1+'Inflation-Interest'!$C$66)*(1+'Inflation-Interest'!$C$67)*$C$5</f>
        <v>3075.3950947542662</v>
      </c>
      <c r="AL187" s="63">
        <f>'Demographic-Economic'!G$22*1000/AL54*(1+'Inflation-Interest'!$C$65)*(1+'Inflation-Interest'!$C$66)*(1+'Inflation-Interest'!$C$67)*$C$5</f>
        <v>2345.220659761932</v>
      </c>
      <c r="AM187" s="63">
        <f>'Demographic-Economic'!H$22*1000/AM54*(1+'Inflation-Interest'!$C$65)*(1+'Inflation-Interest'!$C$66)*(1+'Inflation-Interest'!$C$67)*$C$5</f>
        <v>575.3026728069317</v>
      </c>
      <c r="AN187" s="172">
        <f t="shared" si="73"/>
        <v>2470.4272149791504</v>
      </c>
    </row>
    <row r="188" spans="5:40">
      <c r="E188">
        <v>2050</v>
      </c>
      <c r="F188" s="320" t="s">
        <v>240</v>
      </c>
      <c r="G188" s="320" t="s">
        <v>240</v>
      </c>
      <c r="H188" s="63">
        <f t="shared" ref="H188:H192" si="84">H187*(1+$C$6)^10</f>
        <v>13707.009456813128</v>
      </c>
      <c r="I188" s="63">
        <f t="shared" si="81"/>
        <v>10861.825873855883</v>
      </c>
      <c r="J188" s="63">
        <f t="shared" si="81"/>
        <v>8158.4552763714901</v>
      </c>
      <c r="K188" s="63">
        <f t="shared" si="81"/>
        <v>2058.9372778831221</v>
      </c>
      <c r="L188" s="63">
        <f t="shared" si="71"/>
        <v>8696.5569712309061</v>
      </c>
      <c r="M188" s="63"/>
      <c r="N188">
        <v>2050</v>
      </c>
      <c r="O188" s="320" t="s">
        <v>240</v>
      </c>
      <c r="P188" s="320" t="s">
        <v>240</v>
      </c>
      <c r="Q188" s="63">
        <f t="shared" ref="Q188:T193" si="85">Q187*(1+$C$6)^10</f>
        <v>13707.009456813128</v>
      </c>
      <c r="R188" s="63">
        <f t="shared" si="85"/>
        <v>10861.825873855883</v>
      </c>
      <c r="S188" s="63">
        <f t="shared" si="85"/>
        <v>8158.4552763714901</v>
      </c>
      <c r="T188" s="63">
        <f t="shared" si="85"/>
        <v>2058.9372778831221</v>
      </c>
      <c r="U188" s="172">
        <f t="shared" si="76"/>
        <v>8696.5569712309061</v>
      </c>
      <c r="W188">
        <v>2050</v>
      </c>
      <c r="X188" s="320" t="s">
        <v>240</v>
      </c>
      <c r="Y188" s="320" t="s">
        <v>240</v>
      </c>
      <c r="Z188" s="170">
        <f t="shared" si="83"/>
        <v>13707.009456813128</v>
      </c>
      <c r="AA188" s="170">
        <f t="shared" si="83"/>
        <v>10861.825873855883</v>
      </c>
      <c r="AB188" s="170">
        <f t="shared" si="83"/>
        <v>8158.4552763714901</v>
      </c>
      <c r="AC188" s="170">
        <f t="shared" si="83"/>
        <v>2058.9372778831221</v>
      </c>
      <c r="AD188" s="172">
        <f t="shared" si="72"/>
        <v>8696.5569712309061</v>
      </c>
      <c r="AG188">
        <v>2050</v>
      </c>
      <c r="AJ188" s="63">
        <f>'Demographic-Economic'!E$22*1000/AJ55*(1+'Inflation-Interest'!$C$65)*(1+'Inflation-Interest'!$C$66)*(1+'Inflation-Interest'!$C$67)*$C$5</f>
        <v>3804.2703535880155</v>
      </c>
      <c r="AK188" s="63">
        <f>'Demographic-Economic'!F$22*1000/AK55*(1+'Inflation-Interest'!$C$65)*(1+'Inflation-Interest'!$C$66)*(1+'Inflation-Interest'!$C$67)*$C$5</f>
        <v>3010.876316542639</v>
      </c>
      <c r="AL188" s="63">
        <f>'Demographic-Economic'!G$22*1000/AL55*(1+'Inflation-Interest'!$C$65)*(1+'Inflation-Interest'!$C$66)*(1+'Inflation-Interest'!$C$67)*$C$5</f>
        <v>2296.0202263403526</v>
      </c>
      <c r="AM188" s="63">
        <f>'Demographic-Economic'!H$22*1000/AM55*(1+'Inflation-Interest'!$C$65)*(1+'Inflation-Interest'!$C$66)*(1+'Inflation-Interest'!$C$67)*$C$5</f>
        <v>563.23338596482836</v>
      </c>
      <c r="AN188" s="172">
        <f t="shared" si="73"/>
        <v>2418.600070608959</v>
      </c>
    </row>
    <row r="189" spans="5:40">
      <c r="E189">
        <v>2060</v>
      </c>
      <c r="F189" s="320" t="s">
        <v>240</v>
      </c>
      <c r="G189" s="320" t="s">
        <v>240</v>
      </c>
      <c r="H189" s="63">
        <f t="shared" si="84"/>
        <v>19814.709686106678</v>
      </c>
      <c r="I189" s="63">
        <f t="shared" si="81"/>
        <v>15701.742019629111</v>
      </c>
      <c r="J189" s="63">
        <f t="shared" si="81"/>
        <v>11793.777723559808</v>
      </c>
      <c r="K189" s="63">
        <f t="shared" si="81"/>
        <v>2976.3782210625359</v>
      </c>
      <c r="L189" s="63">
        <f t="shared" si="71"/>
        <v>12571.651912589532</v>
      </c>
      <c r="M189" s="63"/>
      <c r="N189">
        <v>2060</v>
      </c>
      <c r="O189" s="320" t="s">
        <v>240</v>
      </c>
      <c r="P189" s="320" t="s">
        <v>240</v>
      </c>
      <c r="Q189" s="63">
        <f t="shared" si="85"/>
        <v>19814.709686106678</v>
      </c>
      <c r="R189" s="63">
        <f t="shared" si="85"/>
        <v>15701.742019629111</v>
      </c>
      <c r="S189" s="63">
        <f t="shared" si="85"/>
        <v>11793.777723559808</v>
      </c>
      <c r="T189" s="63">
        <f t="shared" si="85"/>
        <v>2976.3782210625359</v>
      </c>
      <c r="U189" s="172">
        <f t="shared" si="76"/>
        <v>12571.651912589532</v>
      </c>
      <c r="W189">
        <v>2060</v>
      </c>
      <c r="X189" s="320" t="s">
        <v>240</v>
      </c>
      <c r="Y189" s="320" t="s">
        <v>240</v>
      </c>
      <c r="Z189" s="170">
        <f t="shared" si="83"/>
        <v>19814.709686106678</v>
      </c>
      <c r="AA189" s="170">
        <f t="shared" si="83"/>
        <v>15701.742019629111</v>
      </c>
      <c r="AB189" s="170">
        <f t="shared" si="83"/>
        <v>11793.777723559808</v>
      </c>
      <c r="AC189" s="170">
        <f t="shared" si="83"/>
        <v>2976.3782210625359</v>
      </c>
      <c r="AD189" s="172">
        <f t="shared" si="72"/>
        <v>12571.651912589532</v>
      </c>
      <c r="AG189">
        <v>2060</v>
      </c>
      <c r="AJ189" s="63">
        <f>'Demographic-Economic'!E$22*1000/AJ56*(1+'Inflation-Interest'!$C$65)*(1+'Inflation-Interest'!$C$66)*(1+'Inflation-Interest'!$C$67)*$C$5</f>
        <v>3799.8416337351773</v>
      </c>
      <c r="AK189" s="63">
        <f>'Demographic-Economic'!F$22*1000/AK56*(1+'Inflation-Interest'!$C$65)*(1+'Inflation-Interest'!$C$66)*(1+'Inflation-Interest'!$C$67)*$C$5</f>
        <v>3007.3712218784444</v>
      </c>
      <c r="AL189" s="63">
        <f>'Demographic-Economic'!G$22*1000/AL56*(1+'Inflation-Interest'!$C$65)*(1+'Inflation-Interest'!$C$66)*(1+'Inflation-Interest'!$C$67)*$C$5</f>
        <v>2293.3473273574186</v>
      </c>
      <c r="AM189" s="63">
        <f>'Demographic-Economic'!H$22*1000/AM56*(1+'Inflation-Interest'!$C$65)*(1+'Inflation-Interest'!$C$66)*(1+'Inflation-Interest'!$C$67)*$C$5</f>
        <v>562.57770099862944</v>
      </c>
      <c r="AN189" s="172">
        <f t="shared" si="73"/>
        <v>2415.784470992417</v>
      </c>
    </row>
    <row r="190" spans="5:40">
      <c r="E190">
        <v>2070</v>
      </c>
      <c r="F190" s="320" t="s">
        <v>240</v>
      </c>
      <c r="G190" s="320" t="s">
        <v>240</v>
      </c>
      <c r="H190" s="63">
        <f t="shared" si="84"/>
        <v>28643.937335983599</v>
      </c>
      <c r="I190" s="63">
        <f t="shared" si="81"/>
        <v>22698.274241756426</v>
      </c>
      <c r="J190" s="63">
        <f t="shared" si="81"/>
        <v>17048.961878307666</v>
      </c>
      <c r="K190" s="63">
        <f t="shared" si="81"/>
        <v>4302.6212648515011</v>
      </c>
      <c r="L190" s="63">
        <f t="shared" si="71"/>
        <v>18173.448680224799</v>
      </c>
      <c r="M190" s="63"/>
      <c r="N190">
        <v>2070</v>
      </c>
      <c r="O190" s="320" t="s">
        <v>240</v>
      </c>
      <c r="P190" s="320" t="s">
        <v>240</v>
      </c>
      <c r="Q190" s="63">
        <f t="shared" si="85"/>
        <v>28643.937335983599</v>
      </c>
      <c r="R190" s="63">
        <f t="shared" si="85"/>
        <v>22698.274241756426</v>
      </c>
      <c r="S190" s="63">
        <f t="shared" si="85"/>
        <v>17048.961878307666</v>
      </c>
      <c r="T190" s="63">
        <f t="shared" si="85"/>
        <v>4302.6212648515011</v>
      </c>
      <c r="U190" s="172">
        <f t="shared" si="76"/>
        <v>18173.448680224799</v>
      </c>
      <c r="W190">
        <v>2070</v>
      </c>
      <c r="X190" s="320" t="s">
        <v>240</v>
      </c>
      <c r="Y190" s="320" t="s">
        <v>240</v>
      </c>
      <c r="Z190" s="170">
        <f t="shared" si="83"/>
        <v>28643.937335983599</v>
      </c>
      <c r="AA190" s="170">
        <f t="shared" si="83"/>
        <v>22698.274241756426</v>
      </c>
      <c r="AB190" s="170">
        <f t="shared" si="83"/>
        <v>17048.961878307666</v>
      </c>
      <c r="AC190" s="170">
        <f t="shared" si="83"/>
        <v>4302.6212648515011</v>
      </c>
      <c r="AD190" s="172">
        <f t="shared" si="72"/>
        <v>18173.448680224799</v>
      </c>
      <c r="AG190">
        <v>2070</v>
      </c>
      <c r="AJ190" s="63">
        <f>'Demographic-Economic'!E$22*1000/AJ57*(1+'Inflation-Interest'!$C$65)*(1+'Inflation-Interest'!$C$66)*(1+'Inflation-Interest'!$C$67)*$C$5</f>
        <v>3858.2316351991922</v>
      </c>
      <c r="AK190" s="63">
        <f>'Demographic-Economic'!F$22*1000/AK57*(1+'Inflation-Interest'!$C$65)*(1+'Inflation-Interest'!$C$66)*(1+'Inflation-Interest'!$C$67)*$C$5</f>
        <v>3053.5837820255124</v>
      </c>
      <c r="AL190" s="63">
        <f>'Demographic-Economic'!G$22*1000/AL57*(1+'Inflation-Interest'!$C$65)*(1+'Inflation-Interest'!$C$66)*(1+'Inflation-Interest'!$C$67)*$C$5</f>
        <v>2328.5878891253224</v>
      </c>
      <c r="AM190" s="63">
        <f>'Demographic-Economic'!H$22*1000/AM57*(1+'Inflation-Interest'!$C$65)*(1+'Inflation-Interest'!$C$66)*(1+'Inflation-Interest'!$C$67)*$C$5</f>
        <v>571.22251200688243</v>
      </c>
      <c r="AN190" s="172">
        <f t="shared" si="73"/>
        <v>2452.9064545892279</v>
      </c>
    </row>
    <row r="191" spans="5:40">
      <c r="E191">
        <v>2080</v>
      </c>
      <c r="F191" s="320" t="s">
        <v>240</v>
      </c>
      <c r="G191" s="320" t="s">
        <v>240</v>
      </c>
      <c r="H191" s="63">
        <f t="shared" si="84"/>
        <v>41407.376595733884</v>
      </c>
      <c r="I191" s="63">
        <f t="shared" si="81"/>
        <v>32812.388135654328</v>
      </c>
      <c r="J191" s="63">
        <f t="shared" si="81"/>
        <v>24645.801196281471</v>
      </c>
      <c r="K191" s="63">
        <f t="shared" si="81"/>
        <v>6219.8243548978617</v>
      </c>
      <c r="L191" s="63">
        <f t="shared" si="71"/>
        <v>26271.34757064189</v>
      </c>
      <c r="M191" s="63"/>
      <c r="N191">
        <v>2080</v>
      </c>
      <c r="O191" s="320" t="s">
        <v>240</v>
      </c>
      <c r="P191" s="320" t="s">
        <v>240</v>
      </c>
      <c r="Q191" s="63">
        <f t="shared" si="85"/>
        <v>41407.376595733884</v>
      </c>
      <c r="R191" s="63">
        <f t="shared" si="85"/>
        <v>32812.388135654328</v>
      </c>
      <c r="S191" s="63">
        <f t="shared" si="85"/>
        <v>24645.801196281471</v>
      </c>
      <c r="T191" s="63">
        <f t="shared" si="85"/>
        <v>6219.8243548978617</v>
      </c>
      <c r="U191" s="172">
        <f t="shared" si="76"/>
        <v>26271.34757064189</v>
      </c>
      <c r="W191">
        <v>2080</v>
      </c>
      <c r="X191" s="320" t="s">
        <v>240</v>
      </c>
      <c r="Y191" s="320" t="s">
        <v>240</v>
      </c>
      <c r="Z191" s="170">
        <f t="shared" si="83"/>
        <v>41407.376595733884</v>
      </c>
      <c r="AA191" s="170">
        <f t="shared" si="83"/>
        <v>32812.388135654328</v>
      </c>
      <c r="AB191" s="170">
        <f t="shared" si="83"/>
        <v>24645.801196281471</v>
      </c>
      <c r="AC191" s="170">
        <f t="shared" si="83"/>
        <v>6219.8243548978617</v>
      </c>
      <c r="AD191" s="172">
        <f t="shared" si="72"/>
        <v>26271.34757064189</v>
      </c>
      <c r="AG191">
        <v>2080</v>
      </c>
      <c r="AJ191" s="63">
        <f>'Demographic-Economic'!E$22*1000/AJ58*(1+'Inflation-Interest'!$C$65)*(1+'Inflation-Interest'!$C$66)*(1+'Inflation-Interest'!$C$67)*$C$5</f>
        <v>3980.5658089981916</v>
      </c>
      <c r="AK191" s="63">
        <f>'Demographic-Economic'!F$22*1000/AK58*(1+'Inflation-Interest'!$C$65)*(1+'Inflation-Interest'!$C$66)*(1+'Inflation-Interest'!$C$67)*$C$5</f>
        <v>3150.4047312116877</v>
      </c>
      <c r="AL191" s="63">
        <f>'Demographic-Economic'!G$22*1000/AL58*(1+'Inflation-Interest'!$C$65)*(1+'Inflation-Interest'!$C$66)*(1+'Inflation-Interest'!$C$67)*$C$5</f>
        <v>2402.4211636585646</v>
      </c>
      <c r="AM191" s="63">
        <f>'Demographic-Economic'!H$22*1000/AM58*(1+'Inflation-Interest'!$C$65)*(1+'Inflation-Interest'!$C$66)*(1+'Inflation-Interest'!$C$67)*$C$5</f>
        <v>589.33444531441796</v>
      </c>
      <c r="AN191" s="172">
        <f t="shared" si="73"/>
        <v>2530.6815372957153</v>
      </c>
    </row>
    <row r="192" spans="5:40">
      <c r="E192">
        <v>2090</v>
      </c>
      <c r="F192" s="320" t="s">
        <v>240</v>
      </c>
      <c r="G192" s="320" t="s">
        <v>240</v>
      </c>
      <c r="H192" s="63">
        <f t="shared" si="84"/>
        <v>59858.071061586263</v>
      </c>
      <c r="I192" s="63">
        <f t="shared" si="81"/>
        <v>47433.245527723251</v>
      </c>
      <c r="J192" s="63">
        <f t="shared" si="81"/>
        <v>35627.712757072753</v>
      </c>
      <c r="K192" s="63">
        <f t="shared" si="81"/>
        <v>8991.3131145917396</v>
      </c>
      <c r="L192" s="63">
        <f t="shared" si="71"/>
        <v>37977.585615243501</v>
      </c>
      <c r="M192" s="63"/>
      <c r="N192">
        <v>2090</v>
      </c>
      <c r="O192" s="320" t="s">
        <v>240</v>
      </c>
      <c r="P192" s="320" t="s">
        <v>240</v>
      </c>
      <c r="Q192" s="63">
        <f t="shared" si="85"/>
        <v>59858.071061586263</v>
      </c>
      <c r="R192" s="63">
        <f t="shared" si="85"/>
        <v>47433.245527723251</v>
      </c>
      <c r="S192" s="63">
        <f t="shared" si="85"/>
        <v>35627.712757072753</v>
      </c>
      <c r="T192" s="63">
        <f t="shared" si="85"/>
        <v>8991.3131145917396</v>
      </c>
      <c r="U192" s="172">
        <f t="shared" si="76"/>
        <v>37977.585615243501</v>
      </c>
      <c r="W192">
        <v>2090</v>
      </c>
      <c r="X192" s="320" t="s">
        <v>240</v>
      </c>
      <c r="Y192" s="320" t="s">
        <v>240</v>
      </c>
      <c r="Z192" s="170">
        <f t="shared" si="83"/>
        <v>59858.071061586263</v>
      </c>
      <c r="AA192" s="170">
        <f t="shared" si="83"/>
        <v>47433.245527723251</v>
      </c>
      <c r="AB192" s="170">
        <f t="shared" si="83"/>
        <v>35627.712757072753</v>
      </c>
      <c r="AC192" s="170">
        <f t="shared" si="83"/>
        <v>8991.3131145917396</v>
      </c>
      <c r="AD192" s="172">
        <f t="shared" si="72"/>
        <v>37977.585615243501</v>
      </c>
      <c r="AG192">
        <v>2090</v>
      </c>
      <c r="AJ192" s="63">
        <f>'Demographic-Economic'!E$22*1000/AJ59*(1+'Inflation-Interest'!$C$65)*(1+'Inflation-Interest'!$C$66)*(1+'Inflation-Interest'!$C$67)*$C$5</f>
        <v>4168.6640656175186</v>
      </c>
      <c r="AK192" s="63">
        <f>'Demographic-Economic'!F$22*1000/AK59*(1+'Inflation-Interest'!$C$65)*(1+'Inflation-Interest'!$C$66)*(1+'Inflation-Interest'!$C$67)*$C$5</f>
        <v>3299.2744311540018</v>
      </c>
      <c r="AL192" s="63">
        <f>'Demographic-Economic'!G$22*1000/AL59*(1+'Inflation-Interest'!$C$65)*(1+'Inflation-Interest'!$C$66)*(1+'Inflation-Interest'!$C$67)*$C$5</f>
        <v>2515.9455353767844</v>
      </c>
      <c r="AM192" s="63">
        <f>'Demographic-Economic'!H$22*1000/AM59*(1+'Inflation-Interest'!$C$65)*(1+'Inflation-Interest'!$C$66)*(1+'Inflation-Interest'!$C$67)*$C$5</f>
        <v>617.18294400743616</v>
      </c>
      <c r="AN192" s="172">
        <f t="shared" si="73"/>
        <v>2650.266744038935</v>
      </c>
    </row>
    <row r="193" spans="5:40">
      <c r="E193">
        <v>2100</v>
      </c>
      <c r="F193" s="320" t="s">
        <v>240</v>
      </c>
      <c r="G193" s="320" t="s">
        <v>240</v>
      </c>
      <c r="H193" s="63">
        <f>H192*(1+$C$6)^10</f>
        <v>86530.202243796783</v>
      </c>
      <c r="I193" s="63">
        <f t="shared" si="81"/>
        <v>68569.004242897397</v>
      </c>
      <c r="J193" s="63">
        <f t="shared" si="81"/>
        <v>51503.049391309716</v>
      </c>
      <c r="K193" s="63">
        <f t="shared" si="81"/>
        <v>12997.748314382581</v>
      </c>
      <c r="L193" s="63">
        <f t="shared" si="71"/>
        <v>54900.001048096616</v>
      </c>
      <c r="M193" s="63"/>
      <c r="N193">
        <v>2100</v>
      </c>
      <c r="O193" s="320" t="s">
        <v>240</v>
      </c>
      <c r="P193" s="320" t="s">
        <v>240</v>
      </c>
      <c r="Q193" s="63">
        <f>Q192*(1+$C$6)^10</f>
        <v>86530.202243796783</v>
      </c>
      <c r="R193" s="63">
        <f t="shared" si="85"/>
        <v>68569.004242897397</v>
      </c>
      <c r="S193" s="63">
        <f t="shared" si="85"/>
        <v>51503.049391309716</v>
      </c>
      <c r="T193" s="63">
        <f t="shared" si="85"/>
        <v>12997.748314382581</v>
      </c>
      <c r="U193" s="172">
        <f t="shared" si="76"/>
        <v>54900.001048096616</v>
      </c>
      <c r="W193">
        <v>2100</v>
      </c>
      <c r="X193" s="320" t="s">
        <v>240</v>
      </c>
      <c r="Y193" s="320" t="s">
        <v>240</v>
      </c>
      <c r="Z193" s="170">
        <f t="shared" si="83"/>
        <v>86530.202243796783</v>
      </c>
      <c r="AA193" s="170">
        <f t="shared" si="83"/>
        <v>68569.004242897397</v>
      </c>
      <c r="AB193" s="170">
        <f t="shared" si="83"/>
        <v>51503.049391309716</v>
      </c>
      <c r="AC193" s="170">
        <f t="shared" si="83"/>
        <v>12997.748314382581</v>
      </c>
      <c r="AD193" s="172">
        <f t="shared" si="72"/>
        <v>54900.001048096616</v>
      </c>
      <c r="AG193">
        <v>2100</v>
      </c>
      <c r="AJ193" s="63">
        <f>'Demographic-Economic'!E$22*1000/AJ60*(1+'Inflation-Interest'!$C$65)*(1+'Inflation-Interest'!$C$66)*(1+'Inflation-Interest'!$C$67)*$C$5</f>
        <v>4422.8508988868798</v>
      </c>
      <c r="AK193" s="63">
        <f>'Demographic-Economic'!F$22*1000/AK60*(1+'Inflation-Interest'!$C$65)*(1+'Inflation-Interest'!$C$66)*(1+'Inflation-Interest'!$C$67)*$C$5</f>
        <v>3500.4497013463201</v>
      </c>
      <c r="AL193" s="63">
        <f>'Demographic-Economic'!G$22*1000/AL60*(1+'Inflation-Interest'!$C$65)*(1+'Inflation-Interest'!$C$66)*(1+'Inflation-Interest'!$C$67)*$C$5</f>
        <v>2669.3568485095152</v>
      </c>
      <c r="AM193" s="63">
        <f>'Demographic-Economic'!H$22*1000/AM60*(1+'Inflation-Interest'!$C$65)*(1+'Inflation-Interest'!$C$66)*(1+'Inflation-Interest'!$C$67)*$C$5</f>
        <v>654.81605034935308</v>
      </c>
      <c r="AN193" s="172">
        <f t="shared" si="73"/>
        <v>2811.868374773017</v>
      </c>
    </row>
    <row r="194" spans="5:40">
      <c r="F194" s="581" t="s">
        <v>309</v>
      </c>
      <c r="G194" s="581"/>
      <c r="H194" s="581"/>
      <c r="I194" s="581"/>
      <c r="J194" s="581"/>
      <c r="K194" s="581"/>
      <c r="L194" s="63"/>
      <c r="M194" s="63"/>
      <c r="O194" s="426" t="s">
        <v>294</v>
      </c>
      <c r="P194" s="426"/>
      <c r="Q194" s="426"/>
      <c r="R194" s="426"/>
      <c r="S194" s="426"/>
      <c r="T194" s="426"/>
      <c r="X194" s="581" t="s">
        <v>294</v>
      </c>
      <c r="Y194" s="581"/>
      <c r="Z194" s="581"/>
      <c r="AA194" s="581"/>
      <c r="AB194" s="581"/>
      <c r="AC194" s="581"/>
      <c r="AD194" s="172"/>
      <c r="AH194" s="581" t="s">
        <v>309</v>
      </c>
      <c r="AI194" s="581"/>
      <c r="AJ194" s="581"/>
      <c r="AK194" s="581"/>
      <c r="AL194" s="581"/>
      <c r="AM194" s="581"/>
    </row>
    <row r="195" spans="5:40">
      <c r="E195">
        <v>2020</v>
      </c>
      <c r="F195" s="320" t="s">
        <v>240</v>
      </c>
      <c r="G195" s="320" t="s">
        <v>240</v>
      </c>
      <c r="H195" s="63">
        <f>('Demographic-Economic'!E$24*1000*(1+'Inflation-Interest'!$C$65)*(1+'Inflation-Interest'!$C$66)*(1+'Inflation-Interest'!$C$67))*$C$5/H43</f>
        <v>1018.2903803185008</v>
      </c>
      <c r="I195" s="63">
        <f>('Demographic-Economic'!F$24*1000*(1+'Inflation-Interest'!$C$65)*(1+'Inflation-Interest'!$C$66)*(1+'Inflation-Interest'!$C$67))*$C$5/I43</f>
        <v>2896.1183796752825</v>
      </c>
      <c r="J195" s="63">
        <f>('Demographic-Economic'!G$24*1000*(1+'Inflation-Interest'!$C$65)*(1+'Inflation-Interest'!$C$66)*(1+'Inflation-Interest'!$C$67))*$C$5/J43</f>
        <v>2386.6253515362409</v>
      </c>
      <c r="K195" s="63">
        <f>('Demographic-Economic'!H$24*1000*(1+'Inflation-Interest'!$C$65)*(1+'Inflation-Interest'!$C$66)*(1+'Inflation-Interest'!$C$67))*$C$5/K43</f>
        <v>897.79117446590101</v>
      </c>
      <c r="L195" s="63">
        <f t="shared" ref="L195:L212" si="86">AVERAGE(H195:K195)</f>
        <v>1799.7063214989814</v>
      </c>
      <c r="M195" s="63"/>
      <c r="N195">
        <v>2020</v>
      </c>
      <c r="O195" s="320" t="s">
        <v>240</v>
      </c>
      <c r="P195" s="320" t="s">
        <v>240</v>
      </c>
      <c r="Q195" s="170">
        <f>('Demographic-Economic'!E$24*1000*(1+'Inflation-Interest'!$C$65)*(1+'Inflation-Interest'!$C$66)*(1+'Inflation-Interest'!$C$67))*$C$5/H43</f>
        <v>1018.2903803185008</v>
      </c>
      <c r="R195" s="170">
        <f>('Demographic-Economic'!F$24*1000*(1+'Inflation-Interest'!$C$65)*(1+'Inflation-Interest'!$C$66)*(1+'Inflation-Interest'!$C$67))*$C$5/I43</f>
        <v>2896.1183796752825</v>
      </c>
      <c r="S195" s="170">
        <f>('Demographic-Economic'!G$24*1000*(1+'Inflation-Interest'!$C$65)*(1+'Inflation-Interest'!$C$66)*(1+'Inflation-Interest'!$C$67))*$C$5/J43</f>
        <v>2386.6253515362409</v>
      </c>
      <c r="T195" s="170">
        <f>('Demographic-Economic'!H$24*1000*(1+'Inflation-Interest'!$C$65)*(1+'Inflation-Interest'!$C$66)*(1+'Inflation-Interest'!$C$67))*$C$5/K43</f>
        <v>897.79117446590101</v>
      </c>
      <c r="U195" s="172">
        <f>AVERAGE(Q195:T195)</f>
        <v>1799.7063214989814</v>
      </c>
      <c r="W195">
        <v>2020</v>
      </c>
      <c r="X195" s="320" t="s">
        <v>240</v>
      </c>
      <c r="Y195" s="320" t="s">
        <v>240</v>
      </c>
      <c r="Z195" s="170">
        <f>('Demographic-Economic'!E$24*1000*(1+'Inflation-Interest'!$C$65)*(1+'Inflation-Interest'!$C$66)*(1+'Inflation-Interest'!$C$67))*$C$5/Z43</f>
        <v>1018.2903803185008</v>
      </c>
      <c r="AA195" s="170">
        <f>('Demographic-Economic'!F$24*1000*(1+'Inflation-Interest'!$C$65)*(1+'Inflation-Interest'!$C$66)*(1+'Inflation-Interest'!$C$67))*$C$5/AA43</f>
        <v>2896.1183796752825</v>
      </c>
      <c r="AB195" s="170">
        <f>('Demographic-Economic'!G$24*1000*(1+'Inflation-Interest'!$C$65)*(1+'Inflation-Interest'!$C$66)*(1+'Inflation-Interest'!$C$67))*$C$5/AB43</f>
        <v>2386.6253515362409</v>
      </c>
      <c r="AC195" s="170">
        <f>('Demographic-Economic'!H$24*1000*(1+'Inflation-Interest'!$C$65)*(1+'Inflation-Interest'!$C$66)*(1+'Inflation-Interest'!$C$67))*$C$5/AC43</f>
        <v>897.79117446590101</v>
      </c>
      <c r="AD195" s="172">
        <f xml:space="preserve"> AVERAGE(Z195:AC195)</f>
        <v>1799.7063214989814</v>
      </c>
      <c r="AG195">
        <v>2020</v>
      </c>
      <c r="AH195" t="s">
        <v>240</v>
      </c>
      <c r="AI195" t="s">
        <v>240</v>
      </c>
      <c r="AJ195" s="170">
        <f>('Demographic-Economic'!E$24*1000*(1+'Inflation-Interest'!$C$65)*(1+'Inflation-Interest'!$C$66)*(1+'Inflation-Interest'!$C$67))*$C$5/AJ43</f>
        <v>1018.2903803185008</v>
      </c>
      <c r="AK195" s="170">
        <f>('Demographic-Economic'!F$24*1000*(1+'Inflation-Interest'!$C$65)*(1+'Inflation-Interest'!$C$66)*(1+'Inflation-Interest'!$C$67))*$C$5/AK43</f>
        <v>2896.1183796752825</v>
      </c>
      <c r="AL195" s="170">
        <f>('Demographic-Economic'!G$24*1000*(1+'Inflation-Interest'!$C$65)*(1+'Inflation-Interest'!$C$66)*(1+'Inflation-Interest'!$C$67))*$C$5/AL43</f>
        <v>2386.6253515362409</v>
      </c>
      <c r="AM195" s="170">
        <f>('Demographic-Economic'!H$24*1000*(1+'Inflation-Interest'!$C$65)*(1+'Inflation-Interest'!$C$66)*(1+'Inflation-Interest'!$C$67))*$C$5/AM43</f>
        <v>897.79117446590101</v>
      </c>
      <c r="AN195" s="172">
        <f t="shared" ref="AN195:AN212" si="87">AVERAGE(AJ195:AM195)</f>
        <v>1799.7063214989814</v>
      </c>
    </row>
    <row r="196" spans="5:40">
      <c r="E196">
        <v>2021</v>
      </c>
      <c r="F196" s="320" t="s">
        <v>240</v>
      </c>
      <c r="G196" s="320" t="s">
        <v>240</v>
      </c>
      <c r="H196" s="63">
        <f t="shared" ref="H196:K205" si="88">H195*(1+$C$6)</f>
        <v>1056.5161526203403</v>
      </c>
      <c r="I196" s="63">
        <f t="shared" si="88"/>
        <v>3004.8362502163095</v>
      </c>
      <c r="J196" s="63">
        <f t="shared" si="88"/>
        <v>2476.2172783784517</v>
      </c>
      <c r="K196" s="63">
        <f t="shared" si="88"/>
        <v>931.49350699603883</v>
      </c>
      <c r="L196" s="63">
        <f t="shared" si="86"/>
        <v>1867.2657970527853</v>
      </c>
      <c r="M196" s="63"/>
      <c r="N196">
        <v>2021</v>
      </c>
      <c r="O196" s="320" t="s">
        <v>240</v>
      </c>
      <c r="P196" s="320" t="s">
        <v>240</v>
      </c>
      <c r="Q196" s="63">
        <f t="shared" ref="Q196:T205" si="89">Q195*(1+$C$6)</f>
        <v>1056.5161526203403</v>
      </c>
      <c r="R196" s="63">
        <f t="shared" si="89"/>
        <v>3004.8362502163095</v>
      </c>
      <c r="S196" s="63">
        <f t="shared" si="89"/>
        <v>2476.2172783784517</v>
      </c>
      <c r="T196" s="63">
        <f t="shared" si="89"/>
        <v>931.49350699603883</v>
      </c>
      <c r="U196" s="172">
        <f t="shared" ref="U196:U212" si="90">AVERAGE(Q196:T196)</f>
        <v>1867.2657970527853</v>
      </c>
      <c r="W196">
        <v>2021</v>
      </c>
      <c r="X196" s="320" t="s">
        <v>240</v>
      </c>
      <c r="Y196" s="320" t="s">
        <v>240</v>
      </c>
      <c r="Z196" s="170">
        <f t="shared" ref="Z196:Z205" si="91">Z195*(1+$C$6)</f>
        <v>1056.5161526203403</v>
      </c>
      <c r="AA196" s="170">
        <f t="shared" ref="AA196:AA205" si="92">AA195*(1+$C$6)</f>
        <v>3004.8362502163095</v>
      </c>
      <c r="AB196" s="170">
        <f t="shared" ref="AB196:AB205" si="93">AB195*(1+$C$6)</f>
        <v>2476.2172783784517</v>
      </c>
      <c r="AC196" s="170">
        <f t="shared" ref="AC196:AC205" si="94">AC195*(1+$C$6)</f>
        <v>931.49350699603883</v>
      </c>
      <c r="AD196" s="172">
        <f t="shared" ref="AD196:AD212" si="95" xml:space="preserve"> AVERAGE(Z196:AC196)</f>
        <v>1867.2657970527853</v>
      </c>
      <c r="AG196">
        <v>2021</v>
      </c>
      <c r="AH196" t="s">
        <v>240</v>
      </c>
      <c r="AI196" t="s">
        <v>240</v>
      </c>
      <c r="AJ196" s="170">
        <f>AJ195*(1+$C$6)^($AG196-$AG195)</f>
        <v>1056.5161526203403</v>
      </c>
      <c r="AK196" s="170">
        <f t="shared" ref="AK196:AM211" si="96">AK195*(1+$C$6)^($AG196-$AG195)</f>
        <v>3004.8362502163095</v>
      </c>
      <c r="AL196" s="170">
        <f t="shared" si="96"/>
        <v>2476.2172783784517</v>
      </c>
      <c r="AM196" s="170">
        <f t="shared" si="96"/>
        <v>931.49350699603883</v>
      </c>
      <c r="AN196" s="172">
        <f t="shared" si="87"/>
        <v>1867.2657970527853</v>
      </c>
    </row>
    <row r="197" spans="5:40">
      <c r="E197">
        <v>2022</v>
      </c>
      <c r="F197" s="320" t="s">
        <v>240</v>
      </c>
      <c r="G197" s="320" t="s">
        <v>240</v>
      </c>
      <c r="H197" s="63">
        <f t="shared" si="88"/>
        <v>1096.1768885595807</v>
      </c>
      <c r="I197" s="63">
        <f t="shared" si="88"/>
        <v>3117.6352990192213</v>
      </c>
      <c r="J197" s="63">
        <f t="shared" si="88"/>
        <v>2569.1724114943804</v>
      </c>
      <c r="K197" s="63">
        <f t="shared" si="88"/>
        <v>966.46099700408092</v>
      </c>
      <c r="L197" s="63">
        <f t="shared" si="86"/>
        <v>1937.361399019316</v>
      </c>
      <c r="M197" s="63"/>
      <c r="N197">
        <v>2022</v>
      </c>
      <c r="O197" s="320" t="s">
        <v>240</v>
      </c>
      <c r="P197" s="320" t="s">
        <v>240</v>
      </c>
      <c r="Q197" s="63">
        <f t="shared" si="89"/>
        <v>1096.1768885595807</v>
      </c>
      <c r="R197" s="63">
        <f t="shared" si="89"/>
        <v>3117.6352990192213</v>
      </c>
      <c r="S197" s="63">
        <f t="shared" si="89"/>
        <v>2569.1724114943804</v>
      </c>
      <c r="T197" s="63">
        <f t="shared" si="89"/>
        <v>966.46099700408092</v>
      </c>
      <c r="U197" s="172">
        <f t="shared" si="90"/>
        <v>1937.361399019316</v>
      </c>
      <c r="W197">
        <v>2022</v>
      </c>
      <c r="X197" s="320" t="s">
        <v>240</v>
      </c>
      <c r="Y197" s="320" t="s">
        <v>240</v>
      </c>
      <c r="Z197" s="170">
        <f t="shared" si="91"/>
        <v>1096.1768885595807</v>
      </c>
      <c r="AA197" s="170">
        <f t="shared" si="92"/>
        <v>3117.6352990192213</v>
      </c>
      <c r="AB197" s="170">
        <f t="shared" si="93"/>
        <v>2569.1724114943804</v>
      </c>
      <c r="AC197" s="170">
        <f t="shared" si="94"/>
        <v>966.46099700408092</v>
      </c>
      <c r="AD197" s="172">
        <f t="shared" si="95"/>
        <v>1937.361399019316</v>
      </c>
      <c r="AG197">
        <v>2022</v>
      </c>
      <c r="AH197" t="s">
        <v>240</v>
      </c>
      <c r="AI197" t="s">
        <v>240</v>
      </c>
      <c r="AJ197" s="170">
        <f t="shared" ref="AJ197:AJ212" si="97">AJ196*(1+$C$6)^($AG197-$AG196)</f>
        <v>1096.1768885595807</v>
      </c>
      <c r="AK197" s="170">
        <f t="shared" si="96"/>
        <v>3117.6352990192213</v>
      </c>
      <c r="AL197" s="170">
        <f t="shared" si="96"/>
        <v>2569.1724114943804</v>
      </c>
      <c r="AM197" s="170">
        <f t="shared" si="96"/>
        <v>966.46099700408092</v>
      </c>
      <c r="AN197" s="172">
        <f t="shared" si="87"/>
        <v>1937.361399019316</v>
      </c>
    </row>
    <row r="198" spans="5:40">
      <c r="E198">
        <v>2023</v>
      </c>
      <c r="F198" s="320" t="s">
        <v>240</v>
      </c>
      <c r="G198" s="320" t="s">
        <v>240</v>
      </c>
      <c r="H198" s="63">
        <f t="shared" si="88"/>
        <v>1137.3264554753669</v>
      </c>
      <c r="I198" s="63">
        <f t="shared" si="88"/>
        <v>3234.6687301149868</v>
      </c>
      <c r="J198" s="63">
        <f t="shared" si="88"/>
        <v>2665.6170028448701</v>
      </c>
      <c r="K198" s="63">
        <f t="shared" si="88"/>
        <v>1002.74113744745</v>
      </c>
      <c r="L198" s="63">
        <f t="shared" si="86"/>
        <v>2010.0883314706684</v>
      </c>
      <c r="M198" s="63"/>
      <c r="N198">
        <v>2023</v>
      </c>
      <c r="O198" s="320" t="s">
        <v>240</v>
      </c>
      <c r="P198" s="320" t="s">
        <v>240</v>
      </c>
      <c r="Q198" s="63">
        <f t="shared" si="89"/>
        <v>1137.3264554753669</v>
      </c>
      <c r="R198" s="63">
        <f t="shared" si="89"/>
        <v>3234.6687301149868</v>
      </c>
      <c r="S198" s="63">
        <f t="shared" si="89"/>
        <v>2665.6170028448701</v>
      </c>
      <c r="T198" s="63">
        <f t="shared" si="89"/>
        <v>1002.74113744745</v>
      </c>
      <c r="U198" s="172">
        <f t="shared" si="90"/>
        <v>2010.0883314706684</v>
      </c>
      <c r="W198">
        <v>2023</v>
      </c>
      <c r="X198" s="320" t="s">
        <v>240</v>
      </c>
      <c r="Y198" s="320" t="s">
        <v>240</v>
      </c>
      <c r="Z198" s="170">
        <f t="shared" si="91"/>
        <v>1137.3264554753669</v>
      </c>
      <c r="AA198" s="170">
        <f t="shared" si="92"/>
        <v>3234.6687301149868</v>
      </c>
      <c r="AB198" s="170">
        <f t="shared" si="93"/>
        <v>2665.6170028448701</v>
      </c>
      <c r="AC198" s="170">
        <f t="shared" si="94"/>
        <v>1002.74113744745</v>
      </c>
      <c r="AD198" s="172">
        <f t="shared" si="95"/>
        <v>2010.0883314706684</v>
      </c>
      <c r="AG198">
        <v>2023</v>
      </c>
      <c r="AH198" t="s">
        <v>240</v>
      </c>
      <c r="AI198" t="s">
        <v>240</v>
      </c>
      <c r="AJ198" s="170">
        <f t="shared" si="97"/>
        <v>1137.3264554753669</v>
      </c>
      <c r="AK198" s="170">
        <f t="shared" si="96"/>
        <v>3234.6687301149868</v>
      </c>
      <c r="AL198" s="170">
        <f t="shared" si="96"/>
        <v>2665.6170028448701</v>
      </c>
      <c r="AM198" s="170">
        <f t="shared" si="96"/>
        <v>1002.74113744745</v>
      </c>
      <c r="AN198" s="172">
        <f t="shared" si="87"/>
        <v>2010.0883314706684</v>
      </c>
    </row>
    <row r="199" spans="5:40">
      <c r="E199">
        <v>2024</v>
      </c>
      <c r="F199" s="320" t="s">
        <v>240</v>
      </c>
      <c r="G199" s="320" t="s">
        <v>240</v>
      </c>
      <c r="H199" s="63">
        <f t="shared" si="88"/>
        <v>1180.020742841866</v>
      </c>
      <c r="I199" s="63">
        <f t="shared" si="88"/>
        <v>3356.0954986862284</v>
      </c>
      <c r="J199" s="63">
        <f t="shared" si="88"/>
        <v>2765.6820437841643</v>
      </c>
      <c r="K199" s="63">
        <f t="shared" si="88"/>
        <v>1040.3832041296127</v>
      </c>
      <c r="L199" s="63">
        <f t="shared" si="86"/>
        <v>2085.5453723604678</v>
      </c>
      <c r="M199" s="63"/>
      <c r="N199">
        <v>2024</v>
      </c>
      <c r="O199" s="320" t="s">
        <v>240</v>
      </c>
      <c r="P199" s="320" t="s">
        <v>240</v>
      </c>
      <c r="Q199" s="63">
        <f t="shared" si="89"/>
        <v>1180.020742841866</v>
      </c>
      <c r="R199" s="63">
        <f t="shared" si="89"/>
        <v>3356.0954986862284</v>
      </c>
      <c r="S199" s="63">
        <f t="shared" si="89"/>
        <v>2765.6820437841643</v>
      </c>
      <c r="T199" s="63">
        <f t="shared" si="89"/>
        <v>1040.3832041296127</v>
      </c>
      <c r="U199" s="172">
        <f t="shared" si="90"/>
        <v>2085.5453723604678</v>
      </c>
      <c r="W199">
        <v>2024</v>
      </c>
      <c r="X199" s="320" t="s">
        <v>240</v>
      </c>
      <c r="Y199" s="320" t="s">
        <v>240</v>
      </c>
      <c r="Z199" s="170">
        <f t="shared" si="91"/>
        <v>1180.020742841866</v>
      </c>
      <c r="AA199" s="170">
        <f t="shared" si="92"/>
        <v>3356.0954986862284</v>
      </c>
      <c r="AB199" s="170">
        <f t="shared" si="93"/>
        <v>2765.6820437841643</v>
      </c>
      <c r="AC199" s="170">
        <f t="shared" si="94"/>
        <v>1040.3832041296127</v>
      </c>
      <c r="AD199" s="172">
        <f t="shared" si="95"/>
        <v>2085.5453723604678</v>
      </c>
      <c r="AG199">
        <v>2024</v>
      </c>
      <c r="AH199" t="s">
        <v>240</v>
      </c>
      <c r="AI199" t="s">
        <v>240</v>
      </c>
      <c r="AJ199" s="170">
        <f t="shared" si="97"/>
        <v>1180.020742841866</v>
      </c>
      <c r="AK199" s="170">
        <f t="shared" si="96"/>
        <v>3356.0954986862284</v>
      </c>
      <c r="AL199" s="170">
        <f t="shared" si="96"/>
        <v>2765.6820437841643</v>
      </c>
      <c r="AM199" s="170">
        <f t="shared" si="96"/>
        <v>1040.3832041296127</v>
      </c>
      <c r="AN199" s="172">
        <f t="shared" si="87"/>
        <v>2085.5453723604678</v>
      </c>
    </row>
    <row r="200" spans="5:40">
      <c r="E200">
        <v>2025</v>
      </c>
      <c r="F200" s="320" t="s">
        <v>240</v>
      </c>
      <c r="G200" s="320" t="s">
        <v>240</v>
      </c>
      <c r="H200" s="63">
        <f t="shared" si="88"/>
        <v>1224.3177381775306</v>
      </c>
      <c r="I200" s="63">
        <f t="shared" si="88"/>
        <v>3482.0805269606608</v>
      </c>
      <c r="J200" s="63">
        <f t="shared" si="88"/>
        <v>2869.5034429727853</v>
      </c>
      <c r="K200" s="63">
        <f t="shared" si="88"/>
        <v>1079.438322626635</v>
      </c>
      <c r="L200" s="63">
        <f t="shared" si="86"/>
        <v>2163.8350076844026</v>
      </c>
      <c r="M200" s="63"/>
      <c r="N200">
        <v>2025</v>
      </c>
      <c r="O200" s="320" t="s">
        <v>240</v>
      </c>
      <c r="P200" s="320" t="s">
        <v>240</v>
      </c>
      <c r="Q200" s="63">
        <f t="shared" si="89"/>
        <v>1224.3177381775306</v>
      </c>
      <c r="R200" s="63">
        <f t="shared" si="89"/>
        <v>3482.0805269606608</v>
      </c>
      <c r="S200" s="63">
        <f t="shared" si="89"/>
        <v>2869.5034429727853</v>
      </c>
      <c r="T200" s="63">
        <f t="shared" si="89"/>
        <v>1079.438322626635</v>
      </c>
      <c r="U200" s="172">
        <f t="shared" si="90"/>
        <v>2163.8350076844026</v>
      </c>
      <c r="W200">
        <v>2025</v>
      </c>
      <c r="X200" s="320" t="s">
        <v>240</v>
      </c>
      <c r="Y200" s="320" t="s">
        <v>240</v>
      </c>
      <c r="Z200" s="170">
        <f t="shared" si="91"/>
        <v>1224.3177381775306</v>
      </c>
      <c r="AA200" s="170">
        <f t="shared" si="92"/>
        <v>3482.0805269606608</v>
      </c>
      <c r="AB200" s="170">
        <f t="shared" si="93"/>
        <v>2869.5034429727853</v>
      </c>
      <c r="AC200" s="170">
        <f t="shared" si="94"/>
        <v>1079.438322626635</v>
      </c>
      <c r="AD200" s="172">
        <f t="shared" si="95"/>
        <v>2163.8350076844026</v>
      </c>
      <c r="AG200">
        <v>2025</v>
      </c>
      <c r="AH200" t="s">
        <v>240</v>
      </c>
      <c r="AI200" t="s">
        <v>240</v>
      </c>
      <c r="AJ200" s="170">
        <f t="shared" si="97"/>
        <v>1224.3177381775306</v>
      </c>
      <c r="AK200" s="170">
        <f t="shared" si="96"/>
        <v>3482.0805269606608</v>
      </c>
      <c r="AL200" s="170">
        <f t="shared" si="96"/>
        <v>2869.5034429727853</v>
      </c>
      <c r="AM200" s="170">
        <f t="shared" si="96"/>
        <v>1079.438322626635</v>
      </c>
      <c r="AN200" s="172">
        <f t="shared" si="87"/>
        <v>2163.8350076844026</v>
      </c>
    </row>
    <row r="201" spans="5:40">
      <c r="E201">
        <v>2026</v>
      </c>
      <c r="F201" s="320" t="s">
        <v>240</v>
      </c>
      <c r="G201" s="320" t="s">
        <v>240</v>
      </c>
      <c r="H201" s="63">
        <f t="shared" si="88"/>
        <v>1270.2776058039333</v>
      </c>
      <c r="I201" s="63">
        <f t="shared" si="88"/>
        <v>3612.7949282089917</v>
      </c>
      <c r="J201" s="63">
        <f t="shared" si="88"/>
        <v>2977.2222109691147</v>
      </c>
      <c r="K201" s="63">
        <f t="shared" si="88"/>
        <v>1119.9595377261035</v>
      </c>
      <c r="L201" s="63">
        <f t="shared" si="86"/>
        <v>2245.0635706770358</v>
      </c>
      <c r="M201" s="63"/>
      <c r="N201">
        <v>2026</v>
      </c>
      <c r="O201" s="320" t="s">
        <v>240</v>
      </c>
      <c r="P201" s="320" t="s">
        <v>240</v>
      </c>
      <c r="Q201" s="63">
        <f t="shared" si="89"/>
        <v>1270.2776058039333</v>
      </c>
      <c r="R201" s="63">
        <f t="shared" si="89"/>
        <v>3612.7949282089917</v>
      </c>
      <c r="S201" s="63">
        <f t="shared" si="89"/>
        <v>2977.2222109691147</v>
      </c>
      <c r="T201" s="63">
        <f t="shared" si="89"/>
        <v>1119.9595377261035</v>
      </c>
      <c r="U201" s="172">
        <f t="shared" si="90"/>
        <v>2245.0635706770358</v>
      </c>
      <c r="W201">
        <v>2026</v>
      </c>
      <c r="X201" s="320" t="s">
        <v>240</v>
      </c>
      <c r="Y201" s="320" t="s">
        <v>240</v>
      </c>
      <c r="Z201" s="170">
        <f t="shared" si="91"/>
        <v>1270.2776058039333</v>
      </c>
      <c r="AA201" s="170">
        <f t="shared" si="92"/>
        <v>3612.7949282089917</v>
      </c>
      <c r="AB201" s="170">
        <f t="shared" si="93"/>
        <v>2977.2222109691147</v>
      </c>
      <c r="AC201" s="170">
        <f t="shared" si="94"/>
        <v>1119.9595377261035</v>
      </c>
      <c r="AD201" s="172">
        <f t="shared" si="95"/>
        <v>2245.0635706770358</v>
      </c>
      <c r="AG201">
        <v>2026</v>
      </c>
      <c r="AH201" t="s">
        <v>240</v>
      </c>
      <c r="AI201" t="s">
        <v>240</v>
      </c>
      <c r="AJ201" s="170">
        <f t="shared" si="97"/>
        <v>1270.2776058039333</v>
      </c>
      <c r="AK201" s="170">
        <f t="shared" si="96"/>
        <v>3612.7949282089917</v>
      </c>
      <c r="AL201" s="170">
        <f t="shared" si="96"/>
        <v>2977.2222109691147</v>
      </c>
      <c r="AM201" s="170">
        <f t="shared" si="96"/>
        <v>1119.9595377261035</v>
      </c>
      <c r="AN201" s="172">
        <f t="shared" si="87"/>
        <v>2245.0635706770358</v>
      </c>
    </row>
    <row r="202" spans="5:40">
      <c r="E202">
        <v>2027</v>
      </c>
      <c r="F202" s="320" t="s">
        <v>240</v>
      </c>
      <c r="G202" s="320" t="s">
        <v>240</v>
      </c>
      <c r="H202" s="63">
        <f t="shared" si="88"/>
        <v>1317.9627685611415</v>
      </c>
      <c r="I202" s="63">
        <f t="shared" si="88"/>
        <v>3748.4162391515169</v>
      </c>
      <c r="J202" s="63">
        <f t="shared" si="88"/>
        <v>3088.9846517503861</v>
      </c>
      <c r="K202" s="63">
        <f t="shared" si="88"/>
        <v>1162.0018854727266</v>
      </c>
      <c r="L202" s="63">
        <f t="shared" si="86"/>
        <v>2329.3413862339426</v>
      </c>
      <c r="M202" s="63"/>
      <c r="N202">
        <v>2027</v>
      </c>
      <c r="O202" s="320" t="s">
        <v>240</v>
      </c>
      <c r="P202" s="320" t="s">
        <v>240</v>
      </c>
      <c r="Q202" s="63">
        <f t="shared" si="89"/>
        <v>1317.9627685611415</v>
      </c>
      <c r="R202" s="63">
        <f t="shared" si="89"/>
        <v>3748.4162391515169</v>
      </c>
      <c r="S202" s="63">
        <f t="shared" si="89"/>
        <v>3088.9846517503861</v>
      </c>
      <c r="T202" s="63">
        <f t="shared" si="89"/>
        <v>1162.0018854727266</v>
      </c>
      <c r="U202" s="172">
        <f t="shared" si="90"/>
        <v>2329.3413862339426</v>
      </c>
      <c r="W202">
        <v>2027</v>
      </c>
      <c r="X202" s="320" t="s">
        <v>240</v>
      </c>
      <c r="Y202" s="320" t="s">
        <v>240</v>
      </c>
      <c r="Z202" s="170">
        <f t="shared" si="91"/>
        <v>1317.9627685611415</v>
      </c>
      <c r="AA202" s="170">
        <f t="shared" si="92"/>
        <v>3748.4162391515169</v>
      </c>
      <c r="AB202" s="170">
        <f t="shared" si="93"/>
        <v>3088.9846517503861</v>
      </c>
      <c r="AC202" s="170">
        <f t="shared" si="94"/>
        <v>1162.0018854727266</v>
      </c>
      <c r="AD202" s="172">
        <f t="shared" si="95"/>
        <v>2329.3413862339426</v>
      </c>
      <c r="AG202">
        <v>2027</v>
      </c>
      <c r="AH202" t="s">
        <v>240</v>
      </c>
      <c r="AI202" t="s">
        <v>240</v>
      </c>
      <c r="AJ202" s="170">
        <f t="shared" si="97"/>
        <v>1317.9627685611415</v>
      </c>
      <c r="AK202" s="170">
        <f t="shared" si="96"/>
        <v>3748.4162391515169</v>
      </c>
      <c r="AL202" s="170">
        <f t="shared" si="96"/>
        <v>3088.9846517503861</v>
      </c>
      <c r="AM202" s="170">
        <f t="shared" si="96"/>
        <v>1162.0018854727266</v>
      </c>
      <c r="AN202" s="172">
        <f t="shared" si="87"/>
        <v>2329.3413862339426</v>
      </c>
    </row>
    <row r="203" spans="5:40">
      <c r="E203">
        <v>2028</v>
      </c>
      <c r="F203" s="320" t="s">
        <v>240</v>
      </c>
      <c r="G203" s="320" t="s">
        <v>240</v>
      </c>
      <c r="H203" s="63">
        <f t="shared" si="88"/>
        <v>1367.4379925906196</v>
      </c>
      <c r="I203" s="63">
        <f t="shared" si="88"/>
        <v>3889.1286610890656</v>
      </c>
      <c r="J203" s="63">
        <f t="shared" si="88"/>
        <v>3204.9425614232191</v>
      </c>
      <c r="K203" s="63">
        <f t="shared" si="88"/>
        <v>1205.6224679184681</v>
      </c>
      <c r="L203" s="63">
        <f t="shared" si="86"/>
        <v>2416.7829207553432</v>
      </c>
      <c r="M203" s="63"/>
      <c r="N203">
        <v>2028</v>
      </c>
      <c r="O203" s="320" t="s">
        <v>240</v>
      </c>
      <c r="P203" s="320" t="s">
        <v>240</v>
      </c>
      <c r="Q203" s="63">
        <f t="shared" si="89"/>
        <v>1367.4379925906196</v>
      </c>
      <c r="R203" s="63">
        <f t="shared" si="89"/>
        <v>3889.1286610890656</v>
      </c>
      <c r="S203" s="63">
        <f t="shared" si="89"/>
        <v>3204.9425614232191</v>
      </c>
      <c r="T203" s="63">
        <f t="shared" si="89"/>
        <v>1205.6224679184681</v>
      </c>
      <c r="U203" s="172">
        <f t="shared" si="90"/>
        <v>2416.7829207553432</v>
      </c>
      <c r="W203">
        <v>2028</v>
      </c>
      <c r="X203" s="320" t="s">
        <v>240</v>
      </c>
      <c r="Y203" s="320" t="s">
        <v>240</v>
      </c>
      <c r="Z203" s="170">
        <f t="shared" si="91"/>
        <v>1367.4379925906196</v>
      </c>
      <c r="AA203" s="170">
        <f t="shared" si="92"/>
        <v>3889.1286610890656</v>
      </c>
      <c r="AB203" s="170">
        <f t="shared" si="93"/>
        <v>3204.9425614232191</v>
      </c>
      <c r="AC203" s="170">
        <f t="shared" si="94"/>
        <v>1205.6224679184681</v>
      </c>
      <c r="AD203" s="172">
        <f t="shared" si="95"/>
        <v>2416.7829207553432</v>
      </c>
      <c r="AG203">
        <v>2028</v>
      </c>
      <c r="AH203" t="s">
        <v>240</v>
      </c>
      <c r="AI203" t="s">
        <v>240</v>
      </c>
      <c r="AJ203" s="170">
        <f t="shared" si="97"/>
        <v>1367.4379925906196</v>
      </c>
      <c r="AK203" s="170">
        <f t="shared" si="96"/>
        <v>3889.1286610890656</v>
      </c>
      <c r="AL203" s="170">
        <f t="shared" si="96"/>
        <v>3204.9425614232191</v>
      </c>
      <c r="AM203" s="170">
        <f t="shared" si="96"/>
        <v>1205.6224679184681</v>
      </c>
      <c r="AN203" s="172">
        <f t="shared" si="87"/>
        <v>2416.7829207553432</v>
      </c>
    </row>
    <row r="204" spans="5:40">
      <c r="E204">
        <v>2029</v>
      </c>
      <c r="F204" s="320" t="s">
        <v>240</v>
      </c>
      <c r="G204" s="320" t="s">
        <v>240</v>
      </c>
      <c r="H204" s="63">
        <f t="shared" si="88"/>
        <v>1418.7704753008111</v>
      </c>
      <c r="I204" s="63">
        <f t="shared" si="88"/>
        <v>4035.1233100857985</v>
      </c>
      <c r="J204" s="63">
        <f t="shared" si="88"/>
        <v>3325.253434393579</v>
      </c>
      <c r="K204" s="63">
        <f t="shared" si="88"/>
        <v>1250.8805306787376</v>
      </c>
      <c r="L204" s="63">
        <f t="shared" si="86"/>
        <v>2507.5069376147317</v>
      </c>
      <c r="M204" s="63"/>
      <c r="N204">
        <v>2029</v>
      </c>
      <c r="O204" s="320" t="s">
        <v>240</v>
      </c>
      <c r="P204" s="320" t="s">
        <v>240</v>
      </c>
      <c r="Q204" s="63">
        <f t="shared" si="89"/>
        <v>1418.7704753008111</v>
      </c>
      <c r="R204" s="63">
        <f t="shared" si="89"/>
        <v>4035.1233100857985</v>
      </c>
      <c r="S204" s="63">
        <f t="shared" si="89"/>
        <v>3325.253434393579</v>
      </c>
      <c r="T204" s="63">
        <f t="shared" si="89"/>
        <v>1250.8805306787376</v>
      </c>
      <c r="U204" s="172">
        <f t="shared" si="90"/>
        <v>2507.5069376147317</v>
      </c>
      <c r="W204">
        <v>2029</v>
      </c>
      <c r="X204" s="320" t="s">
        <v>240</v>
      </c>
      <c r="Y204" s="320" t="s">
        <v>240</v>
      </c>
      <c r="Z204" s="170">
        <f t="shared" si="91"/>
        <v>1418.7704753008111</v>
      </c>
      <c r="AA204" s="170">
        <f t="shared" si="92"/>
        <v>4035.1233100857985</v>
      </c>
      <c r="AB204" s="170">
        <f t="shared" si="93"/>
        <v>3325.253434393579</v>
      </c>
      <c r="AC204" s="170">
        <f t="shared" si="94"/>
        <v>1250.8805306787376</v>
      </c>
      <c r="AD204" s="172">
        <f t="shared" si="95"/>
        <v>2507.5069376147317</v>
      </c>
      <c r="AG204">
        <v>2029</v>
      </c>
      <c r="AH204" t="s">
        <v>240</v>
      </c>
      <c r="AI204" t="s">
        <v>240</v>
      </c>
      <c r="AJ204" s="170">
        <f t="shared" si="97"/>
        <v>1418.7704753008111</v>
      </c>
      <c r="AK204" s="170">
        <f t="shared" si="96"/>
        <v>4035.1233100857985</v>
      </c>
      <c r="AL204" s="170">
        <f t="shared" si="96"/>
        <v>3325.253434393579</v>
      </c>
      <c r="AM204" s="170">
        <f t="shared" si="96"/>
        <v>1250.8805306787376</v>
      </c>
      <c r="AN204" s="172">
        <f t="shared" si="87"/>
        <v>2507.5069376147317</v>
      </c>
    </row>
    <row r="205" spans="5:40">
      <c r="E205">
        <v>2030</v>
      </c>
      <c r="F205" s="320" t="s">
        <v>240</v>
      </c>
      <c r="G205" s="320" t="s">
        <v>240</v>
      </c>
      <c r="H205" s="63">
        <f t="shared" si="88"/>
        <v>1472.029936634874</v>
      </c>
      <c r="I205" s="63">
        <f t="shared" si="88"/>
        <v>4186.5984765436606</v>
      </c>
      <c r="J205" s="63">
        <f t="shared" si="88"/>
        <v>3450.0806772761853</v>
      </c>
      <c r="K205" s="63">
        <f t="shared" si="88"/>
        <v>1297.8375433999752</v>
      </c>
      <c r="L205" s="63">
        <f t="shared" si="86"/>
        <v>2601.6366584636735</v>
      </c>
      <c r="M205" s="63"/>
      <c r="N205">
        <v>2030</v>
      </c>
      <c r="O205" s="320" t="s">
        <v>240</v>
      </c>
      <c r="P205" s="320" t="s">
        <v>240</v>
      </c>
      <c r="Q205" s="63">
        <f t="shared" si="89"/>
        <v>1472.029936634874</v>
      </c>
      <c r="R205" s="63">
        <f t="shared" si="89"/>
        <v>4186.5984765436606</v>
      </c>
      <c r="S205" s="63">
        <f t="shared" si="89"/>
        <v>3450.0806772761853</v>
      </c>
      <c r="T205" s="63">
        <f t="shared" si="89"/>
        <v>1297.8375433999752</v>
      </c>
      <c r="U205" s="172">
        <f t="shared" si="90"/>
        <v>2601.6366584636735</v>
      </c>
      <c r="W205">
        <v>2030</v>
      </c>
      <c r="X205" s="320" t="s">
        <v>240</v>
      </c>
      <c r="Y205" s="320" t="s">
        <v>240</v>
      </c>
      <c r="Z205" s="170">
        <f t="shared" si="91"/>
        <v>1472.029936634874</v>
      </c>
      <c r="AA205" s="170">
        <f t="shared" si="92"/>
        <v>4186.5984765436606</v>
      </c>
      <c r="AB205" s="170">
        <f t="shared" si="93"/>
        <v>3450.0806772761853</v>
      </c>
      <c r="AC205" s="170">
        <f t="shared" si="94"/>
        <v>1297.8375433999752</v>
      </c>
      <c r="AD205" s="172">
        <f t="shared" si="95"/>
        <v>2601.6366584636735</v>
      </c>
      <c r="AG205">
        <v>2030</v>
      </c>
      <c r="AH205" t="s">
        <v>240</v>
      </c>
      <c r="AI205" t="s">
        <v>240</v>
      </c>
      <c r="AJ205" s="170">
        <f t="shared" si="97"/>
        <v>1472.029936634874</v>
      </c>
      <c r="AK205" s="170">
        <f t="shared" si="96"/>
        <v>4186.5984765436606</v>
      </c>
      <c r="AL205" s="170">
        <f t="shared" si="96"/>
        <v>3450.0806772761853</v>
      </c>
      <c r="AM205" s="170">
        <f t="shared" si="96"/>
        <v>1297.8375433999752</v>
      </c>
      <c r="AN205" s="172">
        <f t="shared" si="87"/>
        <v>2601.6366584636735</v>
      </c>
    </row>
    <row r="206" spans="5:40">
      <c r="E206">
        <v>2040</v>
      </c>
      <c r="F206" s="320" t="s">
        <v>240</v>
      </c>
      <c r="G206" s="320" t="s">
        <v>240</v>
      </c>
      <c r="H206" s="63">
        <f t="shared" ref="H206:K212" si="98">H205*(1+$C$6)^10</f>
        <v>2127.9510994413181</v>
      </c>
      <c r="I206" s="63">
        <f t="shared" si="98"/>
        <v>6052.1030241046037</v>
      </c>
      <c r="J206" s="63">
        <f t="shared" si="98"/>
        <v>4987.4005872151865</v>
      </c>
      <c r="K206" s="63">
        <f t="shared" si="98"/>
        <v>1876.1403954104665</v>
      </c>
      <c r="L206" s="63">
        <f t="shared" si="86"/>
        <v>3760.8987765428938</v>
      </c>
      <c r="M206" s="63"/>
      <c r="N206">
        <v>2040</v>
      </c>
      <c r="O206" s="320" t="s">
        <v>240</v>
      </c>
      <c r="P206" s="320" t="s">
        <v>240</v>
      </c>
      <c r="Q206" s="63">
        <f t="shared" ref="Q206:T212" si="99">Q205*(1+$C$6)^10</f>
        <v>2127.9510994413181</v>
      </c>
      <c r="R206" s="63">
        <f t="shared" si="99"/>
        <v>6052.1030241046037</v>
      </c>
      <c r="S206" s="63">
        <f t="shared" si="99"/>
        <v>4987.4005872151865</v>
      </c>
      <c r="T206" s="63">
        <f t="shared" si="99"/>
        <v>1876.1403954104665</v>
      </c>
      <c r="U206" s="172">
        <f t="shared" si="90"/>
        <v>3760.8987765428938</v>
      </c>
      <c r="W206">
        <v>2040</v>
      </c>
      <c r="X206" s="320" t="s">
        <v>240</v>
      </c>
      <c r="Y206" s="320" t="s">
        <v>240</v>
      </c>
      <c r="Z206" s="170">
        <f t="shared" ref="Z206:AC212" si="100">Z205*(1+$C$6)^10</f>
        <v>2127.9510994413181</v>
      </c>
      <c r="AA206" s="170">
        <f t="shared" si="100"/>
        <v>6052.1030241046037</v>
      </c>
      <c r="AB206" s="170">
        <f t="shared" si="100"/>
        <v>4987.4005872151865</v>
      </c>
      <c r="AC206" s="170">
        <f t="shared" si="100"/>
        <v>1876.1403954104665</v>
      </c>
      <c r="AD206" s="172">
        <f t="shared" si="95"/>
        <v>3760.8987765428938</v>
      </c>
      <c r="AG206">
        <v>2040</v>
      </c>
      <c r="AH206" t="s">
        <v>240</v>
      </c>
      <c r="AI206" t="s">
        <v>240</v>
      </c>
      <c r="AJ206" s="170">
        <f t="shared" si="97"/>
        <v>2127.9510994413181</v>
      </c>
      <c r="AK206" s="170">
        <f t="shared" si="96"/>
        <v>6052.1030241046037</v>
      </c>
      <c r="AL206" s="170">
        <f t="shared" si="96"/>
        <v>4987.4005872151865</v>
      </c>
      <c r="AM206" s="170">
        <f t="shared" si="96"/>
        <v>1876.1403954104665</v>
      </c>
      <c r="AN206" s="172">
        <f t="shared" si="87"/>
        <v>3760.8987765428938</v>
      </c>
    </row>
    <row r="207" spans="5:40">
      <c r="E207">
        <v>2050</v>
      </c>
      <c r="F207" s="320" t="s">
        <v>240</v>
      </c>
      <c r="G207" s="320" t="s">
        <v>240</v>
      </c>
      <c r="H207" s="63">
        <f t="shared" si="98"/>
        <v>3076.1438805824328</v>
      </c>
      <c r="I207" s="63">
        <f t="shared" si="98"/>
        <v>8748.8569108292195</v>
      </c>
      <c r="J207" s="63">
        <f t="shared" si="98"/>
        <v>7209.7341900399761</v>
      </c>
      <c r="K207" s="63">
        <f t="shared" si="98"/>
        <v>2712.1289572728574</v>
      </c>
      <c r="L207" s="63">
        <f t="shared" si="86"/>
        <v>5436.715984681121</v>
      </c>
      <c r="M207" s="63"/>
      <c r="N207">
        <v>2050</v>
      </c>
      <c r="O207" s="320" t="s">
        <v>240</v>
      </c>
      <c r="P207" s="320" t="s">
        <v>240</v>
      </c>
      <c r="Q207" s="63">
        <f t="shared" si="99"/>
        <v>3076.1438805824328</v>
      </c>
      <c r="R207" s="63">
        <f t="shared" si="99"/>
        <v>8748.8569108292195</v>
      </c>
      <c r="S207" s="63">
        <f t="shared" si="99"/>
        <v>7209.7341900399761</v>
      </c>
      <c r="T207" s="63">
        <f t="shared" si="99"/>
        <v>2712.1289572728574</v>
      </c>
      <c r="U207" s="172">
        <f t="shared" si="90"/>
        <v>5436.715984681121</v>
      </c>
      <c r="W207">
        <v>2050</v>
      </c>
      <c r="X207" s="320" t="s">
        <v>240</v>
      </c>
      <c r="Y207" s="320" t="s">
        <v>240</v>
      </c>
      <c r="Z207" s="170">
        <f t="shared" si="100"/>
        <v>3076.1438805824328</v>
      </c>
      <c r="AA207" s="170">
        <f t="shared" si="100"/>
        <v>8748.8569108292195</v>
      </c>
      <c r="AB207" s="170">
        <f t="shared" si="100"/>
        <v>7209.7341900399761</v>
      </c>
      <c r="AC207" s="170">
        <f t="shared" si="100"/>
        <v>2712.1289572728574</v>
      </c>
      <c r="AD207" s="172">
        <f t="shared" si="95"/>
        <v>5436.715984681121</v>
      </c>
      <c r="AG207">
        <v>2050</v>
      </c>
      <c r="AH207" t="s">
        <v>240</v>
      </c>
      <c r="AI207" t="s">
        <v>240</v>
      </c>
      <c r="AJ207" s="170">
        <f t="shared" si="97"/>
        <v>3076.1438805824328</v>
      </c>
      <c r="AK207" s="170">
        <f t="shared" si="96"/>
        <v>8748.8569108292195</v>
      </c>
      <c r="AL207" s="170">
        <f t="shared" si="96"/>
        <v>7209.7341900399761</v>
      </c>
      <c r="AM207" s="170">
        <f t="shared" si="96"/>
        <v>2712.1289572728574</v>
      </c>
      <c r="AN207" s="172">
        <f t="shared" si="87"/>
        <v>5436.715984681121</v>
      </c>
    </row>
    <row r="208" spans="5:40">
      <c r="E208">
        <v>2060</v>
      </c>
      <c r="F208" s="320" t="s">
        <v>240</v>
      </c>
      <c r="G208" s="320" t="s">
        <v>240</v>
      </c>
      <c r="H208" s="63">
        <f t="shared" si="98"/>
        <v>4446.8414600923479</v>
      </c>
      <c r="I208" s="63">
        <f t="shared" si="98"/>
        <v>12647.25615894295</v>
      </c>
      <c r="J208" s="63">
        <f t="shared" si="98"/>
        <v>10422.316431585376</v>
      </c>
      <c r="K208" s="63">
        <f t="shared" si="98"/>
        <v>3920.6252894888876</v>
      </c>
      <c r="L208" s="63">
        <f t="shared" si="86"/>
        <v>7859.2598350273893</v>
      </c>
      <c r="M208" s="63"/>
      <c r="N208">
        <v>2060</v>
      </c>
      <c r="O208" s="320" t="s">
        <v>240</v>
      </c>
      <c r="P208" s="320" t="s">
        <v>240</v>
      </c>
      <c r="Q208" s="63">
        <f t="shared" si="99"/>
        <v>4446.8414600923479</v>
      </c>
      <c r="R208" s="63">
        <f t="shared" si="99"/>
        <v>12647.25615894295</v>
      </c>
      <c r="S208" s="63">
        <f t="shared" si="99"/>
        <v>10422.316431585376</v>
      </c>
      <c r="T208" s="63">
        <f t="shared" si="99"/>
        <v>3920.6252894888876</v>
      </c>
      <c r="U208" s="172">
        <f t="shared" si="90"/>
        <v>7859.2598350273893</v>
      </c>
      <c r="W208">
        <v>2060</v>
      </c>
      <c r="X208" s="320" t="s">
        <v>240</v>
      </c>
      <c r="Y208" s="320" t="s">
        <v>240</v>
      </c>
      <c r="Z208" s="170">
        <f t="shared" si="100"/>
        <v>4446.8414600923479</v>
      </c>
      <c r="AA208" s="170">
        <f t="shared" si="100"/>
        <v>12647.25615894295</v>
      </c>
      <c r="AB208" s="170">
        <f t="shared" si="100"/>
        <v>10422.316431585376</v>
      </c>
      <c r="AC208" s="170">
        <f t="shared" si="100"/>
        <v>3920.6252894888876</v>
      </c>
      <c r="AD208" s="172">
        <f t="shared" si="95"/>
        <v>7859.2598350273893</v>
      </c>
      <c r="AG208">
        <v>2060</v>
      </c>
      <c r="AH208" t="s">
        <v>240</v>
      </c>
      <c r="AI208" t="s">
        <v>240</v>
      </c>
      <c r="AJ208" s="170">
        <f t="shared" si="97"/>
        <v>4446.8414600923479</v>
      </c>
      <c r="AK208" s="170">
        <f t="shared" si="96"/>
        <v>12647.25615894295</v>
      </c>
      <c r="AL208" s="170">
        <f t="shared" si="96"/>
        <v>10422.316431585376</v>
      </c>
      <c r="AM208" s="170">
        <f t="shared" si="96"/>
        <v>3920.6252894888876</v>
      </c>
      <c r="AN208" s="172">
        <f t="shared" si="87"/>
        <v>7859.2598350273893</v>
      </c>
    </row>
    <row r="209" spans="5:40">
      <c r="E209">
        <v>2070</v>
      </c>
      <c r="F209" s="320" t="s">
        <v>240</v>
      </c>
      <c r="G209" s="320" t="s">
        <v>240</v>
      </c>
      <c r="H209" s="63">
        <f t="shared" si="98"/>
        <v>6428.3075626008067</v>
      </c>
      <c r="I209" s="63">
        <f t="shared" si="98"/>
        <v>18282.74138898449</v>
      </c>
      <c r="J209" s="63">
        <f t="shared" si="98"/>
        <v>15066.391761038311</v>
      </c>
      <c r="K209" s="63">
        <f t="shared" si="98"/>
        <v>5667.6149632782281</v>
      </c>
      <c r="L209" s="63">
        <f t="shared" si="86"/>
        <v>11361.263918975457</v>
      </c>
      <c r="M209" s="63"/>
      <c r="N209">
        <v>2070</v>
      </c>
      <c r="O209" s="320" t="s">
        <v>240</v>
      </c>
      <c r="P209" s="320" t="s">
        <v>240</v>
      </c>
      <c r="Q209" s="63">
        <f t="shared" si="99"/>
        <v>6428.3075626008067</v>
      </c>
      <c r="R209" s="63">
        <f t="shared" si="99"/>
        <v>18282.74138898449</v>
      </c>
      <c r="S209" s="63">
        <f t="shared" si="99"/>
        <v>15066.391761038311</v>
      </c>
      <c r="T209" s="63">
        <f t="shared" si="99"/>
        <v>5667.6149632782281</v>
      </c>
      <c r="U209" s="172">
        <f t="shared" si="90"/>
        <v>11361.263918975457</v>
      </c>
      <c r="W209">
        <v>2070</v>
      </c>
      <c r="X209" s="320" t="s">
        <v>240</v>
      </c>
      <c r="Y209" s="320" t="s">
        <v>240</v>
      </c>
      <c r="Z209" s="170">
        <f t="shared" si="100"/>
        <v>6428.3075626008067</v>
      </c>
      <c r="AA209" s="170">
        <f t="shared" si="100"/>
        <v>18282.74138898449</v>
      </c>
      <c r="AB209" s="170">
        <f t="shared" si="100"/>
        <v>15066.391761038311</v>
      </c>
      <c r="AC209" s="170">
        <f t="shared" si="100"/>
        <v>5667.6149632782281</v>
      </c>
      <c r="AD209" s="172">
        <f t="shared" si="95"/>
        <v>11361.263918975457</v>
      </c>
      <c r="AG209">
        <v>2070</v>
      </c>
      <c r="AH209" t="s">
        <v>240</v>
      </c>
      <c r="AI209" t="s">
        <v>240</v>
      </c>
      <c r="AJ209" s="170">
        <f t="shared" si="97"/>
        <v>6428.3075626008067</v>
      </c>
      <c r="AK209" s="170">
        <f t="shared" si="96"/>
        <v>18282.74138898449</v>
      </c>
      <c r="AL209" s="170">
        <f t="shared" si="96"/>
        <v>15066.391761038311</v>
      </c>
      <c r="AM209" s="170">
        <f t="shared" si="96"/>
        <v>5667.6149632782281</v>
      </c>
      <c r="AN209" s="172">
        <f t="shared" si="87"/>
        <v>11361.263918975457</v>
      </c>
    </row>
    <row r="210" spans="5:40">
      <c r="E210">
        <v>2080</v>
      </c>
      <c r="F210" s="320" t="s">
        <v>240</v>
      </c>
      <c r="G210" s="320" t="s">
        <v>240</v>
      </c>
      <c r="H210" s="63">
        <f t="shared" si="98"/>
        <v>9292.694261812645</v>
      </c>
      <c r="I210" s="63">
        <f t="shared" si="98"/>
        <v>26429.339968743359</v>
      </c>
      <c r="J210" s="63">
        <f t="shared" si="98"/>
        <v>21779.818544863916</v>
      </c>
      <c r="K210" s="63">
        <f t="shared" si="98"/>
        <v>8193.0449864957227</v>
      </c>
      <c r="L210" s="63">
        <f t="shared" si="86"/>
        <v>16423.724440478909</v>
      </c>
      <c r="M210" s="63"/>
      <c r="N210">
        <v>2080</v>
      </c>
      <c r="O210" s="320" t="s">
        <v>240</v>
      </c>
      <c r="P210" s="320" t="s">
        <v>240</v>
      </c>
      <c r="Q210" s="63">
        <f t="shared" si="99"/>
        <v>9292.694261812645</v>
      </c>
      <c r="R210" s="63">
        <f t="shared" si="99"/>
        <v>26429.339968743359</v>
      </c>
      <c r="S210" s="63">
        <f t="shared" si="99"/>
        <v>21779.818544863916</v>
      </c>
      <c r="T210" s="63">
        <f t="shared" si="99"/>
        <v>8193.0449864957227</v>
      </c>
      <c r="U210" s="172">
        <f t="shared" si="90"/>
        <v>16423.724440478909</v>
      </c>
      <c r="W210">
        <v>2080</v>
      </c>
      <c r="X210" s="320" t="s">
        <v>240</v>
      </c>
      <c r="Y210" s="320" t="s">
        <v>240</v>
      </c>
      <c r="Z210" s="170">
        <f t="shared" si="100"/>
        <v>9292.694261812645</v>
      </c>
      <c r="AA210" s="170">
        <f t="shared" si="100"/>
        <v>26429.339968743359</v>
      </c>
      <c r="AB210" s="170">
        <f t="shared" si="100"/>
        <v>21779.818544863916</v>
      </c>
      <c r="AC210" s="170">
        <f t="shared" si="100"/>
        <v>8193.0449864957227</v>
      </c>
      <c r="AD210" s="172">
        <f t="shared" si="95"/>
        <v>16423.724440478909</v>
      </c>
      <c r="AG210">
        <v>2080</v>
      </c>
      <c r="AH210" t="s">
        <v>240</v>
      </c>
      <c r="AI210" t="s">
        <v>240</v>
      </c>
      <c r="AJ210" s="170">
        <f t="shared" si="97"/>
        <v>9292.694261812645</v>
      </c>
      <c r="AK210" s="170">
        <f t="shared" si="96"/>
        <v>26429.339968743359</v>
      </c>
      <c r="AL210" s="170">
        <f t="shared" si="96"/>
        <v>21779.818544863916</v>
      </c>
      <c r="AM210" s="170">
        <f t="shared" si="96"/>
        <v>8193.0449864957227</v>
      </c>
      <c r="AN210" s="172">
        <f t="shared" si="87"/>
        <v>16423.724440478909</v>
      </c>
    </row>
    <row r="211" spans="5:40">
      <c r="E211">
        <v>2090</v>
      </c>
      <c r="F211" s="320" t="s">
        <v>240</v>
      </c>
      <c r="G211" s="320" t="s">
        <v>240</v>
      </c>
      <c r="H211" s="63">
        <f t="shared" si="98"/>
        <v>13433.421752550359</v>
      </c>
      <c r="I211" s="63">
        <f t="shared" si="98"/>
        <v>38205.977775536092</v>
      </c>
      <c r="J211" s="63">
        <f t="shared" si="98"/>
        <v>31484.67817449792</v>
      </c>
      <c r="K211" s="63">
        <f t="shared" si="98"/>
        <v>11843.780247188153</v>
      </c>
      <c r="L211" s="63">
        <f t="shared" si="86"/>
        <v>23741.964487443132</v>
      </c>
      <c r="M211" s="63"/>
      <c r="N211">
        <v>2090</v>
      </c>
      <c r="O211" s="320" t="s">
        <v>240</v>
      </c>
      <c r="P211" s="320" t="s">
        <v>240</v>
      </c>
      <c r="Q211" s="63">
        <f t="shared" si="99"/>
        <v>13433.421752550359</v>
      </c>
      <c r="R211" s="63">
        <f t="shared" si="99"/>
        <v>38205.977775536092</v>
      </c>
      <c r="S211" s="63">
        <f t="shared" si="99"/>
        <v>31484.67817449792</v>
      </c>
      <c r="T211" s="63">
        <f t="shared" si="99"/>
        <v>11843.780247188153</v>
      </c>
      <c r="U211" s="172">
        <f t="shared" si="90"/>
        <v>23741.964487443132</v>
      </c>
      <c r="W211">
        <v>2090</v>
      </c>
      <c r="X211" s="320" t="s">
        <v>240</v>
      </c>
      <c r="Y211" s="320" t="s">
        <v>240</v>
      </c>
      <c r="Z211" s="170">
        <f t="shared" si="100"/>
        <v>13433.421752550359</v>
      </c>
      <c r="AA211" s="170">
        <f t="shared" si="100"/>
        <v>38205.977775536092</v>
      </c>
      <c r="AB211" s="170">
        <f t="shared" si="100"/>
        <v>31484.67817449792</v>
      </c>
      <c r="AC211" s="170">
        <f t="shared" si="100"/>
        <v>11843.780247188153</v>
      </c>
      <c r="AD211" s="172">
        <f t="shared" si="95"/>
        <v>23741.964487443132</v>
      </c>
      <c r="AG211">
        <v>2090</v>
      </c>
      <c r="AH211" t="s">
        <v>240</v>
      </c>
      <c r="AI211" t="s">
        <v>240</v>
      </c>
      <c r="AJ211" s="170">
        <f t="shared" si="97"/>
        <v>13433.421752550359</v>
      </c>
      <c r="AK211" s="170">
        <f t="shared" si="96"/>
        <v>38205.977775536092</v>
      </c>
      <c r="AL211" s="170">
        <f t="shared" si="96"/>
        <v>31484.67817449792</v>
      </c>
      <c r="AM211" s="170">
        <f t="shared" si="96"/>
        <v>11843.780247188153</v>
      </c>
      <c r="AN211" s="172">
        <f t="shared" si="87"/>
        <v>23741.964487443132</v>
      </c>
    </row>
    <row r="212" spans="5:40">
      <c r="E212">
        <v>2100</v>
      </c>
      <c r="F212" s="320" t="s">
        <v>240</v>
      </c>
      <c r="G212" s="320" t="s">
        <v>240</v>
      </c>
      <c r="H212" s="63">
        <f t="shared" si="98"/>
        <v>19419.214158746359</v>
      </c>
      <c r="I212" s="63">
        <f t="shared" si="98"/>
        <v>55230.162369210397</v>
      </c>
      <c r="J212" s="63">
        <f t="shared" si="98"/>
        <v>45513.92187725407</v>
      </c>
      <c r="K212" s="63">
        <f t="shared" si="98"/>
        <v>17121.245004133911</v>
      </c>
      <c r="L212" s="63">
        <f t="shared" si="86"/>
        <v>34321.135852336185</v>
      </c>
      <c r="M212" s="63"/>
      <c r="N212">
        <v>2100</v>
      </c>
      <c r="O212" s="320" t="s">
        <v>240</v>
      </c>
      <c r="P212" s="320" t="s">
        <v>240</v>
      </c>
      <c r="Q212" s="63">
        <f t="shared" si="99"/>
        <v>19419.214158746359</v>
      </c>
      <c r="R212" s="63">
        <f t="shared" si="99"/>
        <v>55230.162369210397</v>
      </c>
      <c r="S212" s="63">
        <f t="shared" si="99"/>
        <v>45513.92187725407</v>
      </c>
      <c r="T212" s="63">
        <f t="shared" si="99"/>
        <v>17121.245004133911</v>
      </c>
      <c r="U212" s="172">
        <f t="shared" si="90"/>
        <v>34321.135852336185</v>
      </c>
      <c r="W212">
        <v>2100</v>
      </c>
      <c r="X212" s="320" t="s">
        <v>240</v>
      </c>
      <c r="Y212" s="320" t="s">
        <v>240</v>
      </c>
      <c r="Z212" s="170">
        <f t="shared" si="100"/>
        <v>19419.214158746359</v>
      </c>
      <c r="AA212" s="170">
        <f t="shared" si="100"/>
        <v>55230.162369210397</v>
      </c>
      <c r="AB212" s="170">
        <f t="shared" si="100"/>
        <v>45513.92187725407</v>
      </c>
      <c r="AC212" s="170">
        <f t="shared" si="100"/>
        <v>17121.245004133911</v>
      </c>
      <c r="AD212" s="172">
        <f t="shared" si="95"/>
        <v>34321.135852336185</v>
      </c>
      <c r="AG212">
        <v>2100</v>
      </c>
      <c r="AH212" t="s">
        <v>240</v>
      </c>
      <c r="AI212" t="s">
        <v>240</v>
      </c>
      <c r="AJ212" s="170">
        <f t="shared" si="97"/>
        <v>19419.214158746359</v>
      </c>
      <c r="AK212" s="170">
        <f t="shared" ref="AK212" si="101">AK211*(1+$C$6)^($AG212-$AG211)</f>
        <v>55230.162369210397</v>
      </c>
      <c r="AL212" s="170">
        <f t="shared" ref="AL212" si="102">AL211*(1+$C$6)^($AG212-$AG211)</f>
        <v>45513.92187725407</v>
      </c>
      <c r="AM212" s="170">
        <f t="shared" ref="AM212" si="103">AM211*(1+$C$6)^($AG212-$AG211)</f>
        <v>17121.245004133911</v>
      </c>
      <c r="AN212" s="172">
        <f t="shared" si="87"/>
        <v>34321.135852336185</v>
      </c>
    </row>
    <row r="213" spans="5:40">
      <c r="F213" s="581" t="s">
        <v>310</v>
      </c>
      <c r="G213" s="581"/>
      <c r="H213" s="581"/>
      <c r="I213" s="581"/>
      <c r="J213" s="581"/>
      <c r="K213" s="581"/>
      <c r="O213" s="581" t="s">
        <v>297</v>
      </c>
      <c r="P213" s="581"/>
      <c r="Q213" s="581"/>
      <c r="R213" s="581"/>
      <c r="S213" s="581"/>
      <c r="T213" s="581"/>
      <c r="X213" s="581" t="s">
        <v>297</v>
      </c>
      <c r="Y213" s="581"/>
      <c r="Z213" s="581"/>
      <c r="AA213" s="581"/>
      <c r="AB213" s="581"/>
      <c r="AC213" s="581"/>
      <c r="AD213" s="172"/>
      <c r="AH213" s="581" t="s">
        <v>310</v>
      </c>
      <c r="AI213" s="581"/>
      <c r="AJ213" s="581"/>
      <c r="AK213" s="581"/>
      <c r="AL213" s="581"/>
      <c r="AM213" s="581"/>
    </row>
    <row r="214" spans="5:40">
      <c r="E214">
        <v>2020</v>
      </c>
      <c r="F214" s="320" t="s">
        <v>240</v>
      </c>
      <c r="G214" s="320" t="s">
        <v>240</v>
      </c>
      <c r="H214" s="179">
        <f>'Demographic-Economic'!E30*$C$5</f>
        <v>35958</v>
      </c>
      <c r="I214" s="179">
        <f>'Demographic-Economic'!F30*$C$5</f>
        <v>24307.5</v>
      </c>
      <c r="J214" s="179">
        <f>'Demographic-Economic'!G30*$C$5</f>
        <v>30759</v>
      </c>
      <c r="K214" s="179">
        <f>'Demographic-Economic'!H30*$C$5</f>
        <v>34670</v>
      </c>
      <c r="L214" s="330">
        <f t="shared" ref="L214:L231" si="104">AVERAGE(H214:K214)</f>
        <v>31423.625</v>
      </c>
      <c r="M214" s="330"/>
      <c r="N214">
        <v>2020</v>
      </c>
      <c r="O214" s="320" t="s">
        <v>240</v>
      </c>
      <c r="P214" s="320" t="s">
        <v>240</v>
      </c>
      <c r="Q214" s="179">
        <f>'Demographic-Economic'!E30*$C$5</f>
        <v>35958</v>
      </c>
      <c r="R214" s="179">
        <f>'Demographic-Economic'!F30*$C$5</f>
        <v>24307.5</v>
      </c>
      <c r="S214" s="179">
        <f>'Demographic-Economic'!G30*$C$5</f>
        <v>30759</v>
      </c>
      <c r="T214" s="179">
        <f>'Demographic-Economic'!H30*$C$5</f>
        <v>34670</v>
      </c>
      <c r="U214" s="172">
        <f>AVERAGE(Q214:T214)</f>
        <v>31423.625</v>
      </c>
      <c r="W214">
        <v>2020</v>
      </c>
      <c r="X214" s="320" t="s">
        <v>240</v>
      </c>
      <c r="Y214" s="320" t="s">
        <v>240</v>
      </c>
      <c r="Z214" s="170">
        <f>'Demographic-Economic'!E30*$C$5</f>
        <v>35958</v>
      </c>
      <c r="AA214" s="170">
        <f>'Demographic-Economic'!F30*$C$5</f>
        <v>24307.5</v>
      </c>
      <c r="AB214" s="170">
        <f>'Demographic-Economic'!G30*$C$5</f>
        <v>30759</v>
      </c>
      <c r="AC214" s="170">
        <f>'Demographic-Economic'!H30*$C$5</f>
        <v>34670</v>
      </c>
      <c r="AD214" s="172">
        <f xml:space="preserve"> AVERAGE(Z214:AC214)</f>
        <v>31423.625</v>
      </c>
      <c r="AG214">
        <v>2020</v>
      </c>
      <c r="AH214" t="s">
        <v>240</v>
      </c>
      <c r="AI214" t="s">
        <v>240</v>
      </c>
      <c r="AJ214" s="170">
        <f>'Demographic-Economic'!E30*$C$5</f>
        <v>35958</v>
      </c>
      <c r="AK214" s="170">
        <f>'Demographic-Economic'!F30*$C$5</f>
        <v>24307.5</v>
      </c>
      <c r="AL214" s="170">
        <f>'Demographic-Economic'!G30*$C$5</f>
        <v>30759</v>
      </c>
      <c r="AM214" s="170">
        <f>'Demographic-Economic'!H30*$C$5</f>
        <v>34670</v>
      </c>
      <c r="AN214" s="172">
        <f xml:space="preserve"> AVERAGE(AJ214:AM214)</f>
        <v>31423.625</v>
      </c>
    </row>
    <row r="215" spans="5:40">
      <c r="E215">
        <v>2021</v>
      </c>
      <c r="F215" s="320" t="s">
        <v>240</v>
      </c>
      <c r="G215" s="320" t="s">
        <v>240</v>
      </c>
      <c r="H215" s="179">
        <f t="shared" ref="H215:K224" si="105">H214*(1+$C$6)</f>
        <v>37307.833355000002</v>
      </c>
      <c r="I215" s="179">
        <f t="shared" si="105"/>
        <v>25219.98329375</v>
      </c>
      <c r="J215" s="179">
        <f t="shared" si="105"/>
        <v>31913.667227500002</v>
      </c>
      <c r="K215" s="179">
        <f t="shared" si="105"/>
        <v>35971.482908333332</v>
      </c>
      <c r="L215" s="330">
        <f t="shared" si="104"/>
        <v>32603.241696145833</v>
      </c>
      <c r="M215" s="330"/>
      <c r="N215">
        <v>2021</v>
      </c>
      <c r="O215" s="320" t="s">
        <v>240</v>
      </c>
      <c r="P215" s="320" t="s">
        <v>240</v>
      </c>
      <c r="Q215" s="179">
        <f t="shared" ref="Q215:T219" si="106">Q214*(1+$C$6)</f>
        <v>37307.833355000002</v>
      </c>
      <c r="R215" s="179">
        <f t="shared" si="106"/>
        <v>25219.98329375</v>
      </c>
      <c r="S215" s="179">
        <f t="shared" si="106"/>
        <v>31913.667227500002</v>
      </c>
      <c r="T215" s="179">
        <f t="shared" si="106"/>
        <v>35971.482908333332</v>
      </c>
      <c r="U215" s="172">
        <f t="shared" ref="U215:U231" si="107">AVERAGE(Q215:T215)</f>
        <v>32603.241696145833</v>
      </c>
      <c r="W215">
        <v>2021</v>
      </c>
      <c r="X215" s="320" t="s">
        <v>240</v>
      </c>
      <c r="Y215" s="320" t="s">
        <v>240</v>
      </c>
      <c r="Z215" s="170">
        <f t="shared" ref="Z215:Z224" si="108">Z214*(1+$C$6)</f>
        <v>37307.833355000002</v>
      </c>
      <c r="AA215" s="170">
        <f t="shared" ref="AA215:AA224" si="109">AA214*(1+$C$6)</f>
        <v>25219.98329375</v>
      </c>
      <c r="AB215" s="170">
        <f t="shared" ref="AB215:AB224" si="110">AB214*(1+$C$6)</f>
        <v>31913.667227500002</v>
      </c>
      <c r="AC215" s="170">
        <f t="shared" ref="AC215:AC224" si="111">AC214*(1+$C$6)</f>
        <v>35971.482908333332</v>
      </c>
      <c r="AD215" s="172">
        <f t="shared" ref="AD215:AD231" si="112" xml:space="preserve"> AVERAGE(Z215:AC215)</f>
        <v>32603.241696145833</v>
      </c>
      <c r="AG215">
        <v>2021</v>
      </c>
      <c r="AH215" t="s">
        <v>240</v>
      </c>
      <c r="AI215" t="s">
        <v>240</v>
      </c>
      <c r="AJ215" s="170">
        <f>AJ214*(1+$C$6)^($AG215-$AG214)</f>
        <v>37307.833355000002</v>
      </c>
      <c r="AK215" s="170">
        <f t="shared" ref="AK215:AM230" si="113">AK214*(1+$C$6)^($AG215-$AG214)</f>
        <v>25219.98329375</v>
      </c>
      <c r="AL215" s="170">
        <f t="shared" si="113"/>
        <v>31913.667227500002</v>
      </c>
      <c r="AM215" s="170">
        <f t="shared" si="113"/>
        <v>35971.482908333332</v>
      </c>
      <c r="AN215" s="172">
        <f t="shared" ref="AN215:AN231" si="114" xml:space="preserve"> AVERAGE(AJ215:AM215)</f>
        <v>32603.241696145833</v>
      </c>
    </row>
    <row r="216" spans="5:40">
      <c r="E216">
        <v>2022</v>
      </c>
      <c r="F216" s="320" t="s">
        <v>240</v>
      </c>
      <c r="G216" s="320" t="s">
        <v>240</v>
      </c>
      <c r="H216" s="179">
        <f t="shared" si="105"/>
        <v>38708.338329285572</v>
      </c>
      <c r="I216" s="179">
        <f t="shared" si="105"/>
        <v>26166.720449944631</v>
      </c>
      <c r="J216" s="179">
        <f t="shared" si="105"/>
        <v>33111.679700497662</v>
      </c>
      <c r="K216" s="179">
        <f t="shared" si="105"/>
        <v>37321.822400476405</v>
      </c>
      <c r="L216" s="330">
        <f t="shared" si="104"/>
        <v>33827.140220051064</v>
      </c>
      <c r="M216" s="330"/>
      <c r="N216">
        <v>2022</v>
      </c>
      <c r="O216" s="320" t="s">
        <v>240</v>
      </c>
      <c r="P216" s="320" t="s">
        <v>240</v>
      </c>
      <c r="Q216" s="179">
        <f t="shared" si="106"/>
        <v>38708.338329285572</v>
      </c>
      <c r="R216" s="179">
        <f t="shared" si="106"/>
        <v>26166.720449944631</v>
      </c>
      <c r="S216" s="179">
        <f t="shared" si="106"/>
        <v>33111.679700497662</v>
      </c>
      <c r="T216" s="179">
        <f t="shared" si="106"/>
        <v>37321.822400476405</v>
      </c>
      <c r="U216" s="172">
        <f t="shared" si="107"/>
        <v>33827.140220051064</v>
      </c>
      <c r="W216">
        <v>2022</v>
      </c>
      <c r="X216" s="320" t="s">
        <v>240</v>
      </c>
      <c r="Y216" s="320" t="s">
        <v>240</v>
      </c>
      <c r="Z216" s="170">
        <f t="shared" si="108"/>
        <v>38708.338329285572</v>
      </c>
      <c r="AA216" s="170">
        <f t="shared" si="109"/>
        <v>26166.720449944631</v>
      </c>
      <c r="AB216" s="170">
        <f t="shared" si="110"/>
        <v>33111.679700497662</v>
      </c>
      <c r="AC216" s="170">
        <f t="shared" si="111"/>
        <v>37321.822400476405</v>
      </c>
      <c r="AD216" s="172">
        <f t="shared" si="112"/>
        <v>33827.140220051064</v>
      </c>
      <c r="AG216">
        <v>2022</v>
      </c>
      <c r="AH216" t="s">
        <v>240</v>
      </c>
      <c r="AI216" t="s">
        <v>240</v>
      </c>
      <c r="AJ216" s="170">
        <f t="shared" ref="AJ216:AJ231" si="115">AJ215*(1+$C$6)^($AG216-$AG215)</f>
        <v>38708.338329285572</v>
      </c>
      <c r="AK216" s="170">
        <f t="shared" si="113"/>
        <v>26166.720449944631</v>
      </c>
      <c r="AL216" s="170">
        <f t="shared" si="113"/>
        <v>33111.679700497662</v>
      </c>
      <c r="AM216" s="170">
        <f t="shared" si="113"/>
        <v>37321.822400476405</v>
      </c>
      <c r="AN216" s="172">
        <f t="shared" si="114"/>
        <v>33827.140220051064</v>
      </c>
    </row>
    <row r="217" spans="5:40">
      <c r="E217">
        <v>2023</v>
      </c>
      <c r="F217" s="320" t="s">
        <v>240</v>
      </c>
      <c r="G217" s="320" t="s">
        <v>240</v>
      </c>
      <c r="H217" s="179">
        <f t="shared" si="105"/>
        <v>40161.417093218348</v>
      </c>
      <c r="I217" s="179">
        <f t="shared" si="105"/>
        <v>27148.997330035178</v>
      </c>
      <c r="J217" s="179">
        <f t="shared" si="105"/>
        <v>34354.664563387931</v>
      </c>
      <c r="K217" s="179">
        <f t="shared" si="105"/>
        <v>38722.852511871621</v>
      </c>
      <c r="L217" s="330">
        <f t="shared" si="104"/>
        <v>35096.982874628273</v>
      </c>
      <c r="M217" s="330"/>
      <c r="N217">
        <v>2023</v>
      </c>
      <c r="O217" s="320" t="s">
        <v>240</v>
      </c>
      <c r="P217" s="320" t="s">
        <v>240</v>
      </c>
      <c r="Q217" s="179">
        <f t="shared" si="106"/>
        <v>40161.417093218348</v>
      </c>
      <c r="R217" s="179">
        <f t="shared" si="106"/>
        <v>27148.997330035178</v>
      </c>
      <c r="S217" s="179">
        <f t="shared" si="106"/>
        <v>34354.664563387931</v>
      </c>
      <c r="T217" s="179">
        <f t="shared" si="106"/>
        <v>38722.852511871621</v>
      </c>
      <c r="U217" s="172">
        <f t="shared" si="107"/>
        <v>35096.982874628273</v>
      </c>
      <c r="W217">
        <v>2023</v>
      </c>
      <c r="X217" s="320" t="s">
        <v>240</v>
      </c>
      <c r="Y217" s="320" t="s">
        <v>240</v>
      </c>
      <c r="Z217" s="170">
        <f t="shared" si="108"/>
        <v>40161.417093218348</v>
      </c>
      <c r="AA217" s="170">
        <f t="shared" si="109"/>
        <v>27148.997330035178</v>
      </c>
      <c r="AB217" s="170">
        <f t="shared" si="110"/>
        <v>34354.664563387931</v>
      </c>
      <c r="AC217" s="170">
        <f t="shared" si="111"/>
        <v>38722.852511871621</v>
      </c>
      <c r="AD217" s="172">
        <f t="shared" si="112"/>
        <v>35096.982874628273</v>
      </c>
      <c r="AG217">
        <v>2023</v>
      </c>
      <c r="AH217" t="s">
        <v>240</v>
      </c>
      <c r="AI217" t="s">
        <v>240</v>
      </c>
      <c r="AJ217" s="170">
        <f t="shared" si="115"/>
        <v>40161.417093218348</v>
      </c>
      <c r="AK217" s="170">
        <f t="shared" si="113"/>
        <v>27148.997330035178</v>
      </c>
      <c r="AL217" s="170">
        <f t="shared" si="113"/>
        <v>34354.664563387931</v>
      </c>
      <c r="AM217" s="170">
        <f t="shared" si="113"/>
        <v>38722.852511871621</v>
      </c>
      <c r="AN217" s="172">
        <f t="shared" si="114"/>
        <v>35096.982874628273</v>
      </c>
    </row>
    <row r="218" spans="5:40">
      <c r="E218">
        <v>2024</v>
      </c>
      <c r="F218" s="320" t="s">
        <v>240</v>
      </c>
      <c r="G218" s="320" t="s">
        <v>240</v>
      </c>
      <c r="H218" s="179">
        <f t="shared" si="105"/>
        <v>41669.04322305019</v>
      </c>
      <c r="I218" s="179">
        <f t="shared" si="105"/>
        <v>28168.148065640256</v>
      </c>
      <c r="J218" s="179">
        <f t="shared" si="105"/>
        <v>35644.310042210374</v>
      </c>
      <c r="K218" s="179">
        <f t="shared" si="105"/>
        <v>40176.476126123525</v>
      </c>
      <c r="L218" s="330">
        <f t="shared" si="104"/>
        <v>36414.494364256083</v>
      </c>
      <c r="M218" s="330"/>
      <c r="N218">
        <v>2024</v>
      </c>
      <c r="O218" s="320" t="s">
        <v>240</v>
      </c>
      <c r="P218" s="320" t="s">
        <v>240</v>
      </c>
      <c r="Q218" s="179">
        <f t="shared" si="106"/>
        <v>41669.04322305019</v>
      </c>
      <c r="R218" s="179">
        <f t="shared" si="106"/>
        <v>28168.148065640256</v>
      </c>
      <c r="S218" s="179">
        <f t="shared" si="106"/>
        <v>35644.310042210374</v>
      </c>
      <c r="T218" s="179">
        <f t="shared" si="106"/>
        <v>40176.476126123525</v>
      </c>
      <c r="U218" s="172">
        <f t="shared" si="107"/>
        <v>36414.494364256083</v>
      </c>
      <c r="W218">
        <v>2024</v>
      </c>
      <c r="X218" s="320" t="s">
        <v>240</v>
      </c>
      <c r="Y218" s="320" t="s">
        <v>240</v>
      </c>
      <c r="Z218" s="170">
        <f t="shared" si="108"/>
        <v>41669.04322305019</v>
      </c>
      <c r="AA218" s="170">
        <f t="shared" si="109"/>
        <v>28168.148065640256</v>
      </c>
      <c r="AB218" s="170">
        <f t="shared" si="110"/>
        <v>35644.310042210374</v>
      </c>
      <c r="AC218" s="170">
        <f t="shared" si="111"/>
        <v>40176.476126123525</v>
      </c>
      <c r="AD218" s="172">
        <f t="shared" si="112"/>
        <v>36414.494364256083</v>
      </c>
      <c r="AG218">
        <v>2024</v>
      </c>
      <c r="AH218" t="s">
        <v>240</v>
      </c>
      <c r="AI218" t="s">
        <v>240</v>
      </c>
      <c r="AJ218" s="170">
        <f t="shared" si="115"/>
        <v>41669.04322305019</v>
      </c>
      <c r="AK218" s="170">
        <f t="shared" si="113"/>
        <v>28168.148065640256</v>
      </c>
      <c r="AL218" s="170">
        <f t="shared" si="113"/>
        <v>35644.310042210374</v>
      </c>
      <c r="AM218" s="170">
        <f t="shared" si="113"/>
        <v>40176.476126123525</v>
      </c>
      <c r="AN218" s="172">
        <f t="shared" si="114"/>
        <v>36414.494364256083</v>
      </c>
    </row>
    <row r="219" spans="5:40">
      <c r="E219">
        <v>2025</v>
      </c>
      <c r="F219" s="320" t="s">
        <v>240</v>
      </c>
      <c r="G219" s="320" t="s">
        <v>240</v>
      </c>
      <c r="H219" s="179">
        <f>H218*(1+$C$6)</f>
        <v>43233.264381440807</v>
      </c>
      <c r="I219" s="179">
        <f t="shared" si="105"/>
        <v>29225.556870567671</v>
      </c>
      <c r="J219" s="179">
        <f t="shared" si="105"/>
        <v>36982.36773760325</v>
      </c>
      <c r="K219" s="179">
        <f t="shared" si="105"/>
        <v>41684.667559501431</v>
      </c>
      <c r="L219" s="330">
        <f t="shared" si="104"/>
        <v>37781.464137278286</v>
      </c>
      <c r="M219" s="330"/>
      <c r="N219">
        <v>2025</v>
      </c>
      <c r="O219" s="320" t="s">
        <v>240</v>
      </c>
      <c r="P219" s="320" t="s">
        <v>240</v>
      </c>
      <c r="Q219" s="179">
        <f>Q218*(1+$C$6)</f>
        <v>43233.264381440807</v>
      </c>
      <c r="R219" s="179">
        <f t="shared" si="106"/>
        <v>29225.556870567671</v>
      </c>
      <c r="S219" s="179">
        <f t="shared" si="106"/>
        <v>36982.36773760325</v>
      </c>
      <c r="T219" s="179">
        <f t="shared" si="106"/>
        <v>41684.667559501431</v>
      </c>
      <c r="U219" s="172">
        <f t="shared" si="107"/>
        <v>37781.464137278286</v>
      </c>
      <c r="W219">
        <v>2025</v>
      </c>
      <c r="X219" s="320" t="s">
        <v>240</v>
      </c>
      <c r="Y219" s="320" t="s">
        <v>240</v>
      </c>
      <c r="Z219" s="170">
        <f t="shared" si="108"/>
        <v>43233.264381440807</v>
      </c>
      <c r="AA219" s="170">
        <f t="shared" si="109"/>
        <v>29225.556870567671</v>
      </c>
      <c r="AB219" s="170">
        <f t="shared" si="110"/>
        <v>36982.36773760325</v>
      </c>
      <c r="AC219" s="170">
        <f t="shared" si="111"/>
        <v>41684.667559501431</v>
      </c>
      <c r="AD219" s="172">
        <f t="shared" si="112"/>
        <v>37781.464137278286</v>
      </c>
      <c r="AG219">
        <v>2025</v>
      </c>
      <c r="AH219" t="s">
        <v>240</v>
      </c>
      <c r="AI219" t="s">
        <v>240</v>
      </c>
      <c r="AJ219" s="170">
        <f t="shared" si="115"/>
        <v>43233.264381440807</v>
      </c>
      <c r="AK219" s="170">
        <f t="shared" si="113"/>
        <v>29225.556870567671</v>
      </c>
      <c r="AL219" s="170">
        <f t="shared" si="113"/>
        <v>36982.36773760325</v>
      </c>
      <c r="AM219" s="170">
        <f t="shared" si="113"/>
        <v>41684.667559501431</v>
      </c>
      <c r="AN219" s="172">
        <f t="shared" si="114"/>
        <v>37781.464137278286</v>
      </c>
    </row>
    <row r="220" spans="5:40">
      <c r="E220">
        <v>2026</v>
      </c>
      <c r="F220" s="320" t="s">
        <v>240</v>
      </c>
      <c r="G220" s="320" t="s">
        <v>240</v>
      </c>
      <c r="H220" s="179">
        <f t="shared" si="105"/>
        <v>44856.205098599778</v>
      </c>
      <c r="I220" s="179">
        <f t="shared" si="105"/>
        <v>30322.659920858056</v>
      </c>
      <c r="J220" s="179">
        <f t="shared" si="105"/>
        <v>38370.655003833097</v>
      </c>
      <c r="K220" s="179">
        <f t="shared" si="105"/>
        <v>43249.475242462147</v>
      </c>
      <c r="L220" s="330">
        <f t="shared" si="104"/>
        <v>39199.748816438274</v>
      </c>
      <c r="M220" s="330"/>
      <c r="N220">
        <v>2026</v>
      </c>
      <c r="O220" s="320" t="s">
        <v>240</v>
      </c>
      <c r="P220" s="320" t="s">
        <v>240</v>
      </c>
      <c r="Q220" s="179">
        <f t="shared" ref="Q220:T224" si="116">Q219*(1+$C$6)</f>
        <v>44856.205098599778</v>
      </c>
      <c r="R220" s="179">
        <f t="shared" si="116"/>
        <v>30322.659920858056</v>
      </c>
      <c r="S220" s="179">
        <f t="shared" si="116"/>
        <v>38370.655003833097</v>
      </c>
      <c r="T220" s="179">
        <f t="shared" si="116"/>
        <v>43249.475242462147</v>
      </c>
      <c r="U220" s="172">
        <f t="shared" si="107"/>
        <v>39199.748816438274</v>
      </c>
      <c r="W220">
        <v>2026</v>
      </c>
      <c r="X220" s="320" t="s">
        <v>240</v>
      </c>
      <c r="Y220" s="320" t="s">
        <v>240</v>
      </c>
      <c r="Z220" s="170">
        <f t="shared" si="108"/>
        <v>44856.205098599778</v>
      </c>
      <c r="AA220" s="170">
        <f t="shared" si="109"/>
        <v>30322.659920858056</v>
      </c>
      <c r="AB220" s="170">
        <f t="shared" si="110"/>
        <v>38370.655003833097</v>
      </c>
      <c r="AC220" s="170">
        <f t="shared" si="111"/>
        <v>43249.475242462147</v>
      </c>
      <c r="AD220" s="172">
        <f t="shared" si="112"/>
        <v>39199.748816438274</v>
      </c>
      <c r="AG220">
        <v>2026</v>
      </c>
      <c r="AH220" t="s">
        <v>240</v>
      </c>
      <c r="AI220" t="s">
        <v>240</v>
      </c>
      <c r="AJ220" s="170">
        <f t="shared" si="115"/>
        <v>44856.205098599778</v>
      </c>
      <c r="AK220" s="170">
        <f t="shared" si="113"/>
        <v>30322.659920858056</v>
      </c>
      <c r="AL220" s="170">
        <f t="shared" si="113"/>
        <v>38370.655003833097</v>
      </c>
      <c r="AM220" s="170">
        <f t="shared" si="113"/>
        <v>43249.475242462147</v>
      </c>
      <c r="AN220" s="172">
        <f t="shared" si="114"/>
        <v>39199.748816438274</v>
      </c>
    </row>
    <row r="221" spans="5:40">
      <c r="E221">
        <v>2027</v>
      </c>
      <c r="F221" s="320" t="s">
        <v>240</v>
      </c>
      <c r="G221" s="320" t="s">
        <v>240</v>
      </c>
      <c r="H221" s="179">
        <f t="shared" si="105"/>
        <v>46540.069657830296</v>
      </c>
      <c r="I221" s="179">
        <f t="shared" si="105"/>
        <v>31460.947305403799</v>
      </c>
      <c r="J221" s="179">
        <f t="shared" si="105"/>
        <v>39811.057417131153</v>
      </c>
      <c r="K221" s="179">
        <f t="shared" si="105"/>
        <v>44873.024501834807</v>
      </c>
      <c r="L221" s="330">
        <f t="shared" si="104"/>
        <v>40671.27472055002</v>
      </c>
      <c r="M221" s="330"/>
      <c r="N221">
        <v>2027</v>
      </c>
      <c r="O221" s="320" t="s">
        <v>240</v>
      </c>
      <c r="P221" s="320" t="s">
        <v>240</v>
      </c>
      <c r="Q221" s="179">
        <f t="shared" si="116"/>
        <v>46540.069657830296</v>
      </c>
      <c r="R221" s="179">
        <f t="shared" si="116"/>
        <v>31460.947305403799</v>
      </c>
      <c r="S221" s="179">
        <f t="shared" si="116"/>
        <v>39811.057417131153</v>
      </c>
      <c r="T221" s="179">
        <f t="shared" si="116"/>
        <v>44873.024501834807</v>
      </c>
      <c r="U221" s="172">
        <f t="shared" si="107"/>
        <v>40671.27472055002</v>
      </c>
      <c r="W221">
        <v>2027</v>
      </c>
      <c r="X221" s="320" t="s">
        <v>240</v>
      </c>
      <c r="Y221" s="320" t="s">
        <v>240</v>
      </c>
      <c r="Z221" s="170">
        <f t="shared" si="108"/>
        <v>46540.069657830296</v>
      </c>
      <c r="AA221" s="170">
        <f t="shared" si="109"/>
        <v>31460.947305403799</v>
      </c>
      <c r="AB221" s="170">
        <f t="shared" si="110"/>
        <v>39811.057417131153</v>
      </c>
      <c r="AC221" s="170">
        <f t="shared" si="111"/>
        <v>44873.024501834807</v>
      </c>
      <c r="AD221" s="172">
        <f t="shared" si="112"/>
        <v>40671.27472055002</v>
      </c>
      <c r="AG221">
        <v>2027</v>
      </c>
      <c r="AH221" t="s">
        <v>240</v>
      </c>
      <c r="AI221" t="s">
        <v>240</v>
      </c>
      <c r="AJ221" s="170">
        <f t="shared" si="115"/>
        <v>46540.069657830296</v>
      </c>
      <c r="AK221" s="170">
        <f t="shared" si="113"/>
        <v>31460.947305403799</v>
      </c>
      <c r="AL221" s="170">
        <f t="shared" si="113"/>
        <v>39811.057417131153</v>
      </c>
      <c r="AM221" s="170">
        <f t="shared" si="113"/>
        <v>44873.024501834807</v>
      </c>
      <c r="AN221" s="172">
        <f t="shared" si="114"/>
        <v>40671.27472055002</v>
      </c>
    </row>
    <row r="222" spans="5:40">
      <c r="E222">
        <v>2028</v>
      </c>
      <c r="F222" s="320" t="s">
        <v>240</v>
      </c>
      <c r="G222" s="320" t="s">
        <v>240</v>
      </c>
      <c r="H222" s="179">
        <f t="shared" si="105"/>
        <v>48287.145089393867</v>
      </c>
      <c r="I222" s="179">
        <f t="shared" si="105"/>
        <v>32641.965049792569</v>
      </c>
      <c r="J222" s="179">
        <f t="shared" si="105"/>
        <v>41305.531336689077</v>
      </c>
      <c r="K222" s="179">
        <f t="shared" si="105"/>
        <v>46557.520447446601</v>
      </c>
      <c r="L222" s="330">
        <f t="shared" si="104"/>
        <v>42198.040480830532</v>
      </c>
      <c r="M222" s="330"/>
      <c r="N222">
        <v>2028</v>
      </c>
      <c r="O222" s="320" t="s">
        <v>240</v>
      </c>
      <c r="P222" s="320" t="s">
        <v>240</v>
      </c>
      <c r="Q222" s="179">
        <f t="shared" si="116"/>
        <v>48287.145089393867</v>
      </c>
      <c r="R222" s="179">
        <f t="shared" si="116"/>
        <v>32641.965049792569</v>
      </c>
      <c r="S222" s="179">
        <f t="shared" si="116"/>
        <v>41305.531336689077</v>
      </c>
      <c r="T222" s="179">
        <f t="shared" si="116"/>
        <v>46557.520447446601</v>
      </c>
      <c r="U222" s="172">
        <f t="shared" si="107"/>
        <v>42198.040480830532</v>
      </c>
      <c r="W222">
        <v>2028</v>
      </c>
      <c r="X222" s="320" t="s">
        <v>240</v>
      </c>
      <c r="Y222" s="320" t="s">
        <v>240</v>
      </c>
      <c r="Z222" s="170">
        <f t="shared" si="108"/>
        <v>48287.145089393867</v>
      </c>
      <c r="AA222" s="170">
        <f t="shared" si="109"/>
        <v>32641.965049792569</v>
      </c>
      <c r="AB222" s="170">
        <f t="shared" si="110"/>
        <v>41305.531336689077</v>
      </c>
      <c r="AC222" s="170">
        <f t="shared" si="111"/>
        <v>46557.520447446601</v>
      </c>
      <c r="AD222" s="172">
        <f t="shared" si="112"/>
        <v>42198.040480830532</v>
      </c>
      <c r="AG222">
        <v>2028</v>
      </c>
      <c r="AH222" t="s">
        <v>240</v>
      </c>
      <c r="AI222" t="s">
        <v>240</v>
      </c>
      <c r="AJ222" s="170">
        <f t="shared" si="115"/>
        <v>48287.145089393867</v>
      </c>
      <c r="AK222" s="170">
        <f t="shared" si="113"/>
        <v>32641.965049792569</v>
      </c>
      <c r="AL222" s="170">
        <f t="shared" si="113"/>
        <v>41305.531336689077</v>
      </c>
      <c r="AM222" s="170">
        <f t="shared" si="113"/>
        <v>46557.520447446601</v>
      </c>
      <c r="AN222" s="172">
        <f t="shared" si="114"/>
        <v>42198.040480830532</v>
      </c>
    </row>
    <row r="223" spans="5:40">
      <c r="E223">
        <v>2029</v>
      </c>
      <c r="F223" s="320" t="s">
        <v>240</v>
      </c>
      <c r="G223" s="320" t="s">
        <v>240</v>
      </c>
      <c r="H223" s="179">
        <f t="shared" si="105"/>
        <v>50099.804276762137</v>
      </c>
      <c r="I223" s="179">
        <f t="shared" si="105"/>
        <v>33867.31721612424</v>
      </c>
      <c r="J223" s="179">
        <f t="shared" si="105"/>
        <v>42856.106561792272</v>
      </c>
      <c r="K223" s="179">
        <f t="shared" si="105"/>
        <v>48305.250967110042</v>
      </c>
      <c r="L223" s="330">
        <f t="shared" si="104"/>
        <v>43782.119755447173</v>
      </c>
      <c r="M223" s="330"/>
      <c r="N223">
        <v>2029</v>
      </c>
      <c r="O223" s="320" t="s">
        <v>240</v>
      </c>
      <c r="P223" s="320" t="s">
        <v>240</v>
      </c>
      <c r="Q223" s="179">
        <f t="shared" si="116"/>
        <v>50099.804276762137</v>
      </c>
      <c r="R223" s="179">
        <f t="shared" si="116"/>
        <v>33867.31721612424</v>
      </c>
      <c r="S223" s="179">
        <f t="shared" si="116"/>
        <v>42856.106561792272</v>
      </c>
      <c r="T223" s="179">
        <f t="shared" si="116"/>
        <v>48305.250967110042</v>
      </c>
      <c r="U223" s="172">
        <f t="shared" si="107"/>
        <v>43782.119755447173</v>
      </c>
      <c r="W223">
        <v>2029</v>
      </c>
      <c r="X223" s="320" t="s">
        <v>240</v>
      </c>
      <c r="Y223" s="320" t="s">
        <v>240</v>
      </c>
      <c r="Z223" s="170">
        <f t="shared" si="108"/>
        <v>50099.804276762137</v>
      </c>
      <c r="AA223" s="170">
        <f t="shared" si="109"/>
        <v>33867.31721612424</v>
      </c>
      <c r="AB223" s="170">
        <f t="shared" si="110"/>
        <v>42856.106561792272</v>
      </c>
      <c r="AC223" s="170">
        <f t="shared" si="111"/>
        <v>48305.250967110042</v>
      </c>
      <c r="AD223" s="172">
        <f t="shared" si="112"/>
        <v>43782.119755447173</v>
      </c>
      <c r="AG223">
        <v>2029</v>
      </c>
      <c r="AH223" t="s">
        <v>240</v>
      </c>
      <c r="AI223" t="s">
        <v>240</v>
      </c>
      <c r="AJ223" s="170">
        <f t="shared" si="115"/>
        <v>50099.804276762137</v>
      </c>
      <c r="AK223" s="170">
        <f t="shared" si="113"/>
        <v>33867.31721612424</v>
      </c>
      <c r="AL223" s="170">
        <f t="shared" si="113"/>
        <v>42856.106561792272</v>
      </c>
      <c r="AM223" s="170">
        <f t="shared" si="113"/>
        <v>48305.250967110042</v>
      </c>
      <c r="AN223" s="172">
        <f t="shared" si="114"/>
        <v>43782.119755447173</v>
      </c>
    </row>
    <row r="224" spans="5:40">
      <c r="E224">
        <v>2030</v>
      </c>
      <c r="F224" s="320" t="s">
        <v>240</v>
      </c>
      <c r="G224" s="320" t="s">
        <v>240</v>
      </c>
      <c r="H224" s="179">
        <f t="shared" si="105"/>
        <v>51980.509179474888</v>
      </c>
      <c r="I224" s="179">
        <f t="shared" si="105"/>
        <v>35138.668081653195</v>
      </c>
      <c r="J224" s="179">
        <f t="shared" si="105"/>
        <v>44464.88908869982</v>
      </c>
      <c r="K224" s="179">
        <f t="shared" si="105"/>
        <v>50118.589834039551</v>
      </c>
      <c r="L224" s="330">
        <f t="shared" si="104"/>
        <v>45425.664045966871</v>
      </c>
      <c r="M224" s="330"/>
      <c r="N224">
        <v>2030</v>
      </c>
      <c r="O224" s="320" t="s">
        <v>240</v>
      </c>
      <c r="P224" s="320" t="s">
        <v>240</v>
      </c>
      <c r="Q224" s="179">
        <f t="shared" si="116"/>
        <v>51980.509179474888</v>
      </c>
      <c r="R224" s="179">
        <f t="shared" si="116"/>
        <v>35138.668081653195</v>
      </c>
      <c r="S224" s="179">
        <f t="shared" si="116"/>
        <v>44464.88908869982</v>
      </c>
      <c r="T224" s="179">
        <f t="shared" si="116"/>
        <v>50118.589834039551</v>
      </c>
      <c r="U224" s="172">
        <f t="shared" si="107"/>
        <v>45425.664045966871</v>
      </c>
      <c r="W224">
        <v>2030</v>
      </c>
      <c r="X224" s="320" t="s">
        <v>240</v>
      </c>
      <c r="Y224" s="320" t="s">
        <v>240</v>
      </c>
      <c r="Z224" s="170">
        <f t="shared" si="108"/>
        <v>51980.509179474888</v>
      </c>
      <c r="AA224" s="170">
        <f t="shared" si="109"/>
        <v>35138.668081653195</v>
      </c>
      <c r="AB224" s="170">
        <f t="shared" si="110"/>
        <v>44464.88908869982</v>
      </c>
      <c r="AC224" s="170">
        <f t="shared" si="111"/>
        <v>50118.589834039551</v>
      </c>
      <c r="AD224" s="172">
        <f t="shared" si="112"/>
        <v>45425.664045966871</v>
      </c>
      <c r="AG224">
        <v>2030</v>
      </c>
      <c r="AH224" t="s">
        <v>240</v>
      </c>
      <c r="AI224" t="s">
        <v>240</v>
      </c>
      <c r="AJ224" s="170">
        <f t="shared" si="115"/>
        <v>51980.509179474888</v>
      </c>
      <c r="AK224" s="170">
        <f t="shared" si="113"/>
        <v>35138.668081653195</v>
      </c>
      <c r="AL224" s="170">
        <f t="shared" si="113"/>
        <v>44464.88908869982</v>
      </c>
      <c r="AM224" s="170">
        <f t="shared" si="113"/>
        <v>50118.589834039551</v>
      </c>
      <c r="AN224" s="172">
        <f t="shared" si="114"/>
        <v>45425.664045966871</v>
      </c>
    </row>
    <row r="225" spans="5:40">
      <c r="E225">
        <v>2040</v>
      </c>
      <c r="F225" s="320" t="s">
        <v>240</v>
      </c>
      <c r="G225" s="320" t="s">
        <v>240</v>
      </c>
      <c r="H225" s="330">
        <f>H224*($C$6+1)^10</f>
        <v>75142.481076741562</v>
      </c>
      <c r="I225" s="330">
        <f t="shared" ref="I225:K231" si="117">I224*($C$6+1)^10</f>
        <v>50796.091517128181</v>
      </c>
      <c r="J225" s="330">
        <f t="shared" si="117"/>
        <v>64277.979182365365</v>
      </c>
      <c r="K225" s="330">
        <f t="shared" si="117"/>
        <v>72450.909920758379</v>
      </c>
      <c r="L225" s="330">
        <f t="shared" si="104"/>
        <v>65666.865424248375</v>
      </c>
      <c r="M225" s="330"/>
      <c r="N225">
        <v>2040</v>
      </c>
      <c r="O225" s="320" t="s">
        <v>240</v>
      </c>
      <c r="P225" s="320" t="s">
        <v>240</v>
      </c>
      <c r="Q225" s="330">
        <f>Q224*($C$6+1)^10</f>
        <v>75142.481076741562</v>
      </c>
      <c r="R225" s="330">
        <f t="shared" ref="R225:T225" si="118">R224*($C$6+1)^10</f>
        <v>50796.091517128181</v>
      </c>
      <c r="S225" s="330">
        <f t="shared" si="118"/>
        <v>64277.979182365365</v>
      </c>
      <c r="T225" s="330">
        <f t="shared" si="118"/>
        <v>72450.909920758379</v>
      </c>
      <c r="U225" s="172">
        <f t="shared" si="107"/>
        <v>65666.865424248375</v>
      </c>
      <c r="W225">
        <v>2040</v>
      </c>
      <c r="X225" s="320" t="s">
        <v>240</v>
      </c>
      <c r="Y225" s="320" t="s">
        <v>240</v>
      </c>
      <c r="Z225" s="170">
        <f t="shared" ref="Z225:AC231" si="119">Z224*(1+$C$6)^10</f>
        <v>75142.481076741562</v>
      </c>
      <c r="AA225" s="170">
        <f t="shared" si="119"/>
        <v>50796.091517128181</v>
      </c>
      <c r="AB225" s="170">
        <f t="shared" si="119"/>
        <v>64277.979182365365</v>
      </c>
      <c r="AC225" s="170">
        <f t="shared" si="119"/>
        <v>72450.909920758379</v>
      </c>
      <c r="AD225" s="172">
        <f t="shared" si="112"/>
        <v>65666.865424248375</v>
      </c>
      <c r="AG225">
        <v>2040</v>
      </c>
      <c r="AH225" t="s">
        <v>240</v>
      </c>
      <c r="AI225" t="s">
        <v>240</v>
      </c>
      <c r="AJ225" s="170">
        <f>AJ224*(1+$C$6)^($AG225-$AG224)</f>
        <v>75142.481076741562</v>
      </c>
      <c r="AK225" s="170">
        <f t="shared" si="113"/>
        <v>50796.091517128181</v>
      </c>
      <c r="AL225" s="170">
        <f t="shared" si="113"/>
        <v>64277.979182365365</v>
      </c>
      <c r="AM225" s="170">
        <f t="shared" si="113"/>
        <v>72450.909920758379</v>
      </c>
      <c r="AN225" s="172">
        <f t="shared" si="114"/>
        <v>65666.865424248375</v>
      </c>
    </row>
    <row r="226" spans="5:40">
      <c r="E226">
        <v>2050</v>
      </c>
      <c r="F226" s="320" t="s">
        <v>240</v>
      </c>
      <c r="G226" s="320" t="s">
        <v>240</v>
      </c>
      <c r="H226" s="330">
        <f t="shared" ref="H226:H230" si="120">H225*($C$6+1)^10</f>
        <v>108625.18569937379</v>
      </c>
      <c r="I226" s="330">
        <f t="shared" si="117"/>
        <v>73430.29927658735</v>
      </c>
      <c r="J226" s="330">
        <f t="shared" si="117"/>
        <v>92919.575252434472</v>
      </c>
      <c r="K226" s="330">
        <f t="shared" si="117"/>
        <v>104734.27855268061</v>
      </c>
      <c r="L226" s="330">
        <f t="shared" si="104"/>
        <v>94927.334695269063</v>
      </c>
      <c r="M226" s="330"/>
      <c r="N226">
        <v>2050</v>
      </c>
      <c r="O226" s="320" t="s">
        <v>240</v>
      </c>
      <c r="P226" s="320" t="s">
        <v>240</v>
      </c>
      <c r="Q226" s="330">
        <f t="shared" ref="Q226:T231" si="121">Q225*($C$6+1)^10</f>
        <v>108625.18569937379</v>
      </c>
      <c r="R226" s="330">
        <f t="shared" si="121"/>
        <v>73430.29927658735</v>
      </c>
      <c r="S226" s="330">
        <f t="shared" si="121"/>
        <v>92919.575252434472</v>
      </c>
      <c r="T226" s="330">
        <f t="shared" si="121"/>
        <v>104734.27855268061</v>
      </c>
      <c r="U226" s="172">
        <f t="shared" si="107"/>
        <v>94927.334695269063</v>
      </c>
      <c r="W226">
        <v>2050</v>
      </c>
      <c r="X226" s="320" t="s">
        <v>240</v>
      </c>
      <c r="Y226" s="320" t="s">
        <v>240</v>
      </c>
      <c r="Z226" s="170">
        <f t="shared" si="119"/>
        <v>108625.18569937379</v>
      </c>
      <c r="AA226" s="170">
        <f t="shared" si="119"/>
        <v>73430.29927658735</v>
      </c>
      <c r="AB226" s="170">
        <f t="shared" si="119"/>
        <v>92919.575252434472</v>
      </c>
      <c r="AC226" s="170">
        <f t="shared" si="119"/>
        <v>104734.27855268061</v>
      </c>
      <c r="AD226" s="172">
        <f t="shared" si="112"/>
        <v>94927.334695269063</v>
      </c>
      <c r="AG226">
        <v>2050</v>
      </c>
      <c r="AH226" t="s">
        <v>240</v>
      </c>
      <c r="AI226" t="s">
        <v>240</v>
      </c>
      <c r="AJ226" s="170">
        <f t="shared" si="115"/>
        <v>108625.18569937379</v>
      </c>
      <c r="AK226" s="170">
        <f t="shared" si="113"/>
        <v>73430.29927658735</v>
      </c>
      <c r="AL226" s="170">
        <f t="shared" si="113"/>
        <v>92919.575252434472</v>
      </c>
      <c r="AM226" s="170">
        <f t="shared" si="113"/>
        <v>104734.27855268061</v>
      </c>
      <c r="AN226" s="172">
        <f t="shared" si="114"/>
        <v>94927.334695269063</v>
      </c>
    </row>
    <row r="227" spans="5:40">
      <c r="E227">
        <v>2060</v>
      </c>
      <c r="F227" s="320" t="s">
        <v>240</v>
      </c>
      <c r="G227" s="320" t="s">
        <v>240</v>
      </c>
      <c r="H227" s="330">
        <f t="shared" si="120"/>
        <v>157027.43373848556</v>
      </c>
      <c r="I227" s="330">
        <f t="shared" si="117"/>
        <v>106150.07357467704</v>
      </c>
      <c r="J227" s="330">
        <f t="shared" si="117"/>
        <v>134323.56733861944</v>
      </c>
      <c r="K227" s="330">
        <f t="shared" si="117"/>
        <v>151402.7790119944</v>
      </c>
      <c r="L227" s="330">
        <f t="shared" si="104"/>
        <v>137225.9634159441</v>
      </c>
      <c r="M227" s="330"/>
      <c r="N227">
        <v>2060</v>
      </c>
      <c r="O227" s="320" t="s">
        <v>240</v>
      </c>
      <c r="P227" s="320" t="s">
        <v>240</v>
      </c>
      <c r="Q227" s="330">
        <f t="shared" si="121"/>
        <v>157027.43373848556</v>
      </c>
      <c r="R227" s="330">
        <f t="shared" si="121"/>
        <v>106150.07357467704</v>
      </c>
      <c r="S227" s="330">
        <f t="shared" si="121"/>
        <v>134323.56733861944</v>
      </c>
      <c r="T227" s="330">
        <f t="shared" si="121"/>
        <v>151402.7790119944</v>
      </c>
      <c r="U227" s="172">
        <f t="shared" si="107"/>
        <v>137225.9634159441</v>
      </c>
      <c r="W227">
        <v>2060</v>
      </c>
      <c r="X227" s="320" t="s">
        <v>240</v>
      </c>
      <c r="Y227" s="320" t="s">
        <v>240</v>
      </c>
      <c r="Z227" s="170">
        <f t="shared" si="119"/>
        <v>157027.43373848556</v>
      </c>
      <c r="AA227" s="170">
        <f t="shared" si="119"/>
        <v>106150.07357467704</v>
      </c>
      <c r="AB227" s="170">
        <f t="shared" si="119"/>
        <v>134323.56733861944</v>
      </c>
      <c r="AC227" s="170">
        <f t="shared" si="119"/>
        <v>151402.7790119944</v>
      </c>
      <c r="AD227" s="172">
        <f t="shared" si="112"/>
        <v>137225.9634159441</v>
      </c>
      <c r="AG227">
        <v>2060</v>
      </c>
      <c r="AH227" t="s">
        <v>240</v>
      </c>
      <c r="AI227" t="s">
        <v>240</v>
      </c>
      <c r="AJ227" s="170">
        <f t="shared" si="115"/>
        <v>157027.43373848556</v>
      </c>
      <c r="AK227" s="170">
        <f t="shared" si="113"/>
        <v>106150.07357467704</v>
      </c>
      <c r="AL227" s="170">
        <f t="shared" si="113"/>
        <v>134323.56733861944</v>
      </c>
      <c r="AM227" s="170">
        <f t="shared" si="113"/>
        <v>151402.7790119944</v>
      </c>
      <c r="AN227" s="172">
        <f t="shared" si="114"/>
        <v>137225.9634159441</v>
      </c>
    </row>
    <row r="228" spans="5:40">
      <c r="E228">
        <v>2070</v>
      </c>
      <c r="F228" s="320" t="s">
        <v>240</v>
      </c>
      <c r="G228" s="320" t="s">
        <v>240</v>
      </c>
      <c r="H228" s="330">
        <f t="shared" si="120"/>
        <v>226997.2178895582</v>
      </c>
      <c r="I228" s="330">
        <f t="shared" si="117"/>
        <v>153449.43750626937</v>
      </c>
      <c r="J228" s="330">
        <f t="shared" si="117"/>
        <v>194176.74578855667</v>
      </c>
      <c r="K228" s="330">
        <f t="shared" si="117"/>
        <v>218866.27577259534</v>
      </c>
      <c r="L228" s="330">
        <f t="shared" si="104"/>
        <v>198372.41923924489</v>
      </c>
      <c r="M228" s="330"/>
      <c r="N228">
        <v>2070</v>
      </c>
      <c r="O228" s="320" t="s">
        <v>240</v>
      </c>
      <c r="P228" s="320" t="s">
        <v>240</v>
      </c>
      <c r="Q228" s="330">
        <f t="shared" si="121"/>
        <v>226997.2178895582</v>
      </c>
      <c r="R228" s="330">
        <f t="shared" si="121"/>
        <v>153449.43750626937</v>
      </c>
      <c r="S228" s="330">
        <f t="shared" si="121"/>
        <v>194176.74578855667</v>
      </c>
      <c r="T228" s="330">
        <f t="shared" si="121"/>
        <v>218866.27577259534</v>
      </c>
      <c r="U228" s="172">
        <f t="shared" si="107"/>
        <v>198372.41923924489</v>
      </c>
      <c r="W228">
        <v>2070</v>
      </c>
      <c r="X228" s="320" t="s">
        <v>240</v>
      </c>
      <c r="Y228" s="320" t="s">
        <v>240</v>
      </c>
      <c r="Z228" s="170">
        <f t="shared" si="119"/>
        <v>226997.2178895582</v>
      </c>
      <c r="AA228" s="170">
        <f t="shared" si="119"/>
        <v>153449.43750626937</v>
      </c>
      <c r="AB228" s="170">
        <f t="shared" si="119"/>
        <v>194176.74578855667</v>
      </c>
      <c r="AC228" s="170">
        <f t="shared" si="119"/>
        <v>218866.27577259534</v>
      </c>
      <c r="AD228" s="172">
        <f t="shared" si="112"/>
        <v>198372.41923924489</v>
      </c>
      <c r="AG228">
        <v>2070</v>
      </c>
      <c r="AH228" t="s">
        <v>240</v>
      </c>
      <c r="AI228" t="s">
        <v>240</v>
      </c>
      <c r="AJ228" s="170">
        <f t="shared" si="115"/>
        <v>226997.2178895582</v>
      </c>
      <c r="AK228" s="170">
        <f t="shared" si="113"/>
        <v>153449.43750626937</v>
      </c>
      <c r="AL228" s="170">
        <f t="shared" si="113"/>
        <v>194176.74578855667</v>
      </c>
      <c r="AM228" s="170">
        <f t="shared" si="113"/>
        <v>218866.27577259534</v>
      </c>
      <c r="AN228" s="172">
        <f t="shared" si="114"/>
        <v>198372.41923924489</v>
      </c>
    </row>
    <row r="229" spans="5:40">
      <c r="E229">
        <v>2080</v>
      </c>
      <c r="F229" s="320" t="s">
        <v>240</v>
      </c>
      <c r="G229" s="320" t="s">
        <v>240</v>
      </c>
      <c r="H229" s="330">
        <f t="shared" si="120"/>
        <v>328144.80694764561</v>
      </c>
      <c r="I229" s="330">
        <f t="shared" si="117"/>
        <v>221824.90391233921</v>
      </c>
      <c r="J229" s="330">
        <f t="shared" si="117"/>
        <v>280699.8753240623</v>
      </c>
      <c r="K229" s="330">
        <f t="shared" si="117"/>
        <v>316390.80195992196</v>
      </c>
      <c r="L229" s="330">
        <f t="shared" si="104"/>
        <v>286765.09703599231</v>
      </c>
      <c r="M229" s="330"/>
      <c r="N229">
        <v>2080</v>
      </c>
      <c r="O229" s="320" t="s">
        <v>240</v>
      </c>
      <c r="P229" s="320" t="s">
        <v>240</v>
      </c>
      <c r="Q229" s="330">
        <f t="shared" si="121"/>
        <v>328144.80694764561</v>
      </c>
      <c r="R229" s="330">
        <f t="shared" si="121"/>
        <v>221824.90391233921</v>
      </c>
      <c r="S229" s="330">
        <f t="shared" si="121"/>
        <v>280699.8753240623</v>
      </c>
      <c r="T229" s="330">
        <f t="shared" si="121"/>
        <v>316390.80195992196</v>
      </c>
      <c r="U229" s="172">
        <f t="shared" si="107"/>
        <v>286765.09703599231</v>
      </c>
      <c r="W229">
        <v>2080</v>
      </c>
      <c r="X229" s="320" t="s">
        <v>240</v>
      </c>
      <c r="Y229" s="320" t="s">
        <v>240</v>
      </c>
      <c r="Z229" s="170">
        <f t="shared" si="119"/>
        <v>328144.80694764561</v>
      </c>
      <c r="AA229" s="170">
        <f t="shared" si="119"/>
        <v>221824.90391233921</v>
      </c>
      <c r="AB229" s="170">
        <f t="shared" si="119"/>
        <v>280699.8753240623</v>
      </c>
      <c r="AC229" s="170">
        <f t="shared" si="119"/>
        <v>316390.80195992196</v>
      </c>
      <c r="AD229" s="172">
        <f t="shared" si="112"/>
        <v>286765.09703599231</v>
      </c>
      <c r="AG229">
        <v>2080</v>
      </c>
      <c r="AH229" t="s">
        <v>240</v>
      </c>
      <c r="AI229" t="s">
        <v>240</v>
      </c>
      <c r="AJ229" s="170">
        <f t="shared" si="115"/>
        <v>328144.80694764561</v>
      </c>
      <c r="AK229" s="170">
        <f t="shared" si="113"/>
        <v>221824.90391233921</v>
      </c>
      <c r="AL229" s="170">
        <f t="shared" si="113"/>
        <v>280699.8753240623</v>
      </c>
      <c r="AM229" s="170">
        <f t="shared" si="113"/>
        <v>316390.80195992196</v>
      </c>
      <c r="AN229" s="172">
        <f t="shared" si="114"/>
        <v>286765.09703599231</v>
      </c>
    </row>
    <row r="230" spans="5:40">
      <c r="E230">
        <v>2090</v>
      </c>
      <c r="F230" s="320" t="s">
        <v>240</v>
      </c>
      <c r="G230" s="320" t="s">
        <v>240</v>
      </c>
      <c r="H230" s="330">
        <f t="shared" si="120"/>
        <v>474362.70509313943</v>
      </c>
      <c r="I230" s="330">
        <f t="shared" si="117"/>
        <v>320667.76389263821</v>
      </c>
      <c r="J230" s="330">
        <f t="shared" si="117"/>
        <v>405776.80755214079</v>
      </c>
      <c r="K230" s="330">
        <f t="shared" si="117"/>
        <v>457371.23826628691</v>
      </c>
      <c r="L230" s="330">
        <f t="shared" si="104"/>
        <v>414544.62870105135</v>
      </c>
      <c r="M230" s="330"/>
      <c r="N230">
        <v>2090</v>
      </c>
      <c r="O230" s="320" t="s">
        <v>240</v>
      </c>
      <c r="P230" s="320" t="s">
        <v>240</v>
      </c>
      <c r="Q230" s="330">
        <f t="shared" si="121"/>
        <v>474362.70509313943</v>
      </c>
      <c r="R230" s="330">
        <f t="shared" si="121"/>
        <v>320667.76389263821</v>
      </c>
      <c r="S230" s="330">
        <f t="shared" si="121"/>
        <v>405776.80755214079</v>
      </c>
      <c r="T230" s="330">
        <f t="shared" si="121"/>
        <v>457371.23826628691</v>
      </c>
      <c r="U230" s="172">
        <f t="shared" si="107"/>
        <v>414544.62870105135</v>
      </c>
      <c r="W230">
        <v>2090</v>
      </c>
      <c r="X230" s="320" t="s">
        <v>240</v>
      </c>
      <c r="Y230" s="320" t="s">
        <v>240</v>
      </c>
      <c r="Z230" s="170">
        <f t="shared" si="119"/>
        <v>474362.70509313943</v>
      </c>
      <c r="AA230" s="170">
        <f t="shared" si="119"/>
        <v>320667.76389263821</v>
      </c>
      <c r="AB230" s="170">
        <f t="shared" si="119"/>
        <v>405776.80755214079</v>
      </c>
      <c r="AC230" s="170">
        <f t="shared" si="119"/>
        <v>457371.23826628691</v>
      </c>
      <c r="AD230" s="172">
        <f t="shared" si="112"/>
        <v>414544.62870105135</v>
      </c>
      <c r="AG230">
        <v>2090</v>
      </c>
      <c r="AH230" t="s">
        <v>240</v>
      </c>
      <c r="AI230" t="s">
        <v>240</v>
      </c>
      <c r="AJ230" s="170">
        <f t="shared" si="115"/>
        <v>474362.70509313943</v>
      </c>
      <c r="AK230" s="170">
        <f t="shared" si="113"/>
        <v>320667.76389263821</v>
      </c>
      <c r="AL230" s="170">
        <f t="shared" si="113"/>
        <v>405776.80755214079</v>
      </c>
      <c r="AM230" s="170">
        <f t="shared" si="113"/>
        <v>457371.23826628691</v>
      </c>
      <c r="AN230" s="172">
        <f t="shared" si="114"/>
        <v>414544.62870105135</v>
      </c>
    </row>
    <row r="231" spans="5:40">
      <c r="E231">
        <v>2100</v>
      </c>
      <c r="F231" s="320" t="s">
        <v>240</v>
      </c>
      <c r="G231" s="320" t="s">
        <v>240</v>
      </c>
      <c r="H231" s="330">
        <f>H230*($C$6+1)^10</f>
        <v>685733.77124685678</v>
      </c>
      <c r="I231" s="330">
        <f t="shared" si="117"/>
        <v>463553.96975868975</v>
      </c>
      <c r="J231" s="330">
        <f t="shared" si="117"/>
        <v>586586.71421608736</v>
      </c>
      <c r="K231" s="330">
        <f t="shared" si="117"/>
        <v>661171.08429636026</v>
      </c>
      <c r="L231" s="330">
        <f t="shared" si="104"/>
        <v>599261.38487949851</v>
      </c>
      <c r="M231" s="330"/>
      <c r="N231">
        <v>2100</v>
      </c>
      <c r="O231" s="320" t="s">
        <v>240</v>
      </c>
      <c r="P231" s="320" t="s">
        <v>240</v>
      </c>
      <c r="Q231" s="330">
        <f>Q230*($C$6+1)^10</f>
        <v>685733.77124685678</v>
      </c>
      <c r="R231" s="330">
        <f t="shared" si="121"/>
        <v>463553.96975868975</v>
      </c>
      <c r="S231" s="330">
        <f t="shared" si="121"/>
        <v>586586.71421608736</v>
      </c>
      <c r="T231" s="330">
        <f t="shared" si="121"/>
        <v>661171.08429636026</v>
      </c>
      <c r="U231" s="172">
        <f t="shared" si="107"/>
        <v>599261.38487949851</v>
      </c>
      <c r="W231">
        <v>2100</v>
      </c>
      <c r="X231" s="320" t="s">
        <v>240</v>
      </c>
      <c r="Y231" s="320" t="s">
        <v>240</v>
      </c>
      <c r="Z231" s="170">
        <f t="shared" si="119"/>
        <v>685733.77124685678</v>
      </c>
      <c r="AA231" s="170">
        <f t="shared" si="119"/>
        <v>463553.96975868975</v>
      </c>
      <c r="AB231" s="170">
        <f t="shared" si="119"/>
        <v>586586.71421608736</v>
      </c>
      <c r="AC231" s="170">
        <f t="shared" si="119"/>
        <v>661171.08429636026</v>
      </c>
      <c r="AD231" s="172">
        <f t="shared" si="112"/>
        <v>599261.38487949851</v>
      </c>
      <c r="AG231">
        <v>2100</v>
      </c>
      <c r="AH231" t="s">
        <v>240</v>
      </c>
      <c r="AI231" t="s">
        <v>240</v>
      </c>
      <c r="AJ231" s="170">
        <f t="shared" si="115"/>
        <v>685733.77124685678</v>
      </c>
      <c r="AK231" s="170">
        <f t="shared" ref="AK231" si="122">AK230*(1+$C$6)^($AG231-$AG230)</f>
        <v>463553.96975868975</v>
      </c>
      <c r="AL231" s="170">
        <f t="shared" ref="AL231" si="123">AL230*(1+$C$6)^($AG231-$AG230)</f>
        <v>586586.71421608736</v>
      </c>
      <c r="AM231" s="170">
        <f t="shared" ref="AM231" si="124">AM230*(1+$C$6)^($AG231-$AG230)</f>
        <v>661171.08429636026</v>
      </c>
      <c r="AN231" s="172">
        <f t="shared" si="114"/>
        <v>599261.38487949851</v>
      </c>
    </row>
    <row r="232" spans="5:40">
      <c r="F232" s="581" t="s">
        <v>249</v>
      </c>
      <c r="G232" s="581"/>
      <c r="H232" s="581"/>
      <c r="I232" s="581"/>
      <c r="J232" s="581"/>
      <c r="K232" s="581"/>
      <c r="O232" s="581" t="s">
        <v>249</v>
      </c>
      <c r="P232" s="581"/>
      <c r="Q232" s="581"/>
      <c r="R232" s="581"/>
      <c r="S232" s="581"/>
      <c r="T232" s="581"/>
      <c r="X232" s="581" t="s">
        <v>249</v>
      </c>
      <c r="Y232" s="581"/>
      <c r="Z232" s="581"/>
      <c r="AA232" s="581"/>
      <c r="AB232" s="581"/>
      <c r="AC232" s="581"/>
      <c r="AH232" s="581" t="s">
        <v>249</v>
      </c>
      <c r="AI232" s="581"/>
      <c r="AJ232" s="581"/>
      <c r="AK232" s="581"/>
      <c r="AL232" s="581"/>
      <c r="AM232" s="581"/>
    </row>
    <row r="233" spans="5:40">
      <c r="E233">
        <v>2020</v>
      </c>
      <c r="F233" s="320" t="s">
        <v>240</v>
      </c>
      <c r="G233" s="320" t="s">
        <v>240</v>
      </c>
      <c r="H233" s="179">
        <f t="shared" ref="H233:K250" si="125">SUM($L214,$L195,$L176,$L157)*H100</f>
        <v>361625565.26090896</v>
      </c>
      <c r="I233" s="179">
        <f t="shared" si="125"/>
        <v>172824021.22389749</v>
      </c>
      <c r="J233" s="179">
        <f t="shared" si="125"/>
        <v>112228410.67175414</v>
      </c>
      <c r="K233" s="179">
        <f t="shared" si="125"/>
        <v>34095716.000117049</v>
      </c>
      <c r="L233" s="433">
        <f>SUM(H233:K233)/(SUM(F271:K271)*1000)</f>
        <v>5.249080751673806E-4</v>
      </c>
      <c r="M233" s="194"/>
      <c r="N233">
        <v>2020</v>
      </c>
      <c r="O233" s="320" t="s">
        <v>240</v>
      </c>
      <c r="P233" s="320" t="s">
        <v>240</v>
      </c>
      <c r="Q233" s="179">
        <f>SUM($U157,$U176,$U195,$U214)*Q100</f>
        <v>361625565.26090896</v>
      </c>
      <c r="R233" s="179">
        <f t="shared" ref="R233:T233" si="126">SUM($U157,$U176,$U195,$U214)*R100</f>
        <v>172824021.22389749</v>
      </c>
      <c r="S233" s="179">
        <f t="shared" si="126"/>
        <v>112228410.67175414</v>
      </c>
      <c r="T233" s="179">
        <f t="shared" si="126"/>
        <v>34095716.000117049</v>
      </c>
      <c r="U233" s="433">
        <f>SUM(Q233:T233)/(SUM(O271:T271)*1000)</f>
        <v>5.249080751673806E-4</v>
      </c>
      <c r="W233">
        <v>2020</v>
      </c>
      <c r="X233" t="s">
        <v>240</v>
      </c>
      <c r="Y233" t="s">
        <v>240</v>
      </c>
      <c r="Z233" s="179">
        <f t="shared" ref="Z233:AC250" si="127">SUM($AD214,$AD195,$AD176,$AD157)*Z100</f>
        <v>361625565.26090896</v>
      </c>
      <c r="AA233" s="179">
        <f t="shared" si="127"/>
        <v>172824021.22389749</v>
      </c>
      <c r="AB233" s="179">
        <f t="shared" si="127"/>
        <v>112228410.67175414</v>
      </c>
      <c r="AC233" s="179">
        <f t="shared" si="127"/>
        <v>34095716.000117049</v>
      </c>
      <c r="AD233" s="433">
        <f>SUM(Z233:AC233)/(SUM(X271:AC271)*1000)</f>
        <v>5.249080751673806E-4</v>
      </c>
      <c r="AG233">
        <v>2020</v>
      </c>
      <c r="AH233" s="320" t="s">
        <v>240</v>
      </c>
      <c r="AI233" s="320" t="s">
        <v>240</v>
      </c>
      <c r="AJ233" s="179">
        <f t="shared" ref="AJ233:AM243" si="128">SUM($L214,$L195,$L176,$L157)*AJ100</f>
        <v>361625565.26090896</v>
      </c>
      <c r="AK233" s="179">
        <f t="shared" si="128"/>
        <v>172824021.22389749</v>
      </c>
      <c r="AL233" s="179">
        <f t="shared" si="128"/>
        <v>112228410.67175414</v>
      </c>
      <c r="AM233" s="179">
        <f t="shared" si="128"/>
        <v>34095716.000117049</v>
      </c>
      <c r="AN233" s="433">
        <f>SUM(AJ233:AM233)/(SUM(AH271:AM271)*1000)</f>
        <v>5.249080751673806E-4</v>
      </c>
    </row>
    <row r="234" spans="5:40">
      <c r="E234">
        <v>2021</v>
      </c>
      <c r="F234" s="320" t="s">
        <v>240</v>
      </c>
      <c r="G234" s="320" t="s">
        <v>240</v>
      </c>
      <c r="H234" s="179">
        <f t="shared" si="125"/>
        <v>398560446.65307289</v>
      </c>
      <c r="I234" s="179">
        <f t="shared" si="125"/>
        <v>164236498.32140991</v>
      </c>
      <c r="J234" s="179">
        <f t="shared" si="125"/>
        <v>111101164.93167675</v>
      </c>
      <c r="K234" s="179">
        <f t="shared" si="125"/>
        <v>35754654.88285128</v>
      </c>
      <c r="L234" s="433">
        <f t="shared" ref="L234:L250" si="129">SUM(H234:K234)/(SUM(F272:K272)*1000)</f>
        <v>5.196028370587039E-4</v>
      </c>
      <c r="M234" s="194"/>
      <c r="N234">
        <v>2021</v>
      </c>
      <c r="O234" s="320" t="s">
        <v>240</v>
      </c>
      <c r="P234" s="320" t="s">
        <v>240</v>
      </c>
      <c r="Q234" s="179">
        <f>SUM($U158,$U177,$U196,$U215)*Q101</f>
        <v>398072387.88521254</v>
      </c>
      <c r="R234" s="179">
        <f t="shared" ref="Q234:T250" si="130">SUM($U158,$U177,$U196,$U215)*R101</f>
        <v>165861720.1310111</v>
      </c>
      <c r="S234" s="179">
        <f t="shared" si="130"/>
        <v>111230059.26188593</v>
      </c>
      <c r="T234" s="179">
        <f t="shared" si="130"/>
        <v>36018817.324213699</v>
      </c>
      <c r="U234" s="433">
        <f t="shared" ref="U234:U250" si="131">SUM(Q234:T234)/(SUM(O272:T272)*1000)</f>
        <v>5.266307337512743E-4</v>
      </c>
      <c r="W234">
        <v>2021</v>
      </c>
      <c r="X234" t="s">
        <v>240</v>
      </c>
      <c r="Y234" t="s">
        <v>240</v>
      </c>
      <c r="Z234" s="179">
        <f t="shared" si="127"/>
        <v>397587968.09925801</v>
      </c>
      <c r="AA234" s="179">
        <f t="shared" si="127"/>
        <v>167361047.6991635</v>
      </c>
      <c r="AB234" s="179">
        <f t="shared" si="127"/>
        <v>111341487.18866538</v>
      </c>
      <c r="AC234" s="179">
        <f t="shared" si="127"/>
        <v>36261825.86104276</v>
      </c>
      <c r="AD234" s="433">
        <f t="shared" ref="AD234:AD250" si="132">SUM(Z234:AC234)/(SUM(X272:AC272)*1000)</f>
        <v>5.3149605981031741E-4</v>
      </c>
      <c r="AG234">
        <v>2021</v>
      </c>
      <c r="AH234" s="320" t="s">
        <v>240</v>
      </c>
      <c r="AI234" s="320" t="s">
        <v>240</v>
      </c>
      <c r="AJ234" s="179">
        <f t="shared" si="128"/>
        <v>398499442.03456104</v>
      </c>
      <c r="AK234" s="179">
        <f t="shared" si="128"/>
        <v>164447049.58811805</v>
      </c>
      <c r="AL234" s="179">
        <f t="shared" si="128"/>
        <v>111118350.61354966</v>
      </c>
      <c r="AM234" s="179">
        <f t="shared" si="128"/>
        <v>35788922.739670955</v>
      </c>
      <c r="AN234" s="433">
        <f t="shared" ref="AN234:AN250" si="133">SUM(AJ234:AM234)/(SUM(AH272:AM272)*1000)</f>
        <v>5.1503316575381456E-4</v>
      </c>
    </row>
    <row r="235" spans="5:40">
      <c r="E235">
        <v>2022</v>
      </c>
      <c r="F235" s="320" t="s">
        <v>240</v>
      </c>
      <c r="G235" s="320" t="s">
        <v>240</v>
      </c>
      <c r="H235" s="179">
        <f t="shared" si="125"/>
        <v>435679245.46350539</v>
      </c>
      <c r="I235" s="179">
        <f t="shared" si="125"/>
        <v>156297371.54586124</v>
      </c>
      <c r="J235" s="179">
        <f t="shared" si="125"/>
        <v>110264476.97011371</v>
      </c>
      <c r="K235" s="179">
        <f t="shared" si="125"/>
        <v>37461310.98097188</v>
      </c>
      <c r="L235" s="433">
        <f t="shared" si="129"/>
        <v>5.1562259402241392E-4</v>
      </c>
      <c r="M235" s="194"/>
      <c r="N235">
        <v>2022</v>
      </c>
      <c r="O235" s="320" t="s">
        <v>240</v>
      </c>
      <c r="P235" s="320" t="s">
        <v>240</v>
      </c>
      <c r="Q235" s="179">
        <f t="shared" si="130"/>
        <v>435574730.44207406</v>
      </c>
      <c r="R235" s="179">
        <f t="shared" si="130"/>
        <v>158981201.48273104</v>
      </c>
      <c r="S235" s="179">
        <f t="shared" si="130"/>
        <v>110324795.06462063</v>
      </c>
      <c r="T235" s="179">
        <f t="shared" si="130"/>
        <v>38002023.241390057</v>
      </c>
      <c r="U235" s="433">
        <f t="shared" si="131"/>
        <v>5.2914129444049933E-4</v>
      </c>
      <c r="W235">
        <v>2022</v>
      </c>
      <c r="X235" t="s">
        <v>240</v>
      </c>
      <c r="Y235" t="s">
        <v>240</v>
      </c>
      <c r="Z235" s="179">
        <f t="shared" si="127"/>
        <v>435345178.77026278</v>
      </c>
      <c r="AA235" s="179">
        <f t="shared" si="127"/>
        <v>161520360.64814353</v>
      </c>
      <c r="AB235" s="179">
        <f t="shared" si="127"/>
        <v>110350143.57416329</v>
      </c>
      <c r="AC235" s="179">
        <f t="shared" si="127"/>
        <v>38511871.298375793</v>
      </c>
      <c r="AD235" s="433">
        <f t="shared" si="132"/>
        <v>5.3867682058614675E-4</v>
      </c>
      <c r="AG235">
        <v>2022</v>
      </c>
      <c r="AH235" s="320" t="s">
        <v>240</v>
      </c>
      <c r="AI235" s="320" t="s">
        <v>240</v>
      </c>
      <c r="AJ235" s="179">
        <f t="shared" si="128"/>
        <v>435674118.25932902</v>
      </c>
      <c r="AK235" s="179">
        <f t="shared" si="128"/>
        <v>156641206.28013971</v>
      </c>
      <c r="AL235" s="179">
        <f t="shared" si="128"/>
        <v>110274209.7885863</v>
      </c>
      <c r="AM235" s="179">
        <f t="shared" si="128"/>
        <v>37530692.209623002</v>
      </c>
      <c r="AN235" s="433">
        <f t="shared" si="133"/>
        <v>5.0707155514151869E-4</v>
      </c>
    </row>
    <row r="236" spans="5:40">
      <c r="E236">
        <v>2023</v>
      </c>
      <c r="F236" s="320" t="s">
        <v>240</v>
      </c>
      <c r="G236" s="320" t="s">
        <v>240</v>
      </c>
      <c r="H236" s="179">
        <f t="shared" si="125"/>
        <v>473125877.97436672</v>
      </c>
      <c r="I236" s="179">
        <f t="shared" si="125"/>
        <v>148931480.13235769</v>
      </c>
      <c r="J236" s="179">
        <f t="shared" si="125"/>
        <v>109694537.8584612</v>
      </c>
      <c r="K236" s="179">
        <f t="shared" si="125"/>
        <v>39219451.119409889</v>
      </c>
      <c r="L236" s="433">
        <f t="shared" si="129"/>
        <v>5.1281778573441942E-4</v>
      </c>
      <c r="M236" s="194"/>
      <c r="N236">
        <v>2023</v>
      </c>
      <c r="O236" s="320" t="s">
        <v>240</v>
      </c>
      <c r="P236" s="320" t="s">
        <v>240</v>
      </c>
      <c r="Q236" s="179">
        <f t="shared" si="130"/>
        <v>474171386.09902769</v>
      </c>
      <c r="R236" s="179">
        <f t="shared" si="130"/>
        <v>152189296.63113728</v>
      </c>
      <c r="S236" s="179">
        <f t="shared" si="130"/>
        <v>109517756.56626755</v>
      </c>
      <c r="T236" s="179">
        <f t="shared" si="130"/>
        <v>40047960.742768444</v>
      </c>
      <c r="U236" s="433">
        <f t="shared" si="131"/>
        <v>5.3238962152340205E-4</v>
      </c>
      <c r="W236">
        <v>2023</v>
      </c>
      <c r="X236" t="s">
        <v>240</v>
      </c>
      <c r="Y236" t="s">
        <v>240</v>
      </c>
      <c r="Z236" s="179">
        <f t="shared" si="127"/>
        <v>474907234.30312616</v>
      </c>
      <c r="AA236" s="179">
        <f t="shared" si="127"/>
        <v>155333078.71930858</v>
      </c>
      <c r="AB236" s="179">
        <f t="shared" si="127"/>
        <v>109270525.75973292</v>
      </c>
      <c r="AC236" s="179">
        <f t="shared" si="127"/>
        <v>40846943.989328332</v>
      </c>
      <c r="AD236" s="433">
        <f t="shared" si="132"/>
        <v>5.4643681031572486E-4</v>
      </c>
      <c r="AG236">
        <v>2023</v>
      </c>
      <c r="AH236" s="320" t="s">
        <v>240</v>
      </c>
      <c r="AI236" s="320" t="s">
        <v>240</v>
      </c>
      <c r="AJ236" s="179">
        <f t="shared" si="128"/>
        <v>473275507.14224237</v>
      </c>
      <c r="AK236" s="179">
        <f t="shared" si="128"/>
        <v>149345332.89694807</v>
      </c>
      <c r="AL236" s="179">
        <f t="shared" si="128"/>
        <v>109676795.94637789</v>
      </c>
      <c r="AM236" s="179">
        <f t="shared" si="128"/>
        <v>39324733.464287579</v>
      </c>
      <c r="AN236" s="433">
        <f t="shared" si="133"/>
        <v>5.0075227045158521E-4</v>
      </c>
    </row>
    <row r="237" spans="5:40">
      <c r="E237">
        <v>2024</v>
      </c>
      <c r="F237" s="320" t="s">
        <v>240</v>
      </c>
      <c r="G237" s="320" t="s">
        <v>240</v>
      </c>
      <c r="H237" s="179">
        <f t="shared" si="125"/>
        <v>511032074.90281445</v>
      </c>
      <c r="I237" s="179">
        <f t="shared" si="125"/>
        <v>142074010.7771225</v>
      </c>
      <c r="J237" s="179">
        <f t="shared" si="125"/>
        <v>109371208.03741804</v>
      </c>
      <c r="K237" s="179">
        <f t="shared" si="125"/>
        <v>41032747.111139655</v>
      </c>
      <c r="L237" s="433">
        <f t="shared" si="129"/>
        <v>5.1106614307066438E-4</v>
      </c>
      <c r="M237" s="194"/>
      <c r="N237">
        <v>2024</v>
      </c>
      <c r="O237" s="320" t="s">
        <v>240</v>
      </c>
      <c r="P237" s="320" t="s">
        <v>240</v>
      </c>
      <c r="Q237" s="179">
        <f t="shared" si="130"/>
        <v>513905863.95130551</v>
      </c>
      <c r="R237" s="179">
        <f t="shared" si="130"/>
        <v>145490844.45620567</v>
      </c>
      <c r="S237" s="179">
        <f t="shared" si="130"/>
        <v>108813380.1139193</v>
      </c>
      <c r="T237" s="179">
        <f t="shared" si="130"/>
        <v>42159436.135193028</v>
      </c>
      <c r="U237" s="433">
        <f t="shared" si="131"/>
        <v>5.3633413673755104E-4</v>
      </c>
      <c r="W237">
        <v>2024</v>
      </c>
      <c r="X237" t="s">
        <v>240</v>
      </c>
      <c r="Y237" t="s">
        <v>240</v>
      </c>
      <c r="Z237" s="179">
        <f t="shared" si="127"/>
        <v>516286439.53248924</v>
      </c>
      <c r="AA237" s="179">
        <f t="shared" si="127"/>
        <v>148830228.44687918</v>
      </c>
      <c r="AB237" s="179">
        <f t="shared" si="127"/>
        <v>108118811.24374904</v>
      </c>
      <c r="AC237" s="179">
        <f t="shared" si="127"/>
        <v>43268346.668261632</v>
      </c>
      <c r="AD237" s="433">
        <f t="shared" si="132"/>
        <v>5.5476573442385282E-4</v>
      </c>
      <c r="AG237">
        <v>2024</v>
      </c>
      <c r="AH237" s="320" t="s">
        <v>240</v>
      </c>
      <c r="AI237" s="320" t="s">
        <v>240</v>
      </c>
      <c r="AJ237" s="179">
        <f t="shared" si="128"/>
        <v>511421046.83451211</v>
      </c>
      <c r="AK237" s="179">
        <f t="shared" si="128"/>
        <v>142505875.60489181</v>
      </c>
      <c r="AL237" s="179">
        <f t="shared" si="128"/>
        <v>109309665.14653315</v>
      </c>
      <c r="AM237" s="179">
        <f t="shared" si="128"/>
        <v>41174693.070190467</v>
      </c>
      <c r="AN237" s="433">
        <f t="shared" si="133"/>
        <v>4.9585979696480575E-4</v>
      </c>
    </row>
    <row r="238" spans="5:40">
      <c r="E238">
        <v>2025</v>
      </c>
      <c r="F238" s="320" t="s">
        <v>240</v>
      </c>
      <c r="G238" s="320" t="s">
        <v>240</v>
      </c>
      <c r="H238" s="179">
        <f t="shared" si="125"/>
        <v>549519731.08593583</v>
      </c>
      <c r="I238" s="179">
        <f t="shared" si="125"/>
        <v>135668800.73546326</v>
      </c>
      <c r="J238" s="179">
        <f t="shared" si="125"/>
        <v>109277430.40912437</v>
      </c>
      <c r="K238" s="179">
        <f t="shared" si="125"/>
        <v>42904809.820463158</v>
      </c>
      <c r="L238" s="433">
        <f t="shared" si="129"/>
        <v>5.1026702640171037E-4</v>
      </c>
      <c r="M238" s="194"/>
      <c r="N238">
        <v>2025</v>
      </c>
      <c r="O238" s="320" t="s">
        <v>240</v>
      </c>
      <c r="P238" s="320" t="s">
        <v>240</v>
      </c>
      <c r="Q238" s="179">
        <f t="shared" si="130"/>
        <v>554826148.2011199</v>
      </c>
      <c r="R238" s="179">
        <f t="shared" si="130"/>
        <v>138888927.8409327</v>
      </c>
      <c r="S238" s="179">
        <f t="shared" si="130"/>
        <v>108215494.04635651</v>
      </c>
      <c r="T238" s="179">
        <f t="shared" si="130"/>
        <v>44339428.871770374</v>
      </c>
      <c r="U238" s="433">
        <f t="shared" si="131"/>
        <v>5.4094040948304118E-4</v>
      </c>
      <c r="W238">
        <v>2025</v>
      </c>
      <c r="X238" t="s">
        <v>240</v>
      </c>
      <c r="Y238" t="s">
        <v>240</v>
      </c>
      <c r="Z238" s="179">
        <f t="shared" si="127"/>
        <v>559498110.70200038</v>
      </c>
      <c r="AA238" s="179">
        <f t="shared" si="127"/>
        <v>142042282.82560226</v>
      </c>
      <c r="AB238" s="179">
        <f t="shared" si="127"/>
        <v>106911008.52904572</v>
      </c>
      <c r="AC238" s="179">
        <f t="shared" si="127"/>
        <v>45777616.241640143</v>
      </c>
      <c r="AD238" s="433">
        <f t="shared" si="132"/>
        <v>5.6365615093739154E-4</v>
      </c>
      <c r="AG238">
        <v>2025</v>
      </c>
      <c r="AH238" s="320" t="s">
        <v>240</v>
      </c>
      <c r="AI238" s="320" t="s">
        <v>240</v>
      </c>
      <c r="AJ238" s="179">
        <f t="shared" si="128"/>
        <v>550221284.4485991</v>
      </c>
      <c r="AK238" s="179">
        <f t="shared" si="128"/>
        <v>136075760.07729363</v>
      </c>
      <c r="AL238" s="179">
        <f t="shared" si="128"/>
        <v>109158728.97301532</v>
      </c>
      <c r="AM238" s="179">
        <f t="shared" si="128"/>
        <v>43084181.754026689</v>
      </c>
      <c r="AN238" s="433">
        <f t="shared" si="133"/>
        <v>4.9222089474016946E-4</v>
      </c>
    </row>
    <row r="239" spans="5:40">
      <c r="E239">
        <v>2026</v>
      </c>
      <c r="F239" s="320" t="s">
        <v>240</v>
      </c>
      <c r="G239" s="320" t="s">
        <v>240</v>
      </c>
      <c r="H239" s="179">
        <f t="shared" si="125"/>
        <v>588702830.91083288</v>
      </c>
      <c r="I239" s="179">
        <f t="shared" si="125"/>
        <v>129666958.35390121</v>
      </c>
      <c r="J239" s="179">
        <f t="shared" si="125"/>
        <v>109398753.83481039</v>
      </c>
      <c r="K239" s="179">
        <f t="shared" si="125"/>
        <v>44839217.7538132</v>
      </c>
      <c r="L239" s="433">
        <f t="shared" si="129"/>
        <v>5.1033713006507994E-4</v>
      </c>
      <c r="M239" s="194"/>
      <c r="N239">
        <v>2026</v>
      </c>
      <c r="O239" s="320" t="s">
        <v>240</v>
      </c>
      <c r="P239" s="320" t="s">
        <v>240</v>
      </c>
      <c r="Q239" s="179">
        <f t="shared" si="130"/>
        <v>596984480.28423822</v>
      </c>
      <c r="R239" s="179">
        <f t="shared" si="130"/>
        <v>132385095.20753342</v>
      </c>
      <c r="S239" s="179">
        <f t="shared" si="130"/>
        <v>107727407.35605438</v>
      </c>
      <c r="T239" s="179">
        <f t="shared" si="130"/>
        <v>46591086.455753863</v>
      </c>
      <c r="U239" s="433">
        <f t="shared" si="131"/>
        <v>5.4618002897398798E-4</v>
      </c>
      <c r="W239">
        <v>2026</v>
      </c>
      <c r="X239" t="s">
        <v>240</v>
      </c>
      <c r="Y239" t="s">
        <v>240</v>
      </c>
      <c r="Z239" s="179">
        <f t="shared" si="127"/>
        <v>604561237.50678396</v>
      </c>
      <c r="AA239" s="179">
        <f t="shared" si="127"/>
        <v>134998761.17676833</v>
      </c>
      <c r="AB239" s="179">
        <f t="shared" si="127"/>
        <v>105662783.95004639</v>
      </c>
      <c r="AC239" s="179">
        <f t="shared" si="127"/>
        <v>48376542.91729001</v>
      </c>
      <c r="AD239" s="433">
        <f t="shared" si="132"/>
        <v>5.7310313978089361E-4</v>
      </c>
      <c r="AG239">
        <v>2026</v>
      </c>
      <c r="AH239" s="320" t="s">
        <v>240</v>
      </c>
      <c r="AI239" s="320" t="s">
        <v>240</v>
      </c>
      <c r="AJ239" s="179">
        <f t="shared" si="128"/>
        <v>589781208.36400092</v>
      </c>
      <c r="AK239" s="179">
        <f t="shared" si="128"/>
        <v>130013455.39694558</v>
      </c>
      <c r="AL239" s="179">
        <f t="shared" si="128"/>
        <v>109211928.27794735</v>
      </c>
      <c r="AM239" s="179">
        <f t="shared" si="128"/>
        <v>45056797.409622177</v>
      </c>
      <c r="AN239" s="433">
        <f t="shared" si="133"/>
        <v>4.8969501949759262E-4</v>
      </c>
    </row>
    <row r="240" spans="5:40">
      <c r="E240">
        <v>2027</v>
      </c>
      <c r="F240" s="320" t="s">
        <v>240</v>
      </c>
      <c r="G240" s="320" t="s">
        <v>240</v>
      </c>
      <c r="H240" s="179">
        <f t="shared" si="125"/>
        <v>628689038.91729009</v>
      </c>
      <c r="I240" s="179">
        <f t="shared" si="125"/>
        <v>124025734.64240043</v>
      </c>
      <c r="J240" s="179">
        <f t="shared" si="125"/>
        <v>109722943.9543969</v>
      </c>
      <c r="K240" s="179">
        <f t="shared" si="125"/>
        <v>46839541.34271168</v>
      </c>
      <c r="L240" s="433">
        <f t="shared" si="129"/>
        <v>5.1120718362015463E-4</v>
      </c>
      <c r="M240" s="194"/>
      <c r="N240">
        <v>2027</v>
      </c>
      <c r="O240" s="320" t="s">
        <v>240</v>
      </c>
      <c r="P240" s="320" t="s">
        <v>240</v>
      </c>
      <c r="Q240" s="179">
        <f t="shared" si="130"/>
        <v>640437166.59720397</v>
      </c>
      <c r="R240" s="179">
        <f t="shared" si="130"/>
        <v>125979565.32991998</v>
      </c>
      <c r="S240" s="179">
        <f t="shared" si="130"/>
        <v>107351992.14769302</v>
      </c>
      <c r="T240" s="179">
        <f t="shared" si="130"/>
        <v>48917720.446959883</v>
      </c>
      <c r="U240" s="433">
        <f t="shared" si="131"/>
        <v>5.5202969525458524E-4</v>
      </c>
      <c r="W240">
        <v>2027</v>
      </c>
      <c r="X240" t="s">
        <v>240</v>
      </c>
      <c r="Y240" t="s">
        <v>240</v>
      </c>
      <c r="Z240" s="179">
        <f t="shared" si="127"/>
        <v>651499058.89088845</v>
      </c>
      <c r="AA240" s="179">
        <f t="shared" si="127"/>
        <v>127727893.5402679</v>
      </c>
      <c r="AB240" s="179">
        <f t="shared" si="127"/>
        <v>104389317.2786371</v>
      </c>
      <c r="AC240" s="179">
        <f t="shared" si="127"/>
        <v>51067185.495465197</v>
      </c>
      <c r="AD240" s="433">
        <f t="shared" si="132"/>
        <v>5.8310402819532745E-4</v>
      </c>
      <c r="AG240">
        <v>2027</v>
      </c>
      <c r="AH240" s="320" t="s">
        <v>240</v>
      </c>
      <c r="AI240" s="320" t="s">
        <v>240</v>
      </c>
      <c r="AJ240" s="179">
        <f t="shared" si="128"/>
        <v>630201376.63176477</v>
      </c>
      <c r="AK240" s="179">
        <f t="shared" si="128"/>
        <v>124282191.51271865</v>
      </c>
      <c r="AL240" s="179">
        <f t="shared" si="128"/>
        <v>109458960.99813484</v>
      </c>
      <c r="AM240" s="179">
        <f t="shared" si="128"/>
        <v>47096145.167085327</v>
      </c>
      <c r="AN240" s="433">
        <f t="shared" si="133"/>
        <v>4.8816724861726151E-4</v>
      </c>
    </row>
    <row r="241" spans="5:40">
      <c r="E241">
        <v>2028</v>
      </c>
      <c r="F241" s="320" t="s">
        <v>240</v>
      </c>
      <c r="G241" s="320" t="s">
        <v>240</v>
      </c>
      <c r="H241" s="179">
        <f t="shared" si="125"/>
        <v>669581024.45166898</v>
      </c>
      <c r="I241" s="179">
        <f t="shared" si="125"/>
        <v>118707594.7654026</v>
      </c>
      <c r="J241" s="179">
        <f t="shared" si="125"/>
        <v>110239663.55743392</v>
      </c>
      <c r="K241" s="179">
        <f t="shared" si="125"/>
        <v>48909363.820099257</v>
      </c>
      <c r="L241" s="433">
        <f t="shared" si="129"/>
        <v>5.1281939044985265E-4</v>
      </c>
      <c r="M241" s="194"/>
      <c r="N241">
        <v>2028</v>
      </c>
      <c r="O241" s="320" t="s">
        <v>240</v>
      </c>
      <c r="P241" s="320" t="s">
        <v>240</v>
      </c>
      <c r="Q241" s="179">
        <f t="shared" si="130"/>
        <v>685244413.27759326</v>
      </c>
      <c r="R241" s="179">
        <f t="shared" si="130"/>
        <v>119671414.51620296</v>
      </c>
      <c r="S241" s="179">
        <f t="shared" si="130"/>
        <v>107091759.50454621</v>
      </c>
      <c r="T241" s="179">
        <f t="shared" si="130"/>
        <v>51322803.568962403</v>
      </c>
      <c r="U241" s="433">
        <f t="shared" si="131"/>
        <v>5.5847048165209151E-4</v>
      </c>
      <c r="W241">
        <v>2028</v>
      </c>
      <c r="X241" t="s">
        <v>240</v>
      </c>
      <c r="Y241" t="s">
        <v>240</v>
      </c>
      <c r="Z241" s="179">
        <f t="shared" si="127"/>
        <v>700339551.87870073</v>
      </c>
      <c r="AA241" s="179">
        <f t="shared" si="127"/>
        <v>120256350.02370901</v>
      </c>
      <c r="AB241" s="179">
        <f t="shared" si="127"/>
        <v>103105186.25952099</v>
      </c>
      <c r="AC241" s="179">
        <f t="shared" si="127"/>
        <v>53851883.094545037</v>
      </c>
      <c r="AD241" s="433">
        <f t="shared" si="132"/>
        <v>5.9365816193142655E-4</v>
      </c>
      <c r="AG241">
        <v>2028</v>
      </c>
      <c r="AH241" s="320" t="s">
        <v>240</v>
      </c>
      <c r="AI241" s="320" t="s">
        <v>240</v>
      </c>
      <c r="AJ241" s="179">
        <f t="shared" si="128"/>
        <v>671578879.4684521</v>
      </c>
      <c r="AK241" s="179">
        <f t="shared" si="128"/>
        <v>118849302.12865973</v>
      </c>
      <c r="AL241" s="179">
        <f t="shared" si="128"/>
        <v>109891054.15384665</v>
      </c>
      <c r="AM241" s="179">
        <f t="shared" si="128"/>
        <v>49205855.086143717</v>
      </c>
      <c r="AN241" s="433">
        <f t="shared" si="133"/>
        <v>4.8754298025069733E-4</v>
      </c>
    </row>
    <row r="242" spans="5:40">
      <c r="E242">
        <v>2029</v>
      </c>
      <c r="F242" s="320" t="s">
        <v>240</v>
      </c>
      <c r="G242" s="320" t="s">
        <v>240</v>
      </c>
      <c r="H242" s="179">
        <f t="shared" si="125"/>
        <v>711477573.83879495</v>
      </c>
      <c r="I242" s="179">
        <f t="shared" si="125"/>
        <v>113679449.78694427</v>
      </c>
      <c r="J242" s="179">
        <f t="shared" si="125"/>
        <v>110940208.71966478</v>
      </c>
      <c r="K242" s="179">
        <f t="shared" si="125"/>
        <v>51052299.39303527</v>
      </c>
      <c r="L242" s="433">
        <f t="shared" si="129"/>
        <v>5.151254187222246E-4</v>
      </c>
      <c r="M242" s="194"/>
      <c r="N242">
        <v>2029</v>
      </c>
      <c r="O242" s="320" t="s">
        <v>240</v>
      </c>
      <c r="P242" s="320" t="s">
        <v>240</v>
      </c>
      <c r="Q242" s="179">
        <f t="shared" si="130"/>
        <v>731470188.54789567</v>
      </c>
      <c r="R242" s="179">
        <f t="shared" si="130"/>
        <v>113458745.94282949</v>
      </c>
      <c r="S242" s="179">
        <f t="shared" si="130"/>
        <v>106948928.64627451</v>
      </c>
      <c r="T242" s="179">
        <f t="shared" si="130"/>
        <v>53809967.892515711</v>
      </c>
      <c r="U242" s="433">
        <f t="shared" si="131"/>
        <v>5.6548723265059349E-4</v>
      </c>
      <c r="W242">
        <v>2029</v>
      </c>
      <c r="X242" t="s">
        <v>240</v>
      </c>
      <c r="Y242" t="s">
        <v>240</v>
      </c>
      <c r="Z242" s="179">
        <f t="shared" si="127"/>
        <v>751115836.07031691</v>
      </c>
      <c r="AA242" s="179">
        <f t="shared" si="127"/>
        <v>112609033.17770855</v>
      </c>
      <c r="AB242" s="179">
        <f t="shared" si="127"/>
        <v>101824279.18453622</v>
      </c>
      <c r="AC242" s="179">
        <f t="shared" si="127"/>
        <v>56733263.677157491</v>
      </c>
      <c r="AD242" s="433">
        <f t="shared" si="132"/>
        <v>6.0476671403431233E-4</v>
      </c>
      <c r="AG242">
        <v>2029</v>
      </c>
      <c r="AH242" s="320" t="s">
        <v>240</v>
      </c>
      <c r="AI242" s="320" t="s">
        <v>240</v>
      </c>
      <c r="AJ242" s="179">
        <f t="shared" si="128"/>
        <v>714008166.20796716</v>
      </c>
      <c r="AK242" s="179">
        <f t="shared" si="128"/>
        <v>113685670.56362745</v>
      </c>
      <c r="AL242" s="179">
        <f t="shared" si="128"/>
        <v>110500772.13173953</v>
      </c>
      <c r="AM242" s="179">
        <f t="shared" si="128"/>
        <v>51389597.925636649</v>
      </c>
      <c r="AN242" s="433">
        <f t="shared" si="133"/>
        <v>4.877439082402371E-4</v>
      </c>
    </row>
    <row r="243" spans="5:40">
      <c r="E243">
        <v>2030</v>
      </c>
      <c r="F243" s="320" t="s">
        <v>240</v>
      </c>
      <c r="G243" s="320" t="s">
        <v>240</v>
      </c>
      <c r="H243" s="179">
        <f t="shared" si="125"/>
        <v>754474531.88286805</v>
      </c>
      <c r="I243" s="179">
        <f t="shared" si="125"/>
        <v>108912017.67111817</v>
      </c>
      <c r="J243" s="179">
        <f t="shared" si="125"/>
        <v>111817289.93340355</v>
      </c>
      <c r="K243" s="179">
        <f t="shared" si="125"/>
        <v>53272009.264387041</v>
      </c>
      <c r="L243" s="433">
        <f t="shared" si="129"/>
        <v>5.1808481096642632E-4</v>
      </c>
      <c r="M243" s="194"/>
      <c r="N243">
        <v>2030</v>
      </c>
      <c r="O243" s="320" t="s">
        <v>240</v>
      </c>
      <c r="P243" s="320" t="s">
        <v>240</v>
      </c>
      <c r="Q243" s="179">
        <f t="shared" si="130"/>
        <v>779182112.41944933</v>
      </c>
      <c r="R243" s="179">
        <f t="shared" si="130"/>
        <v>107338841.44280511</v>
      </c>
      <c r="S243" s="179">
        <f t="shared" si="130"/>
        <v>106925489.46882674</v>
      </c>
      <c r="T243" s="179">
        <f t="shared" si="130"/>
        <v>56383004.054757684</v>
      </c>
      <c r="U243" s="433">
        <f t="shared" si="131"/>
        <v>5.7306806958288571E-4</v>
      </c>
      <c r="W243">
        <v>2030</v>
      </c>
      <c r="X243" t="s">
        <v>240</v>
      </c>
      <c r="Y243" t="s">
        <v>240</v>
      </c>
      <c r="Z243" s="179">
        <f t="shared" si="127"/>
        <v>803866499.09809816</v>
      </c>
      <c r="AA243" s="179">
        <f t="shared" si="127"/>
        <v>104808929.59547587</v>
      </c>
      <c r="AB243" s="179">
        <f t="shared" si="127"/>
        <v>100559733.79252876</v>
      </c>
      <c r="AC243" s="179">
        <f t="shared" si="127"/>
        <v>59714249.803935803</v>
      </c>
      <c r="AD243" s="433">
        <f t="shared" si="132"/>
        <v>6.1643252470647313E-4</v>
      </c>
      <c r="AG243">
        <v>2030</v>
      </c>
      <c r="AH243" s="320" t="s">
        <v>240</v>
      </c>
      <c r="AI243" s="320" t="s">
        <v>240</v>
      </c>
      <c r="AJ243" s="179">
        <f t="shared" si="128"/>
        <v>757581761.12564957</v>
      </c>
      <c r="AK243" s="179">
        <f t="shared" si="128"/>
        <v>108765260.54173794</v>
      </c>
      <c r="AL243" s="179">
        <f t="shared" si="128"/>
        <v>111281854.91032314</v>
      </c>
      <c r="AM243" s="179">
        <f t="shared" si="128"/>
        <v>53651099.354882911</v>
      </c>
      <c r="AN243" s="433">
        <f t="shared" si="133"/>
        <v>4.8870492884464873E-4</v>
      </c>
    </row>
    <row r="244" spans="5:40">
      <c r="E244">
        <v>2040</v>
      </c>
      <c r="F244" s="320" t="s">
        <v>240</v>
      </c>
      <c r="G244" s="320" t="s">
        <v>240</v>
      </c>
      <c r="H244" s="179">
        <f t="shared" si="125"/>
        <v>0</v>
      </c>
      <c r="I244" s="179">
        <f t="shared" si="125"/>
        <v>0</v>
      </c>
      <c r="J244" s="179">
        <f t="shared" si="125"/>
        <v>0</v>
      </c>
      <c r="K244" s="179">
        <f t="shared" si="125"/>
        <v>0</v>
      </c>
      <c r="L244" s="433">
        <f t="shared" si="129"/>
        <v>0</v>
      </c>
      <c r="M244" s="194"/>
      <c r="N244">
        <v>2040</v>
      </c>
      <c r="O244" s="320" t="s">
        <v>240</v>
      </c>
      <c r="P244" s="320" t="s">
        <v>240</v>
      </c>
      <c r="Q244" s="179">
        <f t="shared" si="130"/>
        <v>0</v>
      </c>
      <c r="R244" s="179">
        <f t="shared" si="130"/>
        <v>0</v>
      </c>
      <c r="S244" s="179">
        <f t="shared" si="130"/>
        <v>0</v>
      </c>
      <c r="T244" s="179">
        <f t="shared" si="130"/>
        <v>0</v>
      </c>
      <c r="U244" s="433">
        <f t="shared" si="131"/>
        <v>0</v>
      </c>
      <c r="W244">
        <v>2040</v>
      </c>
      <c r="X244" t="s">
        <v>240</v>
      </c>
      <c r="Y244" t="s">
        <v>240</v>
      </c>
      <c r="Z244" s="179">
        <f t="shared" si="127"/>
        <v>0</v>
      </c>
      <c r="AA244" s="179">
        <f t="shared" si="127"/>
        <v>0</v>
      </c>
      <c r="AB244" s="179">
        <f t="shared" si="127"/>
        <v>0</v>
      </c>
      <c r="AC244" s="179">
        <f t="shared" si="127"/>
        <v>0</v>
      </c>
      <c r="AD244" s="433">
        <f t="shared" si="132"/>
        <v>0</v>
      </c>
      <c r="AG244">
        <v>2040</v>
      </c>
      <c r="AH244" s="320" t="s">
        <v>240</v>
      </c>
      <c r="AI244" s="320" t="s">
        <v>240</v>
      </c>
      <c r="AJ244" s="320" t="s">
        <v>240</v>
      </c>
      <c r="AK244" s="320" t="s">
        <v>240</v>
      </c>
      <c r="AL244" s="320" t="s">
        <v>240</v>
      </c>
      <c r="AM244" s="320" t="s">
        <v>240</v>
      </c>
      <c r="AN244" s="433">
        <f t="shared" si="133"/>
        <v>0</v>
      </c>
    </row>
    <row r="245" spans="5:40">
      <c r="E245">
        <v>2050</v>
      </c>
      <c r="F245" s="320" t="s">
        <v>240</v>
      </c>
      <c r="G245" s="320" t="s">
        <v>240</v>
      </c>
      <c r="H245" s="179">
        <f t="shared" si="125"/>
        <v>0</v>
      </c>
      <c r="I245" s="179">
        <f t="shared" si="125"/>
        <v>0</v>
      </c>
      <c r="J245" s="179">
        <f t="shared" si="125"/>
        <v>0</v>
      </c>
      <c r="K245" s="179">
        <f t="shared" si="125"/>
        <v>0</v>
      </c>
      <c r="L245" s="433">
        <f t="shared" si="129"/>
        <v>0</v>
      </c>
      <c r="M245" s="194"/>
      <c r="N245">
        <v>2050</v>
      </c>
      <c r="O245" s="320" t="s">
        <v>240</v>
      </c>
      <c r="P245" s="320" t="s">
        <v>240</v>
      </c>
      <c r="Q245" s="179">
        <f t="shared" si="130"/>
        <v>0</v>
      </c>
      <c r="R245" s="179">
        <f t="shared" si="130"/>
        <v>0</v>
      </c>
      <c r="S245" s="179">
        <f t="shared" si="130"/>
        <v>0</v>
      </c>
      <c r="T245" s="179">
        <f t="shared" si="130"/>
        <v>0</v>
      </c>
      <c r="U245" s="433">
        <f t="shared" si="131"/>
        <v>0</v>
      </c>
      <c r="W245">
        <v>2050</v>
      </c>
      <c r="X245" t="s">
        <v>240</v>
      </c>
      <c r="Y245" t="s">
        <v>240</v>
      </c>
      <c r="Z245" s="179">
        <f t="shared" si="127"/>
        <v>0</v>
      </c>
      <c r="AA245" s="179">
        <f t="shared" si="127"/>
        <v>0</v>
      </c>
      <c r="AB245" s="179">
        <f t="shared" si="127"/>
        <v>0</v>
      </c>
      <c r="AC245" s="179">
        <f t="shared" si="127"/>
        <v>0</v>
      </c>
      <c r="AD245" s="433">
        <f t="shared" si="132"/>
        <v>0</v>
      </c>
      <c r="AG245">
        <v>2050</v>
      </c>
      <c r="AH245" s="320" t="s">
        <v>240</v>
      </c>
      <c r="AI245" s="320" t="s">
        <v>240</v>
      </c>
      <c r="AJ245" s="320" t="s">
        <v>240</v>
      </c>
      <c r="AK245" s="320" t="s">
        <v>240</v>
      </c>
      <c r="AL245" s="320" t="s">
        <v>240</v>
      </c>
      <c r="AM245" s="320" t="s">
        <v>240</v>
      </c>
      <c r="AN245" s="433">
        <f t="shared" si="133"/>
        <v>0</v>
      </c>
    </row>
    <row r="246" spans="5:40">
      <c r="E246">
        <v>2060</v>
      </c>
      <c r="F246" s="320" t="s">
        <v>240</v>
      </c>
      <c r="G246" s="320" t="s">
        <v>240</v>
      </c>
      <c r="H246" s="179">
        <f t="shared" si="125"/>
        <v>0</v>
      </c>
      <c r="I246" s="179">
        <f t="shared" si="125"/>
        <v>0</v>
      </c>
      <c r="J246" s="179">
        <f t="shared" si="125"/>
        <v>0</v>
      </c>
      <c r="K246" s="179">
        <f t="shared" si="125"/>
        <v>0</v>
      </c>
      <c r="L246" s="433">
        <f t="shared" si="129"/>
        <v>0</v>
      </c>
      <c r="M246" s="194"/>
      <c r="N246">
        <v>2060</v>
      </c>
      <c r="O246" s="320" t="s">
        <v>240</v>
      </c>
      <c r="P246" s="320" t="s">
        <v>240</v>
      </c>
      <c r="Q246" s="179">
        <f t="shared" si="130"/>
        <v>0</v>
      </c>
      <c r="R246" s="179">
        <f t="shared" si="130"/>
        <v>0</v>
      </c>
      <c r="S246" s="179">
        <f t="shared" si="130"/>
        <v>0</v>
      </c>
      <c r="T246" s="179">
        <f t="shared" si="130"/>
        <v>0</v>
      </c>
      <c r="U246" s="433">
        <f t="shared" si="131"/>
        <v>0</v>
      </c>
      <c r="W246">
        <v>2060</v>
      </c>
      <c r="X246" t="s">
        <v>240</v>
      </c>
      <c r="Y246" t="s">
        <v>240</v>
      </c>
      <c r="Z246" s="179">
        <f t="shared" si="127"/>
        <v>0</v>
      </c>
      <c r="AA246" s="179">
        <f t="shared" si="127"/>
        <v>0</v>
      </c>
      <c r="AB246" s="179">
        <f t="shared" si="127"/>
        <v>0</v>
      </c>
      <c r="AC246" s="179">
        <f t="shared" si="127"/>
        <v>0</v>
      </c>
      <c r="AD246" s="433">
        <f t="shared" si="132"/>
        <v>0</v>
      </c>
      <c r="AG246">
        <v>2060</v>
      </c>
      <c r="AH246" s="320" t="s">
        <v>240</v>
      </c>
      <c r="AI246" s="320" t="s">
        <v>240</v>
      </c>
      <c r="AJ246" s="320" t="s">
        <v>240</v>
      </c>
      <c r="AK246" s="320" t="s">
        <v>240</v>
      </c>
      <c r="AL246" s="320" t="s">
        <v>240</v>
      </c>
      <c r="AM246" s="320" t="s">
        <v>240</v>
      </c>
      <c r="AN246" s="433">
        <f t="shared" si="133"/>
        <v>0</v>
      </c>
    </row>
    <row r="247" spans="5:40">
      <c r="E247">
        <v>2070</v>
      </c>
      <c r="F247" s="320" t="s">
        <v>240</v>
      </c>
      <c r="G247" s="320" t="s">
        <v>240</v>
      </c>
      <c r="H247" s="179">
        <f t="shared" si="125"/>
        <v>0</v>
      </c>
      <c r="I247" s="179">
        <f t="shared" si="125"/>
        <v>0</v>
      </c>
      <c r="J247" s="179">
        <f t="shared" si="125"/>
        <v>0</v>
      </c>
      <c r="K247" s="179">
        <f t="shared" si="125"/>
        <v>0</v>
      </c>
      <c r="L247" s="433">
        <f t="shared" si="129"/>
        <v>0</v>
      </c>
      <c r="M247" s="194"/>
      <c r="N247">
        <v>2070</v>
      </c>
      <c r="O247" s="320" t="s">
        <v>240</v>
      </c>
      <c r="P247" s="320" t="s">
        <v>240</v>
      </c>
      <c r="Q247" s="179">
        <f t="shared" si="130"/>
        <v>0</v>
      </c>
      <c r="R247" s="179">
        <f t="shared" si="130"/>
        <v>0</v>
      </c>
      <c r="S247" s="179">
        <f t="shared" si="130"/>
        <v>0</v>
      </c>
      <c r="T247" s="179">
        <f t="shared" si="130"/>
        <v>0</v>
      </c>
      <c r="U247" s="433">
        <f t="shared" si="131"/>
        <v>0</v>
      </c>
      <c r="W247">
        <v>2070</v>
      </c>
      <c r="X247" t="s">
        <v>240</v>
      </c>
      <c r="Y247" t="s">
        <v>240</v>
      </c>
      <c r="Z247" s="179">
        <f t="shared" si="127"/>
        <v>0</v>
      </c>
      <c r="AA247" s="179">
        <f t="shared" si="127"/>
        <v>0</v>
      </c>
      <c r="AB247" s="179">
        <f t="shared" si="127"/>
        <v>0</v>
      </c>
      <c r="AC247" s="179">
        <f t="shared" si="127"/>
        <v>0</v>
      </c>
      <c r="AD247" s="433">
        <f t="shared" si="132"/>
        <v>0</v>
      </c>
      <c r="AG247">
        <v>2070</v>
      </c>
      <c r="AH247" s="320" t="s">
        <v>240</v>
      </c>
      <c r="AI247" s="320" t="s">
        <v>240</v>
      </c>
      <c r="AJ247" s="320" t="s">
        <v>240</v>
      </c>
      <c r="AK247" s="320" t="s">
        <v>240</v>
      </c>
      <c r="AL247" s="320" t="s">
        <v>240</v>
      </c>
      <c r="AM247" s="320" t="s">
        <v>240</v>
      </c>
      <c r="AN247" s="433">
        <f t="shared" si="133"/>
        <v>0</v>
      </c>
    </row>
    <row r="248" spans="5:40">
      <c r="E248">
        <v>2080</v>
      </c>
      <c r="F248" s="320" t="s">
        <v>240</v>
      </c>
      <c r="G248" s="320" t="s">
        <v>240</v>
      </c>
      <c r="H248" s="179">
        <f t="shared" si="125"/>
        <v>0</v>
      </c>
      <c r="I248" s="179">
        <f t="shared" si="125"/>
        <v>0</v>
      </c>
      <c r="J248" s="179">
        <f t="shared" si="125"/>
        <v>0</v>
      </c>
      <c r="K248" s="179">
        <f t="shared" si="125"/>
        <v>0</v>
      </c>
      <c r="L248" s="433">
        <f t="shared" si="129"/>
        <v>0</v>
      </c>
      <c r="M248" s="194"/>
      <c r="N248">
        <v>2080</v>
      </c>
      <c r="O248" s="320" t="s">
        <v>240</v>
      </c>
      <c r="P248" s="320" t="s">
        <v>240</v>
      </c>
      <c r="Q248" s="179">
        <f t="shared" si="130"/>
        <v>0</v>
      </c>
      <c r="R248" s="179">
        <f t="shared" si="130"/>
        <v>0</v>
      </c>
      <c r="S248" s="179">
        <f t="shared" si="130"/>
        <v>0</v>
      </c>
      <c r="T248" s="179">
        <f t="shared" si="130"/>
        <v>0</v>
      </c>
      <c r="U248" s="433">
        <f t="shared" si="131"/>
        <v>0</v>
      </c>
      <c r="W248">
        <v>2080</v>
      </c>
      <c r="X248" t="s">
        <v>240</v>
      </c>
      <c r="Y248" t="s">
        <v>240</v>
      </c>
      <c r="Z248" s="179">
        <f t="shared" si="127"/>
        <v>0</v>
      </c>
      <c r="AA248" s="179">
        <f t="shared" si="127"/>
        <v>0</v>
      </c>
      <c r="AB248" s="179">
        <f t="shared" si="127"/>
        <v>0</v>
      </c>
      <c r="AC248" s="179">
        <f t="shared" si="127"/>
        <v>0</v>
      </c>
      <c r="AD248" s="433">
        <f t="shared" si="132"/>
        <v>0</v>
      </c>
      <c r="AG248">
        <v>2080</v>
      </c>
      <c r="AH248" s="320" t="s">
        <v>240</v>
      </c>
      <c r="AI248" s="320" t="s">
        <v>240</v>
      </c>
      <c r="AJ248" s="320" t="s">
        <v>240</v>
      </c>
      <c r="AK248" s="320" t="s">
        <v>240</v>
      </c>
      <c r="AL248" s="320" t="s">
        <v>240</v>
      </c>
      <c r="AM248" s="320" t="s">
        <v>240</v>
      </c>
      <c r="AN248" s="433">
        <f t="shared" si="133"/>
        <v>0</v>
      </c>
    </row>
    <row r="249" spans="5:40">
      <c r="E249">
        <v>2090</v>
      </c>
      <c r="F249" s="320" t="s">
        <v>240</v>
      </c>
      <c r="G249" s="320" t="s">
        <v>240</v>
      </c>
      <c r="H249" s="179">
        <f t="shared" si="125"/>
        <v>0</v>
      </c>
      <c r="I249" s="179">
        <f t="shared" si="125"/>
        <v>0</v>
      </c>
      <c r="J249" s="179">
        <f t="shared" si="125"/>
        <v>0</v>
      </c>
      <c r="K249" s="179">
        <f t="shared" si="125"/>
        <v>0</v>
      </c>
      <c r="L249" s="433">
        <f t="shared" si="129"/>
        <v>0</v>
      </c>
      <c r="M249" s="194"/>
      <c r="N249">
        <v>2090</v>
      </c>
      <c r="O249" s="320" t="s">
        <v>240</v>
      </c>
      <c r="P249" s="320" t="s">
        <v>240</v>
      </c>
      <c r="Q249" s="179">
        <f t="shared" si="130"/>
        <v>0</v>
      </c>
      <c r="R249" s="179">
        <f t="shared" si="130"/>
        <v>0</v>
      </c>
      <c r="S249" s="179">
        <f t="shared" si="130"/>
        <v>0</v>
      </c>
      <c r="T249" s="179">
        <f t="shared" si="130"/>
        <v>0</v>
      </c>
      <c r="U249" s="433">
        <f t="shared" si="131"/>
        <v>0</v>
      </c>
      <c r="W249">
        <v>2090</v>
      </c>
      <c r="X249" t="s">
        <v>240</v>
      </c>
      <c r="Y249" t="s">
        <v>240</v>
      </c>
      <c r="Z249" s="179">
        <f t="shared" si="127"/>
        <v>0</v>
      </c>
      <c r="AA249" s="179">
        <f t="shared" si="127"/>
        <v>0</v>
      </c>
      <c r="AB249" s="179">
        <f t="shared" si="127"/>
        <v>0</v>
      </c>
      <c r="AC249" s="179">
        <f t="shared" si="127"/>
        <v>0</v>
      </c>
      <c r="AD249" s="433">
        <f t="shared" si="132"/>
        <v>0</v>
      </c>
      <c r="AG249">
        <v>2090</v>
      </c>
      <c r="AH249" s="320" t="s">
        <v>240</v>
      </c>
      <c r="AI249" s="320" t="s">
        <v>240</v>
      </c>
      <c r="AJ249" s="320" t="s">
        <v>240</v>
      </c>
      <c r="AK249" s="320" t="s">
        <v>240</v>
      </c>
      <c r="AL249" s="320" t="s">
        <v>240</v>
      </c>
      <c r="AM249" s="320" t="s">
        <v>240</v>
      </c>
      <c r="AN249" s="433">
        <f t="shared" si="133"/>
        <v>0</v>
      </c>
    </row>
    <row r="250" spans="5:40">
      <c r="E250">
        <v>2100</v>
      </c>
      <c r="F250" s="320" t="s">
        <v>240</v>
      </c>
      <c r="G250" s="320" t="s">
        <v>240</v>
      </c>
      <c r="H250" s="179">
        <f t="shared" si="125"/>
        <v>0</v>
      </c>
      <c r="I250" s="179">
        <f t="shared" si="125"/>
        <v>0</v>
      </c>
      <c r="J250" s="179">
        <f t="shared" si="125"/>
        <v>0</v>
      </c>
      <c r="K250" s="179">
        <f t="shared" si="125"/>
        <v>0</v>
      </c>
      <c r="L250" s="433">
        <f t="shared" si="129"/>
        <v>0</v>
      </c>
      <c r="M250" s="194"/>
      <c r="N250">
        <v>2100</v>
      </c>
      <c r="O250" s="320" t="s">
        <v>240</v>
      </c>
      <c r="P250" s="320" t="s">
        <v>240</v>
      </c>
      <c r="Q250" s="179">
        <f t="shared" si="130"/>
        <v>0</v>
      </c>
      <c r="R250" s="179">
        <f t="shared" si="130"/>
        <v>0</v>
      </c>
      <c r="S250" s="179">
        <f t="shared" si="130"/>
        <v>0</v>
      </c>
      <c r="T250" s="179">
        <f t="shared" si="130"/>
        <v>0</v>
      </c>
      <c r="U250" s="433">
        <f t="shared" si="131"/>
        <v>0</v>
      </c>
      <c r="W250">
        <v>2100</v>
      </c>
      <c r="X250" t="s">
        <v>240</v>
      </c>
      <c r="Y250" t="s">
        <v>240</v>
      </c>
      <c r="Z250" s="179">
        <f t="shared" si="127"/>
        <v>0</v>
      </c>
      <c r="AA250" s="179">
        <f t="shared" si="127"/>
        <v>0</v>
      </c>
      <c r="AB250" s="179">
        <f t="shared" si="127"/>
        <v>0</v>
      </c>
      <c r="AC250" s="179">
        <f t="shared" si="127"/>
        <v>0</v>
      </c>
      <c r="AD250" s="433">
        <f t="shared" si="132"/>
        <v>0</v>
      </c>
      <c r="AG250">
        <v>2100</v>
      </c>
      <c r="AH250" s="320" t="s">
        <v>240</v>
      </c>
      <c r="AI250" s="320" t="s">
        <v>240</v>
      </c>
      <c r="AJ250" s="320" t="s">
        <v>240</v>
      </c>
      <c r="AK250" s="320" t="s">
        <v>240</v>
      </c>
      <c r="AL250" s="320" t="s">
        <v>240</v>
      </c>
      <c r="AM250" s="320" t="s">
        <v>240</v>
      </c>
      <c r="AN250" s="433">
        <f t="shared" si="133"/>
        <v>0</v>
      </c>
    </row>
    <row r="251" spans="5:40">
      <c r="F251" s="581" t="s">
        <v>250</v>
      </c>
      <c r="G251" s="581"/>
      <c r="H251" s="581"/>
      <c r="I251" s="581"/>
      <c r="J251" s="581"/>
      <c r="K251" s="581"/>
      <c r="L251" s="181"/>
      <c r="O251" s="581" t="s">
        <v>250</v>
      </c>
      <c r="P251" s="581"/>
      <c r="Q251" s="581"/>
      <c r="R251" s="581"/>
      <c r="S251" s="581"/>
      <c r="T251" s="581"/>
      <c r="U251" s="181"/>
      <c r="X251" s="581" t="s">
        <v>250</v>
      </c>
      <c r="Y251" s="581"/>
      <c r="Z251" s="581"/>
      <c r="AA251" s="581"/>
      <c r="AB251" s="581"/>
      <c r="AC251" s="581"/>
      <c r="AD251" s="181"/>
      <c r="AH251" s="581" t="s">
        <v>250</v>
      </c>
      <c r="AI251" s="581"/>
      <c r="AJ251" s="581"/>
      <c r="AK251" s="581"/>
      <c r="AL251" s="581"/>
      <c r="AM251" s="581"/>
      <c r="AN251" s="181"/>
    </row>
    <row r="252" spans="5:40">
      <c r="E252">
        <v>2020</v>
      </c>
      <c r="H252" s="330">
        <f t="shared" ref="H252:K269" si="134">H233+H138</f>
        <v>458023971.18579757</v>
      </c>
      <c r="I252" s="330">
        <f t="shared" si="134"/>
        <v>201587026.43875387</v>
      </c>
      <c r="J252" s="330">
        <f t="shared" si="134"/>
        <v>132589761.65470585</v>
      </c>
      <c r="K252" s="330">
        <f t="shared" si="134"/>
        <v>41052564.084561504</v>
      </c>
      <c r="L252" s="433">
        <f>SUM(H252:K252)/(SUM(F271:K271)*1000)</f>
        <v>6.4247691948273475E-4</v>
      </c>
      <c r="M252" s="194"/>
      <c r="N252">
        <v>2020</v>
      </c>
      <c r="O252" s="320" t="s">
        <v>240</v>
      </c>
      <c r="P252" s="320" t="s">
        <v>240</v>
      </c>
      <c r="Q252" s="170">
        <f t="shared" ref="Q252:T269" si="135">Q233+Q138</f>
        <v>458023971.18579757</v>
      </c>
      <c r="R252" s="170">
        <f t="shared" si="135"/>
        <v>201587026.43875387</v>
      </c>
      <c r="S252" s="170">
        <f t="shared" si="135"/>
        <v>132589761.65470585</v>
      </c>
      <c r="T252" s="170">
        <f t="shared" si="135"/>
        <v>41052564.084561504</v>
      </c>
      <c r="U252" s="433">
        <f>SUM(Q252:T252)/(SUM(O271:T271)*1000)</f>
        <v>6.4247691948273475E-4</v>
      </c>
      <c r="W252">
        <v>2020</v>
      </c>
      <c r="X252" t="s">
        <v>240</v>
      </c>
      <c r="Y252" t="s">
        <v>240</v>
      </c>
      <c r="Z252" s="170">
        <f t="shared" ref="Z252:AC269" si="136">Z233+Z138</f>
        <v>458023971.18579757</v>
      </c>
      <c r="AA252" s="170">
        <f t="shared" si="136"/>
        <v>201587026.43875387</v>
      </c>
      <c r="AB252" s="170">
        <f t="shared" si="136"/>
        <v>132589761.65470585</v>
      </c>
      <c r="AC252" s="170">
        <f t="shared" si="136"/>
        <v>41052564.084561504</v>
      </c>
      <c r="AD252" s="433">
        <f>SUM(Z252:AC252)/(SUM(X271:AC271)*1000)</f>
        <v>6.4247691948273475E-4</v>
      </c>
      <c r="AG252">
        <v>2020</v>
      </c>
      <c r="AH252" s="63" t="s">
        <v>240</v>
      </c>
      <c r="AI252" s="63" t="s">
        <v>240</v>
      </c>
      <c r="AJ252" s="63">
        <f>AJ233+AJ138</f>
        <v>458023971.18579757</v>
      </c>
      <c r="AK252" s="63">
        <f t="shared" ref="AK252:AM252" si="137">AK233+AK138</f>
        <v>201587026.43875387</v>
      </c>
      <c r="AL252" s="63">
        <f t="shared" si="137"/>
        <v>132589761.65470585</v>
      </c>
      <c r="AM252" s="63">
        <f t="shared" si="137"/>
        <v>41052564.084561504</v>
      </c>
      <c r="AN252" s="433">
        <f>SUM(AJ252:AM252)/(SUM(AH271:AM271)*1000)</f>
        <v>6.4247691948273475E-4</v>
      </c>
    </row>
    <row r="253" spans="5:40">
      <c r="E253">
        <v>2021</v>
      </c>
      <c r="H253" s="330">
        <f t="shared" si="134"/>
        <v>504804571.55156505</v>
      </c>
      <c r="I253" s="330">
        <f t="shared" si="134"/>
        <v>191570286.90146211</v>
      </c>
      <c r="J253" s="330">
        <f t="shared" si="134"/>
        <v>131258002.22669178</v>
      </c>
      <c r="K253" s="330">
        <f t="shared" si="134"/>
        <v>43049990.822735421</v>
      </c>
      <c r="L253" s="433">
        <f t="shared" ref="L253:L269" si="138">SUM(H253:K253)/(SUM(F272:K272)*1000)</f>
        <v>6.3750795074200102E-4</v>
      </c>
      <c r="M253" s="194"/>
      <c r="N253">
        <v>2021</v>
      </c>
      <c r="O253" s="320" t="s">
        <v>240</v>
      </c>
      <c r="P253" s="320" t="s">
        <v>240</v>
      </c>
      <c r="Q253" s="170">
        <f t="shared" si="135"/>
        <v>504186411.12126976</v>
      </c>
      <c r="R253" s="170">
        <f t="shared" si="135"/>
        <v>193465993.46806529</v>
      </c>
      <c r="S253" s="170">
        <f t="shared" si="135"/>
        <v>131410281.56860515</v>
      </c>
      <c r="T253" s="170">
        <f t="shared" si="135"/>
        <v>43368052.644717038</v>
      </c>
      <c r="U253" s="433">
        <f t="shared" ref="U253:U269" si="139">SUM(Q253:T253)/(SUM(O272:T272)*1000)</f>
        <v>6.4603463534736096E-4</v>
      </c>
      <c r="W253">
        <v>2021</v>
      </c>
      <c r="X253" t="s">
        <v>240</v>
      </c>
      <c r="Y253" t="s">
        <v>240</v>
      </c>
      <c r="Z253" s="170">
        <f t="shared" si="136"/>
        <v>503572859.71506929</v>
      </c>
      <c r="AA253" s="170">
        <f t="shared" si="136"/>
        <v>195214853.28501126</v>
      </c>
      <c r="AB253" s="170">
        <f t="shared" si="136"/>
        <v>131541925.61635503</v>
      </c>
      <c r="AC253" s="170">
        <f t="shared" si="136"/>
        <v>43660644.345423259</v>
      </c>
      <c r="AD253" s="433">
        <f t="shared" ref="AD253:AD269" si="140">SUM(Z253:AC253)/(SUM(X272:AC272)*1000)</f>
        <v>6.5191337239421004E-4</v>
      </c>
      <c r="AG253">
        <v>2021</v>
      </c>
      <c r="AH253" s="63" t="s">
        <v>240</v>
      </c>
      <c r="AI253" s="63" t="s">
        <v>240</v>
      </c>
      <c r="AJ253" s="63">
        <f t="shared" ref="AJ253:AM262" si="141">AJ234+AJ139</f>
        <v>504727304.95230973</v>
      </c>
      <c r="AK253" s="63">
        <f t="shared" si="141"/>
        <v>191815880.09775522</v>
      </c>
      <c r="AL253" s="63">
        <f t="shared" si="141"/>
        <v>131278305.86861065</v>
      </c>
      <c r="AM253" s="63">
        <f t="shared" si="141"/>
        <v>43091250.651041284</v>
      </c>
      <c r="AN253" s="433">
        <f t="shared" ref="AN253:AN269" si="142">SUM(AJ253:AM253)/(SUM(AH272:AM272)*1000)</f>
        <v>6.3188922636934054E-4</v>
      </c>
    </row>
    <row r="254" spans="5:40">
      <c r="E254">
        <v>2022</v>
      </c>
      <c r="H254" s="330">
        <f t="shared" si="134"/>
        <v>551818116.14024663</v>
      </c>
      <c r="I254" s="330">
        <f t="shared" si="134"/>
        <v>182309855.69595414</v>
      </c>
      <c r="J254" s="330">
        <f t="shared" si="134"/>
        <v>130269515.82882707</v>
      </c>
      <c r="K254" s="330">
        <f t="shared" si="134"/>
        <v>45104870.938412212</v>
      </c>
      <c r="L254" s="433">
        <f t="shared" si="138"/>
        <v>6.3398464337517191E-4</v>
      </c>
      <c r="M254" s="194"/>
      <c r="N254">
        <v>2022</v>
      </c>
      <c r="O254" s="320" t="s">
        <v>240</v>
      </c>
      <c r="P254" s="320" t="s">
        <v>240</v>
      </c>
      <c r="Q254" s="170">
        <f t="shared" si="135"/>
        <v>551685740.58452511</v>
      </c>
      <c r="R254" s="170">
        <f t="shared" si="135"/>
        <v>185440353.94850889</v>
      </c>
      <c r="S254" s="170">
        <f t="shared" si="135"/>
        <v>130340777.30108947</v>
      </c>
      <c r="T254" s="170">
        <f t="shared" si="135"/>
        <v>45755909.465423912</v>
      </c>
      <c r="U254" s="433">
        <f t="shared" si="139"/>
        <v>6.5047126812307367E-4</v>
      </c>
      <c r="W254">
        <v>2022</v>
      </c>
      <c r="X254" t="s">
        <v>240</v>
      </c>
      <c r="Y254" t="s">
        <v>240</v>
      </c>
      <c r="Z254" s="170">
        <f t="shared" si="136"/>
        <v>551394997.40037131</v>
      </c>
      <c r="AA254" s="170">
        <f t="shared" si="136"/>
        <v>188402103.95400771</v>
      </c>
      <c r="AB254" s="170">
        <f t="shared" si="136"/>
        <v>130370724.73435031</v>
      </c>
      <c r="AC254" s="170">
        <f t="shared" si="136"/>
        <v>46369786.294780545</v>
      </c>
      <c r="AD254" s="433">
        <f t="shared" si="140"/>
        <v>6.6206158555560555E-4</v>
      </c>
      <c r="AG254">
        <v>2022</v>
      </c>
      <c r="AH254" s="63" t="s">
        <v>240</v>
      </c>
      <c r="AI254" s="63" t="s">
        <v>240</v>
      </c>
      <c r="AJ254" s="63">
        <f t="shared" si="141"/>
        <v>551811622.17896867</v>
      </c>
      <c r="AK254" s="63">
        <f t="shared" si="141"/>
        <v>182710914.65279764</v>
      </c>
      <c r="AL254" s="63">
        <f t="shared" si="141"/>
        <v>130281014.45091203</v>
      </c>
      <c r="AM254" s="63">
        <f t="shared" si="141"/>
        <v>45188408.627881944</v>
      </c>
      <c r="AN254" s="433">
        <f t="shared" si="142"/>
        <v>6.2345416559783195E-4</v>
      </c>
    </row>
    <row r="255" spans="5:40">
      <c r="E255">
        <v>2023</v>
      </c>
      <c r="H255" s="330">
        <f t="shared" si="134"/>
        <v>599246884.9491812</v>
      </c>
      <c r="I255" s="330">
        <f t="shared" si="134"/>
        <v>173718063.09326234</v>
      </c>
      <c r="J255" s="330">
        <f t="shared" si="134"/>
        <v>129596173.93153581</v>
      </c>
      <c r="K255" s="330">
        <f t="shared" si="134"/>
        <v>47221739.83486297</v>
      </c>
      <c r="L255" s="433">
        <f t="shared" si="138"/>
        <v>6.3175570137999804E-4</v>
      </c>
      <c r="M255" s="194"/>
      <c r="N255">
        <v>2023</v>
      </c>
      <c r="O255" s="320" t="s">
        <v>240</v>
      </c>
      <c r="P255" s="320" t="s">
        <v>240</v>
      </c>
      <c r="Q255" s="170">
        <f t="shared" si="135"/>
        <v>600571093.82478631</v>
      </c>
      <c r="R255" s="170">
        <f t="shared" si="135"/>
        <v>177518076.17027134</v>
      </c>
      <c r="S255" s="170">
        <f t="shared" si="135"/>
        <v>129387319.6026126</v>
      </c>
      <c r="T255" s="170">
        <f t="shared" si="135"/>
        <v>48219297.545851827</v>
      </c>
      <c r="U255" s="433">
        <f t="shared" si="139"/>
        <v>6.5573554190596439E-4</v>
      </c>
      <c r="W255">
        <v>2023</v>
      </c>
      <c r="X255" t="s">
        <v>240</v>
      </c>
      <c r="Y255" t="s">
        <v>240</v>
      </c>
      <c r="Z255" s="170">
        <f t="shared" si="136"/>
        <v>601503096.83842266</v>
      </c>
      <c r="AA255" s="170">
        <f t="shared" si="136"/>
        <v>181185076.15347877</v>
      </c>
      <c r="AB255" s="170">
        <f t="shared" si="136"/>
        <v>129095234.26062194</v>
      </c>
      <c r="AC255" s="170">
        <f t="shared" si="136"/>
        <v>49181304.354325309</v>
      </c>
      <c r="AD255" s="433">
        <f t="shared" si="140"/>
        <v>6.7290479242926716E-4</v>
      </c>
      <c r="AG255">
        <v>2023</v>
      </c>
      <c r="AH255" s="63" t="s">
        <v>240</v>
      </c>
      <c r="AI255" s="63" t="s">
        <v>240</v>
      </c>
      <c r="AJ255" s="63">
        <f t="shared" si="141"/>
        <v>599436400.71426868</v>
      </c>
      <c r="AK255" s="63">
        <f t="shared" si="141"/>
        <v>174200793.14205083</v>
      </c>
      <c r="AL255" s="63">
        <f t="shared" si="141"/>
        <v>129575213.14379637</v>
      </c>
      <c r="AM255" s="63">
        <f t="shared" si="141"/>
        <v>47348503.860292129</v>
      </c>
      <c r="AN255" s="433">
        <f t="shared" si="142"/>
        <v>6.1687627674045665E-4</v>
      </c>
    </row>
    <row r="256" spans="5:40">
      <c r="E256">
        <v>2024</v>
      </c>
      <c r="H256" s="330">
        <f t="shared" si="134"/>
        <v>647257724.10871911</v>
      </c>
      <c r="I256" s="330">
        <f t="shared" si="134"/>
        <v>165719308.94770387</v>
      </c>
      <c r="J256" s="330">
        <f t="shared" si="134"/>
        <v>129214183.10005769</v>
      </c>
      <c r="K256" s="330">
        <f t="shared" si="134"/>
        <v>49405018.517278947</v>
      </c>
      <c r="L256" s="433">
        <f t="shared" si="138"/>
        <v>6.3069686424277016E-4</v>
      </c>
      <c r="M256" s="194"/>
      <c r="N256">
        <v>2024</v>
      </c>
      <c r="O256" s="320" t="s">
        <v>240</v>
      </c>
      <c r="P256" s="320" t="s">
        <v>240</v>
      </c>
      <c r="Q256" s="170">
        <f t="shared" si="135"/>
        <v>650897578.14224267</v>
      </c>
      <c r="R256" s="170">
        <f t="shared" si="135"/>
        <v>169704804.34541723</v>
      </c>
      <c r="S256" s="170">
        <f t="shared" si="135"/>
        <v>128555149.69685498</v>
      </c>
      <c r="T256" s="170">
        <f t="shared" si="135"/>
        <v>50761595.788252354</v>
      </c>
      <c r="U256" s="433">
        <f t="shared" si="139"/>
        <v>6.6178545218106583E-4</v>
      </c>
      <c r="W256">
        <v>2024</v>
      </c>
      <c r="X256" t="s">
        <v>240</v>
      </c>
      <c r="Y256" t="s">
        <v>240</v>
      </c>
      <c r="Z256" s="170">
        <f t="shared" si="136"/>
        <v>653912742.95951712</v>
      </c>
      <c r="AA256" s="170">
        <f t="shared" si="136"/>
        <v>173599960.14638624</v>
      </c>
      <c r="AB256" s="170">
        <f t="shared" si="136"/>
        <v>127734566.74110052</v>
      </c>
      <c r="AC256" s="170">
        <f t="shared" si="136"/>
        <v>52096767.066740468</v>
      </c>
      <c r="AD256" s="433">
        <f t="shared" si="140"/>
        <v>6.8443029503977547E-4</v>
      </c>
      <c r="AG256">
        <v>2024</v>
      </c>
      <c r="AH256" s="63" t="s">
        <v>240</v>
      </c>
      <c r="AI256" s="63" t="s">
        <v>240</v>
      </c>
      <c r="AJ256" s="63">
        <f t="shared" si="141"/>
        <v>647750384.15809214</v>
      </c>
      <c r="AK256" s="63">
        <f t="shared" si="141"/>
        <v>166223048.79727438</v>
      </c>
      <c r="AL256" s="63">
        <f t="shared" si="141"/>
        <v>129141474.61933407</v>
      </c>
      <c r="AM256" s="63">
        <f t="shared" si="141"/>
        <v>49575926.955760129</v>
      </c>
      <c r="AN256" s="433">
        <f t="shared" si="142"/>
        <v>6.1192015514451796E-4</v>
      </c>
    </row>
    <row r="257" spans="5:40">
      <c r="E257">
        <v>2025</v>
      </c>
      <c r="H257" s="330">
        <f t="shared" si="134"/>
        <v>696005021.92188191</v>
      </c>
      <c r="I257" s="330">
        <f t="shared" si="134"/>
        <v>158248083.38039142</v>
      </c>
      <c r="J257" s="330">
        <f t="shared" si="134"/>
        <v>129103391.60519844</v>
      </c>
      <c r="K257" s="330">
        <f t="shared" si="134"/>
        <v>51659054.606286645</v>
      </c>
      <c r="L257" s="433">
        <f t="shared" si="138"/>
        <v>6.3070544778734427E-4</v>
      </c>
      <c r="M257" s="194"/>
      <c r="N257">
        <v>2025</v>
      </c>
      <c r="O257" s="320" t="s">
        <v>240</v>
      </c>
      <c r="P257" s="320" t="s">
        <v>240</v>
      </c>
      <c r="Q257" s="170">
        <f t="shared" si="135"/>
        <v>702725968.87183368</v>
      </c>
      <c r="R257" s="170">
        <f t="shared" si="135"/>
        <v>162004134.43943629</v>
      </c>
      <c r="S257" s="170">
        <f t="shared" si="135"/>
        <v>127848790.48958902</v>
      </c>
      <c r="T257" s="170">
        <f t="shared" si="135"/>
        <v>53386391.569690496</v>
      </c>
      <c r="U257" s="433">
        <f t="shared" si="139"/>
        <v>6.6858672819384028E-4</v>
      </c>
      <c r="W257">
        <v>2025</v>
      </c>
      <c r="X257" t="s">
        <v>240</v>
      </c>
      <c r="Y257" t="s">
        <v>240</v>
      </c>
      <c r="Z257" s="170">
        <f t="shared" si="136"/>
        <v>708643334.8532474</v>
      </c>
      <c r="AA257" s="170">
        <f t="shared" si="136"/>
        <v>165682300.53095332</v>
      </c>
      <c r="AB257" s="170">
        <f t="shared" si="136"/>
        <v>126307635.06569076</v>
      </c>
      <c r="AC257" s="170">
        <f t="shared" si="136"/>
        <v>55118024.927000925</v>
      </c>
      <c r="AD257" s="433">
        <f t="shared" si="140"/>
        <v>6.9662900551513212E-4</v>
      </c>
      <c r="AG257">
        <v>2025</v>
      </c>
      <c r="AH257" s="63" t="s">
        <v>240</v>
      </c>
      <c r="AI257" s="63" t="s">
        <v>240</v>
      </c>
      <c r="AJ257" s="63">
        <f t="shared" si="141"/>
        <v>696893588.12967741</v>
      </c>
      <c r="AK257" s="63">
        <f t="shared" si="141"/>
        <v>158722772.73792449</v>
      </c>
      <c r="AL257" s="63">
        <f t="shared" si="141"/>
        <v>128963154.43149559</v>
      </c>
      <c r="AM257" s="63">
        <f t="shared" si="141"/>
        <v>51875025.369228333</v>
      </c>
      <c r="AN257" s="433">
        <f t="shared" si="142"/>
        <v>6.0839627040954792E-4</v>
      </c>
    </row>
    <row r="258" spans="5:40">
      <c r="E258">
        <v>2026</v>
      </c>
      <c r="H258" s="330">
        <f t="shared" si="134"/>
        <v>745633147.55570006</v>
      </c>
      <c r="I258" s="330">
        <f t="shared" si="134"/>
        <v>151247357.72729635</v>
      </c>
      <c r="J258" s="330">
        <f t="shared" si="134"/>
        <v>129246726.47021663</v>
      </c>
      <c r="K258" s="330">
        <f t="shared" si="134"/>
        <v>53988156.762383439</v>
      </c>
      <c r="L258" s="433">
        <f t="shared" si="138"/>
        <v>6.3169617810310968E-4</v>
      </c>
      <c r="M258" s="194"/>
      <c r="N258">
        <v>2026</v>
      </c>
      <c r="O258" s="320" t="s">
        <v>240</v>
      </c>
      <c r="P258" s="320" t="s">
        <v>240</v>
      </c>
      <c r="Q258" s="170">
        <f t="shared" si="135"/>
        <v>756122433.43137848</v>
      </c>
      <c r="R258" s="170">
        <f t="shared" si="135"/>
        <v>154417872.57758695</v>
      </c>
      <c r="S258" s="170">
        <f t="shared" si="135"/>
        <v>127272151.31643638</v>
      </c>
      <c r="T258" s="170">
        <f t="shared" si="135"/>
        <v>56097474.606123976</v>
      </c>
      <c r="U258" s="433">
        <f t="shared" si="139"/>
        <v>6.7611160439016874E-4</v>
      </c>
      <c r="W258">
        <v>2026</v>
      </c>
      <c r="X258" t="s">
        <v>240</v>
      </c>
      <c r="Y258" t="s">
        <v>240</v>
      </c>
      <c r="Z258" s="170">
        <f t="shared" si="136"/>
        <v>765718924.29141283</v>
      </c>
      <c r="AA258" s="170">
        <f t="shared" si="136"/>
        <v>157466529.51260668</v>
      </c>
      <c r="AB258" s="170">
        <f t="shared" si="136"/>
        <v>124832947.87703294</v>
      </c>
      <c r="AC258" s="170">
        <f t="shared" si="136"/>
        <v>58247233.4147425</v>
      </c>
      <c r="AD258" s="433">
        <f t="shared" si="140"/>
        <v>7.0949506202262584E-4</v>
      </c>
      <c r="AG258">
        <v>2026</v>
      </c>
      <c r="AH258" s="63" t="s">
        <v>240</v>
      </c>
      <c r="AI258" s="63" t="s">
        <v>240</v>
      </c>
      <c r="AJ258" s="63">
        <f t="shared" si="141"/>
        <v>746998987.72571373</v>
      </c>
      <c r="AK258" s="63">
        <f t="shared" si="141"/>
        <v>151651522.079465</v>
      </c>
      <c r="AL258" s="63">
        <f t="shared" si="141"/>
        <v>129026005.56802076</v>
      </c>
      <c r="AM258" s="63">
        <f t="shared" si="141"/>
        <v>54250131.104367167</v>
      </c>
      <c r="AN258" s="433">
        <f t="shared" si="142"/>
        <v>6.061506483826984E-4</v>
      </c>
    </row>
    <row r="259" spans="5:40">
      <c r="E259">
        <v>2027</v>
      </c>
      <c r="H259" s="330">
        <f t="shared" si="134"/>
        <v>796278465.65030169</v>
      </c>
      <c r="I259" s="330">
        <f t="shared" si="134"/>
        <v>144667268.30787492</v>
      </c>
      <c r="J259" s="330">
        <f t="shared" si="134"/>
        <v>129629733.68228975</v>
      </c>
      <c r="K259" s="330">
        <f t="shared" si="134"/>
        <v>56396623.923560902</v>
      </c>
      <c r="L259" s="433">
        <f t="shared" si="138"/>
        <v>6.3359797392413748E-4</v>
      </c>
      <c r="M259" s="194"/>
      <c r="N259">
        <v>2027</v>
      </c>
      <c r="O259" s="320" t="s">
        <v>240</v>
      </c>
      <c r="P259" s="320" t="s">
        <v>240</v>
      </c>
      <c r="Q259" s="170">
        <f t="shared" si="135"/>
        <v>811158287.79470587</v>
      </c>
      <c r="R259" s="170">
        <f t="shared" si="135"/>
        <v>146946273.94420129</v>
      </c>
      <c r="S259" s="170">
        <f t="shared" si="135"/>
        <v>126828625.36164255</v>
      </c>
      <c r="T259" s="170">
        <f t="shared" si="135"/>
        <v>58898832.143973492</v>
      </c>
      <c r="U259" s="433">
        <f t="shared" si="139"/>
        <v>6.8433783194165958E-4</v>
      </c>
      <c r="W259">
        <v>2027</v>
      </c>
      <c r="X259" t="s">
        <v>240</v>
      </c>
      <c r="Y259" t="s">
        <v>240</v>
      </c>
      <c r="Z259" s="170">
        <f t="shared" si="136"/>
        <v>825168945.01560068</v>
      </c>
      <c r="AA259" s="170">
        <f t="shared" si="136"/>
        <v>148985575.44099051</v>
      </c>
      <c r="AB259" s="170">
        <f t="shared" si="136"/>
        <v>123328438.97927067</v>
      </c>
      <c r="AC259" s="170">
        <f t="shared" si="136"/>
        <v>61486871.405298479</v>
      </c>
      <c r="AD259" s="433">
        <f t="shared" si="140"/>
        <v>7.2302550468482472E-4</v>
      </c>
      <c r="AG259">
        <v>2027</v>
      </c>
      <c r="AH259" s="63" t="s">
        <v>240</v>
      </c>
      <c r="AI259" s="63" t="s">
        <v>240</v>
      </c>
      <c r="AJ259" s="63">
        <f t="shared" si="141"/>
        <v>798193946.7232672</v>
      </c>
      <c r="AK259" s="63">
        <f t="shared" si="141"/>
        <v>144966407.15171805</v>
      </c>
      <c r="AL259" s="63">
        <f t="shared" si="141"/>
        <v>129317856.8852988</v>
      </c>
      <c r="AM259" s="63">
        <f t="shared" si="141"/>
        <v>56705584.877611741</v>
      </c>
      <c r="AN259" s="433">
        <f t="shared" si="142"/>
        <v>6.0505724097543556E-4</v>
      </c>
    </row>
    <row r="260" spans="5:40">
      <c r="E260">
        <v>2028</v>
      </c>
      <c r="H260" s="330">
        <f t="shared" si="134"/>
        <v>848071014.0853529</v>
      </c>
      <c r="I260" s="330">
        <f t="shared" si="134"/>
        <v>138464033.38487503</v>
      </c>
      <c r="J260" s="330">
        <f t="shared" si="134"/>
        <v>130240200.573863</v>
      </c>
      <c r="K260" s="330">
        <f t="shared" si="134"/>
        <v>58888770.441215135</v>
      </c>
      <c r="L260" s="433">
        <f t="shared" si="138"/>
        <v>6.3635143431389611E-4</v>
      </c>
      <c r="M260" s="194"/>
      <c r="N260">
        <v>2028</v>
      </c>
      <c r="O260" s="320" t="s">
        <v>240</v>
      </c>
      <c r="P260" s="320" t="s">
        <v>240</v>
      </c>
      <c r="Q260" s="170">
        <f t="shared" si="135"/>
        <v>867909787.22933948</v>
      </c>
      <c r="R260" s="170">
        <f t="shared" si="135"/>
        <v>139588261.1178652</v>
      </c>
      <c r="S260" s="170">
        <f t="shared" si="135"/>
        <v>126521179.28873569</v>
      </c>
      <c r="T260" s="170">
        <f t="shared" si="135"/>
        <v>61794645.477072783</v>
      </c>
      <c r="U260" s="433">
        <f t="shared" si="139"/>
        <v>6.9324787841731038E-4</v>
      </c>
      <c r="W260">
        <v>2028</v>
      </c>
      <c r="X260" t="s">
        <v>240</v>
      </c>
      <c r="Y260" t="s">
        <v>240</v>
      </c>
      <c r="Z260" s="170">
        <f t="shared" si="136"/>
        <v>887028831.87622702</v>
      </c>
      <c r="AA260" s="170">
        <f t="shared" si="136"/>
        <v>140270547.11480904</v>
      </c>
      <c r="AB260" s="170">
        <f t="shared" si="136"/>
        <v>121811330.92491177</v>
      </c>
      <c r="AC260" s="170">
        <f t="shared" si="136"/>
        <v>64839755.287894085</v>
      </c>
      <c r="AD260" s="433">
        <f t="shared" si="140"/>
        <v>7.372200003877169E-4</v>
      </c>
      <c r="AG260">
        <v>2028</v>
      </c>
      <c r="AH260" s="63" t="s">
        <v>240</v>
      </c>
      <c r="AI260" s="63" t="s">
        <v>240</v>
      </c>
      <c r="AJ260" s="63">
        <f t="shared" si="141"/>
        <v>850601436.6454401</v>
      </c>
      <c r="AK260" s="63">
        <f t="shared" si="141"/>
        <v>138629325.025361</v>
      </c>
      <c r="AL260" s="63">
        <f t="shared" si="141"/>
        <v>129828343.74139467</v>
      </c>
      <c r="AM260" s="63">
        <f t="shared" si="141"/>
        <v>59245757.421625257</v>
      </c>
      <c r="AN260" s="433">
        <f t="shared" si="142"/>
        <v>6.0501220032367273E-4</v>
      </c>
    </row>
    <row r="261" spans="5:40">
      <c r="E261">
        <v>2029</v>
      </c>
      <c r="H261" s="330">
        <f t="shared" si="134"/>
        <v>901135912.62323213</v>
      </c>
      <c r="I261" s="330">
        <f t="shared" si="134"/>
        <v>132599057.0492231</v>
      </c>
      <c r="J261" s="330">
        <f t="shared" si="134"/>
        <v>131067844.08705699</v>
      </c>
      <c r="K261" s="330">
        <f t="shared" si="134"/>
        <v>61468947.960782111</v>
      </c>
      <c r="L261" s="433">
        <f t="shared" si="138"/>
        <v>6.3990685748588404E-4</v>
      </c>
      <c r="M261" s="194"/>
      <c r="N261">
        <v>2029</v>
      </c>
      <c r="O261" s="320" t="s">
        <v>240</v>
      </c>
      <c r="P261" s="320" t="s">
        <v>240</v>
      </c>
      <c r="Q261" s="170">
        <f t="shared" si="135"/>
        <v>926457951.94543314</v>
      </c>
      <c r="R261" s="170">
        <f t="shared" si="135"/>
        <v>132341621.58774254</v>
      </c>
      <c r="S261" s="170">
        <f t="shared" si="135"/>
        <v>126352434.94546443</v>
      </c>
      <c r="T261" s="170">
        <f t="shared" si="135"/>
        <v>64789287.759439185</v>
      </c>
      <c r="U261" s="433">
        <f t="shared" si="139"/>
        <v>7.028282761080988E-4</v>
      </c>
      <c r="W261">
        <v>2029</v>
      </c>
      <c r="X261" t="s">
        <v>240</v>
      </c>
      <c r="Y261" t="s">
        <v>240</v>
      </c>
      <c r="Z261" s="170">
        <f t="shared" si="136"/>
        <v>951340533.15410328</v>
      </c>
      <c r="AA261" s="170">
        <f t="shared" si="136"/>
        <v>131350491.6022536</v>
      </c>
      <c r="AB261" s="170">
        <f t="shared" si="136"/>
        <v>120298031.72769874</v>
      </c>
      <c r="AC261" s="170">
        <f t="shared" si="136"/>
        <v>68309049.231429487</v>
      </c>
      <c r="AD261" s="433">
        <f t="shared" si="140"/>
        <v>7.5208060790649914E-4</v>
      </c>
      <c r="AG261">
        <v>2029</v>
      </c>
      <c r="AH261" s="63" t="s">
        <v>240</v>
      </c>
      <c r="AI261" s="63" t="s">
        <v>240</v>
      </c>
      <c r="AJ261" s="63">
        <f t="shared" si="141"/>
        <v>904341084.15347075</v>
      </c>
      <c r="AK261" s="63">
        <f t="shared" si="141"/>
        <v>132606313.14629123</v>
      </c>
      <c r="AL261" s="63">
        <f t="shared" si="141"/>
        <v>130548681.49617098</v>
      </c>
      <c r="AM261" s="63">
        <f t="shared" si="141"/>
        <v>61875068.472379498</v>
      </c>
      <c r="AN261" s="433">
        <f t="shared" si="142"/>
        <v>6.0592952465142002E-4</v>
      </c>
    </row>
    <row r="262" spans="5:40">
      <c r="E262">
        <v>2030</v>
      </c>
      <c r="H262" s="330">
        <f t="shared" si="134"/>
        <v>955594555.38552332</v>
      </c>
      <c r="I262" s="330">
        <f t="shared" si="134"/>
        <v>127038183.87214932</v>
      </c>
      <c r="J262" s="330">
        <f t="shared" si="134"/>
        <v>132104052.19501616</v>
      </c>
      <c r="K262" s="330">
        <f t="shared" si="134"/>
        <v>64141564.712472841</v>
      </c>
      <c r="L262" s="433">
        <f t="shared" si="138"/>
        <v>6.4422266425314268E-4</v>
      </c>
      <c r="M262" s="194"/>
      <c r="N262">
        <v>2030</v>
      </c>
      <c r="O262" s="320" t="s">
        <v>240</v>
      </c>
      <c r="P262" s="320" t="s">
        <v>240</v>
      </c>
      <c r="Q262" s="170">
        <f t="shared" si="135"/>
        <v>986888427.39812016</v>
      </c>
      <c r="R262" s="170">
        <f t="shared" si="135"/>
        <v>125203184.80382589</v>
      </c>
      <c r="S262" s="170">
        <f t="shared" si="135"/>
        <v>126324743.25017461</v>
      </c>
      <c r="T262" s="170">
        <f t="shared" si="135"/>
        <v>67887323.065164104</v>
      </c>
      <c r="U262" s="433">
        <f t="shared" si="139"/>
        <v>7.1306908869912193E-4</v>
      </c>
      <c r="W262">
        <v>2030</v>
      </c>
      <c r="X262" t="s">
        <v>240</v>
      </c>
      <c r="Y262" t="s">
        <v>240</v>
      </c>
      <c r="Z262" s="170">
        <f t="shared" si="136"/>
        <v>1018152922.7738366</v>
      </c>
      <c r="AA262" s="170">
        <f t="shared" si="136"/>
        <v>122252221.14238808</v>
      </c>
      <c r="AB262" s="170">
        <f t="shared" si="136"/>
        <v>118804062.67722173</v>
      </c>
      <c r="AC262" s="170">
        <f t="shared" si="136"/>
        <v>71898272.112225875</v>
      </c>
      <c r="AD262" s="433">
        <f t="shared" si="140"/>
        <v>7.6761157667540629E-4</v>
      </c>
      <c r="AG262">
        <v>2030</v>
      </c>
      <c r="AH262" s="63" t="s">
        <v>240</v>
      </c>
      <c r="AI262" s="63" t="s">
        <v>240</v>
      </c>
      <c r="AJ262" s="63">
        <f t="shared" si="141"/>
        <v>959530077.68781579</v>
      </c>
      <c r="AK262" s="63">
        <f t="shared" si="141"/>
        <v>126867002.03578804</v>
      </c>
      <c r="AL262" s="63">
        <f t="shared" si="141"/>
        <v>131471474.38635901</v>
      </c>
      <c r="AM262" s="63">
        <f t="shared" si="141"/>
        <v>64598003.880192637</v>
      </c>
      <c r="AN262" s="433">
        <f t="shared" si="142"/>
        <v>6.0773770711629305E-4</v>
      </c>
    </row>
    <row r="263" spans="5:40">
      <c r="E263">
        <v>2040</v>
      </c>
      <c r="H263" s="330">
        <f t="shared" si="134"/>
        <v>0</v>
      </c>
      <c r="I263" s="330">
        <f t="shared" si="134"/>
        <v>0</v>
      </c>
      <c r="J263" s="330">
        <f t="shared" si="134"/>
        <v>0</v>
      </c>
      <c r="K263" s="330">
        <f t="shared" si="134"/>
        <v>0</v>
      </c>
      <c r="L263" s="433">
        <f t="shared" si="138"/>
        <v>0</v>
      </c>
      <c r="M263" s="194"/>
      <c r="N263">
        <v>2040</v>
      </c>
      <c r="O263" s="320" t="s">
        <v>240</v>
      </c>
      <c r="P263" s="320" t="s">
        <v>240</v>
      </c>
      <c r="Q263" s="170">
        <f t="shared" si="135"/>
        <v>0</v>
      </c>
      <c r="R263" s="170">
        <f t="shared" si="135"/>
        <v>0</v>
      </c>
      <c r="S263" s="170">
        <f t="shared" si="135"/>
        <v>0</v>
      </c>
      <c r="T263" s="170">
        <f t="shared" si="135"/>
        <v>0</v>
      </c>
      <c r="U263" s="433">
        <f t="shared" si="139"/>
        <v>0</v>
      </c>
      <c r="W263">
        <v>2040</v>
      </c>
      <c r="X263" t="s">
        <v>240</v>
      </c>
      <c r="Y263" t="s">
        <v>240</v>
      </c>
      <c r="Z263" s="170">
        <f t="shared" si="136"/>
        <v>0</v>
      </c>
      <c r="AA263" s="170">
        <f t="shared" si="136"/>
        <v>0</v>
      </c>
      <c r="AB263" s="170">
        <f t="shared" si="136"/>
        <v>0</v>
      </c>
      <c r="AC263" s="170">
        <f t="shared" si="136"/>
        <v>0</v>
      </c>
      <c r="AD263" s="433">
        <f t="shared" si="140"/>
        <v>0</v>
      </c>
      <c r="AG263">
        <v>2040</v>
      </c>
      <c r="AH263" s="63" t="s">
        <v>240</v>
      </c>
      <c r="AI263" s="63" t="s">
        <v>240</v>
      </c>
      <c r="AJ263" s="63"/>
      <c r="AK263" s="63"/>
      <c r="AL263" s="63"/>
      <c r="AM263" s="63"/>
      <c r="AN263" s="433">
        <f t="shared" si="142"/>
        <v>0</v>
      </c>
    </row>
    <row r="264" spans="5:40">
      <c r="E264">
        <v>2050</v>
      </c>
      <c r="H264" s="330">
        <f t="shared" si="134"/>
        <v>0</v>
      </c>
      <c r="I264" s="330">
        <f t="shared" si="134"/>
        <v>0</v>
      </c>
      <c r="J264" s="330">
        <f t="shared" si="134"/>
        <v>0</v>
      </c>
      <c r="K264" s="330">
        <f t="shared" si="134"/>
        <v>0</v>
      </c>
      <c r="L264" s="433">
        <f t="shared" si="138"/>
        <v>0</v>
      </c>
      <c r="M264" s="194"/>
      <c r="N264">
        <v>2050</v>
      </c>
      <c r="O264" s="320" t="s">
        <v>240</v>
      </c>
      <c r="P264" s="320" t="s">
        <v>240</v>
      </c>
      <c r="Q264" s="170">
        <f t="shared" si="135"/>
        <v>0</v>
      </c>
      <c r="R264" s="170">
        <f t="shared" si="135"/>
        <v>0</v>
      </c>
      <c r="S264" s="170">
        <f t="shared" si="135"/>
        <v>0</v>
      </c>
      <c r="T264" s="170">
        <f t="shared" si="135"/>
        <v>0</v>
      </c>
      <c r="U264" s="433">
        <f t="shared" si="139"/>
        <v>0</v>
      </c>
      <c r="W264">
        <v>2050</v>
      </c>
      <c r="X264" t="s">
        <v>240</v>
      </c>
      <c r="Y264" t="s">
        <v>240</v>
      </c>
      <c r="Z264" s="170">
        <f t="shared" si="136"/>
        <v>0</v>
      </c>
      <c r="AA264" s="170">
        <f t="shared" si="136"/>
        <v>0</v>
      </c>
      <c r="AB264" s="170">
        <f t="shared" si="136"/>
        <v>0</v>
      </c>
      <c r="AC264" s="170">
        <f t="shared" si="136"/>
        <v>0</v>
      </c>
      <c r="AD264" s="433">
        <f t="shared" si="140"/>
        <v>0</v>
      </c>
      <c r="AG264">
        <v>2050</v>
      </c>
      <c r="AH264" s="63" t="s">
        <v>240</v>
      </c>
      <c r="AI264" s="63" t="s">
        <v>240</v>
      </c>
      <c r="AJ264" s="63"/>
      <c r="AK264" s="63"/>
      <c r="AL264" s="63"/>
      <c r="AM264" s="63"/>
      <c r="AN264" s="433">
        <f t="shared" si="142"/>
        <v>0</v>
      </c>
    </row>
    <row r="265" spans="5:40">
      <c r="E265">
        <v>2060</v>
      </c>
      <c r="H265" s="330">
        <f t="shared" si="134"/>
        <v>0</v>
      </c>
      <c r="I265" s="330">
        <f t="shared" si="134"/>
        <v>0</v>
      </c>
      <c r="J265" s="330">
        <f t="shared" si="134"/>
        <v>0</v>
      </c>
      <c r="K265" s="330">
        <f t="shared" si="134"/>
        <v>0</v>
      </c>
      <c r="L265" s="433">
        <f t="shared" si="138"/>
        <v>0</v>
      </c>
      <c r="M265" s="194"/>
      <c r="N265">
        <v>2060</v>
      </c>
      <c r="O265" s="320" t="s">
        <v>240</v>
      </c>
      <c r="P265" s="320" t="s">
        <v>240</v>
      </c>
      <c r="Q265" s="170">
        <f t="shared" si="135"/>
        <v>0</v>
      </c>
      <c r="R265" s="170">
        <f t="shared" si="135"/>
        <v>0</v>
      </c>
      <c r="S265" s="170">
        <f t="shared" si="135"/>
        <v>0</v>
      </c>
      <c r="T265" s="170">
        <f t="shared" si="135"/>
        <v>0</v>
      </c>
      <c r="U265" s="433">
        <f t="shared" si="139"/>
        <v>0</v>
      </c>
      <c r="W265">
        <v>2060</v>
      </c>
      <c r="X265" t="s">
        <v>240</v>
      </c>
      <c r="Y265" t="s">
        <v>240</v>
      </c>
      <c r="Z265" s="170">
        <f t="shared" si="136"/>
        <v>0</v>
      </c>
      <c r="AA265" s="170">
        <f t="shared" si="136"/>
        <v>0</v>
      </c>
      <c r="AB265" s="170">
        <f t="shared" si="136"/>
        <v>0</v>
      </c>
      <c r="AC265" s="170">
        <f t="shared" si="136"/>
        <v>0</v>
      </c>
      <c r="AD265" s="433">
        <f t="shared" si="140"/>
        <v>0</v>
      </c>
      <c r="AG265">
        <v>2060</v>
      </c>
      <c r="AH265" s="63" t="s">
        <v>240</v>
      </c>
      <c r="AI265" s="63" t="s">
        <v>240</v>
      </c>
      <c r="AJ265" s="63"/>
      <c r="AK265" s="63"/>
      <c r="AL265" s="63"/>
      <c r="AM265" s="63"/>
      <c r="AN265" s="433">
        <f t="shared" si="142"/>
        <v>0</v>
      </c>
    </row>
    <row r="266" spans="5:40">
      <c r="E266">
        <v>2070</v>
      </c>
      <c r="H266" s="330">
        <f t="shared" si="134"/>
        <v>0</v>
      </c>
      <c r="I266" s="330">
        <f t="shared" si="134"/>
        <v>0</v>
      </c>
      <c r="J266" s="330">
        <f t="shared" si="134"/>
        <v>0</v>
      </c>
      <c r="K266" s="330">
        <f t="shared" si="134"/>
        <v>0</v>
      </c>
      <c r="L266" s="433">
        <f t="shared" si="138"/>
        <v>0</v>
      </c>
      <c r="M266" s="194"/>
      <c r="N266">
        <v>2070</v>
      </c>
      <c r="O266" s="320" t="s">
        <v>240</v>
      </c>
      <c r="P266" s="320" t="s">
        <v>240</v>
      </c>
      <c r="Q266" s="170">
        <f t="shared" si="135"/>
        <v>0</v>
      </c>
      <c r="R266" s="170">
        <f t="shared" si="135"/>
        <v>0</v>
      </c>
      <c r="S266" s="170">
        <f t="shared" si="135"/>
        <v>0</v>
      </c>
      <c r="T266" s="170">
        <f t="shared" si="135"/>
        <v>0</v>
      </c>
      <c r="U266" s="433">
        <f t="shared" si="139"/>
        <v>0</v>
      </c>
      <c r="W266">
        <v>2070</v>
      </c>
      <c r="X266" t="s">
        <v>240</v>
      </c>
      <c r="Y266" t="s">
        <v>240</v>
      </c>
      <c r="Z266" s="170">
        <f t="shared" si="136"/>
        <v>0</v>
      </c>
      <c r="AA266" s="170">
        <f t="shared" si="136"/>
        <v>0</v>
      </c>
      <c r="AB266" s="170">
        <f t="shared" si="136"/>
        <v>0</v>
      </c>
      <c r="AC266" s="170">
        <f t="shared" si="136"/>
        <v>0</v>
      </c>
      <c r="AD266" s="433">
        <f t="shared" si="140"/>
        <v>0</v>
      </c>
      <c r="AG266">
        <v>2070</v>
      </c>
      <c r="AH266" s="63" t="s">
        <v>240</v>
      </c>
      <c r="AI266" s="63" t="s">
        <v>240</v>
      </c>
      <c r="AJ266" s="63"/>
      <c r="AK266" s="63"/>
      <c r="AL266" s="63"/>
      <c r="AM266" s="63"/>
      <c r="AN266" s="433">
        <f t="shared" si="142"/>
        <v>0</v>
      </c>
    </row>
    <row r="267" spans="5:40">
      <c r="E267">
        <v>2080</v>
      </c>
      <c r="H267" s="330">
        <f t="shared" si="134"/>
        <v>0</v>
      </c>
      <c r="I267" s="330">
        <f t="shared" si="134"/>
        <v>0</v>
      </c>
      <c r="J267" s="330">
        <f t="shared" si="134"/>
        <v>0</v>
      </c>
      <c r="K267" s="330">
        <f t="shared" si="134"/>
        <v>0</v>
      </c>
      <c r="L267" s="433">
        <f t="shared" si="138"/>
        <v>0</v>
      </c>
      <c r="M267" s="194"/>
      <c r="N267">
        <v>2080</v>
      </c>
      <c r="O267" s="320" t="s">
        <v>240</v>
      </c>
      <c r="P267" s="320" t="s">
        <v>240</v>
      </c>
      <c r="Q267" s="170">
        <f t="shared" si="135"/>
        <v>0</v>
      </c>
      <c r="R267" s="170">
        <f t="shared" si="135"/>
        <v>0</v>
      </c>
      <c r="S267" s="170">
        <f t="shared" si="135"/>
        <v>0</v>
      </c>
      <c r="T267" s="170">
        <f t="shared" si="135"/>
        <v>0</v>
      </c>
      <c r="U267" s="433">
        <f t="shared" si="139"/>
        <v>0</v>
      </c>
      <c r="W267">
        <v>2080</v>
      </c>
      <c r="X267" t="s">
        <v>240</v>
      </c>
      <c r="Y267" t="s">
        <v>240</v>
      </c>
      <c r="Z267" s="170">
        <f t="shared" si="136"/>
        <v>0</v>
      </c>
      <c r="AA267" s="170">
        <f t="shared" si="136"/>
        <v>0</v>
      </c>
      <c r="AB267" s="170">
        <f t="shared" si="136"/>
        <v>0</v>
      </c>
      <c r="AC267" s="170">
        <f t="shared" si="136"/>
        <v>0</v>
      </c>
      <c r="AD267" s="433">
        <f t="shared" si="140"/>
        <v>0</v>
      </c>
      <c r="AG267">
        <v>2080</v>
      </c>
      <c r="AH267" s="63" t="s">
        <v>240</v>
      </c>
      <c r="AI267" s="63" t="s">
        <v>240</v>
      </c>
      <c r="AJ267" s="63"/>
      <c r="AK267" s="63"/>
      <c r="AL267" s="63"/>
      <c r="AM267" s="63"/>
      <c r="AN267" s="433">
        <f t="shared" si="142"/>
        <v>0</v>
      </c>
    </row>
    <row r="268" spans="5:40">
      <c r="E268">
        <v>2090</v>
      </c>
      <c r="H268" s="330">
        <f t="shared" si="134"/>
        <v>0</v>
      </c>
      <c r="I268" s="330">
        <f t="shared" si="134"/>
        <v>0</v>
      </c>
      <c r="J268" s="330">
        <f t="shared" si="134"/>
        <v>0</v>
      </c>
      <c r="K268" s="330">
        <f t="shared" si="134"/>
        <v>0</v>
      </c>
      <c r="L268" s="433">
        <f t="shared" si="138"/>
        <v>0</v>
      </c>
      <c r="M268" s="194"/>
      <c r="N268">
        <v>2090</v>
      </c>
      <c r="O268" s="320" t="s">
        <v>240</v>
      </c>
      <c r="P268" s="320" t="s">
        <v>240</v>
      </c>
      <c r="Q268" s="170">
        <f t="shared" si="135"/>
        <v>0</v>
      </c>
      <c r="R268" s="170">
        <f t="shared" si="135"/>
        <v>0</v>
      </c>
      <c r="S268" s="170">
        <f t="shared" si="135"/>
        <v>0</v>
      </c>
      <c r="T268" s="170">
        <f t="shared" si="135"/>
        <v>0</v>
      </c>
      <c r="U268" s="433">
        <f t="shared" si="139"/>
        <v>0</v>
      </c>
      <c r="W268">
        <v>2090</v>
      </c>
      <c r="X268" t="s">
        <v>240</v>
      </c>
      <c r="Y268" t="s">
        <v>240</v>
      </c>
      <c r="Z268" s="170">
        <f t="shared" si="136"/>
        <v>0</v>
      </c>
      <c r="AA268" s="170">
        <f t="shared" si="136"/>
        <v>0</v>
      </c>
      <c r="AB268" s="170">
        <f t="shared" si="136"/>
        <v>0</v>
      </c>
      <c r="AC268" s="170">
        <f t="shared" si="136"/>
        <v>0</v>
      </c>
      <c r="AD268" s="433">
        <f t="shared" si="140"/>
        <v>0</v>
      </c>
      <c r="AG268">
        <v>2090</v>
      </c>
      <c r="AH268" s="63" t="s">
        <v>240</v>
      </c>
      <c r="AI268" s="63" t="s">
        <v>240</v>
      </c>
      <c r="AJ268" s="63"/>
      <c r="AK268" s="63"/>
      <c r="AL268" s="63"/>
      <c r="AM268" s="63"/>
      <c r="AN268" s="433">
        <f t="shared" si="142"/>
        <v>0</v>
      </c>
    </row>
    <row r="269" spans="5:40">
      <c r="E269">
        <v>2100</v>
      </c>
      <c r="H269" s="330">
        <f t="shared" si="134"/>
        <v>0</v>
      </c>
      <c r="I269" s="330">
        <f t="shared" si="134"/>
        <v>0</v>
      </c>
      <c r="J269" s="330">
        <f t="shared" si="134"/>
        <v>0</v>
      </c>
      <c r="K269" s="330">
        <f t="shared" si="134"/>
        <v>0</v>
      </c>
      <c r="L269" s="433">
        <f t="shared" si="138"/>
        <v>0</v>
      </c>
      <c r="M269" s="194"/>
      <c r="N269">
        <v>2100</v>
      </c>
      <c r="O269" s="320" t="s">
        <v>240</v>
      </c>
      <c r="P269" s="320" t="s">
        <v>240</v>
      </c>
      <c r="Q269" s="170">
        <f t="shared" si="135"/>
        <v>0</v>
      </c>
      <c r="R269" s="170">
        <f t="shared" si="135"/>
        <v>0</v>
      </c>
      <c r="S269" s="170">
        <f t="shared" si="135"/>
        <v>0</v>
      </c>
      <c r="T269" s="170">
        <f t="shared" si="135"/>
        <v>0</v>
      </c>
      <c r="U269" s="433">
        <f t="shared" si="139"/>
        <v>0</v>
      </c>
      <c r="W269">
        <v>2100</v>
      </c>
      <c r="X269" t="s">
        <v>240</v>
      </c>
      <c r="Y269" t="s">
        <v>240</v>
      </c>
      <c r="Z269" s="170">
        <f t="shared" si="136"/>
        <v>0</v>
      </c>
      <c r="AA269" s="170">
        <f t="shared" si="136"/>
        <v>0</v>
      </c>
      <c r="AB269" s="170">
        <f t="shared" si="136"/>
        <v>0</v>
      </c>
      <c r="AC269" s="170">
        <f t="shared" si="136"/>
        <v>0</v>
      </c>
      <c r="AD269" s="433">
        <f t="shared" si="140"/>
        <v>0</v>
      </c>
      <c r="AG269">
        <v>2100</v>
      </c>
      <c r="AH269" s="63" t="s">
        <v>240</v>
      </c>
      <c r="AI269" s="63" t="s">
        <v>240</v>
      </c>
      <c r="AJ269" s="63"/>
      <c r="AK269" s="63"/>
      <c r="AL269" s="63"/>
      <c r="AM269" s="63"/>
      <c r="AN269" s="433">
        <f t="shared" si="142"/>
        <v>0</v>
      </c>
    </row>
    <row r="270" spans="5:40">
      <c r="F270" s="581" t="s">
        <v>251</v>
      </c>
      <c r="G270" s="581"/>
      <c r="H270" s="581"/>
      <c r="I270" s="581"/>
      <c r="J270" s="581"/>
      <c r="K270" s="581"/>
      <c r="O270" s="581" t="s">
        <v>251</v>
      </c>
      <c r="P270" s="581"/>
      <c r="Q270" s="581"/>
      <c r="R270" s="581"/>
      <c r="S270" s="581"/>
      <c r="T270" s="581"/>
      <c r="X270" s="581" t="s">
        <v>251</v>
      </c>
      <c r="Y270" s="581"/>
      <c r="Z270" s="581"/>
      <c r="AA270" s="581"/>
      <c r="AB270" s="581"/>
      <c r="AC270" s="581"/>
      <c r="AH270" s="581" t="s">
        <v>251</v>
      </c>
      <c r="AI270" s="581"/>
      <c r="AJ270" s="581"/>
      <c r="AK270" s="581"/>
      <c r="AL270" s="581"/>
      <c r="AM270" s="581"/>
    </row>
    <row r="271" spans="5:40">
      <c r="E271">
        <v>2020</v>
      </c>
      <c r="F271" s="61">
        <f>'Demographic-Economic'!C$38</f>
        <v>531771287</v>
      </c>
      <c r="G271" s="61">
        <f>'Demographic-Economic'!D$38</f>
        <v>222153795</v>
      </c>
      <c r="H271" s="61">
        <f>'Demographic-Economic'!E$38</f>
        <v>417708522</v>
      </c>
      <c r="I271" s="61">
        <f>'Demographic-Economic'!F$38</f>
        <v>45815957</v>
      </c>
      <c r="J271" s="61">
        <f>'Demographic-Economic'!G$38</f>
        <v>69643447</v>
      </c>
      <c r="K271" s="61">
        <f>'Demographic-Economic'!H$38</f>
        <v>9845914</v>
      </c>
      <c r="N271">
        <v>2020</v>
      </c>
      <c r="O271" s="61">
        <f>'Demographic-Economic'!C$38</f>
        <v>531771287</v>
      </c>
      <c r="P271" s="61">
        <f>'Demographic-Economic'!D$38</f>
        <v>222153795</v>
      </c>
      <c r="Q271" s="61">
        <f>'Demographic-Economic'!E$38</f>
        <v>417708522</v>
      </c>
      <c r="R271" s="61">
        <f>'Demographic-Economic'!F$38</f>
        <v>45815957</v>
      </c>
      <c r="S271" s="61">
        <f>'Demographic-Economic'!G$38</f>
        <v>69643447</v>
      </c>
      <c r="T271" s="61">
        <f>'Demographic-Economic'!H$38</f>
        <v>9845914</v>
      </c>
      <c r="W271">
        <v>2020</v>
      </c>
      <c r="X271" s="61">
        <f>'Demographic-Economic'!C$38</f>
        <v>531771287</v>
      </c>
      <c r="Y271" s="61">
        <f>'Demographic-Economic'!D$38</f>
        <v>222153795</v>
      </c>
      <c r="Z271" s="61">
        <f>'Demographic-Economic'!E$38</f>
        <v>417708522</v>
      </c>
      <c r="AA271" s="61">
        <f>'Demographic-Economic'!F$38</f>
        <v>45815957</v>
      </c>
      <c r="AB271" s="61">
        <f>'Demographic-Economic'!G$38</f>
        <v>69643447</v>
      </c>
      <c r="AC271" s="61">
        <f>'Demographic-Economic'!H$38</f>
        <v>9845914</v>
      </c>
      <c r="AG271">
        <v>2020</v>
      </c>
      <c r="AH271" s="61">
        <f>'Demographic-Economic'!C$38</f>
        <v>531771287</v>
      </c>
      <c r="AI271" s="61">
        <f>'Demographic-Economic'!D$38</f>
        <v>222153795</v>
      </c>
      <c r="AJ271" s="61">
        <f>'Demographic-Economic'!E$38</f>
        <v>417708522</v>
      </c>
      <c r="AK271" s="61">
        <f>'Demographic-Economic'!F$38</f>
        <v>45815957</v>
      </c>
      <c r="AL271" s="61">
        <f>'Demographic-Economic'!G$38</f>
        <v>69643447</v>
      </c>
      <c r="AM271" s="61">
        <f>'Demographic-Economic'!H$38</f>
        <v>9845914</v>
      </c>
    </row>
    <row r="272" spans="5:40">
      <c r="E272">
        <v>2021</v>
      </c>
      <c r="F272" s="61">
        <f>F$271*'Economic Projections'!$H4</f>
        <v>559989321.41034174</v>
      </c>
      <c r="G272" s="61">
        <f>G$271*'Economic Projections'!$H4</f>
        <v>233942215.29449028</v>
      </c>
      <c r="H272" s="61">
        <f>H$271*'Economic Projections'!$H4</f>
        <v>439873903.50035357</v>
      </c>
      <c r="I272" s="61">
        <f>I$271*'Economic Projections'!$H4</f>
        <v>48247145.525545083</v>
      </c>
      <c r="J272" s="61">
        <f>J$271*'Economic Projections'!$H4</f>
        <v>73339022.958956987</v>
      </c>
      <c r="K272" s="61">
        <f>K$271*'Economic Projections'!$H4</f>
        <v>10368379.85486152</v>
      </c>
      <c r="N272">
        <v>2021</v>
      </c>
      <c r="O272" s="61">
        <f>O$271*'Economic Projections'!$I4</f>
        <v>553707641.09896207</v>
      </c>
      <c r="P272" s="61">
        <f>P$271*'Economic Projections'!$I4</f>
        <v>231317968.45329183</v>
      </c>
      <c r="Q272" s="61">
        <f>Q$271*'Economic Projections'!$I4</f>
        <v>434939617.91049826</v>
      </c>
      <c r="R272" s="61">
        <f>R$271*'Economic Projections'!$I4</f>
        <v>47705933.162129305</v>
      </c>
      <c r="S272" s="61">
        <f>S$271*'Economic Projections'!$I4</f>
        <v>72516342.456020176</v>
      </c>
      <c r="T272" s="61">
        <f>T$271*'Economic Projections'!$I4</f>
        <v>10252072.552016608</v>
      </c>
      <c r="W272">
        <v>2021</v>
      </c>
      <c r="X272" s="61">
        <f>X$271*'Economic Projections'!$J4</f>
        <v>549695364.36366522</v>
      </c>
      <c r="Y272" s="61">
        <f>Y$271*'Economic Projections'!$J4</f>
        <v>229641792.01216632</v>
      </c>
      <c r="Z272" s="61">
        <f>Z$271*'Economic Projections'!$J4</f>
        <v>431787958.11628336</v>
      </c>
      <c r="AA272" s="61">
        <f>AA$271*'Economic Projections'!$J4</f>
        <v>47360246.392515399</v>
      </c>
      <c r="AB272" s="61">
        <f>AB$271*'Economic Projections'!$J4</f>
        <v>71990874.479476377</v>
      </c>
      <c r="AC272" s="61">
        <f>AC$271*'Economic Projections'!$J4</f>
        <v>10177783.975995893</v>
      </c>
      <c r="AG272">
        <v>2021</v>
      </c>
      <c r="AH272" s="61">
        <f>AH$271*'Economic Projections'!$K4</f>
        <v>565117886.84229636</v>
      </c>
      <c r="AI272" s="61">
        <f>AI$271*'Economic Projections'!$K4</f>
        <v>236084734.64720312</v>
      </c>
      <c r="AJ272" s="61">
        <f>AJ$271*'Economic Projections'!$K4</f>
        <v>443902412.63375854</v>
      </c>
      <c r="AK272" s="61">
        <f>AK$271*'Economic Projections'!$K4</f>
        <v>48689008.670559369</v>
      </c>
      <c r="AL272" s="61">
        <f>AL$271*'Economic Projections'!$K4</f>
        <v>74010685.727477908</v>
      </c>
      <c r="AM272" s="61">
        <f>AM$271*'Economic Projections'!$K4</f>
        <v>10463336.870068694</v>
      </c>
    </row>
    <row r="273" spans="5:39">
      <c r="E273">
        <v>2022</v>
      </c>
      <c r="F273" s="61">
        <f>F$271*'Economic Projections'!$H5</f>
        <v>588207355.8206836</v>
      </c>
      <c r="G273" s="61">
        <f>G$271*'Economic Projections'!$H5</f>
        <v>245730635.58898056</v>
      </c>
      <c r="H273" s="61">
        <f>H$271*'Economic Projections'!$H5</f>
        <v>462039285.00070715</v>
      </c>
      <c r="I273" s="61">
        <f>I$271*'Economic Projections'!$H5</f>
        <v>50678334.051090159</v>
      </c>
      <c r="J273" s="61">
        <f>J$271*'Economic Projections'!$H5</f>
        <v>77034598.917913973</v>
      </c>
      <c r="K273" s="61">
        <f>K$271*'Economic Projections'!$H5</f>
        <v>10890845.70972304</v>
      </c>
      <c r="N273">
        <v>2022</v>
      </c>
      <c r="O273" s="61">
        <f>O$271*'Economic Projections'!$I5</f>
        <v>575643995.19792414</v>
      </c>
      <c r="P273" s="61">
        <f>P$271*'Economic Projections'!$I5</f>
        <v>240482141.90658364</v>
      </c>
      <c r="Q273" s="61">
        <f>Q$271*'Economic Projections'!$I5</f>
        <v>452170713.82099646</v>
      </c>
      <c r="R273" s="61">
        <f>R$271*'Economic Projections'!$I5</f>
        <v>49595909.324258603</v>
      </c>
      <c r="S273" s="61">
        <f>S$271*'Economic Projections'!$I5</f>
        <v>75389237.912040338</v>
      </c>
      <c r="T273" s="61">
        <f>T$271*'Economic Projections'!$I5</f>
        <v>10658231.104033215</v>
      </c>
      <c r="W273">
        <v>2022</v>
      </c>
      <c r="X273" s="61">
        <f>X$271*'Economic Projections'!$J5</f>
        <v>567619441.72733057</v>
      </c>
      <c r="Y273" s="61">
        <f>Y$271*'Economic Projections'!$J5</f>
        <v>237129789.02433264</v>
      </c>
      <c r="Z273" s="61">
        <f>Z$271*'Economic Projections'!$J5</f>
        <v>445867394.23256671</v>
      </c>
      <c r="AA273" s="61">
        <f>AA$271*'Economic Projections'!$J5</f>
        <v>48904535.785030797</v>
      </c>
      <c r="AB273" s="61">
        <f>AB$271*'Economic Projections'!$J5</f>
        <v>74338301.95895277</v>
      </c>
      <c r="AC273" s="61">
        <f>AC$271*'Economic Projections'!$J5</f>
        <v>10509653.951991785</v>
      </c>
      <c r="AG273">
        <v>2022</v>
      </c>
      <c r="AH273" s="61">
        <f>AH$271*'Economic Projections'!$K5</f>
        <v>598464486.68459272</v>
      </c>
      <c r="AI273" s="61">
        <f>AI$271*'Economic Projections'!$K5</f>
        <v>250015674.29440629</v>
      </c>
      <c r="AJ273" s="61">
        <f>AJ$271*'Economic Projections'!$K5</f>
        <v>470096303.26751721</v>
      </c>
      <c r="AK273" s="61">
        <f>AK$271*'Economic Projections'!$K5</f>
        <v>51562060.341118746</v>
      </c>
      <c r="AL273" s="61">
        <f>AL$271*'Economic Projections'!$K5</f>
        <v>78377924.454955846</v>
      </c>
      <c r="AM273" s="61">
        <f>AM$271*'Economic Projections'!$K5</f>
        <v>11080759.740137389</v>
      </c>
    </row>
    <row r="274" spans="5:39">
      <c r="E274">
        <v>2023</v>
      </c>
      <c r="F274" s="61">
        <f>F$271*'Economic Projections'!$H6</f>
        <v>616425390.23102546</v>
      </c>
      <c r="G274" s="61">
        <f>G$271*'Economic Projections'!$H6</f>
        <v>257519055.88347089</v>
      </c>
      <c r="H274" s="61">
        <f>H$271*'Economic Projections'!$H6</f>
        <v>484204666.50106084</v>
      </c>
      <c r="I274" s="61">
        <f>I$271*'Economic Projections'!$H6</f>
        <v>53109522.576635249</v>
      </c>
      <c r="J274" s="61">
        <f>J$271*'Economic Projections'!$H6</f>
        <v>80730174.876870975</v>
      </c>
      <c r="K274" s="61">
        <f>K$271*'Economic Projections'!$H6</f>
        <v>11413311.564584564</v>
      </c>
      <c r="N274">
        <v>2023</v>
      </c>
      <c r="O274" s="61">
        <f>O$271*'Economic Projections'!$I6</f>
        <v>597580349.29688621</v>
      </c>
      <c r="P274" s="61">
        <f>P$271*'Economic Projections'!$I6</f>
        <v>249646315.35987547</v>
      </c>
      <c r="Q274" s="61">
        <f>Q$271*'Economic Projections'!$I6</f>
        <v>469401809.73149472</v>
      </c>
      <c r="R274" s="61">
        <f>R$271*'Economic Projections'!$I6</f>
        <v>51485885.486387908</v>
      </c>
      <c r="S274" s="61">
        <f>S$271*'Economic Projections'!$I6</f>
        <v>78262133.368060499</v>
      </c>
      <c r="T274" s="61">
        <f>T$271*'Economic Projections'!$I6</f>
        <v>11064389.656049823</v>
      </c>
      <c r="W274">
        <v>2023</v>
      </c>
      <c r="X274" s="61">
        <f>X$271*'Economic Projections'!$J6</f>
        <v>585543519.09099591</v>
      </c>
      <c r="Y274" s="61">
        <f>Y$271*'Economic Projections'!$J6</f>
        <v>244617786.03649899</v>
      </c>
      <c r="Z274" s="61">
        <f>Z$271*'Economic Projections'!$J6</f>
        <v>459946830.34885013</v>
      </c>
      <c r="AA274" s="61">
        <f>AA$271*'Economic Projections'!$J6</f>
        <v>50448825.177546203</v>
      </c>
      <c r="AB274" s="61">
        <f>AB$271*'Economic Projections'!$J6</f>
        <v>76685729.438429162</v>
      </c>
      <c r="AC274" s="61">
        <f>AC$271*'Economic Projections'!$J6</f>
        <v>10841523.92798768</v>
      </c>
      <c r="AG274">
        <v>2023</v>
      </c>
      <c r="AH274" s="61">
        <f>AH$271*'Economic Projections'!$K6</f>
        <v>631811086.52688909</v>
      </c>
      <c r="AI274" s="61">
        <f>AI$271*'Economic Projections'!$K6</f>
        <v>263946613.94160941</v>
      </c>
      <c r="AJ274" s="61">
        <f>AJ$271*'Economic Projections'!$K6</f>
        <v>496290193.90127575</v>
      </c>
      <c r="AK274" s="61">
        <f>AK$271*'Economic Projections'!$K6</f>
        <v>54435112.011678115</v>
      </c>
      <c r="AL274" s="61">
        <f>AL$271*'Economic Projections'!$K6</f>
        <v>82745163.182433754</v>
      </c>
      <c r="AM274" s="61">
        <f>AM$271*'Economic Projections'!$K6</f>
        <v>11698182.610206084</v>
      </c>
    </row>
    <row r="275" spans="5:39">
      <c r="E275">
        <v>2024</v>
      </c>
      <c r="F275" s="61">
        <f>F$271*'Economic Projections'!$H7</f>
        <v>644643424.64136732</v>
      </c>
      <c r="G275" s="61">
        <f>G$271*'Economic Projections'!$H7</f>
        <v>269307476.17796117</v>
      </c>
      <c r="H275" s="61">
        <f>H$271*'Economic Projections'!$H7</f>
        <v>506370048.00141436</v>
      </c>
      <c r="I275" s="61">
        <f>I$271*'Economic Projections'!$H7</f>
        <v>55540711.102180332</v>
      </c>
      <c r="J275" s="61">
        <f>J$271*'Economic Projections'!$H7</f>
        <v>84425750.835827947</v>
      </c>
      <c r="K275" s="61">
        <f>K$271*'Economic Projections'!$H7</f>
        <v>11935777.419446085</v>
      </c>
      <c r="N275">
        <v>2024</v>
      </c>
      <c r="O275" s="61">
        <f>O$271*'Economic Projections'!$I7</f>
        <v>619516703.39584816</v>
      </c>
      <c r="P275" s="61">
        <f>P$271*'Economic Projections'!$I7</f>
        <v>258810488.81316727</v>
      </c>
      <c r="Q275" s="61">
        <f>Q$271*'Economic Projections'!$I7</f>
        <v>486632905.64199287</v>
      </c>
      <c r="R275" s="61">
        <f>R$271*'Economic Projections'!$I7</f>
        <v>53375861.648517199</v>
      </c>
      <c r="S275" s="61">
        <f>S$271*'Economic Projections'!$I7</f>
        <v>81135028.824080661</v>
      </c>
      <c r="T275" s="61">
        <f>T$271*'Economic Projections'!$I7</f>
        <v>11470548.20806643</v>
      </c>
      <c r="W275">
        <v>2024</v>
      </c>
      <c r="X275" s="61">
        <f>X$271*'Economic Projections'!$J7</f>
        <v>603467596.45466125</v>
      </c>
      <c r="Y275" s="61">
        <f>Y$271*'Economic Projections'!$J7</f>
        <v>252105783.04866531</v>
      </c>
      <c r="Z275" s="61">
        <f>Z$271*'Economic Projections'!$J7</f>
        <v>474026266.46513349</v>
      </c>
      <c r="AA275" s="61">
        <f>AA$271*'Economic Projections'!$J7</f>
        <v>51993114.570061602</v>
      </c>
      <c r="AB275" s="61">
        <f>AB$271*'Economic Projections'!$J7</f>
        <v>79033156.917905554</v>
      </c>
      <c r="AC275" s="61">
        <f>AC$271*'Economic Projections'!$J7</f>
        <v>11173393.903983572</v>
      </c>
      <c r="AG275">
        <v>2024</v>
      </c>
      <c r="AH275" s="61">
        <f>AH$271*'Economic Projections'!$K7</f>
        <v>665157686.36918545</v>
      </c>
      <c r="AI275" s="61">
        <f>AI$271*'Economic Projections'!$K7</f>
        <v>277877553.58881259</v>
      </c>
      <c r="AJ275" s="61">
        <f>AJ$271*'Economic Projections'!$K7</f>
        <v>522484084.53503436</v>
      </c>
      <c r="AK275" s="61">
        <f>AK$271*'Economic Projections'!$K7</f>
        <v>57308163.682237491</v>
      </c>
      <c r="AL275" s="61">
        <f>AL$271*'Economic Projections'!$K7</f>
        <v>87112401.909911677</v>
      </c>
      <c r="AM275" s="61">
        <f>AM$271*'Economic Projections'!$K7</f>
        <v>12315605.48027478</v>
      </c>
    </row>
    <row r="276" spans="5:39">
      <c r="E276">
        <v>2025</v>
      </c>
      <c r="F276" s="61">
        <f>F$271*'Economic Projections'!$H8</f>
        <v>672861459.05170894</v>
      </c>
      <c r="G276" s="61">
        <f>G$271*'Economic Projections'!$H8</f>
        <v>281095896.47245139</v>
      </c>
      <c r="H276" s="61">
        <f>H$271*'Economic Projections'!$H8</f>
        <v>528535429.50176787</v>
      </c>
      <c r="I276" s="61">
        <f>I$271*'Economic Projections'!$H8</f>
        <v>57971899.6277254</v>
      </c>
      <c r="J276" s="61">
        <f>J$271*'Economic Projections'!$H8</f>
        <v>88121326.794784918</v>
      </c>
      <c r="K276" s="61">
        <f>K$271*'Economic Projections'!$H8</f>
        <v>12458243.274307603</v>
      </c>
      <c r="N276">
        <v>2025</v>
      </c>
      <c r="O276" s="61">
        <f>O$271*'Economic Projections'!$I8</f>
        <v>641453057.49481022</v>
      </c>
      <c r="P276" s="61">
        <f>P$271*'Economic Projections'!$I8</f>
        <v>267974662.26645911</v>
      </c>
      <c r="Q276" s="61">
        <f>Q$271*'Economic Projections'!$I8</f>
        <v>503864001.55249113</v>
      </c>
      <c r="R276" s="61">
        <f>R$271*'Economic Projections'!$I8</f>
        <v>55265837.810646504</v>
      </c>
      <c r="S276" s="61">
        <f>S$271*'Economic Projections'!$I8</f>
        <v>84007924.280100837</v>
      </c>
      <c r="T276" s="61">
        <f>T$271*'Economic Projections'!$I8</f>
        <v>11876706.760083038</v>
      </c>
      <c r="W276">
        <v>2025</v>
      </c>
      <c r="X276" s="61">
        <f>X$271*'Economic Projections'!$J8</f>
        <v>621391673.81832647</v>
      </c>
      <c r="Y276" s="61">
        <f>Y$271*'Economic Projections'!$J8</f>
        <v>259593780.06083164</v>
      </c>
      <c r="Z276" s="61">
        <f>Z$271*'Economic Projections'!$J8</f>
        <v>488105702.58141685</v>
      </c>
      <c r="AA276" s="61">
        <f>AA$271*'Economic Projections'!$J8</f>
        <v>53537403.962577</v>
      </c>
      <c r="AB276" s="61">
        <f>AB$271*'Economic Projections'!$J8</f>
        <v>81380584.397381932</v>
      </c>
      <c r="AC276" s="61">
        <f>AC$271*'Economic Projections'!$J8</f>
        <v>11505263.879979467</v>
      </c>
      <c r="AG276">
        <v>2025</v>
      </c>
      <c r="AH276" s="61">
        <f>AH$271*'Economic Projections'!$K8</f>
        <v>698504286.21148193</v>
      </c>
      <c r="AI276" s="61">
        <f>AI$271*'Economic Projections'!$K8</f>
        <v>291808493.23601574</v>
      </c>
      <c r="AJ276" s="61">
        <f>AJ$271*'Economic Projections'!$K8</f>
        <v>548677975.16879296</v>
      </c>
      <c r="AK276" s="61">
        <f>AK$271*'Economic Projections'!$K8</f>
        <v>60181215.352796867</v>
      </c>
      <c r="AL276" s="61">
        <f>AL$271*'Economic Projections'!$K8</f>
        <v>91479640.637389615</v>
      </c>
      <c r="AM276" s="61">
        <f>AM$271*'Economic Projections'!$K8</f>
        <v>12933028.350343475</v>
      </c>
    </row>
    <row r="277" spans="5:39">
      <c r="E277">
        <v>2026</v>
      </c>
      <c r="F277" s="61">
        <f>F$271*'Economic Projections'!$H9</f>
        <v>701079493.4620508</v>
      </c>
      <c r="G277" s="61">
        <f>G$271*'Economic Projections'!$H9</f>
        <v>292884316.76694167</v>
      </c>
      <c r="H277" s="61">
        <f>H$271*'Economic Projections'!$H9</f>
        <v>550700811.00212145</v>
      </c>
      <c r="I277" s="61">
        <f>I$271*'Economic Projections'!$H9</f>
        <v>60403088.153270483</v>
      </c>
      <c r="J277" s="61">
        <f>J$271*'Economic Projections'!$H9</f>
        <v>91816902.753741905</v>
      </c>
      <c r="K277" s="61">
        <f>K$271*'Economic Projections'!$H9</f>
        <v>12980709.129169123</v>
      </c>
      <c r="N277">
        <v>2026</v>
      </c>
      <c r="O277" s="61">
        <f>O$271*'Economic Projections'!$I9</f>
        <v>663389411.59377229</v>
      </c>
      <c r="P277" s="61">
        <f>P$271*'Economic Projections'!$I9</f>
        <v>277138835.71975088</v>
      </c>
      <c r="Q277" s="61">
        <f>Q$271*'Economic Projections'!$I9</f>
        <v>521095097.46298933</v>
      </c>
      <c r="R277" s="61">
        <f>R$271*'Economic Projections'!$I9</f>
        <v>57155813.972775802</v>
      </c>
      <c r="S277" s="61">
        <f>S$271*'Economic Projections'!$I9</f>
        <v>86880819.736120999</v>
      </c>
      <c r="T277" s="61">
        <f>T$271*'Economic Projections'!$I9</f>
        <v>12282865.312099645</v>
      </c>
      <c r="W277">
        <v>2026</v>
      </c>
      <c r="X277" s="61">
        <f>X$271*'Economic Projections'!$J9</f>
        <v>639315751.18199182</v>
      </c>
      <c r="Y277" s="61">
        <f>Y$271*'Economic Projections'!$J9</f>
        <v>267081777.07299793</v>
      </c>
      <c r="Z277" s="61">
        <f>Z$271*'Economic Projections'!$J9</f>
        <v>502185138.6977002</v>
      </c>
      <c r="AA277" s="61">
        <f>AA$271*'Economic Projections'!$J9</f>
        <v>55081693.355092399</v>
      </c>
      <c r="AB277" s="61">
        <f>AB$271*'Economic Projections'!$J9</f>
        <v>83728011.876858309</v>
      </c>
      <c r="AC277" s="61">
        <f>AC$271*'Economic Projections'!$J9</f>
        <v>11837133.85597536</v>
      </c>
      <c r="AG277">
        <v>2026</v>
      </c>
      <c r="AH277" s="61">
        <f>AH$271*'Economic Projections'!$K9</f>
        <v>731850886.05377829</v>
      </c>
      <c r="AI277" s="61">
        <f>AI$271*'Economic Projections'!$K9</f>
        <v>305739432.88321888</v>
      </c>
      <c r="AJ277" s="61">
        <f>AJ$271*'Economic Projections'!$K9</f>
        <v>574871865.80255151</v>
      </c>
      <c r="AK277" s="61">
        <f>AK$271*'Economic Projections'!$K9</f>
        <v>63054267.023356237</v>
      </c>
      <c r="AL277" s="61">
        <f>AL$271*'Economic Projections'!$K9</f>
        <v>95846879.364867523</v>
      </c>
      <c r="AM277" s="61">
        <f>AM$271*'Economic Projections'!$K9</f>
        <v>13550451.220412169</v>
      </c>
    </row>
    <row r="278" spans="5:39">
      <c r="E278">
        <v>2027</v>
      </c>
      <c r="F278" s="61">
        <f>F$271*'Economic Projections'!$H10</f>
        <v>729297527.87239242</v>
      </c>
      <c r="G278" s="61">
        <f>G$271*'Economic Projections'!$H10</f>
        <v>304672737.06143194</v>
      </c>
      <c r="H278" s="61">
        <f>H$271*'Economic Projections'!$H10</f>
        <v>572866192.5024749</v>
      </c>
      <c r="I278" s="61">
        <f>I$271*'Economic Projections'!$H10</f>
        <v>62834276.678815551</v>
      </c>
      <c r="J278" s="61">
        <f>J$271*'Economic Projections'!$H10</f>
        <v>95512478.712698877</v>
      </c>
      <c r="K278" s="61">
        <f>K$271*'Economic Projections'!$H10</f>
        <v>13503174.984030642</v>
      </c>
      <c r="N278">
        <v>2027</v>
      </c>
      <c r="O278" s="61">
        <f>O$271*'Economic Projections'!$I10</f>
        <v>685325765.69273436</v>
      </c>
      <c r="P278" s="61">
        <f>P$271*'Economic Projections'!$I10</f>
        <v>286303009.17304271</v>
      </c>
      <c r="Q278" s="61">
        <f>Q$271*'Economic Projections'!$I10</f>
        <v>538326193.37348759</v>
      </c>
      <c r="R278" s="61">
        <f>R$271*'Economic Projections'!$I10</f>
        <v>59045790.134905107</v>
      </c>
      <c r="S278" s="61">
        <f>S$271*'Economic Projections'!$I10</f>
        <v>89753715.192141175</v>
      </c>
      <c r="T278" s="61">
        <f>T$271*'Economic Projections'!$I10</f>
        <v>12689023.864116253</v>
      </c>
      <c r="W278">
        <v>2027</v>
      </c>
      <c r="X278" s="61">
        <f>X$271*'Economic Projections'!$J10</f>
        <v>657239828.54565716</v>
      </c>
      <c r="Y278" s="61">
        <f>Y$271*'Economic Projections'!$J10</f>
        <v>274569774.08516431</v>
      </c>
      <c r="Z278" s="61">
        <f>Z$271*'Economic Projections'!$J10</f>
        <v>516264574.81398362</v>
      </c>
      <c r="AA278" s="61">
        <f>AA$271*'Economic Projections'!$J10</f>
        <v>56625982.747607812</v>
      </c>
      <c r="AB278" s="61">
        <f>AB$271*'Economic Projections'!$J10</f>
        <v>86075439.356334716</v>
      </c>
      <c r="AC278" s="61">
        <f>AC$271*'Economic Projections'!$J10</f>
        <v>12169003.831971254</v>
      </c>
      <c r="AG278">
        <v>2027</v>
      </c>
      <c r="AH278" s="61">
        <f>AH$271*'Economic Projections'!$K10</f>
        <v>765197485.89607453</v>
      </c>
      <c r="AI278" s="61">
        <f>AI$271*'Economic Projections'!$K10</f>
        <v>319670372.53042197</v>
      </c>
      <c r="AJ278" s="61">
        <f>AJ$271*'Economic Projections'!$K10</f>
        <v>601065756.43631005</v>
      </c>
      <c r="AK278" s="61">
        <f>AK$271*'Economic Projections'!$K10</f>
        <v>65927318.693915598</v>
      </c>
      <c r="AL278" s="61">
        <f>AL$271*'Economic Projections'!$K10</f>
        <v>100214118.09234543</v>
      </c>
      <c r="AM278" s="61">
        <f>AM$271*'Economic Projections'!$K10</f>
        <v>14167874.090480864</v>
      </c>
    </row>
    <row r="279" spans="5:39">
      <c r="E279">
        <v>2028</v>
      </c>
      <c r="F279" s="61">
        <f>F$271*'Economic Projections'!$H11</f>
        <v>757515562.28273416</v>
      </c>
      <c r="G279" s="61">
        <f>G$271*'Economic Projections'!$H11</f>
        <v>316461157.35592222</v>
      </c>
      <c r="H279" s="61">
        <f>H$271*'Economic Projections'!$H11</f>
        <v>595031574.00282848</v>
      </c>
      <c r="I279" s="61">
        <f>I$271*'Economic Projections'!$H11</f>
        <v>65265465.204360634</v>
      </c>
      <c r="J279" s="61">
        <f>J$271*'Economic Projections'!$H11</f>
        <v>99208054.671655864</v>
      </c>
      <c r="K279" s="61">
        <f>K$271*'Economic Projections'!$H11</f>
        <v>14025640.838892162</v>
      </c>
      <c r="N279">
        <v>2028</v>
      </c>
      <c r="O279" s="61">
        <f>O$271*'Economic Projections'!$I11</f>
        <v>707262119.79169643</v>
      </c>
      <c r="P279" s="61">
        <f>P$271*'Economic Projections'!$I11</f>
        <v>295467182.62633455</v>
      </c>
      <c r="Q279" s="61">
        <f>Q$271*'Economic Projections'!$I11</f>
        <v>555557289.28398585</v>
      </c>
      <c r="R279" s="61">
        <f>R$271*'Economic Projections'!$I11</f>
        <v>60935766.297034413</v>
      </c>
      <c r="S279" s="61">
        <f>S$271*'Economic Projections'!$I11</f>
        <v>92626610.648161352</v>
      </c>
      <c r="T279" s="61">
        <f>T$271*'Economic Projections'!$I11</f>
        <v>13095182.416132862</v>
      </c>
      <c r="W279">
        <v>2028</v>
      </c>
      <c r="X279" s="61">
        <f>X$271*'Economic Projections'!$J11</f>
        <v>675163905.90932238</v>
      </c>
      <c r="Y279" s="61">
        <f>Y$271*'Economic Projections'!$J11</f>
        <v>282057771.09733063</v>
      </c>
      <c r="Z279" s="61">
        <f>Z$271*'Economic Projections'!$J11</f>
        <v>530344010.93026698</v>
      </c>
      <c r="AA279" s="61">
        <f>AA$271*'Economic Projections'!$J11</f>
        <v>58170272.140123211</v>
      </c>
      <c r="AB279" s="61">
        <f>AB$271*'Economic Projections'!$J11</f>
        <v>88422866.835811093</v>
      </c>
      <c r="AC279" s="61">
        <f>AC$271*'Economic Projections'!$J11</f>
        <v>12500873.807967147</v>
      </c>
      <c r="AG279">
        <v>2028</v>
      </c>
      <c r="AH279" s="61">
        <f>AH$271*'Economic Projections'!$K11</f>
        <v>798544085.73837078</v>
      </c>
      <c r="AI279" s="61">
        <f>AI$271*'Economic Projections'!$K11</f>
        <v>333601312.17762506</v>
      </c>
      <c r="AJ279" s="61">
        <f>AJ$271*'Economic Projections'!$K11</f>
        <v>627259647.0700686</v>
      </c>
      <c r="AK279" s="61">
        <f>AK$271*'Economic Projections'!$K11</f>
        <v>68800370.364474952</v>
      </c>
      <c r="AL279" s="61">
        <f>AL$271*'Economic Projections'!$K11</f>
        <v>104581356.81982332</v>
      </c>
      <c r="AM279" s="61">
        <f>AM$271*'Economic Projections'!$K11</f>
        <v>14785296.960549554</v>
      </c>
    </row>
    <row r="280" spans="5:39">
      <c r="E280">
        <v>2029</v>
      </c>
      <c r="F280" s="61">
        <f>F$271*'Economic Projections'!$H12</f>
        <v>785733596.6930759</v>
      </c>
      <c r="G280" s="61">
        <f>G$271*'Economic Projections'!$H12</f>
        <v>328249577.65041244</v>
      </c>
      <c r="H280" s="61">
        <f>H$271*'Economic Projections'!$H12</f>
        <v>617196955.50318193</v>
      </c>
      <c r="I280" s="61">
        <f>I$271*'Economic Projections'!$H12</f>
        <v>67696653.72990571</v>
      </c>
      <c r="J280" s="61">
        <f>J$271*'Economic Projections'!$H12</f>
        <v>102903630.63061284</v>
      </c>
      <c r="K280" s="61">
        <f>K$271*'Economic Projections'!$H12</f>
        <v>14548106.69375368</v>
      </c>
      <c r="N280">
        <v>2029</v>
      </c>
      <c r="O280" s="61">
        <f>O$271*'Economic Projections'!$I12</f>
        <v>729198473.89065838</v>
      </c>
      <c r="P280" s="61">
        <f>P$271*'Economic Projections'!$I12</f>
        <v>304631356.07962638</v>
      </c>
      <c r="Q280" s="61">
        <f>Q$271*'Economic Projections'!$I12</f>
        <v>572788385.194484</v>
      </c>
      <c r="R280" s="61">
        <f>R$271*'Economic Projections'!$I12</f>
        <v>62825742.45916371</v>
      </c>
      <c r="S280" s="61">
        <f>S$271*'Economic Projections'!$I12</f>
        <v>95499506.104181498</v>
      </c>
      <c r="T280" s="61">
        <f>T$271*'Economic Projections'!$I12</f>
        <v>13501340.968149468</v>
      </c>
      <c r="W280">
        <v>2029</v>
      </c>
      <c r="X280" s="61">
        <f>X$271*'Economic Projections'!$J12</f>
        <v>693087983.27298772</v>
      </c>
      <c r="Y280" s="61">
        <f>Y$271*'Economic Projections'!$J12</f>
        <v>289545768.10949695</v>
      </c>
      <c r="Z280" s="61">
        <f>Z$271*'Economic Projections'!$J12</f>
        <v>544423447.04655027</v>
      </c>
      <c r="AA280" s="61">
        <f>AA$271*'Economic Projections'!$J12</f>
        <v>59714561.532638609</v>
      </c>
      <c r="AB280" s="61">
        <f>AB$271*'Economic Projections'!$J12</f>
        <v>90770294.315287471</v>
      </c>
      <c r="AC280" s="61">
        <f>AC$271*'Economic Projections'!$J12</f>
        <v>12832743.78396304</v>
      </c>
      <c r="AG280">
        <v>2029</v>
      </c>
      <c r="AH280" s="61">
        <f>AH$271*'Economic Projections'!$K12</f>
        <v>831890685.58066702</v>
      </c>
      <c r="AI280" s="61">
        <f>AI$271*'Economic Projections'!$K12</f>
        <v>347532251.82482815</v>
      </c>
      <c r="AJ280" s="61">
        <f>AJ$271*'Economic Projections'!$K12</f>
        <v>653453537.70382714</v>
      </c>
      <c r="AK280" s="61">
        <f>AK$271*'Economic Projections'!$K12</f>
        <v>71673422.035034329</v>
      </c>
      <c r="AL280" s="61">
        <f>AL$271*'Economic Projections'!$K12</f>
        <v>108948595.54730125</v>
      </c>
      <c r="AM280" s="61">
        <f>AM$271*'Economic Projections'!$K12</f>
        <v>15402719.830618249</v>
      </c>
    </row>
    <row r="281" spans="5:39">
      <c r="E281">
        <v>2030</v>
      </c>
      <c r="F281" s="61">
        <f>F$271*'Economic Projections'!$H13</f>
        <v>813951631.10341775</v>
      </c>
      <c r="G281" s="61">
        <f>G$271*'Economic Projections'!$H13</f>
        <v>340037997.94490278</v>
      </c>
      <c r="H281" s="61">
        <f>H$271*'Economic Projections'!$H13</f>
        <v>639362337.00353563</v>
      </c>
      <c r="I281" s="61">
        <f>I$271*'Economic Projections'!$H13</f>
        <v>70127842.2554508</v>
      </c>
      <c r="J281" s="61">
        <f>J$271*'Economic Projections'!$H13</f>
        <v>106599206.58956982</v>
      </c>
      <c r="K281" s="61">
        <f>K$271*'Economic Projections'!$H13</f>
        <v>15070572.548615202</v>
      </c>
      <c r="N281">
        <v>2030</v>
      </c>
      <c r="O281" s="61">
        <f>O$271*'Economic Projections'!$I13</f>
        <v>751134827.98962033</v>
      </c>
      <c r="P281" s="61">
        <f>P$271*'Economic Projections'!$I13</f>
        <v>313795529.5329181</v>
      </c>
      <c r="Q281" s="61">
        <f>Q$271*'Economic Projections'!$I13</f>
        <v>590019481.10498214</v>
      </c>
      <c r="R281" s="61">
        <f>R$271*'Economic Projections'!$I13</f>
        <v>64715718.621292993</v>
      </c>
      <c r="S281" s="61">
        <f>S$271*'Economic Projections'!$I13</f>
        <v>98372401.560201645</v>
      </c>
      <c r="T281" s="61">
        <f>T$271*'Economic Projections'!$I13</f>
        <v>13907499.520166071</v>
      </c>
      <c r="W281">
        <v>2030</v>
      </c>
      <c r="X281" s="61">
        <f>X$271*'Economic Projections'!$J13</f>
        <v>711012060.63665283</v>
      </c>
      <c r="Y281" s="61">
        <f>Y$271*'Economic Projections'!$J13</f>
        <v>297033765.12166321</v>
      </c>
      <c r="Z281" s="61">
        <f>Z$271*'Economic Projections'!$J13</f>
        <v>558502883.16283357</v>
      </c>
      <c r="AA281" s="61">
        <f>AA$271*'Economic Projections'!$J13</f>
        <v>61258850.925153993</v>
      </c>
      <c r="AB281" s="61">
        <f>AB$271*'Economic Projections'!$J13</f>
        <v>93117721.794763848</v>
      </c>
      <c r="AC281" s="61">
        <f>AC$271*'Economic Projections'!$J13</f>
        <v>13164613.75995893</v>
      </c>
      <c r="AG281">
        <v>2030</v>
      </c>
      <c r="AH281" s="61">
        <f>AH$271*'Economic Projections'!$K13</f>
        <v>865237285.42296374</v>
      </c>
      <c r="AI281" s="61">
        <f>AI$271*'Economic Projections'!$K13</f>
        <v>361463191.47203141</v>
      </c>
      <c r="AJ281" s="61">
        <f>AJ$271*'Economic Projections'!$K13</f>
        <v>679647428.33758593</v>
      </c>
      <c r="AK281" s="61">
        <f>AK$271*'Economic Projections'!$K13</f>
        <v>74546473.70559372</v>
      </c>
      <c r="AL281" s="61">
        <f>AL$271*'Economic Projections'!$K13</f>
        <v>113315834.2747792</v>
      </c>
      <c r="AM281" s="61">
        <f>AM$271*'Economic Projections'!$K13</f>
        <v>16020142.700686948</v>
      </c>
    </row>
    <row r="282" spans="5:39">
      <c r="E282">
        <v>2040</v>
      </c>
      <c r="F282" s="61">
        <f>F$271*'Economic Projections'!$H14</f>
        <v>1165697812.39835</v>
      </c>
      <c r="G282" s="61">
        <f>G$271*'Economic Projections'!$H14</f>
        <v>486984158.75073659</v>
      </c>
      <c r="H282" s="61">
        <f>H$271*'Economic Projections'!$H14</f>
        <v>915660401.79139662</v>
      </c>
      <c r="I282" s="61">
        <f>I$271*'Economic Projections'!$H14</f>
        <v>100433329.42840306</v>
      </c>
      <c r="J282" s="61">
        <f>J$271*'Economic Projections'!$H14</f>
        <v>152665658.71538007</v>
      </c>
      <c r="K282" s="61">
        <f>K$271*'Economic Projections'!$H14</f>
        <v>21583264.631703004</v>
      </c>
      <c r="N282">
        <v>2040</v>
      </c>
      <c r="O282" s="61">
        <f>O$271*'Economic Projections'!$I14</f>
        <v>974546054.73438108</v>
      </c>
      <c r="P282" s="61">
        <f>P$271*'Economic Projections'!$I14</f>
        <v>407128233.047153</v>
      </c>
      <c r="Q282" s="61">
        <f>Q$271*'Economic Projections'!$I14</f>
        <v>765509913.93416369</v>
      </c>
      <c r="R282" s="61">
        <f>R$271*'Economic Projections'!$I14</f>
        <v>83964217.756326601</v>
      </c>
      <c r="S282" s="61">
        <f>S$271*'Economic Projections'!$I14</f>
        <v>127631461.44058916</v>
      </c>
      <c r="T282" s="61">
        <f>T$271*'Economic Projections'!$I14</f>
        <v>18044029.225583233</v>
      </c>
      <c r="W282">
        <v>2040</v>
      </c>
      <c r="X282" s="61">
        <f>X$271*'Economic Projections'!$J14</f>
        <v>837348688.78018475</v>
      </c>
      <c r="Y282" s="61">
        <f>Y$271*'Economic Projections'!$J14</f>
        <v>349812397.73254621</v>
      </c>
      <c r="Z282" s="61">
        <f>Z$271*'Economic Projections'!$J14</f>
        <v>657740821.55174541</v>
      </c>
      <c r="AA282" s="61">
        <f>AA$271*'Economic Projections'!$J14</f>
        <v>72143668.635420948</v>
      </c>
      <c r="AB282" s="61">
        <f>AB$271*'Economic Projections'!$J14</f>
        <v>109663403.14568788</v>
      </c>
      <c r="AC282" s="61">
        <f>AC$271*'Economic Projections'!$J14</f>
        <v>15503776.490554415</v>
      </c>
      <c r="AG282">
        <v>2040</v>
      </c>
      <c r="AH282" s="61">
        <f>AH$271*'Economic Projections'!$K14</f>
        <v>1357869370.7301276</v>
      </c>
      <c r="AI282" s="61">
        <f>AI$271*'Economic Projections'!$K14</f>
        <v>567266118.34151125</v>
      </c>
      <c r="AJ282" s="61">
        <f>AJ$271*'Economic Projections'!$K14</f>
        <v>1066611947.2463199</v>
      </c>
      <c r="AK282" s="61">
        <f>AK$271*'Economic Projections'!$K14</f>
        <v>116990304.33169773</v>
      </c>
      <c r="AL282" s="61">
        <f>AL$271*'Economic Projections'!$K14</f>
        <v>177833414.22374877</v>
      </c>
      <c r="AM282" s="61">
        <f>AM$271*'Economic Projections'!$K14</f>
        <v>25141381.97055937</v>
      </c>
    </row>
    <row r="283" spans="5:39">
      <c r="E283">
        <v>2050</v>
      </c>
      <c r="F283" s="61">
        <f>F$271*'Economic Projections'!$H15</f>
        <v>1521360989.0306425</v>
      </c>
      <c r="G283" s="61">
        <f>G$271*'Economic Projections'!$H15</f>
        <v>635566691.05774903</v>
      </c>
      <c r="H283" s="61">
        <f>H$271*'Economic Projections'!$H15</f>
        <v>1195035282.445492</v>
      </c>
      <c r="I283" s="61">
        <f>I$271*'Economic Projections'!$H15</f>
        <v>131076294.18680024</v>
      </c>
      <c r="J283" s="61">
        <f>J$271*'Economic Projections'!$H15</f>
        <v>199245100.28579849</v>
      </c>
      <c r="K283" s="61">
        <f>K$271*'Economic Projections'!$H15</f>
        <v>28168481.125515617</v>
      </c>
      <c r="N283">
        <v>2050</v>
      </c>
      <c r="O283" s="61">
        <f>O$271*'Economic Projections'!$I15</f>
        <v>1210047771.3970938</v>
      </c>
      <c r="P283" s="61">
        <f>P$271*'Economic Projections'!$I15</f>
        <v>505511882.8692171</v>
      </c>
      <c r="Q283" s="61">
        <f>Q$271*'Economic Projections'!$I15</f>
        <v>950497476.06939507</v>
      </c>
      <c r="R283" s="61">
        <f>R$271*'Economic Projections'!$I15</f>
        <v>104254400.37396204</v>
      </c>
      <c r="S283" s="61">
        <f>S$271*'Economic Projections'!$I15</f>
        <v>158473952.79685649</v>
      </c>
      <c r="T283" s="61">
        <f>T$271*'Economic Projections'!$I15</f>
        <v>22404418.185646504</v>
      </c>
      <c r="W283">
        <v>2050</v>
      </c>
      <c r="X283" s="61">
        <f>X$271*'Economic Projections'!$J15</f>
        <v>936332399.59445584</v>
      </c>
      <c r="Y283" s="61">
        <f>Y$271*'Economic Projections'!$J15</f>
        <v>391164023.02361393</v>
      </c>
      <c r="Z283" s="61">
        <f>Z$271*'Economic Projections'!$J15</f>
        <v>735492931.44763863</v>
      </c>
      <c r="AA283" s="61">
        <f>AA$271*'Economic Projections'!$J15</f>
        <v>80671833.937371656</v>
      </c>
      <c r="AB283" s="61">
        <f>AB$271*'Economic Projections'!$J15</f>
        <v>122626808.62936345</v>
      </c>
      <c r="AC283" s="61">
        <f>AC$271*'Economic Projections'!$J15</f>
        <v>17336491.283367556</v>
      </c>
      <c r="AG283">
        <v>2050</v>
      </c>
      <c r="AH283" s="61">
        <f>AH$271*'Economic Projections'!$K15</f>
        <v>1903208914.3169773</v>
      </c>
      <c r="AI283" s="61">
        <f>AI$271*'Economic Projections'!$K15</f>
        <v>795088214.29342484</v>
      </c>
      <c r="AJ283" s="61">
        <f>AJ$271*'Economic Projections'!$K15</f>
        <v>1494978390.3179586</v>
      </c>
      <c r="AK283" s="61">
        <f>AK$271*'Economic Projections'!$K15</f>
        <v>163975265.14131501</v>
      </c>
      <c r="AL283" s="61">
        <f>AL$271*'Economic Projections'!$K15</f>
        <v>249253828.46810597</v>
      </c>
      <c r="AM283" s="61">
        <f>AM$271*'Economic Projections'!$K15</f>
        <v>35238516.543670259</v>
      </c>
    </row>
    <row r="284" spans="5:39">
      <c r="E284">
        <v>2060</v>
      </c>
      <c r="F284" s="61">
        <f>F$271*'Economic Projections'!$H16</f>
        <v>1860781691.6640153</v>
      </c>
      <c r="G284" s="61">
        <f>G$271*'Economic Projections'!$H16</f>
        <v>777363736.20654106</v>
      </c>
      <c r="H284" s="61">
        <f>H$271*'Economic Projections'!$H16</f>
        <v>1461651633.3076019</v>
      </c>
      <c r="I284" s="61">
        <f>I$271*'Economic Projections'!$H16</f>
        <v>160319851.89088592</v>
      </c>
      <c r="J284" s="61">
        <f>J$271*'Economic Projections'!$H16</f>
        <v>243697345.62590852</v>
      </c>
      <c r="K284" s="61">
        <f>K$271*'Economic Projections'!$H16</f>
        <v>34452963.062856026</v>
      </c>
      <c r="N284">
        <v>2060</v>
      </c>
      <c r="O284" s="61">
        <f>O$271*'Economic Projections'!$I16</f>
        <v>1464631435.1911824</v>
      </c>
      <c r="P284" s="61">
        <f>P$271*'Economic Projections'!$I16</f>
        <v>611867243.60320282</v>
      </c>
      <c r="Q284" s="61">
        <f>Q$271*'Economic Projections'!$I16</f>
        <v>1150473985.7615659</v>
      </c>
      <c r="R284" s="61">
        <f>R$271*'Economic Projections'!$I16</f>
        <v>126188631.27066034</v>
      </c>
      <c r="S284" s="61">
        <f>S$271*'Economic Projections'!$I16</f>
        <v>191815512.09114274</v>
      </c>
      <c r="T284" s="61">
        <f>T$271*'Economic Projections'!$I16</f>
        <v>27118115.447607752</v>
      </c>
      <c r="W284">
        <v>2060</v>
      </c>
      <c r="X284" s="61">
        <f>X$271*'Economic Projections'!$J16</f>
        <v>1023195656.0233059</v>
      </c>
      <c r="Y284" s="61">
        <f>Y$271*'Economic Projections'!$J16</f>
        <v>427452183.99332643</v>
      </c>
      <c r="Z284" s="61">
        <f>Z$271*'Economic Projections'!$J16</f>
        <v>803724374.82566726</v>
      </c>
      <c r="AA284" s="61">
        <f>AA$271*'Economic Projections'!$J16</f>
        <v>88155734.100308001</v>
      </c>
      <c r="AB284" s="61">
        <f>AB$271*'Economic Projections'!$J16</f>
        <v>134002858.33952771</v>
      </c>
      <c r="AC284" s="61">
        <f>AC$271*'Economic Projections'!$J16</f>
        <v>18944792.019917861</v>
      </c>
      <c r="AG284">
        <v>2060</v>
      </c>
      <c r="AH284" s="61">
        <f>AH$271*'Economic Projections'!$K16</f>
        <v>2496037355.9578018</v>
      </c>
      <c r="AI284" s="61">
        <f>AI$271*'Economic Projections'!$K16</f>
        <v>1042749363.5770363</v>
      </c>
      <c r="AJ284" s="61">
        <f>AJ$271*'Economic Projections'!$K16</f>
        <v>1960647557.1403337</v>
      </c>
      <c r="AK284" s="61">
        <f>AK$271*'Economic Projections'!$K16</f>
        <v>215051739.28459272</v>
      </c>
      <c r="AL284" s="61">
        <f>AL$271*'Economic Projections'!$K16</f>
        <v>326893628.06771344</v>
      </c>
      <c r="AM284" s="61">
        <f>AM$271*'Economic Projections'!$K16</f>
        <v>46214923.12266928</v>
      </c>
    </row>
    <row r="285" spans="5:39">
      <c r="E285">
        <v>2070</v>
      </c>
      <c r="F285" s="61">
        <f>F$271*'Economic Projections'!$H17</f>
        <v>2189809300.0022593</v>
      </c>
      <c r="G285" s="61">
        <f>G$271*'Economic Projections'!$H17</f>
        <v>914818942.30553937</v>
      </c>
      <c r="H285" s="61">
        <f>H$271*'Economic Projections'!$H17</f>
        <v>1720104166.0713027</v>
      </c>
      <c r="I285" s="61">
        <f>I$271*'Economic Projections'!$H17</f>
        <v>188667969.06825775</v>
      </c>
      <c r="J285" s="61">
        <f>J$271*'Economic Projections'!$H17</f>
        <v>286788458.97299159</v>
      </c>
      <c r="K285" s="61">
        <f>K$271*'Economic Projections'!$H17</f>
        <v>40545013.563739941</v>
      </c>
      <c r="N285">
        <v>2070</v>
      </c>
      <c r="O285" s="61">
        <f>O$271*'Economic Projections'!$I17</f>
        <v>1756748185.0783908</v>
      </c>
      <c r="P285" s="61">
        <f>P$271*'Economic Projections'!$I17</f>
        <v>733902498.52758014</v>
      </c>
      <c r="Q285" s="61">
        <f>Q$271*'Economic Projections'!$I17</f>
        <v>1379932888.1690392</v>
      </c>
      <c r="R285" s="61">
        <f>R$271*'Economic Projections'!$I17</f>
        <v>151356610.0220443</v>
      </c>
      <c r="S285" s="61">
        <f>S$271*'Economic Projections'!$I17</f>
        <v>230072593.44533414</v>
      </c>
      <c r="T285" s="61">
        <f>T$271*'Economic Projections'!$I17</f>
        <v>32526749.700079087</v>
      </c>
      <c r="W285">
        <v>2070</v>
      </c>
      <c r="X285" s="61">
        <f>X$271*'Economic Projections'!$J17</f>
        <v>1114208257.1967146</v>
      </c>
      <c r="Y285" s="61">
        <f>Y$271*'Economic Projections'!$J17</f>
        <v>465473783.19917864</v>
      </c>
      <c r="Z285" s="61">
        <f>Z$271*'Economic Projections'!$J17</f>
        <v>875215145.48008204</v>
      </c>
      <c r="AA285" s="61">
        <f>AA$271*'Economic Projections'!$J17</f>
        <v>95997130.43696098</v>
      </c>
      <c r="AB285" s="61">
        <f>AB$271*'Economic Projections'!$J17</f>
        <v>145922327.14332649</v>
      </c>
      <c r="AC285" s="61">
        <f>AC$271*'Economic Projections'!$J17</f>
        <v>20629919.190143738</v>
      </c>
      <c r="AG285">
        <v>2070</v>
      </c>
      <c r="AH285" s="61">
        <f>AH$271*'Economic Projections'!$K17</f>
        <v>3161403784.7360153</v>
      </c>
      <c r="AI285" s="61">
        <f>AI$271*'Economic Projections'!$K17</f>
        <v>1320714121.7958782</v>
      </c>
      <c r="AJ285" s="61">
        <f>AJ$271*'Economic Projections'!$K17</f>
        <v>2483295609.6918545</v>
      </c>
      <c r="AK285" s="61">
        <f>AK$271*'Economic Projections'!$K17</f>
        <v>272377887.64082426</v>
      </c>
      <c r="AL285" s="61">
        <f>AL$271*'Economic Projections'!$K17</f>
        <v>414033367.93523055</v>
      </c>
      <c r="AM285" s="61">
        <f>AM$271*'Economic Projections'!$K17</f>
        <v>58534393.534838066</v>
      </c>
    </row>
    <row r="286" spans="5:39">
      <c r="E286">
        <v>2080</v>
      </c>
      <c r="F286" s="61">
        <f>F$271*'Economic Projections'!$H18</f>
        <v>2482957231.0502849</v>
      </c>
      <c r="G286" s="61">
        <f>G$271*'Economic Projections'!$H18</f>
        <v>1037284985.4537419</v>
      </c>
      <c r="H286" s="61">
        <f>H$271*'Economic Projections'!$H18</f>
        <v>1950373065.5002947</v>
      </c>
      <c r="I286" s="61">
        <f>I$271*'Economic Projections'!$H18</f>
        <v>213924791.56295425</v>
      </c>
      <c r="J286" s="61">
        <f>J$271*'Economic Projections'!$H18</f>
        <v>325180589.00746417</v>
      </c>
      <c r="K286" s="61">
        <f>K$271*'Economic Projections'!$H18</f>
        <v>45972740.462384604</v>
      </c>
      <c r="N286">
        <v>2080</v>
      </c>
      <c r="O286" s="61">
        <f>O$271*'Economic Projections'!$I18</f>
        <v>2073676722.9711349</v>
      </c>
      <c r="P286" s="61">
        <f>P$271*'Economic Projections'!$I18</f>
        <v>866303173.70106769</v>
      </c>
      <c r="Q286" s="61">
        <f>Q$271*'Economic Projections'!$I18</f>
        <v>1628881551.5871887</v>
      </c>
      <c r="R286" s="61">
        <f>R$271*'Economic Projections'!$I18</f>
        <v>178662304.44207197</v>
      </c>
      <c r="S286" s="61">
        <f>S$271*'Economic Projections'!$I18</f>
        <v>271579151.56741798</v>
      </c>
      <c r="T286" s="61">
        <f>T$271*'Economic Projections'!$I18</f>
        <v>38394782.075128511</v>
      </c>
      <c r="W286">
        <v>2080</v>
      </c>
      <c r="X286" s="61">
        <f>X$271*'Economic Projections'!$J18</f>
        <v>1208496656.8526695</v>
      </c>
      <c r="Y286" s="61">
        <f>Y$271*'Economic Projections'!$J18</f>
        <v>504863886.27566731</v>
      </c>
      <c r="Z286" s="61">
        <f>Z$271*'Economic Projections'!$J18</f>
        <v>949279069.24743319</v>
      </c>
      <c r="AA286" s="61">
        <f>AA$271*'Economic Projections'!$J18</f>
        <v>104120760.5949692</v>
      </c>
      <c r="AB286" s="61">
        <f>AB$271*'Economic Projections'!$J18</f>
        <v>158270811.02104723</v>
      </c>
      <c r="AC286" s="61">
        <f>AC$271*'Economic Projections'!$J18</f>
        <v>22375698.808008213</v>
      </c>
      <c r="AG286">
        <v>2080</v>
      </c>
      <c r="AH286" s="61">
        <f>AH$271*'Economic Projections'!$K18</f>
        <v>3864865703.1619234</v>
      </c>
      <c r="AI286" s="61">
        <f>AI$271*'Economic Projections'!$K18</f>
        <v>1614593724.9950931</v>
      </c>
      <c r="AJ286" s="61">
        <f>AJ$271*'Economic Projections'!$K18</f>
        <v>3035867825.2522078</v>
      </c>
      <c r="AK286" s="61">
        <f>AK$271*'Economic Projections'!$K18</f>
        <v>332986239.00098133</v>
      </c>
      <c r="AL286" s="61">
        <f>AL$271*'Economic Projections'!$K18</f>
        <v>506162285.06575072</v>
      </c>
      <c r="AM286" s="61">
        <f>AM$271*'Economic Projections'!$K18</f>
        <v>71559214.017664373</v>
      </c>
    </row>
    <row r="287" spans="5:39">
      <c r="E287">
        <v>2090</v>
      </c>
      <c r="F287" s="61">
        <f>F$271*'Economic Projections'!$H19</f>
        <v>2741270016.8980556</v>
      </c>
      <c r="G287" s="61">
        <f>G$271*'Economic Projections'!$H19</f>
        <v>1145198231.3847969</v>
      </c>
      <c r="H287" s="61">
        <f>H$271*'Economic Projections'!$H19</f>
        <v>2153278815.8255749</v>
      </c>
      <c r="I287" s="61">
        <f>I$271*'Economic Projections'!$H19</f>
        <v>236180313.39776078</v>
      </c>
      <c r="J287" s="61">
        <f>J$271*'Economic Projections'!$H19</f>
        <v>359010532.91455513</v>
      </c>
      <c r="K287" s="61">
        <f>K$271*'Economic Projections'!$H19</f>
        <v>50755483.601649977</v>
      </c>
      <c r="N287">
        <v>2090</v>
      </c>
      <c r="O287" s="61">
        <f>O$271*'Economic Projections'!$I19</f>
        <v>2417572310.1156583</v>
      </c>
      <c r="P287" s="61">
        <f>P$271*'Economic Projections'!$I19</f>
        <v>1009969655.2046263</v>
      </c>
      <c r="Q287" s="61">
        <f>Q$271*'Economic Projections'!$I19</f>
        <v>1899012942.5444839</v>
      </c>
      <c r="R287" s="61">
        <f>R$271*'Economic Projections'!$I19</f>
        <v>208291405.93416369</v>
      </c>
      <c r="S287" s="61">
        <f>S$271*'Economic Projections'!$I19</f>
        <v>316617450.32918149</v>
      </c>
      <c r="T287" s="61">
        <f>T$271*'Economic Projections'!$I19</f>
        <v>44762117.918149464</v>
      </c>
      <c r="W287">
        <v>2090</v>
      </c>
      <c r="X287" s="61">
        <f>X$271*'Economic Projections'!$J19</f>
        <v>1310810762.7908623</v>
      </c>
      <c r="Y287" s="61">
        <f>Y$271*'Economic Projections'!$J19</f>
        <v>547606823.83521557</v>
      </c>
      <c r="Z287" s="61">
        <f>Z$271*'Economic Projections'!$J19</f>
        <v>1029647218.1414784</v>
      </c>
      <c r="AA287" s="61">
        <f>AA$271*'Economic Projections'!$J19</f>
        <v>112935863.61529773</v>
      </c>
      <c r="AB287" s="61">
        <f>AB$271*'Economic Projections'!$J19</f>
        <v>171670381.82987681</v>
      </c>
      <c r="AC287" s="61">
        <f>AC$271*'Economic Projections'!$J19</f>
        <v>24270076.922587268</v>
      </c>
      <c r="AG287">
        <v>2090</v>
      </c>
      <c r="AH287" s="61">
        <f>AH$271*'Economic Projections'!$K19</f>
        <v>4604335687.1452398</v>
      </c>
      <c r="AI287" s="61">
        <f>AI$271*'Economic Projections'!$K19</f>
        <v>1923516126.8743865</v>
      </c>
      <c r="AJ287" s="61">
        <f>AJ$271*'Economic Projections'!$K19</f>
        <v>3616724523.6565256</v>
      </c>
      <c r="AK287" s="61">
        <f>AK$271*'Economic Projections'!$K19</f>
        <v>396696946.62512267</v>
      </c>
      <c r="AL287" s="61">
        <f>AL$271*'Economic Projections'!$K19</f>
        <v>603006999.88321877</v>
      </c>
      <c r="AM287" s="61">
        <f>AM$271*'Economic Projections'!$K19</f>
        <v>85250735.252208039</v>
      </c>
    </row>
    <row r="288" spans="5:39">
      <c r="E288">
        <v>2100</v>
      </c>
      <c r="F288" s="61">
        <f>F$271*'Economic Projections'!$H20</f>
        <v>2952839991.719996</v>
      </c>
      <c r="G288" s="61">
        <f>G$271*'Economic Projections'!$H20</f>
        <v>1233584110.7351208</v>
      </c>
      <c r="H288" s="61">
        <f>H$271*'Economic Projections'!$H20</f>
        <v>2319467896.8137889</v>
      </c>
      <c r="I288" s="61">
        <f>I$271*'Economic Projections'!$H20</f>
        <v>254408602.71292478</v>
      </c>
      <c r="J288" s="61">
        <f>J$271*'Economic Projections'!$H20</f>
        <v>386718802.78265566</v>
      </c>
      <c r="K288" s="61">
        <f>K$271*'Economic Projections'!$H20</f>
        <v>54672768.772932626</v>
      </c>
      <c r="N288">
        <v>2100</v>
      </c>
      <c r="O288" s="61">
        <f>O$271*'Economic Projections'!$I20</f>
        <v>2796214913.9374261</v>
      </c>
      <c r="P288" s="61">
        <f>P$271*'Economic Projections'!$I20</f>
        <v>1168152117.1841638</v>
      </c>
      <c r="Q288" s="61">
        <f>Q$271*'Economic Projections'!$I20</f>
        <v>2196438257.2900357</v>
      </c>
      <c r="R288" s="61">
        <f>R$271*'Economic Projections'!$I20</f>
        <v>240914215.17408067</v>
      </c>
      <c r="S288" s="61">
        <f>S$271*'Economic Projections'!$I20</f>
        <v>366206393.46293002</v>
      </c>
      <c r="T288" s="61">
        <f>T$271*'Economic Projections'!$I20</f>
        <v>51772805.79300119</v>
      </c>
      <c r="W288">
        <v>2100</v>
      </c>
      <c r="X288" s="61">
        <f>X$271*'Economic Projections'!$J20</f>
        <v>1427920558.5418892</v>
      </c>
      <c r="Y288" s="61">
        <f>Y$271*'Economic Projections'!$J20</f>
        <v>596530837.21047235</v>
      </c>
      <c r="Z288" s="61">
        <f>Z$271*'Economic Projections'!$J20</f>
        <v>1121637441.9289529</v>
      </c>
      <c r="AA288" s="61">
        <f>AA$271*'Economic Projections'!$J20</f>
        <v>123025722.72874744</v>
      </c>
      <c r="AB288" s="61">
        <f>AB$271*'Economic Projections'!$J20</f>
        <v>187007670.72258729</v>
      </c>
      <c r="AC288" s="61">
        <f>AC$271*'Economic Projections'!$J20</f>
        <v>26438401.925667353</v>
      </c>
      <c r="AG288">
        <v>2100</v>
      </c>
      <c r="AH288" s="61">
        <f>AH$271*'Economic Projections'!$K20</f>
        <v>5380335592.7085381</v>
      </c>
      <c r="AI288" s="61">
        <f>AI$271*'Economic Projections'!$K20</f>
        <v>2247699339.008832</v>
      </c>
      <c r="AJ288" s="61">
        <f>AJ$271*'Economic Projections'!$K20</f>
        <v>4226275624.9460254</v>
      </c>
      <c r="AK288" s="61">
        <f>AK$271*'Economic Projections'!$K20</f>
        <v>463554972.19823354</v>
      </c>
      <c r="AL288" s="61">
        <f>AL$271*'Economic Projections'!$K20</f>
        <v>704635857.28164864</v>
      </c>
      <c r="AM288" s="61">
        <f>AM$271*'Economic Projections'!$K20</f>
        <v>99618619.56820412</v>
      </c>
    </row>
    <row r="289" spans="6:40">
      <c r="F289" s="581"/>
      <c r="G289" s="581"/>
      <c r="H289" s="581"/>
      <c r="I289" s="581"/>
      <c r="J289" s="581"/>
      <c r="K289" s="581"/>
      <c r="L289" s="330"/>
      <c r="M289" s="330"/>
      <c r="O289" s="581"/>
      <c r="P289" s="581"/>
      <c r="Q289" s="581"/>
      <c r="R289" s="581"/>
      <c r="S289" s="581"/>
      <c r="T289" s="581"/>
      <c r="X289" s="581"/>
      <c r="Y289" s="581"/>
      <c r="Z289" s="581"/>
      <c r="AA289" s="581"/>
      <c r="AB289" s="581"/>
      <c r="AC289" s="581"/>
      <c r="AD289" s="172"/>
      <c r="AH289" s="581"/>
      <c r="AI289" s="581"/>
      <c r="AJ289" s="581"/>
      <c r="AK289" s="581"/>
      <c r="AL289" s="581"/>
      <c r="AM289" s="581"/>
    </row>
    <row r="290" spans="6:40">
      <c r="F290" s="320"/>
      <c r="G290" s="320"/>
      <c r="H290" s="330"/>
      <c r="I290" s="330"/>
      <c r="J290" s="330"/>
      <c r="K290" s="330"/>
      <c r="L290" s="330"/>
      <c r="M290" s="330"/>
      <c r="O290" s="320"/>
      <c r="P290" s="320"/>
      <c r="Q290" s="179"/>
      <c r="R290" s="179"/>
      <c r="S290" s="179"/>
      <c r="T290" s="179"/>
      <c r="U290" s="330"/>
      <c r="Z290" s="170"/>
      <c r="AA290" s="170"/>
      <c r="AB290" s="170"/>
      <c r="AC290" s="170"/>
      <c r="AD290" s="172"/>
      <c r="AJ290" s="170"/>
      <c r="AK290" s="170"/>
      <c r="AL290" s="170"/>
      <c r="AM290" s="170"/>
      <c r="AN290" s="172"/>
    </row>
    <row r="291" spans="6:40">
      <c r="F291" s="320"/>
      <c r="G291" s="320"/>
      <c r="H291" s="330"/>
      <c r="I291" s="330"/>
      <c r="J291" s="330"/>
      <c r="K291" s="330"/>
      <c r="L291" s="330"/>
      <c r="M291" s="330"/>
      <c r="O291" s="320"/>
      <c r="P291" s="320"/>
      <c r="Q291" s="330"/>
      <c r="R291" s="330"/>
      <c r="S291" s="330"/>
      <c r="T291" s="330"/>
      <c r="U291" s="330"/>
      <c r="Z291" s="170"/>
      <c r="AA291" s="170"/>
      <c r="AB291" s="170"/>
      <c r="AC291" s="170"/>
      <c r="AD291" s="172"/>
      <c r="AJ291" s="170"/>
      <c r="AK291" s="170"/>
      <c r="AL291" s="170"/>
      <c r="AM291" s="170"/>
      <c r="AN291" s="172"/>
    </row>
    <row r="292" spans="6:40">
      <c r="F292" s="320"/>
      <c r="G292" s="320"/>
      <c r="H292" s="330"/>
      <c r="I292" s="330"/>
      <c r="J292" s="330"/>
      <c r="K292" s="330"/>
      <c r="L292" s="330"/>
      <c r="M292" s="330"/>
      <c r="O292" s="320"/>
      <c r="P292" s="320"/>
      <c r="Q292" s="330"/>
      <c r="R292" s="330"/>
      <c r="S292" s="330"/>
      <c r="T292" s="330"/>
      <c r="U292" s="330"/>
      <c r="Z292" s="170"/>
      <c r="AA292" s="170"/>
      <c r="AB292" s="170"/>
      <c r="AC292" s="170"/>
      <c r="AD292" s="172"/>
      <c r="AJ292" s="170"/>
      <c r="AK292" s="170"/>
      <c r="AL292" s="170"/>
      <c r="AM292" s="170"/>
      <c r="AN292" s="172"/>
    </row>
    <row r="293" spans="6:40">
      <c r="F293" s="320"/>
      <c r="G293" s="320"/>
      <c r="H293" s="330"/>
      <c r="I293" s="330"/>
      <c r="J293" s="330"/>
      <c r="K293" s="330"/>
      <c r="L293" s="330"/>
      <c r="M293" s="330"/>
      <c r="O293" s="320"/>
      <c r="P293" s="320"/>
      <c r="Q293" s="330"/>
      <c r="R293" s="330"/>
      <c r="S293" s="330"/>
      <c r="T293" s="330"/>
      <c r="U293" s="330"/>
      <c r="Z293" s="170"/>
      <c r="AA293" s="170"/>
      <c r="AB293" s="170"/>
      <c r="AC293" s="170"/>
      <c r="AD293" s="172"/>
      <c r="AJ293" s="170"/>
      <c r="AK293" s="170"/>
      <c r="AL293" s="170"/>
      <c r="AM293" s="170"/>
      <c r="AN293" s="172"/>
    </row>
    <row r="294" spans="6:40">
      <c r="F294" s="320"/>
      <c r="G294" s="320"/>
      <c r="H294" s="330"/>
      <c r="I294" s="330"/>
      <c r="J294" s="330"/>
      <c r="K294" s="330"/>
      <c r="L294" s="330"/>
      <c r="M294" s="330"/>
      <c r="O294" s="320"/>
      <c r="P294" s="320"/>
      <c r="Q294" s="330"/>
      <c r="R294" s="330"/>
      <c r="S294" s="330"/>
      <c r="T294" s="330"/>
      <c r="U294" s="330"/>
      <c r="Z294" s="170"/>
      <c r="AA294" s="170"/>
      <c r="AB294" s="170"/>
      <c r="AC294" s="170"/>
      <c r="AD294" s="172"/>
      <c r="AJ294" s="170"/>
      <c r="AK294" s="170"/>
      <c r="AL294" s="170"/>
      <c r="AM294" s="170"/>
      <c r="AN294" s="172"/>
    </row>
    <row r="295" spans="6:40">
      <c r="F295" s="320"/>
      <c r="G295" s="320"/>
      <c r="H295" s="330"/>
      <c r="I295" s="330"/>
      <c r="J295" s="330"/>
      <c r="K295" s="330"/>
      <c r="L295" s="330"/>
      <c r="M295" s="330"/>
      <c r="O295" s="320"/>
      <c r="P295" s="320"/>
      <c r="Q295" s="330"/>
      <c r="R295" s="330"/>
      <c r="S295" s="330"/>
      <c r="T295" s="330"/>
      <c r="U295" s="330"/>
      <c r="Z295" s="170"/>
      <c r="AA295" s="170"/>
      <c r="AB295" s="170"/>
      <c r="AC295" s="170"/>
      <c r="AD295" s="172"/>
      <c r="AJ295" s="170"/>
      <c r="AK295" s="170"/>
      <c r="AL295" s="170"/>
      <c r="AM295" s="170"/>
      <c r="AN295" s="172"/>
    </row>
    <row r="296" spans="6:40">
      <c r="F296" s="320"/>
      <c r="G296" s="320"/>
      <c r="H296" s="330"/>
      <c r="I296" s="330"/>
      <c r="J296" s="330"/>
      <c r="K296" s="330"/>
      <c r="L296" s="330"/>
      <c r="M296" s="330"/>
      <c r="O296" s="320"/>
      <c r="P296" s="320"/>
      <c r="Q296" s="330"/>
      <c r="R296" s="330"/>
      <c r="S296" s="330"/>
      <c r="T296" s="330"/>
      <c r="U296" s="330"/>
      <c r="Z296" s="170"/>
      <c r="AA296" s="170"/>
      <c r="AB296" s="170"/>
      <c r="AC296" s="170"/>
      <c r="AD296" s="172"/>
      <c r="AJ296" s="170"/>
      <c r="AK296" s="170"/>
      <c r="AL296" s="170"/>
      <c r="AM296" s="170"/>
      <c r="AN296" s="172"/>
    </row>
    <row r="297" spans="6:40">
      <c r="F297" s="320"/>
      <c r="G297" s="320"/>
      <c r="H297" s="330"/>
      <c r="I297" s="330"/>
      <c r="J297" s="330"/>
      <c r="K297" s="330"/>
      <c r="L297" s="330"/>
      <c r="M297" s="330"/>
      <c r="O297" s="320"/>
      <c r="P297" s="320"/>
      <c r="Q297" s="330"/>
      <c r="R297" s="330"/>
      <c r="S297" s="330"/>
      <c r="T297" s="330"/>
      <c r="U297" s="330"/>
      <c r="Z297" s="170"/>
      <c r="AA297" s="170"/>
      <c r="AB297" s="170"/>
      <c r="AC297" s="170"/>
      <c r="AD297" s="172"/>
      <c r="AJ297" s="170"/>
      <c r="AK297" s="170"/>
      <c r="AL297" s="170"/>
      <c r="AM297" s="170"/>
      <c r="AN297" s="172"/>
    </row>
    <row r="298" spans="6:40">
      <c r="F298" s="320"/>
      <c r="G298" s="320"/>
      <c r="H298" s="330"/>
      <c r="I298" s="330"/>
      <c r="J298" s="330"/>
      <c r="K298" s="330"/>
      <c r="L298" s="330"/>
      <c r="M298" s="330"/>
      <c r="O298" s="320"/>
      <c r="P298" s="320"/>
      <c r="Q298" s="330"/>
      <c r="R298" s="330"/>
      <c r="S298" s="330"/>
      <c r="T298" s="330"/>
      <c r="U298" s="330"/>
      <c r="Z298" s="170"/>
      <c r="AA298" s="170"/>
      <c r="AB298" s="170"/>
      <c r="AC298" s="170"/>
      <c r="AD298" s="172"/>
      <c r="AJ298" s="170"/>
      <c r="AK298" s="170"/>
      <c r="AL298" s="170"/>
      <c r="AM298" s="170"/>
      <c r="AN298" s="172"/>
    </row>
    <row r="299" spans="6:40">
      <c r="F299" s="320"/>
      <c r="G299" s="320"/>
      <c r="H299" s="330"/>
      <c r="I299" s="330"/>
      <c r="J299" s="330"/>
      <c r="K299" s="330"/>
      <c r="L299" s="330"/>
      <c r="M299" s="330"/>
      <c r="O299" s="320"/>
      <c r="P299" s="320"/>
      <c r="Q299" s="330"/>
      <c r="R299" s="330"/>
      <c r="S299" s="330"/>
      <c r="T299" s="330"/>
      <c r="U299" s="330"/>
      <c r="Z299" s="170"/>
      <c r="AA299" s="170"/>
      <c r="AB299" s="170"/>
      <c r="AC299" s="170"/>
      <c r="AD299" s="172"/>
      <c r="AJ299" s="170"/>
      <c r="AK299" s="170"/>
      <c r="AL299" s="170"/>
      <c r="AM299" s="170"/>
      <c r="AN299" s="172"/>
    </row>
    <row r="300" spans="6:40">
      <c r="F300" s="320"/>
      <c r="G300" s="320"/>
      <c r="H300" s="330"/>
      <c r="I300" s="330"/>
      <c r="J300" s="330"/>
      <c r="K300" s="330"/>
      <c r="L300" s="330"/>
      <c r="M300" s="330"/>
      <c r="O300" s="320"/>
      <c r="P300" s="320"/>
      <c r="Q300" s="330"/>
      <c r="R300" s="330"/>
      <c r="S300" s="330"/>
      <c r="T300" s="330"/>
      <c r="U300" s="330"/>
      <c r="Z300" s="170"/>
      <c r="AA300" s="170"/>
      <c r="AB300" s="170"/>
      <c r="AC300" s="170"/>
      <c r="AD300" s="172"/>
      <c r="AJ300" s="170"/>
      <c r="AK300" s="170"/>
      <c r="AL300" s="170"/>
      <c r="AM300" s="170"/>
      <c r="AN300" s="172"/>
    </row>
    <row r="301" spans="6:40">
      <c r="F301" s="320"/>
      <c r="G301" s="320"/>
      <c r="H301" s="330"/>
      <c r="I301" s="330"/>
      <c r="J301" s="330"/>
      <c r="K301" s="330"/>
      <c r="L301" s="330"/>
      <c r="M301" s="330"/>
      <c r="O301" s="320"/>
      <c r="P301" s="320"/>
      <c r="Q301" s="330"/>
      <c r="R301" s="330"/>
      <c r="S301" s="330"/>
      <c r="T301" s="330"/>
      <c r="U301" s="330"/>
      <c r="Z301" s="170"/>
      <c r="AA301" s="170"/>
      <c r="AB301" s="170"/>
      <c r="AC301" s="170"/>
      <c r="AD301" s="172"/>
      <c r="AJ301" s="170"/>
      <c r="AK301" s="170"/>
      <c r="AL301" s="170"/>
      <c r="AM301" s="170"/>
      <c r="AN301" s="172"/>
    </row>
    <row r="302" spans="6:40">
      <c r="F302" s="320"/>
      <c r="G302" s="320"/>
      <c r="H302" s="330"/>
      <c r="I302" s="330"/>
      <c r="J302" s="330"/>
      <c r="K302" s="330"/>
      <c r="L302" s="330"/>
      <c r="M302" s="330"/>
      <c r="O302" s="320"/>
      <c r="P302" s="320"/>
      <c r="Q302" s="330"/>
      <c r="R302" s="330"/>
      <c r="S302" s="330"/>
      <c r="T302" s="330"/>
      <c r="U302" s="330"/>
      <c r="Z302" s="170"/>
      <c r="AA302" s="170"/>
      <c r="AB302" s="170"/>
      <c r="AC302" s="170"/>
      <c r="AD302" s="172"/>
      <c r="AJ302" s="170"/>
      <c r="AK302" s="170"/>
      <c r="AL302" s="170"/>
      <c r="AM302" s="170"/>
      <c r="AN302" s="172"/>
    </row>
    <row r="303" spans="6:40">
      <c r="F303" s="320"/>
      <c r="G303" s="320"/>
      <c r="H303" s="330"/>
      <c r="I303" s="330"/>
      <c r="J303" s="330"/>
      <c r="K303" s="330"/>
      <c r="L303" s="330"/>
      <c r="M303" s="330"/>
      <c r="O303" s="320"/>
      <c r="P303" s="320"/>
      <c r="Q303" s="330"/>
      <c r="R303" s="330"/>
      <c r="S303" s="330"/>
      <c r="T303" s="330"/>
      <c r="U303" s="330"/>
      <c r="Z303" s="170"/>
      <c r="AA303" s="170"/>
      <c r="AB303" s="170"/>
      <c r="AC303" s="170"/>
      <c r="AD303" s="172"/>
      <c r="AJ303" s="170"/>
      <c r="AK303" s="170"/>
      <c r="AL303" s="170"/>
      <c r="AM303" s="170"/>
      <c r="AN303" s="172"/>
    </row>
    <row r="304" spans="6:40">
      <c r="F304" s="320"/>
      <c r="G304" s="320"/>
      <c r="H304" s="330"/>
      <c r="I304" s="330"/>
      <c r="J304" s="330"/>
      <c r="K304" s="330"/>
      <c r="L304" s="330"/>
      <c r="M304" s="330"/>
      <c r="O304" s="320"/>
      <c r="P304" s="320"/>
      <c r="Q304" s="330"/>
      <c r="R304" s="330"/>
      <c r="S304" s="330"/>
      <c r="T304" s="330"/>
      <c r="U304" s="330"/>
      <c r="Z304" s="170"/>
      <c r="AA304" s="170"/>
      <c r="AB304" s="170"/>
      <c r="AC304" s="170"/>
      <c r="AD304" s="172"/>
      <c r="AJ304" s="170"/>
      <c r="AK304" s="170"/>
      <c r="AL304" s="170"/>
      <c r="AM304" s="170"/>
      <c r="AN304" s="172"/>
    </row>
    <row r="305" spans="6:40">
      <c r="F305" s="320"/>
      <c r="G305" s="320"/>
      <c r="H305" s="330"/>
      <c r="I305" s="330"/>
      <c r="J305" s="330"/>
      <c r="K305" s="330"/>
      <c r="L305" s="330"/>
      <c r="M305" s="330"/>
      <c r="O305" s="320"/>
      <c r="P305" s="320"/>
      <c r="Q305" s="330"/>
      <c r="R305" s="330"/>
      <c r="S305" s="330"/>
      <c r="T305" s="330"/>
      <c r="U305" s="330"/>
      <c r="Z305" s="170"/>
      <c r="AA305" s="170"/>
      <c r="AB305" s="170"/>
      <c r="AC305" s="170"/>
      <c r="AD305" s="172"/>
      <c r="AJ305" s="170"/>
      <c r="AK305" s="170"/>
      <c r="AL305" s="170"/>
      <c r="AM305" s="170"/>
      <c r="AN305" s="172"/>
    </row>
    <row r="306" spans="6:40">
      <c r="F306" s="320"/>
      <c r="G306" s="320"/>
      <c r="H306" s="330"/>
      <c r="I306" s="330"/>
      <c r="J306" s="330"/>
      <c r="K306" s="330"/>
      <c r="L306" s="330"/>
      <c r="M306" s="330"/>
      <c r="O306" s="320"/>
      <c r="P306" s="320"/>
      <c r="Q306" s="330"/>
      <c r="R306" s="330"/>
      <c r="S306" s="330"/>
      <c r="T306" s="330"/>
      <c r="U306" s="330"/>
      <c r="Z306" s="170"/>
      <c r="AA306" s="170"/>
      <c r="AB306" s="170"/>
      <c r="AC306" s="170"/>
      <c r="AD306" s="172"/>
      <c r="AJ306" s="170"/>
      <c r="AK306" s="170"/>
      <c r="AL306" s="170"/>
      <c r="AM306" s="170"/>
      <c r="AN306" s="172"/>
    </row>
    <row r="307" spans="6:40">
      <c r="F307" s="320"/>
      <c r="G307" s="320"/>
      <c r="H307" s="330"/>
      <c r="I307" s="330"/>
      <c r="J307" s="330"/>
      <c r="K307" s="330"/>
      <c r="L307" s="330"/>
      <c r="M307" s="330"/>
      <c r="O307" s="320"/>
      <c r="P307" s="320"/>
      <c r="Q307" s="330"/>
      <c r="R307" s="330"/>
      <c r="S307" s="330"/>
      <c r="T307" s="330"/>
      <c r="U307" s="330"/>
      <c r="Z307" s="170"/>
      <c r="AA307" s="170"/>
      <c r="AB307" s="170"/>
      <c r="AC307" s="170"/>
      <c r="AD307" s="172"/>
      <c r="AJ307" s="170"/>
      <c r="AK307" s="170"/>
      <c r="AL307" s="170"/>
      <c r="AM307" s="170"/>
      <c r="AN307" s="172"/>
    </row>
    <row r="308" spans="6:40">
      <c r="AH308" s="581"/>
      <c r="AI308" s="581"/>
      <c r="AJ308" s="581"/>
      <c r="AK308" s="581"/>
      <c r="AL308" s="581"/>
      <c r="AM308" s="581"/>
    </row>
    <row r="309" spans="6:40">
      <c r="AJ309" s="179"/>
      <c r="AK309" s="179"/>
      <c r="AL309" s="179"/>
      <c r="AM309" s="179"/>
      <c r="AN309" s="433"/>
    </row>
    <row r="310" spans="6:40">
      <c r="AJ310" s="179"/>
      <c r="AK310" s="179"/>
      <c r="AL310" s="179"/>
      <c r="AM310" s="179"/>
      <c r="AN310" s="433"/>
    </row>
    <row r="311" spans="6:40">
      <c r="AJ311" s="179"/>
      <c r="AK311" s="179"/>
      <c r="AL311" s="179"/>
      <c r="AM311" s="179"/>
      <c r="AN311" s="433"/>
    </row>
    <row r="312" spans="6:40">
      <c r="AJ312" s="179"/>
      <c r="AK312" s="179"/>
      <c r="AL312" s="179"/>
      <c r="AM312" s="179"/>
      <c r="AN312" s="433"/>
    </row>
    <row r="313" spans="6:40">
      <c r="AJ313" s="179"/>
      <c r="AK313" s="179"/>
      <c r="AL313" s="179"/>
      <c r="AM313" s="179"/>
      <c r="AN313" s="433"/>
    </row>
    <row r="314" spans="6:40">
      <c r="AJ314" s="179"/>
      <c r="AK314" s="179"/>
      <c r="AL314" s="179"/>
      <c r="AM314" s="179"/>
      <c r="AN314" s="433"/>
    </row>
    <row r="315" spans="6:40">
      <c r="AJ315" s="179"/>
      <c r="AK315" s="179"/>
      <c r="AL315" s="179"/>
      <c r="AM315" s="179"/>
      <c r="AN315" s="433"/>
    </row>
    <row r="316" spans="6:40">
      <c r="AJ316" s="179"/>
      <c r="AK316" s="179"/>
      <c r="AL316" s="179"/>
      <c r="AM316" s="179"/>
      <c r="AN316" s="433"/>
    </row>
    <row r="317" spans="6:40">
      <c r="AJ317" s="179"/>
      <c r="AK317" s="179"/>
      <c r="AL317" s="179"/>
      <c r="AM317" s="179"/>
      <c r="AN317" s="433"/>
    </row>
    <row r="318" spans="6:40">
      <c r="AJ318" s="179"/>
      <c r="AK318" s="179"/>
      <c r="AL318" s="179"/>
      <c r="AM318" s="179"/>
      <c r="AN318" s="433"/>
    </row>
    <row r="319" spans="6:40">
      <c r="AJ319" s="179"/>
      <c r="AK319" s="179"/>
      <c r="AL319" s="179"/>
      <c r="AM319" s="179"/>
      <c r="AN319" s="433"/>
    </row>
    <row r="320" spans="6:40">
      <c r="AJ320" s="179"/>
      <c r="AK320" s="179"/>
      <c r="AL320" s="179"/>
      <c r="AM320" s="179"/>
      <c r="AN320" s="433"/>
    </row>
    <row r="321" spans="36:40">
      <c r="AJ321" s="179"/>
      <c r="AK321" s="179"/>
      <c r="AL321" s="179"/>
      <c r="AM321" s="179"/>
      <c r="AN321" s="433"/>
    </row>
    <row r="322" spans="36:40">
      <c r="AJ322" s="179"/>
      <c r="AK322" s="179"/>
      <c r="AL322" s="179"/>
      <c r="AM322" s="179"/>
      <c r="AN322" s="433"/>
    </row>
    <row r="323" spans="36:40">
      <c r="AJ323" s="179"/>
      <c r="AK323" s="179"/>
      <c r="AL323" s="179"/>
      <c r="AM323" s="179"/>
      <c r="AN323" s="433"/>
    </row>
    <row r="324" spans="36:40">
      <c r="AJ324" s="179"/>
      <c r="AK324" s="179"/>
      <c r="AL324" s="179"/>
      <c r="AM324" s="179"/>
      <c r="AN324" s="433"/>
    </row>
    <row r="325" spans="36:40">
      <c r="AJ325" s="179"/>
      <c r="AK325" s="179"/>
      <c r="AL325" s="179"/>
      <c r="AM325" s="179"/>
      <c r="AN325" s="433"/>
    </row>
    <row r="326" spans="36:40">
      <c r="AJ326" s="179"/>
      <c r="AK326" s="179"/>
      <c r="AL326" s="179"/>
      <c r="AM326" s="179"/>
      <c r="AN326" s="433"/>
    </row>
  </sheetData>
  <mergeCells count="69">
    <mergeCell ref="AH194:AM194"/>
    <mergeCell ref="F156:K156"/>
    <mergeCell ref="F232:K232"/>
    <mergeCell ref="O232:T232"/>
    <mergeCell ref="X232:AC232"/>
    <mergeCell ref="AH175:AM175"/>
    <mergeCell ref="X175:AC175"/>
    <mergeCell ref="AH99:AM99"/>
    <mergeCell ref="X194:AC194"/>
    <mergeCell ref="AH232:AM232"/>
    <mergeCell ref="F99:K99"/>
    <mergeCell ref="F194:K194"/>
    <mergeCell ref="O99:T99"/>
    <mergeCell ref="X99:AC99"/>
    <mergeCell ref="F213:K213"/>
    <mergeCell ref="O213:T213"/>
    <mergeCell ref="X213:AC213"/>
    <mergeCell ref="AH213:AM213"/>
    <mergeCell ref="F175:K175"/>
    <mergeCell ref="O175:T175"/>
    <mergeCell ref="O156:T156"/>
    <mergeCell ref="X156:AC156"/>
    <mergeCell ref="AH156:AM156"/>
    <mergeCell ref="AH308:AM308"/>
    <mergeCell ref="F251:K251"/>
    <mergeCell ref="O251:T251"/>
    <mergeCell ref="X251:AC251"/>
    <mergeCell ref="AH251:AM251"/>
    <mergeCell ref="F289:K289"/>
    <mergeCell ref="O289:T289"/>
    <mergeCell ref="X289:AC289"/>
    <mergeCell ref="AH289:AM289"/>
    <mergeCell ref="F270:K270"/>
    <mergeCell ref="O270:T270"/>
    <mergeCell ref="X270:AC270"/>
    <mergeCell ref="AH270:AM270"/>
    <mergeCell ref="F118:K118"/>
    <mergeCell ref="O118:T118"/>
    <mergeCell ref="X118:AC118"/>
    <mergeCell ref="AH118:AM118"/>
    <mergeCell ref="F137:K137"/>
    <mergeCell ref="O137:T137"/>
    <mergeCell ref="X137:AC137"/>
    <mergeCell ref="AH137:AM137"/>
    <mergeCell ref="F61:K61"/>
    <mergeCell ref="O61:T61"/>
    <mergeCell ref="X61:AC61"/>
    <mergeCell ref="AH61:AM61"/>
    <mergeCell ref="F80:K80"/>
    <mergeCell ref="O80:T80"/>
    <mergeCell ref="X80:AC80"/>
    <mergeCell ref="AH80:AM80"/>
    <mergeCell ref="F23:K23"/>
    <mergeCell ref="O23:T23"/>
    <mergeCell ref="X23:AC23"/>
    <mergeCell ref="AH23:AM23"/>
    <mergeCell ref="F42:K42"/>
    <mergeCell ref="O42:T42"/>
    <mergeCell ref="X42:AC42"/>
    <mergeCell ref="AH42:AM42"/>
    <mergeCell ref="F4:K4"/>
    <mergeCell ref="O4:T4"/>
    <mergeCell ref="X4:AC4"/>
    <mergeCell ref="AH4:AM4"/>
    <mergeCell ref="B2:C2"/>
    <mergeCell ref="F2:K2"/>
    <mergeCell ref="O2:T2"/>
    <mergeCell ref="X2:AC2"/>
    <mergeCell ref="AH2:AM2"/>
  </mergeCells>
  <dataValidations count="1">
    <dataValidation type="list" errorStyle="warning" allowBlank="1" showInputMessage="1" showErrorMessage="1" promptTitle="Inflation" prompt="Please select an inflation level" sqref="C6" xr:uid="{8CB5EDCB-934D-4541-9031-E57DE3331818}">
      <formula1>"0, 0.0125, 0.025, ='Inflation-Interest'!$C$70, 0.05, 0.0625, 0.075"</formula1>
    </dataValidation>
  </dataValidation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7B0EA-DB39-4640-AA43-A46FB861E2AE}">
  <sheetPr>
    <tabColor rgb="FF92D050"/>
  </sheetPr>
  <dimension ref="B1:Z43"/>
  <sheetViews>
    <sheetView topLeftCell="B37" workbookViewId="0">
      <selection activeCell="D5" sqref="D5"/>
    </sheetView>
  </sheetViews>
  <sheetFormatPr defaultColWidth="11.42578125" defaultRowHeight="15"/>
  <cols>
    <col min="1" max="1" width="5.140625" customWidth="1"/>
    <col min="2" max="2" width="19.7109375" customWidth="1"/>
    <col min="3" max="6" width="12.7109375" bestFit="1" customWidth="1"/>
    <col min="7" max="9" width="13.85546875" bestFit="1" customWidth="1"/>
    <col min="10" max="10" width="14.85546875" bestFit="1" customWidth="1"/>
    <col min="11" max="13" width="13.85546875" bestFit="1" customWidth="1"/>
    <col min="14" max="14" width="14.85546875" bestFit="1" customWidth="1"/>
    <col min="15" max="17" width="13.5703125" bestFit="1" customWidth="1"/>
    <col min="18" max="18" width="13.85546875" bestFit="1" customWidth="1"/>
    <col min="19" max="20" width="11.7109375" bestFit="1" customWidth="1"/>
    <col min="21" max="21" width="12.7109375" bestFit="1" customWidth="1"/>
    <col min="22" max="25" width="13.85546875" bestFit="1" customWidth="1"/>
    <col min="26" max="26" width="14.85546875" bestFit="1" customWidth="1"/>
  </cols>
  <sheetData>
    <row r="1" spans="2:26">
      <c r="B1" s="617" t="s">
        <v>311</v>
      </c>
      <c r="C1" s="617"/>
      <c r="D1" s="617"/>
      <c r="E1" s="617"/>
      <c r="F1" s="617"/>
      <c r="G1" s="617"/>
      <c r="H1" s="617"/>
      <c r="I1" s="617"/>
      <c r="J1" s="617"/>
    </row>
    <row r="2" spans="2:26">
      <c r="C2" s="584" t="s">
        <v>312</v>
      </c>
      <c r="D2" s="606"/>
      <c r="E2" s="606"/>
      <c r="F2" s="606"/>
      <c r="G2" s="574" t="s">
        <v>313</v>
      </c>
      <c r="H2" s="574"/>
      <c r="I2" s="574"/>
      <c r="J2" s="615"/>
      <c r="K2" s="583" t="s">
        <v>314</v>
      </c>
      <c r="L2" s="583"/>
      <c r="M2" s="583"/>
      <c r="N2" s="584"/>
      <c r="O2" s="584" t="s">
        <v>315</v>
      </c>
      <c r="P2" s="606"/>
      <c r="Q2" s="606"/>
      <c r="R2" s="616"/>
      <c r="S2" s="583" t="s">
        <v>316</v>
      </c>
      <c r="T2" s="583"/>
      <c r="U2" s="583"/>
      <c r="V2" s="583"/>
      <c r="W2" s="584" t="s">
        <v>317</v>
      </c>
      <c r="X2" s="606"/>
      <c r="Y2" s="606"/>
      <c r="Z2" s="606"/>
    </row>
    <row r="3" spans="2:26">
      <c r="B3" s="376"/>
      <c r="C3" s="580" t="s">
        <v>273</v>
      </c>
      <c r="D3" s="580"/>
      <c r="E3" s="580"/>
      <c r="F3" s="580"/>
      <c r="G3" s="607" t="s">
        <v>273</v>
      </c>
      <c r="H3" s="607"/>
      <c r="I3" s="607"/>
      <c r="J3" s="607"/>
      <c r="K3" s="608" t="s">
        <v>273</v>
      </c>
      <c r="L3" s="609"/>
      <c r="M3" s="609"/>
      <c r="N3" s="609"/>
      <c r="O3" s="610" t="s">
        <v>273</v>
      </c>
      <c r="P3" s="611"/>
      <c r="Q3" s="611"/>
      <c r="R3" s="612"/>
      <c r="S3" s="607" t="s">
        <v>273</v>
      </c>
      <c r="T3" s="607"/>
      <c r="U3" s="607"/>
      <c r="V3" s="607"/>
      <c r="W3" s="580" t="s">
        <v>273</v>
      </c>
      <c r="X3" s="580"/>
      <c r="Y3" s="580"/>
      <c r="Z3" s="580"/>
    </row>
    <row r="4" spans="2:26">
      <c r="B4" s="378" t="s">
        <v>87</v>
      </c>
      <c r="C4" s="378" t="s">
        <v>318</v>
      </c>
      <c r="D4" s="378" t="s">
        <v>319</v>
      </c>
      <c r="E4" s="378" t="s">
        <v>320</v>
      </c>
      <c r="F4" s="378" t="s">
        <v>321</v>
      </c>
      <c r="G4" s="378" t="s">
        <v>318</v>
      </c>
      <c r="H4" s="378" t="s">
        <v>319</v>
      </c>
      <c r="I4" s="378" t="s">
        <v>320</v>
      </c>
      <c r="J4" s="378" t="s">
        <v>321</v>
      </c>
      <c r="K4" s="378" t="s">
        <v>318</v>
      </c>
      <c r="L4" s="378" t="s">
        <v>319</v>
      </c>
      <c r="M4" s="378" t="s">
        <v>320</v>
      </c>
      <c r="N4" s="378" t="s">
        <v>321</v>
      </c>
      <c r="O4" s="378" t="s">
        <v>318</v>
      </c>
      <c r="P4" s="378" t="s">
        <v>319</v>
      </c>
      <c r="Q4" s="378" t="s">
        <v>320</v>
      </c>
      <c r="R4" s="378" t="s">
        <v>321</v>
      </c>
      <c r="S4" s="378" t="s">
        <v>318</v>
      </c>
      <c r="T4" s="378" t="s">
        <v>319</v>
      </c>
      <c r="U4" s="378" t="s">
        <v>320</v>
      </c>
      <c r="V4" s="378" t="s">
        <v>321</v>
      </c>
      <c r="W4" s="378" t="s">
        <v>318</v>
      </c>
      <c r="X4" s="378" t="s">
        <v>319</v>
      </c>
      <c r="Y4" s="378" t="s">
        <v>320</v>
      </c>
      <c r="Z4" s="378" t="s">
        <v>321</v>
      </c>
    </row>
    <row r="5" spans="2:26">
      <c r="B5" s="507">
        <v>2020</v>
      </c>
      <c r="C5" s="514">
        <f>'Voluntary Costs'!L252</f>
        <v>6.4247691948273475E-4</v>
      </c>
      <c r="D5" s="515">
        <f>'Voluntary Costs'!U252</f>
        <v>6.4247691948273475E-4</v>
      </c>
      <c r="E5" s="515">
        <f>'Voluntary Costs'!AD252</f>
        <v>6.4247691948273475E-4</v>
      </c>
      <c r="F5" s="516">
        <f>'Voluntary Costs'!AN252</f>
        <v>6.4247691948273475E-4</v>
      </c>
      <c r="G5" s="427">
        <f>'Involuntary Costs'!J156</f>
        <v>4.5267115091401233E-4</v>
      </c>
      <c r="H5" s="427">
        <f>'Involuntary Costs'!$R156</f>
        <v>4.5267115091401233E-4</v>
      </c>
      <c r="I5" s="427">
        <f>'Involuntary Costs'!$Z156</f>
        <v>4.5267115091401233E-4</v>
      </c>
      <c r="J5" s="428">
        <f>'Involuntary Costs'!$AH156</f>
        <v>4.5267115091401233E-4</v>
      </c>
      <c r="K5" s="427">
        <v>4.52671150914012E-4</v>
      </c>
      <c r="L5" s="427">
        <v>4.5267115091401233E-4</v>
      </c>
      <c r="M5" s="427">
        <v>4.5267115091401233E-4</v>
      </c>
      <c r="N5" s="427">
        <v>4.5267115091401233E-4</v>
      </c>
      <c r="O5" s="434">
        <f>K5-(C5+G5)</f>
        <v>-6.4247691948273507E-4</v>
      </c>
      <c r="P5" s="435">
        <f t="shared" ref="P5:P22" si="0">L5-(D5+H5)</f>
        <v>-6.4247691948273464E-4</v>
      </c>
      <c r="Q5" s="435">
        <f t="shared" ref="Q5:Q22" si="1">M5-(E5+I5)</f>
        <v>-6.4247691948273464E-4</v>
      </c>
      <c r="R5" s="435">
        <f t="shared" ref="R5:R22" si="2">N5-(F5+J5)</f>
        <v>-6.4247691948273464E-4</v>
      </c>
      <c r="S5" s="434">
        <f t="shared" ref="S5:S22" si="3">K5-G5</f>
        <v>0</v>
      </c>
      <c r="T5" s="435">
        <f t="shared" ref="T5:T22" si="4">L5-H5</f>
        <v>0</v>
      </c>
      <c r="U5" s="435">
        <f t="shared" ref="U5:U22" si="5">M5-I5</f>
        <v>0</v>
      </c>
      <c r="V5" s="435">
        <f t="shared" ref="V5:V22" si="6">N5-J5</f>
        <v>0</v>
      </c>
      <c r="W5" s="443">
        <f t="shared" ref="W5:W22" si="7">C5+G5</f>
        <v>1.095148070396747E-3</v>
      </c>
      <c r="X5" s="427">
        <f t="shared" ref="X5:X22" si="8">D5+H5</f>
        <v>1.095148070396747E-3</v>
      </c>
      <c r="Y5" s="427">
        <f t="shared" ref="Y5:Y22" si="9">E5+I5</f>
        <v>1.095148070396747E-3</v>
      </c>
      <c r="Z5" s="428">
        <f t="shared" ref="Z5:Z22" si="10">F5+J5</f>
        <v>1.095148070396747E-3</v>
      </c>
    </row>
    <row r="6" spans="2:26">
      <c r="B6" s="458">
        <v>2021</v>
      </c>
      <c r="C6" s="517">
        <f>'Voluntary Costs'!L253</f>
        <v>6.3750795074200102E-4</v>
      </c>
      <c r="D6" s="180">
        <f>'Voluntary Costs'!U253</f>
        <v>6.4603463534736096E-4</v>
      </c>
      <c r="E6" s="180">
        <f>'Voluntary Costs'!AD253</f>
        <v>6.5191337239421004E-4</v>
      </c>
      <c r="F6" s="465">
        <f>'Voluntary Costs'!AN253</f>
        <v>6.3188922636934054E-4</v>
      </c>
      <c r="G6" s="180">
        <f>'Involuntary Costs'!J157</f>
        <v>4.565425836553943E-4</v>
      </c>
      <c r="H6" s="180">
        <f>'Involuntary Costs'!$R157</f>
        <v>4.634691307634967E-4</v>
      </c>
      <c r="I6" s="180">
        <f>'Involuntary Costs'!$Z157</f>
        <v>4.7018482520021552E-4</v>
      </c>
      <c r="J6" s="429">
        <f>'Involuntary Costs'!$AH157</f>
        <v>4.582643888086121E-4</v>
      </c>
      <c r="K6" s="180">
        <v>4.5713937447481684E-4</v>
      </c>
      <c r="L6" s="180">
        <v>4.6414478123226751E-4</v>
      </c>
      <c r="M6" s="180">
        <v>4.7104501442047118E-4</v>
      </c>
      <c r="N6" s="180">
        <v>4.57837291921247E-4</v>
      </c>
      <c r="O6" s="436">
        <f t="shared" ref="O6:O22" si="11">K6-(C6+G6)</f>
        <v>-6.3691115992257842E-4</v>
      </c>
      <c r="P6" s="64">
        <f>L6-(D6+H6)</f>
        <v>-6.453589848785901E-4</v>
      </c>
      <c r="Q6" s="64">
        <f t="shared" si="1"/>
        <v>-6.5105318317395448E-4</v>
      </c>
      <c r="R6" s="64">
        <f t="shared" si="2"/>
        <v>-6.3231632325670565E-4</v>
      </c>
      <c r="S6" s="436">
        <f>K6-G6</f>
        <v>5.9679081942253962E-7</v>
      </c>
      <c r="T6" s="64">
        <f>L6-H6</f>
        <v>6.7565046877080892E-7</v>
      </c>
      <c r="U6" s="64">
        <f t="shared" si="5"/>
        <v>8.6018922025566345E-7</v>
      </c>
      <c r="V6" s="64">
        <f t="shared" si="6"/>
        <v>-4.2709688736510248E-7</v>
      </c>
      <c r="W6" s="442">
        <f t="shared" si="7"/>
        <v>1.0940505343973953E-3</v>
      </c>
      <c r="X6" s="180">
        <f t="shared" si="8"/>
        <v>1.1095037661108577E-3</v>
      </c>
      <c r="Y6" s="180">
        <f t="shared" si="9"/>
        <v>1.1220981975944256E-3</v>
      </c>
      <c r="Z6" s="429">
        <f t="shared" si="10"/>
        <v>1.0901536151779526E-3</v>
      </c>
    </row>
    <row r="7" spans="2:26">
      <c r="B7" s="458">
        <v>2022</v>
      </c>
      <c r="C7" s="517">
        <f>'Voluntary Costs'!L254</f>
        <v>6.3398464337517191E-4</v>
      </c>
      <c r="D7" s="180">
        <f>'Voluntary Costs'!U254</f>
        <v>6.5047126812307367E-4</v>
      </c>
      <c r="E7" s="180">
        <f>'Voluntary Costs'!AD254</f>
        <v>6.6206158555560555E-4</v>
      </c>
      <c r="F7" s="465">
        <f>'Voluntary Costs'!AN254</f>
        <v>6.2345416559783195E-4</v>
      </c>
      <c r="G7" s="180">
        <f>'Involuntary Costs'!J158</f>
        <v>4.6155597037520596E-4</v>
      </c>
      <c r="H7" s="180">
        <f>'Involuntary Costs'!$R158</f>
        <v>4.752000935990228E-4</v>
      </c>
      <c r="I7" s="180">
        <f>'Involuntary Costs'!$Z158</f>
        <v>4.8877608836022616E-4</v>
      </c>
      <c r="J7" s="429">
        <f>'Involuntary Costs'!$AH158</f>
        <v>4.6540388090548558E-4</v>
      </c>
      <c r="K7" s="180">
        <v>4.6271530162678539E-4</v>
      </c>
      <c r="L7" s="180">
        <v>4.7650775000604364E-4</v>
      </c>
      <c r="M7" s="180">
        <v>4.9044076526590303E-4</v>
      </c>
      <c r="N7" s="180">
        <v>4.6390938865386585E-4</v>
      </c>
      <c r="O7" s="436">
        <f t="shared" si="11"/>
        <v>-6.3282531212359243E-4</v>
      </c>
      <c r="P7" s="64">
        <f t="shared" si="0"/>
        <v>-6.4916361171605283E-4</v>
      </c>
      <c r="Q7" s="64">
        <f t="shared" si="1"/>
        <v>-6.6039690864992857E-4</v>
      </c>
      <c r="R7" s="64">
        <f t="shared" si="2"/>
        <v>-6.2494865784945173E-4</v>
      </c>
      <c r="S7" s="436">
        <f t="shared" si="3"/>
        <v>1.1593312515794231E-6</v>
      </c>
      <c r="T7" s="64">
        <f t="shared" si="4"/>
        <v>1.3076564070208397E-6</v>
      </c>
      <c r="U7" s="64">
        <f t="shared" si="5"/>
        <v>1.6646769056768724E-6</v>
      </c>
      <c r="V7" s="64">
        <f t="shared" si="6"/>
        <v>-1.4944922516197247E-6</v>
      </c>
      <c r="W7" s="442">
        <f t="shared" si="7"/>
        <v>1.0955406137503779E-3</v>
      </c>
      <c r="X7" s="180">
        <f t="shared" si="8"/>
        <v>1.1256713617220965E-3</v>
      </c>
      <c r="Y7" s="180">
        <f>E7+I7</f>
        <v>1.1508376739158316E-3</v>
      </c>
      <c r="Z7" s="429">
        <f t="shared" si="10"/>
        <v>1.0888580465033175E-3</v>
      </c>
    </row>
    <row r="8" spans="2:26">
      <c r="B8" s="458">
        <v>2023</v>
      </c>
      <c r="C8" s="517">
        <f>'Voluntary Costs'!L255</f>
        <v>6.3175570137999804E-4</v>
      </c>
      <c r="D8" s="180">
        <f>'Voluntary Costs'!U255</f>
        <v>6.5573554190596439E-4</v>
      </c>
      <c r="E8" s="180">
        <f>'Voluntary Costs'!AD255</f>
        <v>6.7290479242926716E-4</v>
      </c>
      <c r="F8" s="465">
        <f>'Voluntary Costs'!AN255</f>
        <v>6.1687627674045665E-4</v>
      </c>
      <c r="G8" s="180">
        <f>'Involuntary Costs'!J159</f>
        <v>4.676464893652972E-4</v>
      </c>
      <c r="H8" s="180">
        <f>'Involuntary Costs'!$R159</f>
        <v>4.8785536763418274E-4</v>
      </c>
      <c r="I8" s="180">
        <f>'Involuntary Costs'!$Z159</f>
        <v>5.0847685429033617E-4</v>
      </c>
      <c r="J8" s="429">
        <f>'Involuntary Costs'!$AH159</f>
        <v>4.7399166225204985E-4</v>
      </c>
      <c r="K8" s="180">
        <v>4.6932874749253996E-4</v>
      </c>
      <c r="L8" s="180">
        <v>4.8976125132683913E-4</v>
      </c>
      <c r="M8" s="180">
        <v>5.1089643593663569E-4</v>
      </c>
      <c r="N8" s="180">
        <v>4.718827671220676E-4</v>
      </c>
      <c r="O8" s="436">
        <f t="shared" si="11"/>
        <v>-6.3007344325275523E-4</v>
      </c>
      <c r="P8" s="64">
        <f t="shared" si="0"/>
        <v>-6.5382965821330795E-4</v>
      </c>
      <c r="Q8" s="64">
        <f t="shared" si="1"/>
        <v>-6.7048521078296754E-4</v>
      </c>
      <c r="R8" s="64">
        <f t="shared" si="2"/>
        <v>-6.1898517187043895E-4</v>
      </c>
      <c r="S8" s="436">
        <f t="shared" si="3"/>
        <v>1.6822581272427539E-6</v>
      </c>
      <c r="T8" s="64">
        <f t="shared" si="4"/>
        <v>1.9058836926563933E-6</v>
      </c>
      <c r="U8" s="64">
        <f t="shared" si="5"/>
        <v>2.4195816462995162E-6</v>
      </c>
      <c r="V8" s="64">
        <f t="shared" si="6"/>
        <v>-2.1088951299822497E-6</v>
      </c>
      <c r="W8" s="442">
        <f t="shared" si="7"/>
        <v>1.0994021907452952E-3</v>
      </c>
      <c r="X8" s="180">
        <f t="shared" si="8"/>
        <v>1.1435909095401471E-3</v>
      </c>
      <c r="Y8" s="180">
        <f t="shared" si="9"/>
        <v>1.1813816467196032E-3</v>
      </c>
      <c r="Z8" s="429">
        <f t="shared" si="10"/>
        <v>1.0908679389925065E-3</v>
      </c>
    </row>
    <row r="9" spans="2:26">
      <c r="B9" s="458">
        <v>2024</v>
      </c>
      <c r="C9" s="517">
        <f>'Voluntary Costs'!L256</f>
        <v>6.3069686424277016E-4</v>
      </c>
      <c r="D9" s="180">
        <f>'Voluntary Costs'!U256</f>
        <v>6.6178545218106583E-4</v>
      </c>
      <c r="E9" s="180">
        <f>'Voluntary Costs'!AD256</f>
        <v>6.8443029503977547E-4</v>
      </c>
      <c r="F9" s="465">
        <f>'Voluntary Costs'!AN256</f>
        <v>6.1192015514451796E-4</v>
      </c>
      <c r="G9" s="180">
        <f>'Involuntary Costs'!J160</f>
        <v>4.7475772889318959E-4</v>
      </c>
      <c r="H9" s="180">
        <f>'Involuntary Costs'!$R160</f>
        <v>5.0143147293029984E-4</v>
      </c>
      <c r="I9" s="180">
        <f>'Involuntary Costs'!$Z160</f>
        <v>5.2933170488984741E-4</v>
      </c>
      <c r="J9" s="429">
        <f>'Involuntary Costs'!$AH160</f>
        <v>4.8394160414620143E-4</v>
      </c>
      <c r="K9" s="180">
        <v>4.7692600012466056E-4</v>
      </c>
      <c r="L9" s="180">
        <v>5.0391160148161962E-4</v>
      </c>
      <c r="M9" s="180">
        <v>5.3245299304156542E-4</v>
      </c>
      <c r="N9" s="180">
        <v>4.8165738520853854E-4</v>
      </c>
      <c r="O9" s="436">
        <f t="shared" si="11"/>
        <v>-6.2852859301129908E-4</v>
      </c>
      <c r="P9" s="64">
        <f t="shared" si="0"/>
        <v>-6.5930532362974605E-4</v>
      </c>
      <c r="Q9" s="64">
        <f t="shared" si="1"/>
        <v>-6.8130900688805746E-4</v>
      </c>
      <c r="R9" s="64">
        <f t="shared" si="2"/>
        <v>-6.1420437408218074E-4</v>
      </c>
      <c r="S9" s="436">
        <f t="shared" si="3"/>
        <v>2.1682712314709685E-6</v>
      </c>
      <c r="T9" s="64">
        <f t="shared" si="4"/>
        <v>2.4801285513197796E-6</v>
      </c>
      <c r="U9" s="64">
        <f t="shared" si="5"/>
        <v>3.1212881517180078E-6</v>
      </c>
      <c r="V9" s="64">
        <f t="shared" si="6"/>
        <v>-2.2842189376628876E-6</v>
      </c>
      <c r="W9" s="442">
        <f>C9+G9</f>
        <v>1.1054545931359597E-3</v>
      </c>
      <c r="X9" s="180">
        <f t="shared" si="8"/>
        <v>1.1632169251113657E-3</v>
      </c>
      <c r="Y9" s="180">
        <f t="shared" si="9"/>
        <v>1.2137619999296229E-3</v>
      </c>
      <c r="Z9" s="429">
        <f t="shared" si="10"/>
        <v>1.0958617592907193E-3</v>
      </c>
    </row>
    <row r="10" spans="2:26">
      <c r="B10" s="458">
        <v>2025</v>
      </c>
      <c r="C10" s="517">
        <f>'Voluntary Costs'!L257</f>
        <v>6.3070544778734427E-4</v>
      </c>
      <c r="D10" s="180">
        <f>'Voluntary Costs'!U257</f>
        <v>6.6858672819384028E-4</v>
      </c>
      <c r="E10" s="180">
        <f>'Voluntary Costs'!AD257</f>
        <v>6.9662900551513212E-4</v>
      </c>
      <c r="F10" s="465">
        <f>'Voluntary Costs'!AN257</f>
        <v>6.0839627040954792E-4</v>
      </c>
      <c r="G10" s="180">
        <f>'Involuntary Costs'!J161</f>
        <v>4.8283815188477724E-4</v>
      </c>
      <c r="H10" s="180">
        <f>'Involuntary Costs'!$R161</f>
        <v>5.1595850251712129E-4</v>
      </c>
      <c r="I10" s="180">
        <f>'Involuntary Costs'!$Z161</f>
        <v>5.5139905143270992E-4</v>
      </c>
      <c r="J10" s="429">
        <f>'Involuntary Costs'!$AH161</f>
        <v>4.9520885044323766E-4</v>
      </c>
      <c r="K10" s="180">
        <v>4.8546657271040714E-4</v>
      </c>
      <c r="L10" s="180">
        <v>5.1896963413001779E-4</v>
      </c>
      <c r="M10" s="180">
        <v>5.5515431383035686E-4</v>
      </c>
      <c r="N10" s="180">
        <v>4.9316834788548452E-4</v>
      </c>
      <c r="O10" s="436">
        <f t="shared" si="11"/>
        <v>-6.2807702696171433E-4</v>
      </c>
      <c r="P10" s="64">
        <f t="shared" si="0"/>
        <v>-6.6557559658094378E-4</v>
      </c>
      <c r="Q10" s="64">
        <f t="shared" si="1"/>
        <v>-6.9287374311748518E-4</v>
      </c>
      <c r="R10" s="64">
        <f t="shared" si="2"/>
        <v>-6.1043677296730107E-4</v>
      </c>
      <c r="S10" s="436">
        <f t="shared" si="3"/>
        <v>2.6284208256298932E-6</v>
      </c>
      <c r="T10" s="64">
        <f t="shared" si="4"/>
        <v>3.0111316128965003E-6</v>
      </c>
      <c r="U10" s="64">
        <f t="shared" si="5"/>
        <v>3.7552623976469393E-6</v>
      </c>
      <c r="V10" s="64">
        <f t="shared" si="6"/>
        <v>-2.0405025577531445E-6</v>
      </c>
      <c r="W10" s="442">
        <f t="shared" si="7"/>
        <v>1.1135435996721215E-3</v>
      </c>
      <c r="X10" s="180">
        <f t="shared" si="8"/>
        <v>1.1845452307109616E-3</v>
      </c>
      <c r="Y10" s="180">
        <f t="shared" si="9"/>
        <v>1.248028056947842E-3</v>
      </c>
      <c r="Z10" s="429">
        <f t="shared" si="10"/>
        <v>1.1036051208527856E-3</v>
      </c>
    </row>
    <row r="11" spans="2:26">
      <c r="B11" s="458">
        <v>2026</v>
      </c>
      <c r="C11" s="517">
        <f>'Voluntary Costs'!L258</f>
        <v>6.3169617810310968E-4</v>
      </c>
      <c r="D11" s="180">
        <f>'Voluntary Costs'!U258</f>
        <v>6.7611160439016874E-4</v>
      </c>
      <c r="E11" s="180">
        <f>'Voluntary Costs'!AD258</f>
        <v>7.0949506202262584E-4</v>
      </c>
      <c r="F11" s="465">
        <f>'Voluntary Costs'!AN258</f>
        <v>6.061506483826984E-4</v>
      </c>
      <c r="G11" s="180">
        <f>'Involuntary Costs'!J162</f>
        <v>4.9186585195276004E-4</v>
      </c>
      <c r="H11" s="180">
        <f>'Involuntary Costs'!$R162</f>
        <v>5.3145260061681786E-4</v>
      </c>
      <c r="I11" s="180">
        <f>'Involuntary Costs'!$Z162</f>
        <v>5.7473149889575585E-4</v>
      </c>
      <c r="J11" s="429">
        <f>'Involuntary Costs'!$AH162</f>
        <v>5.0774884381848159E-4</v>
      </c>
      <c r="K11" s="180">
        <v>4.9492075000189201E-4</v>
      </c>
      <c r="L11" s="180">
        <v>5.3495022890580031E-4</v>
      </c>
      <c r="M11" s="180">
        <v>5.7904718722577369E-4</v>
      </c>
      <c r="N11" s="180">
        <v>5.0637894998547216E-4</v>
      </c>
      <c r="O11" s="436">
        <f t="shared" si="11"/>
        <v>-6.2864128005397772E-4</v>
      </c>
      <c r="P11" s="64">
        <f t="shared" si="0"/>
        <v>-6.7261397610118628E-4</v>
      </c>
      <c r="Q11" s="64">
        <f t="shared" si="1"/>
        <v>-7.05179373692608E-4</v>
      </c>
      <c r="R11" s="64">
        <f t="shared" si="2"/>
        <v>-6.0752054221570784E-4</v>
      </c>
      <c r="S11" s="436">
        <f t="shared" si="3"/>
        <v>3.0548980491319679E-6</v>
      </c>
      <c r="T11" s="64">
        <f t="shared" si="4"/>
        <v>3.497628288982456E-6</v>
      </c>
      <c r="U11" s="64">
        <f t="shared" si="5"/>
        <v>4.3156883300178367E-6</v>
      </c>
      <c r="V11" s="64">
        <f t="shared" si="6"/>
        <v>-1.3698938330094319E-6</v>
      </c>
      <c r="W11" s="442">
        <f t="shared" si="7"/>
        <v>1.1235620300558697E-3</v>
      </c>
      <c r="X11" s="180">
        <f t="shared" si="8"/>
        <v>1.2075642050069866E-3</v>
      </c>
      <c r="Y11" s="180">
        <f t="shared" si="9"/>
        <v>1.2842265609183817E-3</v>
      </c>
      <c r="Z11" s="429">
        <f>F11+J11</f>
        <v>1.11389949220118E-3</v>
      </c>
    </row>
    <row r="12" spans="2:26">
      <c r="B12" s="458">
        <v>2027</v>
      </c>
      <c r="C12" s="517">
        <f>'Voluntary Costs'!L259</f>
        <v>6.3359797392413748E-4</v>
      </c>
      <c r="D12" s="180">
        <f>'Voluntary Costs'!U259</f>
        <v>6.8433783194165958E-4</v>
      </c>
      <c r="E12" s="180">
        <f>'Voluntary Costs'!AD259</f>
        <v>7.2302550468482472E-4</v>
      </c>
      <c r="F12" s="465">
        <f>'Voluntary Costs'!AN259</f>
        <v>6.0505724097543556E-4</v>
      </c>
      <c r="G12" s="180">
        <f>'Involuntary Costs'!J163</f>
        <v>5.0181001437098974E-4</v>
      </c>
      <c r="H12" s="180">
        <f>'Involuntary Costs'!$R163</f>
        <v>5.4791393603593249E-4</v>
      </c>
      <c r="I12" s="180">
        <f>'Involuntary Costs'!$Z163</f>
        <v>5.9936374100708816E-4</v>
      </c>
      <c r="J12" s="429">
        <f>'Involuntary Costs'!$AH163</f>
        <v>5.2155018009017776E-4</v>
      </c>
      <c r="K12" s="180">
        <v>5.0526771432358791E-4</v>
      </c>
      <c r="L12" s="180">
        <v>5.5187194419460521E-4</v>
      </c>
      <c r="M12" s="180">
        <v>6.0418133571348562E-4</v>
      </c>
      <c r="N12" s="180">
        <v>5.2127566472573688E-4</v>
      </c>
      <c r="O12" s="436">
        <f>K12-(C12+G12)</f>
        <v>-6.3014027397153942E-4</v>
      </c>
      <c r="P12" s="64">
        <f t="shared" si="0"/>
        <v>-6.8037982378298687E-4</v>
      </c>
      <c r="Q12" s="64">
        <f t="shared" si="1"/>
        <v>-7.1820790997842714E-4</v>
      </c>
      <c r="R12" s="64">
        <f t="shared" si="2"/>
        <v>-6.0533175633987644E-4</v>
      </c>
      <c r="S12" s="436">
        <f t="shared" si="3"/>
        <v>3.4576999525981651E-6</v>
      </c>
      <c r="T12" s="64">
        <f t="shared" si="4"/>
        <v>3.9580081586727172E-6</v>
      </c>
      <c r="U12" s="64">
        <f t="shared" si="5"/>
        <v>4.817594706397468E-6</v>
      </c>
      <c r="V12" s="64">
        <f t="shared" si="6"/>
        <v>-2.7451536444087887E-7</v>
      </c>
      <c r="W12" s="442">
        <f t="shared" si="7"/>
        <v>1.1354079882951273E-3</v>
      </c>
      <c r="X12" s="180">
        <f t="shared" si="8"/>
        <v>1.2322517679775921E-3</v>
      </c>
      <c r="Y12" s="180">
        <f t="shared" si="9"/>
        <v>1.3223892456919128E-3</v>
      </c>
      <c r="Z12" s="429">
        <f t="shared" si="10"/>
        <v>1.1266074210656133E-3</v>
      </c>
    </row>
    <row r="13" spans="2:26">
      <c r="B13" s="458">
        <v>2028</v>
      </c>
      <c r="C13" s="517">
        <f>'Voluntary Costs'!L260</f>
        <v>6.3635143431389611E-4</v>
      </c>
      <c r="D13" s="180">
        <f>'Voluntary Costs'!U260</f>
        <v>6.9324787841731038E-4</v>
      </c>
      <c r="E13" s="180">
        <f>'Voluntary Costs'!AD260</f>
        <v>7.372200003877169E-4</v>
      </c>
      <c r="F13" s="465">
        <f>'Voluntary Costs'!AN260</f>
        <v>6.0501220032367273E-4</v>
      </c>
      <c r="G13" s="180">
        <f>'Involuntary Costs'!J164</f>
        <v>5.1266623906699314E-4</v>
      </c>
      <c r="H13" s="180">
        <f>'Involuntary Costs'!$R164</f>
        <v>5.6538614430062535E-4</v>
      </c>
      <c r="I13" s="180">
        <f>'Involuntary Costs'!$Z164</f>
        <v>6.2537627098769081E-4</v>
      </c>
      <c r="J13" s="429">
        <f>'Involuntary Costs'!$AH164</f>
        <v>5.3659535490150788E-4</v>
      </c>
      <c r="K13" s="180">
        <v>5.1649410049679951E-4</v>
      </c>
      <c r="L13" s="180">
        <v>5.6975673212765921E-4</v>
      </c>
      <c r="M13" s="180">
        <v>6.3060945525880707E-4</v>
      </c>
      <c r="N13" s="180">
        <v>5.3786451037421445E-4</v>
      </c>
      <c r="O13" s="436">
        <f t="shared" si="11"/>
        <v>-6.3252357288408974E-4</v>
      </c>
      <c r="P13" s="64">
        <f t="shared" si="0"/>
        <v>-6.8887729059027663E-4</v>
      </c>
      <c r="Q13" s="64">
        <f t="shared" si="1"/>
        <v>-7.3198681611660052E-4</v>
      </c>
      <c r="R13" s="64">
        <f t="shared" si="2"/>
        <v>-6.0374304485096627E-4</v>
      </c>
      <c r="S13" s="436">
        <f t="shared" si="3"/>
        <v>3.8278614298063686E-6</v>
      </c>
      <c r="T13" s="64">
        <f t="shared" si="4"/>
        <v>4.370587827033862E-6</v>
      </c>
      <c r="U13" s="64">
        <f t="shared" si="5"/>
        <v>5.233184271116265E-6</v>
      </c>
      <c r="V13" s="64">
        <f t="shared" si="6"/>
        <v>1.2691554727065719E-6</v>
      </c>
      <c r="W13" s="442">
        <f t="shared" si="7"/>
        <v>1.1490176733808893E-3</v>
      </c>
      <c r="X13" s="180">
        <f t="shared" si="8"/>
        <v>1.2586340227179358E-3</v>
      </c>
      <c r="Y13" s="180">
        <f t="shared" si="9"/>
        <v>1.3625962713754076E-3</v>
      </c>
      <c r="Z13" s="429">
        <f t="shared" si="10"/>
        <v>1.1416075552251807E-3</v>
      </c>
    </row>
    <row r="14" spans="2:26">
      <c r="B14" s="458">
        <v>2029</v>
      </c>
      <c r="C14" s="517">
        <f>'Voluntary Costs'!L261</f>
        <v>6.3990685748588404E-4</v>
      </c>
      <c r="D14" s="180">
        <f>'Voluntary Costs'!U261</f>
        <v>7.028282761080988E-4</v>
      </c>
      <c r="E14" s="180">
        <f>'Voluntary Costs'!AD261</f>
        <v>7.5208060790649914E-4</v>
      </c>
      <c r="F14" s="465">
        <f>'Voluntary Costs'!AN261</f>
        <v>6.0592952465142002E-4</v>
      </c>
      <c r="G14" s="180">
        <f>'Involuntary Costs'!J165</f>
        <v>5.2442774793350696E-4</v>
      </c>
      <c r="H14" s="180">
        <f>'Involuntary Costs'!$R165</f>
        <v>5.8388656428708878E-4</v>
      </c>
      <c r="I14" s="180">
        <f>'Involuntary Costs'!$Z165</f>
        <v>6.5283296051238816E-4</v>
      </c>
      <c r="J14" s="429">
        <f>'Involuntary Costs'!$AH165</f>
        <v>5.5289581416415187E-4</v>
      </c>
      <c r="K14" s="180">
        <v>5.285928723275221E-4</v>
      </c>
      <c r="L14" s="180">
        <v>5.8862971914718832E-4</v>
      </c>
      <c r="M14" s="180">
        <v>6.5838727105603035E-4</v>
      </c>
      <c r="N14" s="180">
        <v>5.5616841172119588E-4</v>
      </c>
      <c r="O14" s="436">
        <f t="shared" si="11"/>
        <v>-6.3574173309186889E-4</v>
      </c>
      <c r="P14" s="64">
        <f t="shared" si="0"/>
        <v>-6.9808512124799914E-4</v>
      </c>
      <c r="Q14" s="64">
        <f t="shared" si="1"/>
        <v>-7.4652629736285695E-4</v>
      </c>
      <c r="R14" s="64">
        <f t="shared" si="2"/>
        <v>-6.0265692709437612E-4</v>
      </c>
      <c r="S14" s="436">
        <f t="shared" si="3"/>
        <v>4.165124394015147E-6</v>
      </c>
      <c r="T14" s="64">
        <f t="shared" si="4"/>
        <v>4.7431548600995483E-6</v>
      </c>
      <c r="U14" s="64">
        <f t="shared" si="5"/>
        <v>5.5543105436421875E-6</v>
      </c>
      <c r="V14" s="64">
        <f t="shared" si="6"/>
        <v>3.2725975570440128E-6</v>
      </c>
      <c r="W14" s="442">
        <f t="shared" si="7"/>
        <v>1.164334605419391E-3</v>
      </c>
      <c r="X14" s="180">
        <f t="shared" si="8"/>
        <v>1.2867148403951875E-3</v>
      </c>
      <c r="Y14" s="180">
        <f t="shared" si="9"/>
        <v>1.4049135684188873E-3</v>
      </c>
      <c r="Z14" s="429">
        <f t="shared" si="10"/>
        <v>1.158825338815572E-3</v>
      </c>
    </row>
    <row r="15" spans="2:26">
      <c r="B15" s="458">
        <v>2030</v>
      </c>
      <c r="C15" s="517">
        <f>'Voluntary Costs'!L262</f>
        <v>6.4422266425314268E-4</v>
      </c>
      <c r="D15" s="180">
        <f>'Voluntary Costs'!U262</f>
        <v>7.1306908869912193E-4</v>
      </c>
      <c r="E15" s="180">
        <f>'Voluntary Costs'!AD262</f>
        <v>7.6761157667540629E-4</v>
      </c>
      <c r="F15" s="465">
        <f>'Voluntary Costs'!AN262</f>
        <v>6.0773770711629305E-4</v>
      </c>
      <c r="G15" s="180">
        <f>'Involuntary Costs'!J166</f>
        <v>5.3708393965822975E-4</v>
      </c>
      <c r="H15" s="180">
        <f>'Involuntary Costs'!$R166</f>
        <v>6.0343511346100116E-4</v>
      </c>
      <c r="I15" s="180">
        <f>'Involuntary Costs'!$Z166</f>
        <v>6.8177806573863943E-4</v>
      </c>
      <c r="J15" s="429">
        <f>'Involuntary Costs'!$AH166</f>
        <v>5.7045305268852515E-4</v>
      </c>
      <c r="K15" s="180">
        <v>5.4156244309965201E-4</v>
      </c>
      <c r="L15" s="180">
        <v>6.0851903941941149E-4</v>
      </c>
      <c r="M15" s="180">
        <v>6.8757360741025168E-4</v>
      </c>
      <c r="N15" s="180">
        <v>5.7521634607555756E-4</v>
      </c>
      <c r="O15" s="436">
        <f t="shared" si="11"/>
        <v>-6.3974416081172031E-4</v>
      </c>
      <c r="P15" s="64">
        <f t="shared" si="0"/>
        <v>-7.0798516274071159E-4</v>
      </c>
      <c r="Q15" s="64">
        <f t="shared" si="1"/>
        <v>-7.6181603500379404E-4</v>
      </c>
      <c r="R15" s="64">
        <f t="shared" si="2"/>
        <v>-6.0297441372926064E-4</v>
      </c>
      <c r="S15" s="436">
        <f t="shared" si="3"/>
        <v>4.4785034414222651E-6</v>
      </c>
      <c r="T15" s="64">
        <f t="shared" si="4"/>
        <v>5.083925958410335E-6</v>
      </c>
      <c r="U15" s="64">
        <f t="shared" si="5"/>
        <v>5.7955416716122489E-6</v>
      </c>
      <c r="V15" s="64">
        <f t="shared" si="6"/>
        <v>4.7632933870324096E-6</v>
      </c>
      <c r="W15" s="442">
        <f t="shared" si="7"/>
        <v>1.1813066039113723E-3</v>
      </c>
      <c r="X15" s="180">
        <f t="shared" si="8"/>
        <v>1.3165042021601231E-3</v>
      </c>
      <c r="Y15" s="180">
        <f t="shared" si="9"/>
        <v>1.4493896424140457E-3</v>
      </c>
      <c r="Z15" s="429">
        <f t="shared" si="10"/>
        <v>1.1781907598048182E-3</v>
      </c>
    </row>
    <row r="16" spans="2:26">
      <c r="B16" s="458">
        <v>2040</v>
      </c>
      <c r="C16" s="517">
        <f>'Voluntary Costs'!L263</f>
        <v>0</v>
      </c>
      <c r="D16" s="180">
        <f>'Voluntary Costs'!U263</f>
        <v>0</v>
      </c>
      <c r="E16" s="180">
        <f>'Voluntary Costs'!AD263</f>
        <v>0</v>
      </c>
      <c r="F16" s="465">
        <f>'Voluntary Costs'!AN263</f>
        <v>0</v>
      </c>
      <c r="G16" s="180">
        <f>'Involuntary Costs'!J167</f>
        <v>6.366344719487499E-4</v>
      </c>
      <c r="H16" s="180">
        <f>'Involuntary Costs'!$R167</f>
        <v>8.5562906991475108E-4</v>
      </c>
      <c r="I16" s="180">
        <f>'Involuntary Costs'!$Z167</f>
        <v>1.1414822929460746E-3</v>
      </c>
      <c r="J16" s="429">
        <f>'Involuntary Costs'!$AH167</f>
        <v>7.8930931054346787E-4</v>
      </c>
      <c r="K16" s="180">
        <v>6.4259292950724287E-4</v>
      </c>
      <c r="L16" s="180">
        <v>8.6380728522671613E-4</v>
      </c>
      <c r="M16" s="180">
        <v>1.1617727995050337E-3</v>
      </c>
      <c r="N16" s="180">
        <v>8.0281542313826132E-4</v>
      </c>
      <c r="O16" s="436">
        <f t="shared" si="11"/>
        <v>5.9584575584929658E-6</v>
      </c>
      <c r="P16" s="64">
        <f t="shared" si="0"/>
        <v>8.1782153119650501E-6</v>
      </c>
      <c r="Q16" s="64">
        <f t="shared" si="1"/>
        <v>2.0290506558959124E-5</v>
      </c>
      <c r="R16" s="64">
        <f t="shared" si="2"/>
        <v>1.350611259479345E-5</v>
      </c>
      <c r="S16" s="436">
        <f t="shared" si="3"/>
        <v>5.9584575584929658E-6</v>
      </c>
      <c r="T16" s="64">
        <f t="shared" si="4"/>
        <v>8.1782153119650501E-6</v>
      </c>
      <c r="U16" s="64">
        <f t="shared" si="5"/>
        <v>2.0290506558959124E-5</v>
      </c>
      <c r="V16" s="64">
        <f>N16-J16</f>
        <v>1.350611259479345E-5</v>
      </c>
      <c r="W16" s="442">
        <f t="shared" si="7"/>
        <v>6.366344719487499E-4</v>
      </c>
      <c r="X16" s="180">
        <f t="shared" si="8"/>
        <v>8.5562906991475108E-4</v>
      </c>
      <c r="Y16" s="180">
        <f t="shared" si="9"/>
        <v>1.1414822929460746E-3</v>
      </c>
      <c r="Z16" s="429">
        <f t="shared" si="10"/>
        <v>7.8930931054346787E-4</v>
      </c>
    </row>
    <row r="17" spans="2:26">
      <c r="B17" s="458">
        <v>2050</v>
      </c>
      <c r="C17" s="517">
        <f>'Voluntary Costs'!L264</f>
        <v>0</v>
      </c>
      <c r="D17" s="180">
        <f>'Voluntary Costs'!U264</f>
        <v>0</v>
      </c>
      <c r="E17" s="180">
        <f>'Voluntary Costs'!AD264</f>
        <v>0</v>
      </c>
      <c r="F17" s="465">
        <f>'Voluntary Costs'!AN264</f>
        <v>0</v>
      </c>
      <c r="G17" s="180">
        <f>'Involuntary Costs'!J168</f>
        <v>7.653271475424546E-4</v>
      </c>
      <c r="H17" s="180">
        <f>'Involuntary Costs'!$R168</f>
        <v>1.2075327981932262E-3</v>
      </c>
      <c r="I17" s="180">
        <f>'Involuntary Costs'!$Z168</f>
        <v>1.9653920214987922E-3</v>
      </c>
      <c r="J17" s="429">
        <f>'Involuntary Costs'!$AH168</f>
        <v>1.2949906495162596E-3</v>
      </c>
      <c r="K17" s="180">
        <v>7.7254968595196676E-4</v>
      </c>
      <c r="L17" s="180">
        <v>1.2193148580915845E-3</v>
      </c>
      <c r="M17" s="180">
        <v>2.001563324298444E-3</v>
      </c>
      <c r="N17" s="180">
        <v>1.3173870879053735E-3</v>
      </c>
      <c r="O17" s="436">
        <f t="shared" si="11"/>
        <v>7.2225384095121574E-6</v>
      </c>
      <c r="P17" s="64">
        <f t="shared" si="0"/>
        <v>1.1782059898358304E-5</v>
      </c>
      <c r="Q17" s="64">
        <f t="shared" si="1"/>
        <v>3.6171302799651878E-5</v>
      </c>
      <c r="R17" s="64">
        <f t="shared" si="2"/>
        <v>2.2396438389113904E-5</v>
      </c>
      <c r="S17" s="436">
        <f t="shared" si="3"/>
        <v>7.2225384095121574E-6</v>
      </c>
      <c r="T17" s="64">
        <f t="shared" si="4"/>
        <v>1.1782059898358304E-5</v>
      </c>
      <c r="U17" s="64">
        <f t="shared" si="5"/>
        <v>3.6171302799651878E-5</v>
      </c>
      <c r="V17" s="64">
        <f t="shared" si="6"/>
        <v>2.2396438389113904E-5</v>
      </c>
      <c r="W17" s="442">
        <f t="shared" si="7"/>
        <v>7.653271475424546E-4</v>
      </c>
      <c r="X17" s="180">
        <f t="shared" si="8"/>
        <v>1.2075327981932262E-3</v>
      </c>
      <c r="Y17" s="180">
        <f t="shared" si="9"/>
        <v>1.9653920214987922E-3</v>
      </c>
      <c r="Z17" s="429">
        <f t="shared" si="10"/>
        <v>1.2949906495162596E-3</v>
      </c>
    </row>
    <row r="18" spans="2:26">
      <c r="B18" s="458">
        <v>2060</v>
      </c>
      <c r="C18" s="517">
        <f>'Voluntary Costs'!L265</f>
        <v>0</v>
      </c>
      <c r="D18" s="180">
        <f>'Voluntary Costs'!U265</f>
        <v>0</v>
      </c>
      <c r="E18" s="180">
        <f>'Voluntary Costs'!AD265</f>
        <v>0</v>
      </c>
      <c r="F18" s="465">
        <f>'Voluntary Costs'!AN265</f>
        <v>0</v>
      </c>
      <c r="G18" s="180">
        <f>'Involuntary Costs'!J169</f>
        <v>9.1986122290539218E-4</v>
      </c>
      <c r="H18" s="180">
        <f>'Involuntary Costs'!$R169</f>
        <v>1.6392008477798014E-3</v>
      </c>
      <c r="I18" s="180">
        <f>'Involuntary Costs'!$Z169</f>
        <v>3.4102534710548564E-3</v>
      </c>
      <c r="J18" s="429">
        <f>'Involuntary Costs'!$AH169</f>
        <v>2.3782699234496441E-3</v>
      </c>
      <c r="K18" s="180">
        <v>9.2852178024727561E-4</v>
      </c>
      <c r="L18" s="180">
        <v>1.6553690802219431E-3</v>
      </c>
      <c r="M18" s="180">
        <v>3.474757427446021E-3</v>
      </c>
      <c r="N18" s="180">
        <v>2.4194252809125803E-3</v>
      </c>
      <c r="O18" s="436">
        <f t="shared" si="11"/>
        <v>8.6605573418834349E-6</v>
      </c>
      <c r="P18" s="64">
        <f t="shared" si="0"/>
        <v>1.6168232442141705E-5</v>
      </c>
      <c r="Q18" s="64">
        <f t="shared" si="1"/>
        <v>6.4503956391164657E-5</v>
      </c>
      <c r="R18" s="64">
        <f t="shared" si="2"/>
        <v>4.1155357462936172E-5</v>
      </c>
      <c r="S18" s="436">
        <f t="shared" si="3"/>
        <v>8.6605573418834349E-6</v>
      </c>
      <c r="T18" s="64">
        <f t="shared" si="4"/>
        <v>1.6168232442141705E-5</v>
      </c>
      <c r="U18" s="64">
        <f t="shared" si="5"/>
        <v>6.4503956391164657E-5</v>
      </c>
      <c r="V18" s="64">
        <f t="shared" si="6"/>
        <v>4.1155357462936172E-5</v>
      </c>
      <c r="W18" s="442">
        <f t="shared" si="7"/>
        <v>9.1986122290539218E-4</v>
      </c>
      <c r="X18" s="180">
        <f t="shared" si="8"/>
        <v>1.6392008477798014E-3</v>
      </c>
      <c r="Y18" s="180">
        <f t="shared" si="9"/>
        <v>3.4102534710548564E-3</v>
      </c>
      <c r="Z18" s="429">
        <f t="shared" si="10"/>
        <v>2.3782699234496441E-3</v>
      </c>
    </row>
    <row r="19" spans="2:26">
      <c r="B19" s="458">
        <v>2070</v>
      </c>
      <c r="C19" s="517">
        <f>'Voluntary Costs'!L266</f>
        <v>0</v>
      </c>
      <c r="D19" s="180">
        <f>'Voluntary Costs'!U266</f>
        <v>0</v>
      </c>
      <c r="E19" s="180">
        <f>'Voluntary Costs'!AD266</f>
        <v>0</v>
      </c>
      <c r="F19" s="465">
        <f>'Voluntary Costs'!AN266</f>
        <v>0</v>
      </c>
      <c r="G19" s="180">
        <f>'Involuntary Costs'!J170</f>
        <v>1.0956272214758958E-3</v>
      </c>
      <c r="H19" s="180">
        <f>'Involuntary Costs'!$R170</f>
        <v>2.0949865734628732E-3</v>
      </c>
      <c r="I19" s="180">
        <f>'Involuntary Costs'!$Z170</f>
        <v>5.7957202613627412E-3</v>
      </c>
      <c r="J19" s="429">
        <f>'Involuntary Costs'!$AH170</f>
        <v>4.6825942873697122E-3</v>
      </c>
      <c r="K19" s="180">
        <v>1.1058259254820753E-3</v>
      </c>
      <c r="L19" s="180">
        <v>2.115733949424943E-3</v>
      </c>
      <c r="M19" s="180">
        <v>5.9078570760944839E-3</v>
      </c>
      <c r="N19" s="180">
        <v>4.7630078135169609E-3</v>
      </c>
      <c r="O19" s="436">
        <f t="shared" si="11"/>
        <v>1.0198704006179416E-5</v>
      </c>
      <c r="P19" s="64">
        <f t="shared" si="0"/>
        <v>2.0747375962069849E-5</v>
      </c>
      <c r="Q19" s="64">
        <f t="shared" si="1"/>
        <v>1.1213681473174267E-4</v>
      </c>
      <c r="R19" s="64">
        <f t="shared" si="2"/>
        <v>8.0413526147248698E-5</v>
      </c>
      <c r="S19" s="436">
        <f t="shared" si="3"/>
        <v>1.0198704006179416E-5</v>
      </c>
      <c r="T19" s="64">
        <f t="shared" si="4"/>
        <v>2.0747375962069849E-5</v>
      </c>
      <c r="U19" s="64">
        <f t="shared" si="5"/>
        <v>1.1213681473174267E-4</v>
      </c>
      <c r="V19" s="64">
        <f t="shared" si="6"/>
        <v>8.0413526147248698E-5</v>
      </c>
      <c r="W19" s="442">
        <f t="shared" si="7"/>
        <v>1.0956272214758958E-3</v>
      </c>
      <c r="X19" s="180">
        <f t="shared" si="8"/>
        <v>2.0949865734628732E-3</v>
      </c>
      <c r="Y19" s="180">
        <f t="shared" si="9"/>
        <v>5.7957202613627412E-3</v>
      </c>
      <c r="Z19" s="429">
        <f t="shared" si="10"/>
        <v>4.6825942873697122E-3</v>
      </c>
    </row>
    <row r="20" spans="2:26">
      <c r="B20" s="458">
        <v>2080</v>
      </c>
      <c r="C20" s="517">
        <f>'Voluntary Costs'!L267</f>
        <v>0</v>
      </c>
      <c r="D20" s="180">
        <f>'Voluntary Costs'!U267</f>
        <v>0</v>
      </c>
      <c r="E20" s="180">
        <f>'Voluntary Costs'!AD267</f>
        <v>0</v>
      </c>
      <c r="F20" s="465">
        <f>'Voluntary Costs'!AN267</f>
        <v>0</v>
      </c>
      <c r="G20" s="180">
        <f>'Involuntary Costs'!J171</f>
        <v>1.2905128455308415E-3</v>
      </c>
      <c r="H20" s="180">
        <f>'Involuntary Costs'!$R171</f>
        <v>2.5686702577871405E-3</v>
      </c>
      <c r="I20" s="180">
        <f>'Involuntary Costs'!$Z171</f>
        <v>9.4880859014924834E-3</v>
      </c>
      <c r="J20" s="429">
        <f>'Involuntary Costs'!$AH171</f>
        <v>9.6270911525340851E-3</v>
      </c>
      <c r="K20" s="180">
        <v>1.3022793602398017E-3</v>
      </c>
      <c r="L20" s="180">
        <v>2.5940448006300568E-3</v>
      </c>
      <c r="M20" s="180">
        <v>9.6752789973175695E-3</v>
      </c>
      <c r="N20" s="180">
        <v>9.7898174078141775E-3</v>
      </c>
      <c r="O20" s="436">
        <f t="shared" si="11"/>
        <v>1.1766514708960209E-5</v>
      </c>
      <c r="P20" s="64">
        <f t="shared" si="0"/>
        <v>2.5374542842916334E-5</v>
      </c>
      <c r="Q20" s="64">
        <f t="shared" si="1"/>
        <v>1.8719309582508614E-4</v>
      </c>
      <c r="R20" s="64">
        <f t="shared" si="2"/>
        <v>1.6272625528009239E-4</v>
      </c>
      <c r="S20" s="436">
        <f t="shared" si="3"/>
        <v>1.1766514708960209E-5</v>
      </c>
      <c r="T20" s="64">
        <f t="shared" si="4"/>
        <v>2.5374542842916334E-5</v>
      </c>
      <c r="U20" s="64">
        <f t="shared" si="5"/>
        <v>1.8719309582508614E-4</v>
      </c>
      <c r="V20" s="64">
        <f t="shared" si="6"/>
        <v>1.6272625528009239E-4</v>
      </c>
      <c r="W20" s="442">
        <f t="shared" si="7"/>
        <v>1.2905128455308415E-3</v>
      </c>
      <c r="X20" s="180">
        <f t="shared" si="8"/>
        <v>2.5686702577871405E-3</v>
      </c>
      <c r="Y20" s="180">
        <f t="shared" si="9"/>
        <v>9.4880859014924834E-3</v>
      </c>
      <c r="Z20" s="429">
        <f t="shared" si="10"/>
        <v>9.6270911525340851E-3</v>
      </c>
    </row>
    <row r="21" spans="2:26">
      <c r="B21" s="458">
        <v>2090</v>
      </c>
      <c r="C21" s="517">
        <f>'Voluntary Costs'!L268</f>
        <v>0</v>
      </c>
      <c r="D21" s="180">
        <f>'Voluntary Costs'!U268</f>
        <v>0</v>
      </c>
      <c r="E21" s="180">
        <f>'Voluntary Costs'!AD268</f>
        <v>0</v>
      </c>
      <c r="F21" s="465">
        <f>'Voluntary Costs'!AN268</f>
        <v>0</v>
      </c>
      <c r="G21" s="180">
        <f>'Involuntary Costs'!J172</f>
        <v>1.4920840668248355E-3</v>
      </c>
      <c r="H21" s="180">
        <f>'Involuntary Costs'!$R172</f>
        <v>3.0560185150672872E-3</v>
      </c>
      <c r="I21" s="180">
        <f>'Involuntary Costs'!$Z172</f>
        <v>1.507769774234672E-2</v>
      </c>
      <c r="J21" s="429">
        <f>'Involuntary Costs'!$AH172</f>
        <v>1.9660227169199615E-2</v>
      </c>
      <c r="K21" s="180">
        <v>1.5052719031060835E-3</v>
      </c>
      <c r="L21" s="180">
        <v>3.0859612171382548E-3</v>
      </c>
      <c r="M21" s="180">
        <v>1.5380530398596642E-2</v>
      </c>
      <c r="N21" s="180">
        <v>1.9984701735548061E-2</v>
      </c>
      <c r="O21" s="436">
        <f t="shared" si="11"/>
        <v>1.3187836281248035E-5</v>
      </c>
      <c r="P21" s="64">
        <f t="shared" si="0"/>
        <v>2.9942702070967584E-5</v>
      </c>
      <c r="Q21" s="64">
        <f t="shared" si="1"/>
        <v>3.0283265624992187E-4</v>
      </c>
      <c r="R21" s="64">
        <f t="shared" si="2"/>
        <v>3.2447456634844551E-4</v>
      </c>
      <c r="S21" s="436">
        <f t="shared" si="3"/>
        <v>1.3187836281248035E-5</v>
      </c>
      <c r="T21" s="64">
        <f t="shared" si="4"/>
        <v>2.9942702070967584E-5</v>
      </c>
      <c r="U21" s="64">
        <f t="shared" si="5"/>
        <v>3.0283265624992187E-4</v>
      </c>
      <c r="V21" s="64">
        <f t="shared" si="6"/>
        <v>3.2447456634844551E-4</v>
      </c>
      <c r="W21" s="442">
        <f t="shared" si="7"/>
        <v>1.4920840668248355E-3</v>
      </c>
      <c r="X21" s="180">
        <f t="shared" si="8"/>
        <v>3.0560185150672872E-3</v>
      </c>
      <c r="Y21" s="180">
        <f t="shared" si="9"/>
        <v>1.507769774234672E-2</v>
      </c>
      <c r="Z21" s="429">
        <f t="shared" si="10"/>
        <v>1.9660227169199615E-2</v>
      </c>
    </row>
    <row r="22" spans="2:26">
      <c r="B22" s="459">
        <v>2100</v>
      </c>
      <c r="C22" s="518">
        <f>'Voluntary Costs'!L269</f>
        <v>0</v>
      </c>
      <c r="D22" s="467">
        <f>'Voluntary Costs'!U269</f>
        <v>0</v>
      </c>
      <c r="E22" s="467">
        <f>'Voluntary Costs'!AD269</f>
        <v>0</v>
      </c>
      <c r="F22" s="468">
        <f>'Voluntary Costs'!AN269</f>
        <v>0</v>
      </c>
      <c r="G22" s="382">
        <f>'Involuntary Costs'!J173</f>
        <v>1.7498570524282909E-3</v>
      </c>
      <c r="H22" s="382">
        <f>'Involuntary Costs'!$R173</f>
        <v>3.5784371214134312E-3</v>
      </c>
      <c r="I22" s="382">
        <f>'Involuntary Costs'!$Z173</f>
        <v>2.3516705727014978E-2</v>
      </c>
      <c r="J22" s="430">
        <f>'Involuntary Costs'!$AH173</f>
        <v>3.8544339100115448E-2</v>
      </c>
      <c r="K22" s="382">
        <v>1.764700945123364E-3</v>
      </c>
      <c r="L22" s="382">
        <v>3.6130936419658758E-3</v>
      </c>
      <c r="M22" s="382">
        <v>2.3996848345542714E-2</v>
      </c>
      <c r="N22" s="382">
        <v>3.9160821736699554E-2</v>
      </c>
      <c r="O22" s="437">
        <f t="shared" si="11"/>
        <v>1.4843892695073089E-5</v>
      </c>
      <c r="P22" s="438">
        <f t="shared" si="0"/>
        <v>3.4656520552444562E-5</v>
      </c>
      <c r="Q22" s="438">
        <f t="shared" si="1"/>
        <v>4.8014261852773535E-4</v>
      </c>
      <c r="R22" s="438">
        <f t="shared" si="2"/>
        <v>6.164826365841064E-4</v>
      </c>
      <c r="S22" s="437">
        <f t="shared" si="3"/>
        <v>1.4843892695073089E-5</v>
      </c>
      <c r="T22" s="438">
        <f t="shared" si="4"/>
        <v>3.4656520552444562E-5</v>
      </c>
      <c r="U22" s="438">
        <f t="shared" si="5"/>
        <v>4.8014261852773535E-4</v>
      </c>
      <c r="V22" s="438">
        <f t="shared" si="6"/>
        <v>6.164826365841064E-4</v>
      </c>
      <c r="W22" s="444">
        <f t="shared" si="7"/>
        <v>1.7498570524282909E-3</v>
      </c>
      <c r="X22" s="382">
        <f t="shared" si="8"/>
        <v>3.5784371214134312E-3</v>
      </c>
      <c r="Y22" s="382">
        <f t="shared" si="9"/>
        <v>2.3516705727014978E-2</v>
      </c>
      <c r="Z22" s="430">
        <f t="shared" si="10"/>
        <v>3.8544339100115448E-2</v>
      </c>
    </row>
    <row r="23" spans="2:26">
      <c r="C23" s="613" t="s">
        <v>312</v>
      </c>
      <c r="D23" s="614"/>
      <c r="E23" s="614"/>
      <c r="F23" s="614"/>
      <c r="G23" s="574" t="s">
        <v>313</v>
      </c>
      <c r="H23" s="574"/>
      <c r="I23" s="574"/>
      <c r="J23" s="615"/>
      <c r="K23" s="583" t="s">
        <v>314</v>
      </c>
      <c r="L23" s="583"/>
      <c r="M23" s="583"/>
      <c r="N23" s="584"/>
      <c r="O23" s="584" t="s">
        <v>315</v>
      </c>
      <c r="P23" s="606"/>
      <c r="Q23" s="606"/>
      <c r="R23" s="616"/>
      <c r="S23" s="583" t="s">
        <v>316</v>
      </c>
      <c r="T23" s="583"/>
      <c r="U23" s="583"/>
      <c r="V23" s="583"/>
      <c r="W23" s="584" t="s">
        <v>317</v>
      </c>
      <c r="X23" s="606"/>
      <c r="Y23" s="606"/>
      <c r="Z23" s="606"/>
    </row>
    <row r="24" spans="2:26">
      <c r="B24" s="376"/>
      <c r="C24" s="580" t="s">
        <v>322</v>
      </c>
      <c r="D24" s="580"/>
      <c r="E24" s="580"/>
      <c r="F24" s="580"/>
      <c r="G24" s="607" t="s">
        <v>322</v>
      </c>
      <c r="H24" s="607"/>
      <c r="I24" s="607"/>
      <c r="J24" s="607"/>
      <c r="K24" s="608" t="s">
        <v>322</v>
      </c>
      <c r="L24" s="609"/>
      <c r="M24" s="609"/>
      <c r="N24" s="609"/>
      <c r="O24" s="610" t="s">
        <v>322</v>
      </c>
      <c r="P24" s="611"/>
      <c r="Q24" s="611"/>
      <c r="R24" s="612"/>
      <c r="S24" s="607" t="s">
        <v>322</v>
      </c>
      <c r="T24" s="607"/>
      <c r="U24" s="607"/>
      <c r="V24" s="607"/>
      <c r="W24" s="580" t="s">
        <v>322</v>
      </c>
      <c r="X24" s="580"/>
      <c r="Y24" s="580"/>
      <c r="Z24" s="580"/>
    </row>
    <row r="25" spans="2:26">
      <c r="B25" s="378" t="s">
        <v>87</v>
      </c>
      <c r="C25" s="378" t="s">
        <v>318</v>
      </c>
      <c r="D25" s="378" t="s">
        <v>319</v>
      </c>
      <c r="E25" s="378" t="s">
        <v>320</v>
      </c>
      <c r="F25" s="378" t="s">
        <v>321</v>
      </c>
      <c r="G25" s="378" t="s">
        <v>318</v>
      </c>
      <c r="H25" s="378" t="s">
        <v>319</v>
      </c>
      <c r="I25" s="378" t="s">
        <v>320</v>
      </c>
      <c r="J25" s="378" t="s">
        <v>321</v>
      </c>
      <c r="K25" s="378" t="s">
        <v>318</v>
      </c>
      <c r="L25" s="378" t="s">
        <v>319</v>
      </c>
      <c r="M25" s="378" t="s">
        <v>320</v>
      </c>
      <c r="N25" s="378" t="s">
        <v>321</v>
      </c>
      <c r="O25" s="378" t="s">
        <v>318</v>
      </c>
      <c r="P25" s="378" t="s">
        <v>319</v>
      </c>
      <c r="Q25" s="378" t="s">
        <v>320</v>
      </c>
      <c r="R25" s="378" t="s">
        <v>321</v>
      </c>
      <c r="S25" s="378" t="s">
        <v>318</v>
      </c>
      <c r="T25" s="378" t="s">
        <v>319</v>
      </c>
      <c r="U25" s="378" t="s">
        <v>320</v>
      </c>
      <c r="V25" s="378" t="s">
        <v>321</v>
      </c>
      <c r="W25" s="378" t="s">
        <v>318</v>
      </c>
      <c r="X25" s="378" t="s">
        <v>319</v>
      </c>
      <c r="Y25" s="378" t="s">
        <v>320</v>
      </c>
      <c r="Z25" s="378" t="s">
        <v>321</v>
      </c>
    </row>
    <row r="26" spans="2:26">
      <c r="B26" s="507">
        <v>2020</v>
      </c>
      <c r="C26" s="519">
        <f>SUM('Voluntary Costs'!F252:K252)</f>
        <v>833253323.36381876</v>
      </c>
      <c r="D26" s="520">
        <f>SUM('Voluntary Costs'!O252:T252)</f>
        <v>833253323.36381876</v>
      </c>
      <c r="E26" s="520">
        <f>SUM('Voluntary Costs'!X252:AC252)</f>
        <v>833253323.36381876</v>
      </c>
      <c r="F26" s="520">
        <f>SUM('Voluntary Costs'!AH252:AM252)</f>
        <v>833253323.36381876</v>
      </c>
      <c r="G26" s="519">
        <f>SUM('Involuntary Costs'!D156:I156)</f>
        <v>587086834.48691845</v>
      </c>
      <c r="H26" s="520">
        <f>SUM('Involuntary Costs'!L156:Q156)</f>
        <v>587086834.48691845</v>
      </c>
      <c r="I26" s="520">
        <f>SUM('Involuntary Costs'!T156:Y156)</f>
        <v>587086834.48691845</v>
      </c>
      <c r="J26" s="520">
        <f>SUM('Involuntary Costs'!AB156:AG156)</f>
        <v>587086834.48691845</v>
      </c>
      <c r="K26" s="525">
        <f>SUM([1]Costing!$D156:$I156)</f>
        <v>587086834.48691845</v>
      </c>
      <c r="L26" s="526">
        <f>SUM([1]Costing!$L156:$Q156)</f>
        <v>587086834.48691845</v>
      </c>
      <c r="M26" s="526">
        <f>SUM([1]Costing!$T156:$Y156)</f>
        <v>587086834.48691845</v>
      </c>
      <c r="N26" s="526">
        <f>SUM([1]Costing!$AB156:$AG156)</f>
        <v>587086834.48691845</v>
      </c>
      <c r="O26" s="508">
        <f t="shared" ref="O26:O43" si="12">K26-(C26+G26)</f>
        <v>-833253323.36381865</v>
      </c>
      <c r="P26" s="509">
        <f t="shared" ref="P26:P43" si="13">L26-(D26+H26)</f>
        <v>-833253323.36381865</v>
      </c>
      <c r="Q26" s="509">
        <f t="shared" ref="Q26:Q43" si="14">M26-(E26+I26)</f>
        <v>-833253323.36381865</v>
      </c>
      <c r="R26" s="509">
        <f t="shared" ref="R26:R43" si="15">N26-(F26+J26)</f>
        <v>-833253323.36381865</v>
      </c>
      <c r="S26" s="508">
        <f t="shared" ref="S26:S43" si="16">K26-G26</f>
        <v>0</v>
      </c>
      <c r="T26" s="509">
        <f t="shared" ref="T26:T43" si="17">L26-H26</f>
        <v>0</v>
      </c>
      <c r="U26" s="509">
        <f t="shared" ref="U26:U43" si="18">M26-I26</f>
        <v>0</v>
      </c>
      <c r="V26" s="509">
        <f t="shared" ref="V26:V43" si="19">N26-J26</f>
        <v>0</v>
      </c>
      <c r="W26" s="519">
        <f t="shared" ref="W26:W43" si="20">C26+G26</f>
        <v>1420340157.8507371</v>
      </c>
      <c r="X26" s="520">
        <f t="shared" ref="X26:X43" si="21">D26+H26</f>
        <v>1420340157.8507371</v>
      </c>
      <c r="Y26" s="520">
        <f t="shared" ref="Y26:Y43" si="22">E26+I26</f>
        <v>1420340157.8507371</v>
      </c>
      <c r="Z26" s="529">
        <f t="shared" ref="Z26:Z43" si="23">F26+J26</f>
        <v>1420340157.8507371</v>
      </c>
    </row>
    <row r="27" spans="2:26">
      <c r="B27" s="458">
        <v>2021</v>
      </c>
      <c r="C27" s="521">
        <f>SUM('Voluntary Costs'!F253:K253)</f>
        <v>870682851.5024544</v>
      </c>
      <c r="D27" s="522">
        <f>SUM('Voluntary Costs'!O253:T253)</f>
        <v>872430738.80265737</v>
      </c>
      <c r="E27" s="522">
        <f>SUM('Voluntary Costs'!X253:AC253)</f>
        <v>873990282.96185887</v>
      </c>
      <c r="F27" s="522">
        <f>SUM('Voluntary Costs'!AH253:AM253)</f>
        <v>870912741.56971681</v>
      </c>
      <c r="G27" s="521">
        <f>SUM('Involuntary Costs'!D157:I157)</f>
        <v>623527593.82329023</v>
      </c>
      <c r="H27" s="522">
        <f>SUM('Involuntary Costs'!L157:Q157)</f>
        <v>625887056.26721406</v>
      </c>
      <c r="I27" s="522">
        <f>SUM('Involuntary Costs'!T157:Y157)</f>
        <v>630355175.73739254</v>
      </c>
      <c r="J27" s="522">
        <f>SUM('Involuntary Costs'!AB157:AG157)</f>
        <v>631611172.60100174</v>
      </c>
      <c r="K27" s="521">
        <f>SUM([1]Costing!$D157:$I157)</f>
        <v>624342666.84598827</v>
      </c>
      <c r="L27" s="522">
        <f>SUM([1]Costing!$L157:$Q157)</f>
        <v>626799481.39953685</v>
      </c>
      <c r="M27" s="522">
        <f>SUM([1]Costing!$T157:$Y157)</f>
        <v>631508391.87292135</v>
      </c>
      <c r="N27" s="522">
        <f>SUM([1]Costing!$AB157:$AG157)</f>
        <v>632932320.10770321</v>
      </c>
      <c r="O27" s="510">
        <f t="shared" si="12"/>
        <v>-869867778.47975636</v>
      </c>
      <c r="P27" s="511">
        <f t="shared" si="13"/>
        <v>-871518313.67033458</v>
      </c>
      <c r="Q27" s="511">
        <f t="shared" si="14"/>
        <v>-872837066.82633007</v>
      </c>
      <c r="R27" s="511">
        <f t="shared" si="15"/>
        <v>-869591594.06301546</v>
      </c>
      <c r="S27" s="510">
        <f t="shared" si="16"/>
        <v>815073.02269804478</v>
      </c>
      <c r="T27" s="511">
        <f t="shared" si="17"/>
        <v>912425.13232278824</v>
      </c>
      <c r="U27" s="511">
        <f t="shared" si="18"/>
        <v>1153216.1355288029</v>
      </c>
      <c r="V27" s="511">
        <f t="shared" si="19"/>
        <v>1321147.5067014694</v>
      </c>
      <c r="W27" s="521">
        <f t="shared" si="20"/>
        <v>1494210445.3257446</v>
      </c>
      <c r="X27" s="522">
        <f t="shared" si="21"/>
        <v>1498317795.0698714</v>
      </c>
      <c r="Y27" s="522">
        <f t="shared" si="22"/>
        <v>1504345458.6992514</v>
      </c>
      <c r="Z27" s="530">
        <f t="shared" si="23"/>
        <v>1502523914.1707187</v>
      </c>
    </row>
    <row r="28" spans="2:26">
      <c r="B28" s="458">
        <v>2022</v>
      </c>
      <c r="C28" s="521">
        <f>SUM('Voluntary Costs'!F254:K254)</f>
        <v>909502358.60343993</v>
      </c>
      <c r="D28" s="522">
        <f>SUM('Voluntary Costs'!O254:T254)</f>
        <v>913222781.29954731</v>
      </c>
      <c r="E28" s="522">
        <f>SUM('Voluntary Costs'!X254:AC254)</f>
        <v>916537612.38350987</v>
      </c>
      <c r="F28" s="522">
        <f>SUM('Voluntary Costs'!AH254:AM254)</f>
        <v>909991959.91056037</v>
      </c>
      <c r="G28" s="521">
        <f>SUM('Involuntary Costs'!D158:I158)</f>
        <v>662139450.96353567</v>
      </c>
      <c r="H28" s="522">
        <f>SUM('Involuntary Costs'!L158:Q158)</f>
        <v>667152528.35455894</v>
      </c>
      <c r="I28" s="522">
        <f>SUM('Involuntary Costs'!T158:Y158)</f>
        <v>676646521.69765234</v>
      </c>
      <c r="J28" s="522">
        <f>SUM('Involuntary Costs'!AB158:AG158)</f>
        <v>679302205.52629602</v>
      </c>
      <c r="K28" s="521">
        <f>SUM([1]Costing!$D158:$I158)</f>
        <v>663802605.61362422</v>
      </c>
      <c r="L28" s="522">
        <f>SUM([1]Costing!$L158:$Q158)</f>
        <v>668988399.79043257</v>
      </c>
      <c r="M28" s="522">
        <f>SUM([1]Costing!$T158:$Y158)</f>
        <v>678951048.99512219</v>
      </c>
      <c r="N28" s="522">
        <f>SUM([1]Costing!$AB158:$AG158)</f>
        <v>681936082.17024076</v>
      </c>
      <c r="O28" s="510">
        <f t="shared" si="12"/>
        <v>-907839203.95335138</v>
      </c>
      <c r="P28" s="511">
        <f t="shared" si="13"/>
        <v>-911386909.86367357</v>
      </c>
      <c r="Q28" s="511">
        <f t="shared" si="14"/>
        <v>-914233085.08604002</v>
      </c>
      <c r="R28" s="511">
        <f t="shared" si="15"/>
        <v>-907358083.26661551</v>
      </c>
      <c r="S28" s="510">
        <f t="shared" si="16"/>
        <v>1663154.6500885487</v>
      </c>
      <c r="T28" s="511">
        <f t="shared" si="17"/>
        <v>1835871.4358736277</v>
      </c>
      <c r="U28" s="511">
        <f t="shared" si="18"/>
        <v>2304527.2974698544</v>
      </c>
      <c r="V28" s="511">
        <f t="shared" si="19"/>
        <v>2633876.6439447403</v>
      </c>
      <c r="W28" s="521">
        <f t="shared" si="20"/>
        <v>1571641809.5669756</v>
      </c>
      <c r="X28" s="522">
        <f t="shared" si="21"/>
        <v>1580375309.6541061</v>
      </c>
      <c r="Y28" s="522">
        <f t="shared" si="22"/>
        <v>1593184134.0811622</v>
      </c>
      <c r="Z28" s="530">
        <f t="shared" si="23"/>
        <v>1589294165.4368563</v>
      </c>
    </row>
    <row r="29" spans="2:26">
      <c r="B29" s="458">
        <v>2023</v>
      </c>
      <c r="C29" s="521">
        <f>SUM('Voluntary Costs'!F255:K255)</f>
        <v>949782861.8088423</v>
      </c>
      <c r="D29" s="522">
        <f>SUM('Voluntary Costs'!O255:T255)</f>
        <v>955695787.14352202</v>
      </c>
      <c r="E29" s="522">
        <f>SUM('Voluntary Costs'!X255:AC255)</f>
        <v>960964711.6068486</v>
      </c>
      <c r="F29" s="522">
        <f>SUM('Voluntary Costs'!AH255:AM255)</f>
        <v>950560910.86040795</v>
      </c>
      <c r="G29" s="521">
        <f>SUM('Involuntary Costs'!D159:I159)</f>
        <v>703060724.28631496</v>
      </c>
      <c r="H29" s="522">
        <f>SUM('Involuntary Costs'!L159:Q159)</f>
        <v>711020357.73165977</v>
      </c>
      <c r="I29" s="522">
        <f>SUM('Involuntary Costs'!T159:Y159)</f>
        <v>726147768.80673349</v>
      </c>
      <c r="J29" s="522">
        <f>SUM('Involuntary Costs'!AB159:AG159)</f>
        <v>730386243.07498574</v>
      </c>
      <c r="K29" s="521">
        <f>SUM([1]Costing!$D159:$I159)</f>
        <v>705589834.72394693</v>
      </c>
      <c r="L29" s="522">
        <f>SUM([1]Costing!$L159:$Q159)</f>
        <v>713798070.54338706</v>
      </c>
      <c r="M29" s="522">
        <f>SUM([1]Costing!$T159:$Y159)</f>
        <v>729603135.16034687</v>
      </c>
      <c r="N29" s="522">
        <f>SUM([1]Costing!$AB159:$AG159)</f>
        <v>734294951.027722</v>
      </c>
      <c r="O29" s="510">
        <f t="shared" si="12"/>
        <v>-947253751.37121022</v>
      </c>
      <c r="P29" s="511">
        <f t="shared" si="13"/>
        <v>-952918074.33179462</v>
      </c>
      <c r="Q29" s="511">
        <f t="shared" si="14"/>
        <v>-957509345.25323522</v>
      </c>
      <c r="R29" s="511">
        <f t="shared" si="15"/>
        <v>-946652202.90767181</v>
      </c>
      <c r="S29" s="510">
        <f t="shared" si="16"/>
        <v>2529110.4376319647</v>
      </c>
      <c r="T29" s="511">
        <f t="shared" si="17"/>
        <v>2777712.8117272854</v>
      </c>
      <c r="U29" s="511">
        <f t="shared" si="18"/>
        <v>3455366.3536133766</v>
      </c>
      <c r="V29" s="511">
        <f t="shared" si="19"/>
        <v>3908707.9527362585</v>
      </c>
      <c r="W29" s="521">
        <f t="shared" si="20"/>
        <v>1652843586.0951571</v>
      </c>
      <c r="X29" s="522">
        <f t="shared" si="21"/>
        <v>1666716144.8751817</v>
      </c>
      <c r="Y29" s="522">
        <f t="shared" si="22"/>
        <v>1687112480.4135821</v>
      </c>
      <c r="Z29" s="530">
        <f t="shared" si="23"/>
        <v>1680947153.9353938</v>
      </c>
    </row>
    <row r="30" spans="2:26">
      <c r="B30" s="458">
        <v>2024</v>
      </c>
      <c r="C30" s="521">
        <f>SUM('Voluntary Costs'!F256:K256)</f>
        <v>991596234.67375958</v>
      </c>
      <c r="D30" s="522">
        <f>SUM('Voluntary Costs'!O256:T256)</f>
        <v>999919127.97276723</v>
      </c>
      <c r="E30" s="522">
        <f>SUM('Voluntary Costs'!X256:AC256)</f>
        <v>1007344036.9137444</v>
      </c>
      <c r="F30" s="522">
        <f>SUM('Voluntary Costs'!AH256:AM256)</f>
        <v>992690834.53046072</v>
      </c>
      <c r="G30" s="521">
        <f>SUM('Involuntary Costs'!D160:I160)</f>
        <v>746425110.13269055</v>
      </c>
      <c r="H30" s="522">
        <f>SUM('Involuntary Costs'!L160:Q160)</f>
        <v>757633640.17464697</v>
      </c>
      <c r="I30" s="522">
        <f>SUM('Involuntary Costs'!T160:Y160)</f>
        <v>779070038.73810971</v>
      </c>
      <c r="J30" s="522">
        <f>SUM('Involuntary Costs'!AB160:AG160)</f>
        <v>785076926.85893774</v>
      </c>
      <c r="K30" s="521">
        <f>SUM([1]Costing!$D160:$I160)</f>
        <v>749834116.44106889</v>
      </c>
      <c r="L30" s="522">
        <f>SUM([1]Costing!$L160:$Q160)</f>
        <v>761380969.41877401</v>
      </c>
      <c r="M30" s="522">
        <f>SUM([1]Costing!$T160:$Y160)</f>
        <v>783663948.49036562</v>
      </c>
      <c r="N30" s="522">
        <f>SUM([1]Costing!$AB160:$AG160)</f>
        <v>790217143.791587</v>
      </c>
      <c r="O30" s="510">
        <f t="shared" si="12"/>
        <v>-988187228.36538124</v>
      </c>
      <c r="P30" s="511">
        <f t="shared" si="13"/>
        <v>-996171798.7286402</v>
      </c>
      <c r="Q30" s="511">
        <f t="shared" si="14"/>
        <v>-1002750127.1614884</v>
      </c>
      <c r="R30" s="511">
        <f t="shared" si="15"/>
        <v>-987550617.59781158</v>
      </c>
      <c r="S30" s="510">
        <f t="shared" si="16"/>
        <v>3409006.3083783388</v>
      </c>
      <c r="T30" s="511">
        <f t="shared" si="17"/>
        <v>3747329.2441270351</v>
      </c>
      <c r="U30" s="511">
        <f t="shared" si="18"/>
        <v>4593909.7522559166</v>
      </c>
      <c r="V30" s="511">
        <f t="shared" si="19"/>
        <v>5140216.9326492548</v>
      </c>
      <c r="W30" s="521">
        <f t="shared" si="20"/>
        <v>1738021344.8064501</v>
      </c>
      <c r="X30" s="522">
        <f t="shared" si="21"/>
        <v>1757552768.1474142</v>
      </c>
      <c r="Y30" s="522">
        <f t="shared" si="22"/>
        <v>1786414075.651854</v>
      </c>
      <c r="Z30" s="530">
        <f t="shared" si="23"/>
        <v>1777767761.3893986</v>
      </c>
    </row>
    <row r="31" spans="2:26">
      <c r="B31" s="458">
        <v>2025</v>
      </c>
      <c r="C31" s="521">
        <f>SUM('Voluntary Costs'!F257:K257)</f>
        <v>1035015551.5137583</v>
      </c>
      <c r="D31" s="522">
        <f>SUM('Voluntary Costs'!O257:T257)</f>
        <v>1045965285.3705494</v>
      </c>
      <c r="E31" s="522">
        <f>SUM('Voluntary Costs'!X257:AC257)</f>
        <v>1055751295.3768923</v>
      </c>
      <c r="F31" s="522">
        <f>SUM('Voluntary Costs'!AH257:AM257)</f>
        <v>1036454540.6683258</v>
      </c>
      <c r="G31" s="521">
        <f>SUM('Involuntary Costs'!D161:I161)</f>
        <v>792358775.11146235</v>
      </c>
      <c r="H31" s="522">
        <f>SUM('Involuntary Costs'!L161:Q161)</f>
        <v>807187249.71192777</v>
      </c>
      <c r="I31" s="522">
        <f>SUM('Involuntary Costs'!T161:Y161)</f>
        <v>835653207.39006746</v>
      </c>
      <c r="J31" s="522">
        <f>SUM('Involuntary Costs'!AB161:AG161)</f>
        <v>843630190.69056511</v>
      </c>
      <c r="K31" s="521">
        <f>SUM([1]Costing!$D161:$I161)</f>
        <v>796672130.006356</v>
      </c>
      <c r="L31" s="522">
        <f>SUM([1]Costing!$L161:$Q161)</f>
        <v>811897991.04728115</v>
      </c>
      <c r="M31" s="522">
        <f>SUM([1]Costing!$T161:$Y161)</f>
        <v>841344361.66215241</v>
      </c>
      <c r="N31" s="522">
        <f>SUM([1]Costing!$AB161:$AG161)</f>
        <v>849922887.15008295</v>
      </c>
      <c r="O31" s="510">
        <f t="shared" si="12"/>
        <v>-1030702196.6188648</v>
      </c>
      <c r="P31" s="511">
        <f t="shared" si="13"/>
        <v>-1041254544.0351959</v>
      </c>
      <c r="Q31" s="511">
        <f t="shared" si="14"/>
        <v>-1050060141.1048073</v>
      </c>
      <c r="R31" s="511">
        <f t="shared" si="15"/>
        <v>-1030161844.2088081</v>
      </c>
      <c r="S31" s="510">
        <f t="shared" si="16"/>
        <v>4313354.8948936462</v>
      </c>
      <c r="T31" s="511">
        <f t="shared" si="17"/>
        <v>4710741.3353533745</v>
      </c>
      <c r="U31" s="511">
        <f t="shared" si="18"/>
        <v>5691154.2720849514</v>
      </c>
      <c r="V31" s="511">
        <f t="shared" si="19"/>
        <v>6292696.4595178366</v>
      </c>
      <c r="W31" s="521">
        <f t="shared" si="20"/>
        <v>1827374326.6252208</v>
      </c>
      <c r="X31" s="522">
        <f t="shared" si="21"/>
        <v>1853152535.0824771</v>
      </c>
      <c r="Y31" s="522">
        <f t="shared" si="22"/>
        <v>1891404502.7669597</v>
      </c>
      <c r="Z31" s="530">
        <f t="shared" si="23"/>
        <v>1880084731.358891</v>
      </c>
    </row>
    <row r="32" spans="2:26">
      <c r="B32" s="458">
        <v>2026</v>
      </c>
      <c r="C32" s="521">
        <f>SUM('Voluntary Costs'!F258:K258)</f>
        <v>1080115388.5155964</v>
      </c>
      <c r="D32" s="522">
        <f>SUM('Voluntary Costs'!O258:T258)</f>
        <v>1093909931.9315259</v>
      </c>
      <c r="E32" s="522">
        <f>SUM('Voluntary Costs'!X258:AC258)</f>
        <v>1106265635.0957949</v>
      </c>
      <c r="F32" s="522">
        <f>SUM('Voluntary Costs'!AH258:AM258)</f>
        <v>1081926646.4775667</v>
      </c>
      <c r="G32" s="521">
        <f>SUM('Involuntary Costs'!D162:I162)</f>
        <v>841024362.96961808</v>
      </c>
      <c r="H32" s="522">
        <f>SUM('Involuntary Costs'!L162:Q162)</f>
        <v>859859931.98555613</v>
      </c>
      <c r="I32" s="522">
        <f>SUM('Involuntary Costs'!T162:Y162)</f>
        <v>896138311.12921202</v>
      </c>
      <c r="J32" s="522">
        <f>SUM('Involuntary Costs'!AB162:AG162)</f>
        <v>906287909.30296373</v>
      </c>
      <c r="K32" s="521">
        <f>SUM([1]Costing!$D162:$I162)</f>
        <v>846247827.20383608</v>
      </c>
      <c r="L32" s="522">
        <f>SUM([1]Costing!$L162:$Q162)</f>
        <v>865518894.64597857</v>
      </c>
      <c r="M32" s="522">
        <f>SUM([1]Costing!$T162:$Y162)</f>
        <v>902867459.71225071</v>
      </c>
      <c r="N32" s="522">
        <f>SUM([1]Costing!$AB162:$AG162)</f>
        <v>913645072.80799139</v>
      </c>
      <c r="O32" s="510">
        <f t="shared" si="12"/>
        <v>-1074891924.2813783</v>
      </c>
      <c r="P32" s="511">
        <f t="shared" si="13"/>
        <v>-1088250969.2711034</v>
      </c>
      <c r="Q32" s="511">
        <f t="shared" si="14"/>
        <v>-1099536486.5127563</v>
      </c>
      <c r="R32" s="511">
        <f t="shared" si="15"/>
        <v>-1074569482.9725389</v>
      </c>
      <c r="S32" s="510">
        <f t="shared" si="16"/>
        <v>5223464.2342180014</v>
      </c>
      <c r="T32" s="511">
        <f t="shared" si="17"/>
        <v>5658962.6604224443</v>
      </c>
      <c r="U32" s="511">
        <f t="shared" si="18"/>
        <v>6729148.5830386877</v>
      </c>
      <c r="V32" s="511">
        <f t="shared" si="19"/>
        <v>7357163.5050276518</v>
      </c>
      <c r="W32" s="521">
        <f t="shared" si="20"/>
        <v>1921139751.4852145</v>
      </c>
      <c r="X32" s="522">
        <f t="shared" si="21"/>
        <v>1953769863.9170821</v>
      </c>
      <c r="Y32" s="522">
        <f t="shared" si="22"/>
        <v>2002403946.2250071</v>
      </c>
      <c r="Z32" s="530">
        <f t="shared" si="23"/>
        <v>1988214555.7805305</v>
      </c>
    </row>
    <row r="33" spans="2:26">
      <c r="B33" s="458">
        <v>2027</v>
      </c>
      <c r="C33" s="521">
        <f>SUM('Voluntary Costs'!F259:K259)</f>
        <v>1126972091.5640273</v>
      </c>
      <c r="D33" s="522">
        <f>SUM('Voluntary Costs'!O259:T259)</f>
        <v>1143832019.2445233</v>
      </c>
      <c r="E33" s="522">
        <f>SUM('Voluntary Costs'!X259:AC259)</f>
        <v>1158969830.8411603</v>
      </c>
      <c r="F33" s="522">
        <f>SUM('Voluntary Costs'!AH259:AM259)</f>
        <v>1129183795.6378958</v>
      </c>
      <c r="G33" s="521">
        <f>SUM('Involuntary Costs'!D163:I163)</f>
        <v>892562641.82934558</v>
      </c>
      <c r="H33" s="522">
        <f>SUM('Involuntary Costs'!L163:Q163)</f>
        <v>915807185.53877044</v>
      </c>
      <c r="I33" s="522">
        <f>SUM('Involuntary Costs'!T163:Y163)</f>
        <v>960746874.10939074</v>
      </c>
      <c r="J33" s="522">
        <f>SUM('Involuntary Costs'!AB163:AG163)</f>
        <v>973339334.01148164</v>
      </c>
      <c r="K33" s="521">
        <f>SUM([1]Costing!$D163:$I163)</f>
        <v>898712805.66816962</v>
      </c>
      <c r="L33" s="522">
        <f>SUM([1]Costing!$L163:$Q163)</f>
        <v>922422772.53835964</v>
      </c>
      <c r="M33" s="522">
        <f>SUM([1]Costing!$T163:$Y163)</f>
        <v>968469211.54528582</v>
      </c>
      <c r="N33" s="522">
        <f>SUM([1]Costing!$AB163:$AG163)</f>
        <v>981629947.19836271</v>
      </c>
      <c r="O33" s="510">
        <f t="shared" si="12"/>
        <v>-1120821927.7252035</v>
      </c>
      <c r="P33" s="511">
        <f t="shared" si="13"/>
        <v>-1137216432.2449341</v>
      </c>
      <c r="Q33" s="511">
        <f t="shared" si="14"/>
        <v>-1151247493.4052653</v>
      </c>
      <c r="R33" s="511">
        <f t="shared" si="15"/>
        <v>-1120893182.4510145</v>
      </c>
      <c r="S33" s="510">
        <f t="shared" si="16"/>
        <v>6150163.8388240337</v>
      </c>
      <c r="T33" s="511">
        <f t="shared" si="17"/>
        <v>6615586.9995892048</v>
      </c>
      <c r="U33" s="511">
        <f t="shared" si="18"/>
        <v>7722337.4358950853</v>
      </c>
      <c r="V33" s="511">
        <f t="shared" si="19"/>
        <v>8290613.1868810654</v>
      </c>
      <c r="W33" s="521">
        <f t="shared" si="20"/>
        <v>2019534733.393373</v>
      </c>
      <c r="X33" s="522">
        <f t="shared" si="21"/>
        <v>2059639204.7832937</v>
      </c>
      <c r="Y33" s="522">
        <f t="shared" si="22"/>
        <v>2119716704.950551</v>
      </c>
      <c r="Z33" s="530">
        <f t="shared" si="23"/>
        <v>2102523129.6493773</v>
      </c>
    </row>
    <row r="34" spans="2:26">
      <c r="B34" s="458">
        <v>2028</v>
      </c>
      <c r="C34" s="521">
        <f>SUM('Voluntary Costs'!F260:K260)</f>
        <v>1175664018.485306</v>
      </c>
      <c r="D34" s="522">
        <f>SUM('Voluntary Costs'!O260:T260)</f>
        <v>1195813873.113013</v>
      </c>
      <c r="E34" s="522">
        <f>SUM('Voluntary Costs'!X260:AC260)</f>
        <v>1213950465.2038419</v>
      </c>
      <c r="F34" s="522">
        <f>SUM('Voluntary Costs'!AH260:AM260)</f>
        <v>1178304862.8338213</v>
      </c>
      <c r="G34" s="521">
        <f>SUM('Involuntary Costs'!D164:I164)</f>
        <v>947154698.27312672</v>
      </c>
      <c r="H34" s="522">
        <f>SUM('Involuntary Costs'!L164:Q164)</f>
        <v>975259522.70362043</v>
      </c>
      <c r="I34" s="522">
        <f>SUM('Involuntary Costs'!T164:Y164)</f>
        <v>1029781903.2224944</v>
      </c>
      <c r="J34" s="522">
        <f>SUM('Involuntary Costs'!AB164:AG164)</f>
        <v>1045058125.631566</v>
      </c>
      <c r="K34" s="521">
        <f>SUM([1]Costing!$D164:$I164)</f>
        <v>954226700.79893756</v>
      </c>
      <c r="L34" s="522">
        <f>SUM([1]Costing!$L164:$Q164)</f>
        <v>982798542.61257005</v>
      </c>
      <c r="M34" s="522">
        <f>SUM([1]Costing!$T164:$Y164)</f>
        <v>1038399176.8681873</v>
      </c>
      <c r="N34" s="522">
        <f>SUM([1]Costing!$AB164:$AG164)</f>
        <v>1054137837.1983244</v>
      </c>
      <c r="O34" s="510">
        <f t="shared" si="12"/>
        <v>-1168592015.9594953</v>
      </c>
      <c r="P34" s="511">
        <f t="shared" si="13"/>
        <v>-1188274853.2040632</v>
      </c>
      <c r="Q34" s="511">
        <f t="shared" si="14"/>
        <v>-1205333191.5581489</v>
      </c>
      <c r="R34" s="511">
        <f t="shared" si="15"/>
        <v>-1169225151.2670629</v>
      </c>
      <c r="S34" s="510">
        <f t="shared" si="16"/>
        <v>7072002.5258108377</v>
      </c>
      <c r="T34" s="511">
        <f t="shared" si="17"/>
        <v>7539019.9089496136</v>
      </c>
      <c r="U34" s="511">
        <f t="shared" si="18"/>
        <v>8617273.6456929445</v>
      </c>
      <c r="V34" s="511">
        <f t="shared" si="19"/>
        <v>9079711.5667583942</v>
      </c>
      <c r="W34" s="521">
        <f t="shared" si="20"/>
        <v>2122818716.7584329</v>
      </c>
      <c r="X34" s="522">
        <f t="shared" si="21"/>
        <v>2171073395.8166332</v>
      </c>
      <c r="Y34" s="522">
        <f t="shared" si="22"/>
        <v>2243732368.4263363</v>
      </c>
      <c r="Z34" s="530">
        <f t="shared" si="23"/>
        <v>2223362988.4653873</v>
      </c>
    </row>
    <row r="35" spans="2:26">
      <c r="B35" s="458">
        <v>2029</v>
      </c>
      <c r="C35" s="521">
        <f>SUM('Voluntary Costs'!F261:K261)</f>
        <v>1226271761.7202942</v>
      </c>
      <c r="D35" s="522">
        <f>SUM('Voluntary Costs'!O261:T261)</f>
        <v>1249941296.2380793</v>
      </c>
      <c r="E35" s="522">
        <f>SUM('Voluntary Costs'!X261:AC261)</f>
        <v>1271298105.7154853</v>
      </c>
      <c r="F35" s="522">
        <f>SUM('Voluntary Costs'!AH261:AM261)</f>
        <v>1229371147.2683125</v>
      </c>
      <c r="G35" s="521">
        <f>SUM('Involuntary Costs'!D165:I165)</f>
        <v>1004975850.5168297</v>
      </c>
      <c r="H35" s="522">
        <f>SUM('Involuntary Costs'!L165:Q165)</f>
        <v>1038410026.7883236</v>
      </c>
      <c r="I35" s="522">
        <f>SUM('Involuntary Costs'!T165:Y165)</f>
        <v>1103532383.7936432</v>
      </c>
      <c r="J35" s="522">
        <f>SUM('Involuntary Costs'!AB165:AG165)</f>
        <v>1121770987.7561388</v>
      </c>
      <c r="K35" s="521">
        <f>SUM([1]Costing!$D165:$I165)</f>
        <v>1012957597.1861814</v>
      </c>
      <c r="L35" s="522">
        <f>SUM([1]Costing!$L165:$Q165)</f>
        <v>1046845465.907137</v>
      </c>
      <c r="M35" s="522">
        <f>SUM([1]Costing!$T165:$Y165)</f>
        <v>1112921250.3572197</v>
      </c>
      <c r="N35" s="522">
        <f>SUM([1]Costing!$AB165:$AG165)</f>
        <v>1131443913.6661959</v>
      </c>
      <c r="O35" s="510">
        <f t="shared" si="12"/>
        <v>-1218290015.0509424</v>
      </c>
      <c r="P35" s="511">
        <f t="shared" si="13"/>
        <v>-1241505857.119266</v>
      </c>
      <c r="Q35" s="511">
        <f t="shared" si="14"/>
        <v>-1261909239.1519089</v>
      </c>
      <c r="R35" s="511">
        <f t="shared" si="15"/>
        <v>-1219698221.3582554</v>
      </c>
      <c r="S35" s="510">
        <f t="shared" si="16"/>
        <v>7981746.669351697</v>
      </c>
      <c r="T35" s="511">
        <f t="shared" si="17"/>
        <v>8435439.1188133955</v>
      </c>
      <c r="U35" s="511">
        <f t="shared" si="18"/>
        <v>9388866.5635764599</v>
      </c>
      <c r="V35" s="511">
        <f t="shared" si="19"/>
        <v>9672925.9100570679</v>
      </c>
      <c r="W35" s="521">
        <f t="shared" si="20"/>
        <v>2231247612.237124</v>
      </c>
      <c r="X35" s="522">
        <f t="shared" si="21"/>
        <v>2288351323.026403</v>
      </c>
      <c r="Y35" s="522">
        <f t="shared" si="22"/>
        <v>2374830489.5091286</v>
      </c>
      <c r="Z35" s="530">
        <f t="shared" si="23"/>
        <v>2351142135.0244513</v>
      </c>
    </row>
    <row r="36" spans="2:26">
      <c r="B36" s="458">
        <v>2030</v>
      </c>
      <c r="C36" s="521">
        <f>SUM('Voluntary Costs'!F262:K262)</f>
        <v>1278878356.1651616</v>
      </c>
      <c r="D36" s="522">
        <f>SUM('Voluntary Costs'!O262:T262)</f>
        <v>1306303678.5172846</v>
      </c>
      <c r="E36" s="522">
        <f>SUM('Voluntary Costs'!X262:AC262)</f>
        <v>1331107478.7056723</v>
      </c>
      <c r="F36" s="522">
        <f>SUM('Voluntary Costs'!AH262:AM262)</f>
        <v>1282466557.9901552</v>
      </c>
      <c r="G36" s="521">
        <f>SUM('Involuntary Costs'!D166:I166)</f>
        <v>1066191961.2361342</v>
      </c>
      <c r="H36" s="522">
        <f>SUM('Involuntary Costs'!L166:Q166)</f>
        <v>1105460215.5012355</v>
      </c>
      <c r="I36" s="522">
        <f>SUM('Involuntary Costs'!T166:Y166)</f>
        <v>1182264454.7034314</v>
      </c>
      <c r="J36" s="522">
        <f>SUM('Involuntary Costs'!AB166:AG166)</f>
        <v>1203787348.4069295</v>
      </c>
      <c r="K36" s="521">
        <f>SUM([1]Costing!$D166:$I166)</f>
        <v>1075082460.4952464</v>
      </c>
      <c r="L36" s="522">
        <f>SUM([1]Costing!$L166:$Q166)</f>
        <v>1114773690.5712271</v>
      </c>
      <c r="M36" s="522">
        <f>SUM([1]Costing!$T166:$Y166)</f>
        <v>1192314444.9545496</v>
      </c>
      <c r="N36" s="522">
        <f>SUM([1]Costing!$AB166:$AG166)</f>
        <v>1213838994.7063675</v>
      </c>
      <c r="O36" s="510">
        <f t="shared" si="12"/>
        <v>-1269987856.9060493</v>
      </c>
      <c r="P36" s="511">
        <f t="shared" si="13"/>
        <v>-1296990203.4472933</v>
      </c>
      <c r="Q36" s="511">
        <f t="shared" si="14"/>
        <v>-1321057488.4545538</v>
      </c>
      <c r="R36" s="511">
        <f t="shared" si="15"/>
        <v>-1272414911.6907172</v>
      </c>
      <c r="S36" s="510">
        <f t="shared" si="16"/>
        <v>8890499.2591122389</v>
      </c>
      <c r="T36" s="511">
        <f t="shared" si="17"/>
        <v>9313475.0699915886</v>
      </c>
      <c r="U36" s="511">
        <f t="shared" si="18"/>
        <v>10049990.251118183</v>
      </c>
      <c r="V36" s="511">
        <f t="shared" si="19"/>
        <v>10051646.299438</v>
      </c>
      <c r="W36" s="521">
        <f t="shared" si="20"/>
        <v>2345070317.4012957</v>
      </c>
      <c r="X36" s="522">
        <f t="shared" si="21"/>
        <v>2411763894.0185204</v>
      </c>
      <c r="Y36" s="522">
        <f t="shared" si="22"/>
        <v>2513371933.4091034</v>
      </c>
      <c r="Z36" s="530">
        <f t="shared" si="23"/>
        <v>2486253906.3970847</v>
      </c>
    </row>
    <row r="37" spans="2:26">
      <c r="B37" s="458">
        <v>2040</v>
      </c>
      <c r="C37" s="521">
        <f>SUM('Voluntary Costs'!F263:K263)</f>
        <v>0</v>
      </c>
      <c r="D37" s="522">
        <f>SUM('Voluntary Costs'!O263:T263)</f>
        <v>0</v>
      </c>
      <c r="E37" s="522">
        <f>SUM('Voluntary Costs'!X263:AC263)</f>
        <v>0</v>
      </c>
      <c r="F37" s="522">
        <f>SUM('Voluntary Costs'!AH263:AM263)</f>
        <v>0</v>
      </c>
      <c r="G37" s="521">
        <f>SUM('Involuntary Costs'!D167:I167)</f>
        <v>1809967481.3299782</v>
      </c>
      <c r="H37" s="522">
        <f>SUM('Involuntary Costs'!L167:Q167)</f>
        <v>2033679631.5826869</v>
      </c>
      <c r="I37" s="522">
        <f>SUM('Involuntary Costs'!T167:Y167)</f>
        <v>2331149699.7862997</v>
      </c>
      <c r="J37" s="522">
        <f>SUM('Involuntary Costs'!AB167:AG167)</f>
        <v>2613965539.174469</v>
      </c>
      <c r="K37" s="521">
        <f>SUM([1]Costing!$D167:$I167)</f>
        <v>1826907522.9000573</v>
      </c>
      <c r="L37" s="522">
        <f>SUM([1]Costing!$L167:$Q167)</f>
        <v>2053117809.2784235</v>
      </c>
      <c r="M37" s="522">
        <f>SUM([1]Costing!$T167:$Y167)</f>
        <v>2372587231.1135287</v>
      </c>
      <c r="N37" s="522">
        <f>SUM([1]Costing!$AB167:$AG167)</f>
        <v>2658693901.5786715</v>
      </c>
      <c r="O37" s="510">
        <f t="shared" si="12"/>
        <v>16940041.570079088</v>
      </c>
      <c r="P37" s="511">
        <f t="shared" si="13"/>
        <v>19438177.695736647</v>
      </c>
      <c r="Q37" s="511">
        <f t="shared" si="14"/>
        <v>41437531.327229023</v>
      </c>
      <c r="R37" s="511">
        <f t="shared" si="15"/>
        <v>44728362.404202461</v>
      </c>
      <c r="S37" s="510">
        <f t="shared" si="16"/>
        <v>16940041.570079088</v>
      </c>
      <c r="T37" s="511">
        <f t="shared" si="17"/>
        <v>19438177.695736647</v>
      </c>
      <c r="U37" s="511">
        <f t="shared" si="18"/>
        <v>41437531.327229023</v>
      </c>
      <c r="V37" s="511">
        <f t="shared" si="19"/>
        <v>44728362.404202461</v>
      </c>
      <c r="W37" s="521">
        <f t="shared" si="20"/>
        <v>1809967481.3299782</v>
      </c>
      <c r="X37" s="522">
        <f t="shared" si="21"/>
        <v>2033679631.5826869</v>
      </c>
      <c r="Y37" s="522">
        <f t="shared" si="22"/>
        <v>2331149699.7862997</v>
      </c>
      <c r="Z37" s="530">
        <f t="shared" si="23"/>
        <v>2613965539.174469</v>
      </c>
    </row>
    <row r="38" spans="2:26">
      <c r="B38" s="458">
        <v>2050</v>
      </c>
      <c r="C38" s="521">
        <f>SUM('Voluntary Costs'!F264:K264)</f>
        <v>0</v>
      </c>
      <c r="D38" s="522">
        <f>SUM('Voluntary Costs'!O264:T264)</f>
        <v>0</v>
      </c>
      <c r="E38" s="522">
        <f>SUM('Voluntary Costs'!X264:AC264)</f>
        <v>0</v>
      </c>
      <c r="F38" s="522">
        <f>SUM('Voluntary Costs'!AH264:AM264)</f>
        <v>0</v>
      </c>
      <c r="G38" s="521">
        <f>SUM('Involuntary Costs'!D168:I168)</f>
        <v>2839710286.6983662</v>
      </c>
      <c r="H38" s="522">
        <f>SUM('Involuntary Costs'!L168:Q168)</f>
        <v>3563658599.9899392</v>
      </c>
      <c r="I38" s="522">
        <f>SUM('Involuntary Costs'!T168:Y168)</f>
        <v>4488217348.6490002</v>
      </c>
      <c r="J38" s="522">
        <f>SUM('Involuntary Costs'!AB168:AG168)</f>
        <v>6011013949.6168261</v>
      </c>
      <c r="K38" s="521">
        <f>SUM([1]Costing!$D168:$I168)</f>
        <v>2866509174.8384571</v>
      </c>
      <c r="L38" s="522">
        <f>SUM([1]Costing!$L168:$Q168)</f>
        <v>3598429696.1831059</v>
      </c>
      <c r="M38" s="522">
        <f>SUM([1]Costing!$T168:$Y168)</f>
        <v>4570819021.4821024</v>
      </c>
      <c r="N38" s="522">
        <f>SUM([1]Costing!$AB168:$AG168)</f>
        <v>6114972463.6253881</v>
      </c>
      <c r="O38" s="510">
        <f t="shared" si="12"/>
        <v>26798888.140090942</v>
      </c>
      <c r="P38" s="511">
        <f t="shared" si="13"/>
        <v>34771096.193166733</v>
      </c>
      <c r="Q38" s="511">
        <f t="shared" si="14"/>
        <v>82601672.833102226</v>
      </c>
      <c r="R38" s="511">
        <f t="shared" si="15"/>
        <v>103958514.00856209</v>
      </c>
      <c r="S38" s="510">
        <f t="shared" si="16"/>
        <v>26798888.140090942</v>
      </c>
      <c r="T38" s="511">
        <f t="shared" si="17"/>
        <v>34771096.193166733</v>
      </c>
      <c r="U38" s="511">
        <f t="shared" si="18"/>
        <v>82601672.833102226</v>
      </c>
      <c r="V38" s="511">
        <f t="shared" si="19"/>
        <v>103958514.00856209</v>
      </c>
      <c r="W38" s="521">
        <f t="shared" si="20"/>
        <v>2839710286.6983662</v>
      </c>
      <c r="X38" s="522">
        <f t="shared" si="21"/>
        <v>3563658599.9899392</v>
      </c>
      <c r="Y38" s="522">
        <f t="shared" si="22"/>
        <v>4488217348.6490002</v>
      </c>
      <c r="Z38" s="530">
        <f t="shared" si="23"/>
        <v>6011013949.6168261</v>
      </c>
    </row>
    <row r="39" spans="2:26">
      <c r="B39" s="458">
        <v>2060</v>
      </c>
      <c r="C39" s="521">
        <f>SUM('Voluntary Costs'!F265:K265)</f>
        <v>0</v>
      </c>
      <c r="D39" s="522">
        <f>SUM('Voluntary Costs'!O265:T265)</f>
        <v>0</v>
      </c>
      <c r="E39" s="522">
        <f>SUM('Voluntary Costs'!X265:AC265)</f>
        <v>0</v>
      </c>
      <c r="F39" s="522">
        <f>SUM('Voluntary Costs'!AH265:AM265)</f>
        <v>0</v>
      </c>
      <c r="G39" s="521">
        <f>SUM('Involuntary Costs'!D169:I169)</f>
        <v>4174576036.4775944</v>
      </c>
      <c r="H39" s="522">
        <f>SUM('Involuntary Costs'!L169:Q169)</f>
        <v>5855381026.7304258</v>
      </c>
      <c r="I39" s="522">
        <f>SUM('Involuntary Costs'!T169:Y169)</f>
        <v>8510204324.4525242</v>
      </c>
      <c r="J39" s="522">
        <f>SUM('Involuntary Costs'!AB169:AG169)</f>
        <v>14477943065.208651</v>
      </c>
      <c r="K39" s="521">
        <f>SUM([1]Costing!$D169:$I169)</f>
        <v>4213879959.984417</v>
      </c>
      <c r="L39" s="522">
        <f>SUM([1]Costing!$L169:$Q169)</f>
        <v>5913135487.7567911</v>
      </c>
      <c r="M39" s="522">
        <f>SUM([1]Costing!$T169:$Y169)</f>
        <v>8671172373.6851196</v>
      </c>
      <c r="N39" s="522">
        <f>SUM([1]Costing!$AB169:$AG169)</f>
        <v>14728480195.709137</v>
      </c>
      <c r="O39" s="510">
        <f t="shared" si="12"/>
        <v>39303923.506822586</v>
      </c>
      <c r="P39" s="511">
        <f t="shared" si="13"/>
        <v>57754461.02636528</v>
      </c>
      <c r="Q39" s="511">
        <f t="shared" si="14"/>
        <v>160968049.23259544</v>
      </c>
      <c r="R39" s="511">
        <f t="shared" si="15"/>
        <v>250537130.50048637</v>
      </c>
      <c r="S39" s="510">
        <f t="shared" si="16"/>
        <v>39303923.506822586</v>
      </c>
      <c r="T39" s="511">
        <f t="shared" si="17"/>
        <v>57754461.02636528</v>
      </c>
      <c r="U39" s="511">
        <f t="shared" si="18"/>
        <v>160968049.23259544</v>
      </c>
      <c r="V39" s="511">
        <f t="shared" si="19"/>
        <v>250537130.50048637</v>
      </c>
      <c r="W39" s="521">
        <f t="shared" si="20"/>
        <v>4174576036.4775944</v>
      </c>
      <c r="X39" s="522">
        <f t="shared" si="21"/>
        <v>5855381026.7304258</v>
      </c>
      <c r="Y39" s="522">
        <f t="shared" si="22"/>
        <v>8510204324.4525242</v>
      </c>
      <c r="Z39" s="530">
        <f t="shared" si="23"/>
        <v>14477943065.208651</v>
      </c>
    </row>
    <row r="40" spans="2:26">
      <c r="B40" s="458">
        <v>2070</v>
      </c>
      <c r="C40" s="521">
        <f>SUM('Voluntary Costs'!F266:K266)</f>
        <v>0</v>
      </c>
      <c r="D40" s="522">
        <f>SUM('Voluntary Costs'!O266:T266)</f>
        <v>0</v>
      </c>
      <c r="E40" s="522">
        <f>SUM('Voluntary Costs'!X266:AC266)</f>
        <v>0</v>
      </c>
      <c r="F40" s="522">
        <f>SUM('Voluntary Costs'!AH266:AM266)</f>
        <v>0</v>
      </c>
      <c r="G40" s="521">
        <f>SUM('Involuntary Costs'!D170:I170)</f>
        <v>5851453388.7003317</v>
      </c>
      <c r="H40" s="522">
        <f>SUM('Involuntary Costs'!L170:Q170)</f>
        <v>8976052778.2254658</v>
      </c>
      <c r="I40" s="522">
        <f>SUM('Involuntary Costs'!T170:Y170)</f>
        <v>15749560102.300316</v>
      </c>
      <c r="J40" s="522">
        <f>SUM('Involuntary Costs'!AB170:AG170)</f>
        <v>36104483781.164688</v>
      </c>
      <c r="K40" s="521">
        <f>SUM([1]Costing!$D170:$I170)</f>
        <v>5905921952.4121008</v>
      </c>
      <c r="L40" s="522">
        <f>SUM([1]Costing!$L170:$Q170)</f>
        <v>9064945730.5737953</v>
      </c>
      <c r="M40" s="522">
        <f>SUM([1]Costing!$T170:$Y170)</f>
        <v>16054285904.039204</v>
      </c>
      <c r="N40" s="522">
        <f>SUM([1]Costing!$AB170:$AG170)</f>
        <v>36724500949.510994</v>
      </c>
      <c r="O40" s="510">
        <f t="shared" si="12"/>
        <v>54468563.711769104</v>
      </c>
      <c r="P40" s="511">
        <f t="shared" si="13"/>
        <v>88892952.348329544</v>
      </c>
      <c r="Q40" s="511">
        <f t="shared" si="14"/>
        <v>304725801.73888779</v>
      </c>
      <c r="R40" s="511">
        <f t="shared" si="15"/>
        <v>620017168.34630585</v>
      </c>
      <c r="S40" s="510">
        <f t="shared" si="16"/>
        <v>54468563.711769104</v>
      </c>
      <c r="T40" s="511">
        <f t="shared" si="17"/>
        <v>88892952.348329544</v>
      </c>
      <c r="U40" s="511">
        <f t="shared" si="18"/>
        <v>304725801.73888779</v>
      </c>
      <c r="V40" s="511">
        <f t="shared" si="19"/>
        <v>620017168.34630585</v>
      </c>
      <c r="W40" s="521">
        <f t="shared" si="20"/>
        <v>5851453388.7003317</v>
      </c>
      <c r="X40" s="522">
        <f t="shared" si="21"/>
        <v>8976052778.2254658</v>
      </c>
      <c r="Y40" s="522">
        <f t="shared" si="22"/>
        <v>15749560102.300316</v>
      </c>
      <c r="Z40" s="530">
        <f t="shared" si="23"/>
        <v>36104483781.164688</v>
      </c>
    </row>
    <row r="41" spans="2:26">
      <c r="B41" s="458">
        <v>2080</v>
      </c>
      <c r="C41" s="521">
        <f>SUM('Voluntary Costs'!F267:K267)</f>
        <v>0</v>
      </c>
      <c r="D41" s="522">
        <f>SUM('Voluntary Costs'!O267:T267)</f>
        <v>0</v>
      </c>
      <c r="E41" s="522">
        <f>SUM('Voluntary Costs'!X267:AC267)</f>
        <v>0</v>
      </c>
      <c r="F41" s="522">
        <f>SUM('Voluntary Costs'!AH267:AM267)</f>
        <v>0</v>
      </c>
      <c r="G41" s="521">
        <f>SUM('Involuntary Costs'!D171:I171)</f>
        <v>7814950125.2157841</v>
      </c>
      <c r="H41" s="522">
        <f>SUM('Involuntary Costs'!L171:Q171)</f>
        <v>12991043885.739136</v>
      </c>
      <c r="I41" s="522">
        <f>SUM('Involuntary Costs'!T171:Y171)</f>
        <v>27965249690.654644</v>
      </c>
      <c r="J41" s="522">
        <f>SUM('Involuntary Costs'!AB171:AG171)</f>
        <v>90745298070.08493</v>
      </c>
      <c r="K41" s="521">
        <f>SUM([1]Costing!$D171:$I171)</f>
        <v>7886204530.7155743</v>
      </c>
      <c r="L41" s="522">
        <f>SUM([1]Costing!$L171:$Q171)</f>
        <v>13119375577.459221</v>
      </c>
      <c r="M41" s="522">
        <f>SUM([1]Costing!$T171:$Y171)</f>
        <v>28516983909.702106</v>
      </c>
      <c r="N41" s="522">
        <f>SUM([1]Costing!$AB171:$AG171)</f>
        <v>92279161446.389786</v>
      </c>
      <c r="O41" s="510">
        <f t="shared" si="12"/>
        <v>71254405.499790192</v>
      </c>
      <c r="P41" s="511">
        <f t="shared" si="13"/>
        <v>128331691.72008514</v>
      </c>
      <c r="Q41" s="511">
        <f t="shared" si="14"/>
        <v>551734219.04746246</v>
      </c>
      <c r="R41" s="511">
        <f t="shared" si="15"/>
        <v>1533863376.3048553</v>
      </c>
      <c r="S41" s="510">
        <f t="shared" si="16"/>
        <v>71254405.499790192</v>
      </c>
      <c r="T41" s="511">
        <f t="shared" si="17"/>
        <v>128331691.72008514</v>
      </c>
      <c r="U41" s="511">
        <f t="shared" si="18"/>
        <v>551734219.04746246</v>
      </c>
      <c r="V41" s="511">
        <f t="shared" si="19"/>
        <v>1533863376.3048553</v>
      </c>
      <c r="W41" s="521">
        <f t="shared" si="20"/>
        <v>7814950125.2157841</v>
      </c>
      <c r="X41" s="522">
        <f t="shared" si="21"/>
        <v>12991043885.739136</v>
      </c>
      <c r="Y41" s="522">
        <f t="shared" si="22"/>
        <v>27965249690.654644</v>
      </c>
      <c r="Z41" s="530">
        <f t="shared" si="23"/>
        <v>90745298070.08493</v>
      </c>
    </row>
    <row r="42" spans="2:26">
      <c r="B42" s="458">
        <v>2090</v>
      </c>
      <c r="C42" s="521">
        <f>SUM('Voluntary Costs'!F268:K268)</f>
        <v>0</v>
      </c>
      <c r="D42" s="522">
        <f>SUM('Voluntary Costs'!O268:T268)</f>
        <v>0</v>
      </c>
      <c r="E42" s="522">
        <f>SUM('Voluntary Costs'!X268:AC268)</f>
        <v>0</v>
      </c>
      <c r="F42" s="522">
        <f>SUM('Voluntary Costs'!AH268:AM268)</f>
        <v>0</v>
      </c>
      <c r="G42" s="521">
        <f>SUM('Involuntary Costs'!D172:I172)</f>
        <v>9975616588.8968697</v>
      </c>
      <c r="H42" s="522">
        <f>SUM('Involuntary Costs'!L172:Q172)</f>
        <v>18018975464.55233</v>
      </c>
      <c r="I42" s="522">
        <f>SUM('Involuntary Costs'!T172:Y172)</f>
        <v>48202512015.023567</v>
      </c>
      <c r="J42" s="522">
        <f>SUM('Involuntary Costs'!AB172:AG172)</f>
        <v>220775130845.69928</v>
      </c>
      <c r="K42" s="521">
        <f>SUM([1]Costing!$D172:$I172)</f>
        <v>10063786418.803858</v>
      </c>
      <c r="L42" s="522">
        <f>SUM([1]Costing!$L172:$Q172)</f>
        <v>18195524399.481567</v>
      </c>
      <c r="M42" s="522">
        <f>SUM([1]Costing!$T172:$Y172)</f>
        <v>49170650188.428574</v>
      </c>
      <c r="N42" s="522">
        <f>SUM([1]Costing!$AB172:$AG172)</f>
        <v>224418828053.52737</v>
      </c>
      <c r="O42" s="510">
        <f t="shared" si="12"/>
        <v>88169829.906988144</v>
      </c>
      <c r="P42" s="511">
        <f t="shared" si="13"/>
        <v>176548934.92923737</v>
      </c>
      <c r="Q42" s="511">
        <f t="shared" si="14"/>
        <v>968138173.40500641</v>
      </c>
      <c r="R42" s="511">
        <f t="shared" si="15"/>
        <v>3643697207.8280945</v>
      </c>
      <c r="S42" s="510">
        <f t="shared" si="16"/>
        <v>88169829.906988144</v>
      </c>
      <c r="T42" s="511">
        <f t="shared" si="17"/>
        <v>176548934.92923737</v>
      </c>
      <c r="U42" s="511">
        <f t="shared" si="18"/>
        <v>968138173.40500641</v>
      </c>
      <c r="V42" s="511">
        <f t="shared" si="19"/>
        <v>3643697207.8280945</v>
      </c>
      <c r="W42" s="521">
        <f t="shared" si="20"/>
        <v>9975616588.8968697</v>
      </c>
      <c r="X42" s="522">
        <f t="shared" si="21"/>
        <v>18018975464.55233</v>
      </c>
      <c r="Y42" s="522">
        <f t="shared" si="22"/>
        <v>48202512015.023567</v>
      </c>
      <c r="Z42" s="530">
        <f t="shared" si="23"/>
        <v>220775130845.69928</v>
      </c>
    </row>
    <row r="43" spans="2:26">
      <c r="B43" s="459">
        <v>2100</v>
      </c>
      <c r="C43" s="523">
        <f>SUM('Voluntary Costs'!F269:K269)</f>
        <v>0</v>
      </c>
      <c r="D43" s="524">
        <f>SUM('Voluntary Costs'!O269:T269)</f>
        <v>0</v>
      </c>
      <c r="E43" s="524">
        <f>SUM('Voluntary Costs'!X269:AC269)</f>
        <v>0</v>
      </c>
      <c r="F43" s="524">
        <f>SUM('Voluntary Costs'!AH269:AM269)</f>
        <v>0</v>
      </c>
      <c r="G43" s="523">
        <f>SUM('Involuntary Costs'!D173:I173)</f>
        <v>12601931839.282082</v>
      </c>
      <c r="H43" s="524">
        <f>SUM('Involuntary Costs'!L173:Q173)</f>
        <v>24403862995.103539</v>
      </c>
      <c r="I43" s="524">
        <f>SUM('Involuntary Costs'!T173:Y173)</f>
        <v>81898353584.119415</v>
      </c>
      <c r="J43" s="524">
        <f>SUM('Involuntary Costs'!AB173:AG173)</f>
        <v>505783443212.55219</v>
      </c>
      <c r="K43" s="527">
        <f>SUM([1]Costing!$D173:$I173)</f>
        <v>12708832985.129017</v>
      </c>
      <c r="L43" s="528">
        <f>SUM([1]Costing!$L173:$Q173)</f>
        <v>24640210023.360046</v>
      </c>
      <c r="M43" s="528">
        <f>SUM([1]Costing!$T173:$Y173)</f>
        <v>83570479365.657639</v>
      </c>
      <c r="N43" s="528">
        <f>SUM([1]Costing!$AB173:$AG173)</f>
        <v>513873002351.24597</v>
      </c>
      <c r="O43" s="512">
        <f t="shared" si="12"/>
        <v>106901145.84693527</v>
      </c>
      <c r="P43" s="513">
        <f t="shared" si="13"/>
        <v>236347028.25650787</v>
      </c>
      <c r="Q43" s="513">
        <f t="shared" si="14"/>
        <v>1672125781.5382233</v>
      </c>
      <c r="R43" s="513">
        <f t="shared" si="15"/>
        <v>8089559138.6937866</v>
      </c>
      <c r="S43" s="512">
        <f t="shared" si="16"/>
        <v>106901145.84693527</v>
      </c>
      <c r="T43" s="513">
        <f t="shared" si="17"/>
        <v>236347028.25650787</v>
      </c>
      <c r="U43" s="513">
        <f t="shared" si="18"/>
        <v>1672125781.5382233</v>
      </c>
      <c r="V43" s="513">
        <f t="shared" si="19"/>
        <v>8089559138.6937866</v>
      </c>
      <c r="W43" s="523">
        <f t="shared" si="20"/>
        <v>12601931839.282082</v>
      </c>
      <c r="X43" s="524">
        <f t="shared" si="21"/>
        <v>24403862995.103539</v>
      </c>
      <c r="Y43" s="524">
        <f t="shared" si="22"/>
        <v>81898353584.119415</v>
      </c>
      <c r="Z43" s="531">
        <f t="shared" si="23"/>
        <v>505783443212.55219</v>
      </c>
    </row>
  </sheetData>
  <mergeCells count="25">
    <mergeCell ref="B1:J1"/>
    <mergeCell ref="C3:F3"/>
    <mergeCell ref="K3:N3"/>
    <mergeCell ref="K2:N2"/>
    <mergeCell ref="W2:Z2"/>
    <mergeCell ref="W3:Z3"/>
    <mergeCell ref="S2:V2"/>
    <mergeCell ref="S3:V3"/>
    <mergeCell ref="O3:R3"/>
    <mergeCell ref="C2:F2"/>
    <mergeCell ref="G2:J2"/>
    <mergeCell ref="G3:J3"/>
    <mergeCell ref="O2:R2"/>
    <mergeCell ref="S23:V23"/>
    <mergeCell ref="W23:Z23"/>
    <mergeCell ref="C24:F24"/>
    <mergeCell ref="G24:J24"/>
    <mergeCell ref="K24:N24"/>
    <mergeCell ref="O24:R24"/>
    <mergeCell ref="S24:V24"/>
    <mergeCell ref="W24:Z24"/>
    <mergeCell ref="C23:F23"/>
    <mergeCell ref="G23:J23"/>
    <mergeCell ref="K23:N23"/>
    <mergeCell ref="O23:R23"/>
  </mergeCells>
  <conditionalFormatting sqref="C26:F43">
    <cfRule type="expression" dxfId="79" priority="1">
      <formula>$C$26:$F$43&lt;$G$26:$J$43</formula>
    </cfRule>
  </conditionalFormatting>
  <conditionalFormatting sqref="C5:N22">
    <cfRule type="cellIs" dxfId="78" priority="12" operator="greaterThanOrEqual">
      <formula>0.1</formula>
    </cfRule>
    <cfRule type="cellIs" dxfId="77" priority="13" operator="lessThan">
      <formula>0.1</formula>
    </cfRule>
  </conditionalFormatting>
  <conditionalFormatting sqref="O5:V22">
    <cfRule type="cellIs" dxfId="76" priority="10" operator="greaterThan">
      <formula>0</formula>
    </cfRule>
    <cfRule type="cellIs" dxfId="75" priority="11" operator="lessThanOrEqual">
      <formula>0</formula>
    </cfRule>
  </conditionalFormatting>
  <conditionalFormatting sqref="O26:V43">
    <cfRule type="cellIs" dxfId="74" priority="4" operator="greaterThan">
      <formula>0</formula>
    </cfRule>
    <cfRule type="cellIs" dxfId="73" priority="5" operator="lessThanOrEqual">
      <formula>0</formula>
    </cfRule>
  </conditionalFormatting>
  <conditionalFormatting sqref="W5:Z22">
    <cfRule type="cellIs" dxfId="72" priority="8" operator="greaterThanOrEqual">
      <formula>0.1</formula>
    </cfRule>
    <cfRule type="cellIs" dxfId="71" priority="9" operator="lessThan">
      <formula>0.1</formula>
    </cfRule>
  </conditionalFormatting>
  <conditionalFormatting sqref="W26:Z43">
    <cfRule type="cellIs" dxfId="70" priority="3" operator="lessThan">
      <formula>0.1</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5B550-C8FC-4F24-BCC4-110063C1E919}">
  <dimension ref="A2:P64"/>
  <sheetViews>
    <sheetView topLeftCell="A53" workbookViewId="0">
      <selection activeCell="C5" sqref="C5:E22"/>
    </sheetView>
  </sheetViews>
  <sheetFormatPr defaultColWidth="8.7109375" defaultRowHeight="15"/>
  <cols>
    <col min="1" max="1" width="3.140625" customWidth="1"/>
    <col min="2" max="2" width="15.7109375" bestFit="1" customWidth="1"/>
    <col min="3" max="3" width="13.7109375" customWidth="1"/>
    <col min="4" max="4" width="15.28515625" customWidth="1"/>
    <col min="5" max="5" width="16.42578125" customWidth="1"/>
    <col min="6" max="6" width="16.140625" customWidth="1"/>
    <col min="7" max="8" width="13.42578125" customWidth="1"/>
    <col min="9" max="9" width="14.28515625" customWidth="1"/>
    <col min="10" max="10" width="16.7109375" customWidth="1"/>
    <col min="11" max="11" width="15.7109375" customWidth="1"/>
    <col min="12" max="12" width="16" customWidth="1"/>
    <col min="13" max="13" width="12" customWidth="1"/>
    <col min="14" max="14" width="13" customWidth="1"/>
    <col min="16" max="16" width="12.85546875" bestFit="1" customWidth="1"/>
  </cols>
  <sheetData>
    <row r="2" spans="2:16">
      <c r="C2" s="618" t="s">
        <v>323</v>
      </c>
      <c r="D2" s="574"/>
      <c r="E2" s="574"/>
      <c r="F2" s="574"/>
      <c r="G2" s="574"/>
      <c r="H2" s="574"/>
      <c r="I2" s="574"/>
      <c r="J2" s="574"/>
      <c r="K2" s="574"/>
      <c r="L2" s="574"/>
      <c r="M2" s="574"/>
      <c r="N2" s="574"/>
    </row>
    <row r="3" spans="2:16">
      <c r="C3" s="619" t="s">
        <v>201</v>
      </c>
      <c r="D3" s="620"/>
      <c r="E3" s="620"/>
      <c r="F3" s="620"/>
      <c r="G3" s="620"/>
      <c r="H3" s="621"/>
      <c r="I3" s="619" t="s">
        <v>204</v>
      </c>
      <c r="J3" s="620"/>
      <c r="K3" s="620"/>
      <c r="L3" s="620"/>
      <c r="M3" s="620"/>
      <c r="N3" s="621"/>
    </row>
    <row r="4" spans="2:16" ht="60">
      <c r="B4" s="457" t="s">
        <v>87</v>
      </c>
      <c r="C4" s="460" t="s">
        <v>324</v>
      </c>
      <c r="D4" s="461" t="s">
        <v>325</v>
      </c>
      <c r="E4" s="462" t="s">
        <v>326</v>
      </c>
      <c r="F4" s="461" t="s">
        <v>327</v>
      </c>
      <c r="G4" s="463" t="s">
        <v>328</v>
      </c>
      <c r="H4" s="462" t="s">
        <v>329</v>
      </c>
      <c r="I4" s="461" t="s">
        <v>324</v>
      </c>
      <c r="J4" s="461" t="s">
        <v>325</v>
      </c>
      <c r="K4" s="462" t="s">
        <v>326</v>
      </c>
      <c r="L4" s="461" t="s">
        <v>327</v>
      </c>
      <c r="M4" s="462" t="s">
        <v>328</v>
      </c>
      <c r="N4" s="464" t="s">
        <v>329</v>
      </c>
    </row>
    <row r="5" spans="2:16">
      <c r="B5" s="458">
        <v>2020</v>
      </c>
      <c r="C5" s="469">
        <f>SUM('Voluntary Costs'!H252:K252)/1000000000</f>
        <v>0.83325332336381874</v>
      </c>
      <c r="D5" s="484">
        <f>SUM('Involuntary Costs'!D156:I156)/1000000000</f>
        <v>0.58708683448691845</v>
      </c>
      <c r="E5" s="484">
        <f>SUM([1]Costing!$D156:$I156)/1000000000</f>
        <v>0.58708683448691845</v>
      </c>
      <c r="F5" s="40">
        <f t="shared" ref="F5:F15" si="0">(C5+D5)-E5</f>
        <v>0.83325332336381885</v>
      </c>
      <c r="G5" s="180">
        <f t="shared" ref="G5:G22" si="1">F5/E5</f>
        <v>1.4193016678564021</v>
      </c>
      <c r="H5" s="470">
        <f t="shared" ref="H5:H22" si="2">(D5-E5)/E5</f>
        <v>0</v>
      </c>
      <c r="I5" s="471">
        <f>SUM('Voluntary Costs'!AJ252:AM252)/1000000000</f>
        <v>0.83325332336381874</v>
      </c>
      <c r="J5" s="40">
        <f>SUM('Involuntary Costs'!AB156:AG156)/1000000000</f>
        <v>0.58708683448691845</v>
      </c>
      <c r="K5" s="40">
        <f>SUM([1]Costing!$AB156:$AG156)/1000000000</f>
        <v>0.58708683448691845</v>
      </c>
      <c r="L5" s="40">
        <f t="shared" ref="L5:L15" si="3">(I5+J5)-K5</f>
        <v>0.83325332336381885</v>
      </c>
      <c r="M5" s="180">
        <f>L5/K5</f>
        <v>1.4193016678564021</v>
      </c>
      <c r="N5" s="465">
        <f t="shared" ref="N5:N22" si="4">(J5-K5)/K5</f>
        <v>0</v>
      </c>
      <c r="P5" s="474"/>
    </row>
    <row r="6" spans="2:16">
      <c r="B6" s="458">
        <v>2021</v>
      </c>
      <c r="C6" s="469">
        <f>SUM('Voluntary Costs'!H253:K253)/1000000000</f>
        <v>0.87068285150245439</v>
      </c>
      <c r="D6" s="484">
        <f>SUM('Involuntary Costs'!D157:I157)/1000000000</f>
        <v>0.62352759382329026</v>
      </c>
      <c r="E6" s="484">
        <f>SUM([1]Costing!$D157:$I157)/1000000000</f>
        <v>0.62434266684598827</v>
      </c>
      <c r="F6" s="40">
        <f t="shared" si="0"/>
        <v>0.86986777847975627</v>
      </c>
      <c r="G6" s="180">
        <f t="shared" si="1"/>
        <v>1.3932537766065149</v>
      </c>
      <c r="H6" s="465">
        <f t="shared" si="2"/>
        <v>-1.3054898631476525E-3</v>
      </c>
      <c r="I6" s="471">
        <f>SUM('Voluntary Costs'!AJ253:AM253)/1000000000</f>
        <v>0.87091274156971676</v>
      </c>
      <c r="J6" s="40">
        <f>SUM('Involuntary Costs'!AB157:AG157)/1000000000</f>
        <v>0.63161117260100175</v>
      </c>
      <c r="K6" s="40">
        <f>SUM([1]Costing!$AB157:$AG157)/1000000000</f>
        <v>0.63293232010770317</v>
      </c>
      <c r="L6" s="40">
        <f t="shared" si="3"/>
        <v>0.86959159406301534</v>
      </c>
      <c r="M6" s="180">
        <f t="shared" ref="M6:M21" si="5">L6/K6</f>
        <v>1.37390928925077</v>
      </c>
      <c r="N6" s="465">
        <f>(J6-K6)/K6</f>
        <v>-2.0873440409499267E-3</v>
      </c>
      <c r="P6" s="474"/>
    </row>
    <row r="7" spans="2:16">
      <c r="B7" s="458">
        <v>2022</v>
      </c>
      <c r="C7" s="469">
        <f>SUM('Voluntary Costs'!H254:K254)/1000000000</f>
        <v>0.90950235860343998</v>
      </c>
      <c r="D7" s="484">
        <f>SUM('Involuntary Costs'!D158:I158)/1000000000</f>
        <v>0.66213945096353566</v>
      </c>
      <c r="E7" s="484">
        <f>SUM([1]Costing!$D158:$I158)/1000000000</f>
        <v>0.66380260561362425</v>
      </c>
      <c r="F7" s="40">
        <f t="shared" si="0"/>
        <v>0.90783920395335149</v>
      </c>
      <c r="G7" s="180">
        <f t="shared" si="1"/>
        <v>1.3676342880789658</v>
      </c>
      <c r="H7" s="465">
        <f t="shared" si="2"/>
        <v>-2.5054958146046458E-3</v>
      </c>
      <c r="I7" s="471">
        <f>SUM('Voluntary Costs'!AJ254:AM254)/1000000000</f>
        <v>0.90999195991056037</v>
      </c>
      <c r="J7" s="40">
        <f>SUM('Involuntary Costs'!AB158:AG158)/1000000000</f>
        <v>0.67930220552629605</v>
      </c>
      <c r="K7" s="40">
        <f>SUM([1]Costing!$AB158:$AG158)/1000000000</f>
        <v>0.68193608217024071</v>
      </c>
      <c r="L7" s="40">
        <f t="shared" si="3"/>
        <v>0.90735808326661571</v>
      </c>
      <c r="M7" s="180">
        <f t="shared" si="5"/>
        <v>1.3305617740286984</v>
      </c>
      <c r="N7" s="465">
        <f t="shared" si="4"/>
        <v>-3.862351198021995E-3</v>
      </c>
      <c r="P7" s="474"/>
    </row>
    <row r="8" spans="2:16">
      <c r="B8" s="458">
        <v>2023</v>
      </c>
      <c r="C8" s="469">
        <f>SUM('Voluntary Costs'!H255:K255)/1000000000</f>
        <v>0.9497828618088423</v>
      </c>
      <c r="D8" s="484">
        <f>SUM('Involuntary Costs'!D159:I159)/1000000000</f>
        <v>0.70306072428631494</v>
      </c>
      <c r="E8" s="484">
        <f>SUM([1]Costing!$D159:$I159)/1000000000</f>
        <v>0.70558983472394687</v>
      </c>
      <c r="F8" s="40">
        <f t="shared" si="0"/>
        <v>0.94725375137121026</v>
      </c>
      <c r="G8" s="180">
        <f t="shared" si="1"/>
        <v>1.3424991471735295</v>
      </c>
      <c r="H8" s="465">
        <f t="shared" si="2"/>
        <v>-3.584391828180765E-3</v>
      </c>
      <c r="I8" s="471">
        <f>SUM('Voluntary Costs'!AJ255:AM255)/1000000000</f>
        <v>0.95056091086040795</v>
      </c>
      <c r="J8" s="40">
        <f>SUM('Involuntary Costs'!AB159:AG159)/1000000000</f>
        <v>0.73038624307498579</v>
      </c>
      <c r="K8" s="40">
        <f>SUM([1]Costing!$AB159:$AG159)/1000000000</f>
        <v>0.73429495102772202</v>
      </c>
      <c r="L8" s="40">
        <f t="shared" si="3"/>
        <v>0.94665220290767171</v>
      </c>
      <c r="M8" s="180">
        <f t="shared" si="5"/>
        <v>1.2891988452089091</v>
      </c>
      <c r="N8" s="465">
        <f>(J8-K8)/K8</f>
        <v>-5.3230761661449419E-3</v>
      </c>
      <c r="P8" s="474"/>
    </row>
    <row r="9" spans="2:16">
      <c r="B9" s="458">
        <v>2024</v>
      </c>
      <c r="C9" s="469">
        <f>SUM('Voluntary Costs'!H256:K256)/1000000000</f>
        <v>0.99159623467375957</v>
      </c>
      <c r="D9" s="484">
        <f>SUM('Involuntary Costs'!D160:I160)/1000000000</f>
        <v>0.74642511013269053</v>
      </c>
      <c r="E9" s="484">
        <f>SUM([1]Costing!$D160:$I160)/1000000000</f>
        <v>0.7498341164410689</v>
      </c>
      <c r="F9" s="40">
        <f t="shared" si="0"/>
        <v>0.9881872283653812</v>
      </c>
      <c r="G9" s="180">
        <f t="shared" si="1"/>
        <v>1.3178744560938433</v>
      </c>
      <c r="H9" s="465">
        <f t="shared" si="2"/>
        <v>-4.5463472968641479E-3</v>
      </c>
      <c r="I9" s="471">
        <f>SUM('Voluntary Costs'!AJ256:AM256)/1000000000</f>
        <v>0.9926908345304607</v>
      </c>
      <c r="J9" s="40">
        <f>SUM('Involuntary Costs'!AB160:AG160)/1000000000</f>
        <v>0.78507692685893771</v>
      </c>
      <c r="K9" s="40">
        <f>SUM([1]Costing!$AB160:$AG160)/1000000000</f>
        <v>0.79021714379158703</v>
      </c>
      <c r="L9" s="40">
        <f t="shared" si="3"/>
        <v>0.98755061759781149</v>
      </c>
      <c r="M9" s="180">
        <f t="shared" si="5"/>
        <v>1.2497205677662055</v>
      </c>
      <c r="N9" s="465">
        <f t="shared" si="4"/>
        <v>-6.504815762393798E-3</v>
      </c>
      <c r="P9" s="474"/>
    </row>
    <row r="10" spans="2:16">
      <c r="B10" s="458">
        <v>2025</v>
      </c>
      <c r="C10" s="469">
        <f>SUM('Voluntary Costs'!H257:K257)/1000000000</f>
        <v>1.0350155515137582</v>
      </c>
      <c r="D10" s="484">
        <f>SUM('Involuntary Costs'!D161:I161)/1000000000</f>
        <v>0.79235877511146235</v>
      </c>
      <c r="E10" s="484">
        <f>SUM([1]Costing!$D161:$I161)/1000000000</f>
        <v>0.79667213000635595</v>
      </c>
      <c r="F10" s="40">
        <f t="shared" si="0"/>
        <v>1.0307021966188645</v>
      </c>
      <c r="G10" s="180">
        <f t="shared" si="1"/>
        <v>1.2937595753608722</v>
      </c>
      <c r="H10" s="465">
        <f t="shared" si="2"/>
        <v>-5.4142158768114342E-3</v>
      </c>
      <c r="I10" s="471">
        <f>SUM('Voluntary Costs'!AJ257:AM257)/1000000000</f>
        <v>1.0364545406683259</v>
      </c>
      <c r="J10" s="40">
        <f>SUM('Involuntary Costs'!AB161:AG161)/1000000000</f>
        <v>0.84363019069056511</v>
      </c>
      <c r="K10" s="40">
        <f>SUM([1]Costing!$AB161:$AG161)/1000000000</f>
        <v>0.84992288715008291</v>
      </c>
      <c r="L10" s="40">
        <f t="shared" si="3"/>
        <v>1.0301618442088079</v>
      </c>
      <c r="M10" s="180">
        <f t="shared" si="5"/>
        <v>1.2120650705890423</v>
      </c>
      <c r="N10" s="465">
        <f>(J10-K10)/K10</f>
        <v>-7.4038439894449021E-3</v>
      </c>
      <c r="P10" s="474"/>
    </row>
    <row r="11" spans="2:16">
      <c r="B11" s="458">
        <v>2026</v>
      </c>
      <c r="C11" s="469">
        <f>SUM('Voluntary Costs'!H258:K258)/1000000000</f>
        <v>1.0801153885155963</v>
      </c>
      <c r="D11" s="484">
        <f>SUM('Involuntary Costs'!D162:I162)/1000000000</f>
        <v>0.84102436296961813</v>
      </c>
      <c r="E11" s="484">
        <f>SUM([1]Costing!$D162:$I162)/1000000000</f>
        <v>0.84624782720383607</v>
      </c>
      <c r="F11" s="40">
        <f t="shared" si="0"/>
        <v>1.0748919242813784</v>
      </c>
      <c r="G11" s="180">
        <f t="shared" si="1"/>
        <v>1.2701857419628786</v>
      </c>
      <c r="H11" s="465">
        <f t="shared" si="2"/>
        <v>-6.1724994337382872E-3</v>
      </c>
      <c r="I11" s="471">
        <f>SUM('Voluntary Costs'!AJ258:AM258)/1000000000</f>
        <v>1.0819266464775668</v>
      </c>
      <c r="J11" s="40">
        <f>SUM('Involuntary Costs'!AB162:AG162)/1000000000</f>
        <v>0.90628790930296377</v>
      </c>
      <c r="K11" s="40">
        <f>SUM([1]Costing!$AB162:$AG162)/1000000000</f>
        <v>0.91364507280799134</v>
      </c>
      <c r="L11" s="40">
        <f t="shared" si="3"/>
        <v>1.0745694829725392</v>
      </c>
      <c r="M11" s="180">
        <f t="shared" si="5"/>
        <v>1.1761344913402354</v>
      </c>
      <c r="N11" s="465">
        <f t="shared" si="4"/>
        <v>-8.05254001142491E-3</v>
      </c>
      <c r="P11" s="474"/>
    </row>
    <row r="12" spans="2:16">
      <c r="B12" s="458">
        <v>2027</v>
      </c>
      <c r="C12" s="469">
        <f>SUM('Voluntary Costs'!H259:K259)/1000000000</f>
        <v>1.1269720915640273</v>
      </c>
      <c r="D12" s="484">
        <f>SUM('Involuntary Costs'!D163:I163)/1000000000</f>
        <v>0.89256264182934564</v>
      </c>
      <c r="E12" s="484">
        <f>SUM([1]Costing!$D163:$I163)/1000000000</f>
        <v>0.89871280566816958</v>
      </c>
      <c r="F12" s="40">
        <f t="shared" si="0"/>
        <v>1.1208219277252032</v>
      </c>
      <c r="G12" s="180">
        <f t="shared" si="1"/>
        <v>1.2471413789323957</v>
      </c>
      <c r="H12" s="465">
        <f t="shared" si="2"/>
        <v>-6.8433027770773269E-3</v>
      </c>
      <c r="I12" s="471">
        <f>SUM('Voluntary Costs'!AJ259:AM259)/1000000000</f>
        <v>1.1291837956378958</v>
      </c>
      <c r="J12" s="40">
        <f>SUM('Involuntary Costs'!AB163:AG163)/1000000000</f>
        <v>0.97333933401148165</v>
      </c>
      <c r="K12" s="40">
        <f>SUM([1]Costing!$AB163:$AG163)/1000000000</f>
        <v>0.98162994719836272</v>
      </c>
      <c r="L12" s="40">
        <f t="shared" si="3"/>
        <v>1.1208931824510149</v>
      </c>
      <c r="M12" s="180">
        <f t="shared" si="5"/>
        <v>1.1418693833150859</v>
      </c>
      <c r="N12" s="465">
        <f t="shared" si="4"/>
        <v>-8.4457622860254333E-3</v>
      </c>
      <c r="P12" s="474"/>
    </row>
    <row r="13" spans="2:16">
      <c r="B13" s="458">
        <v>2028</v>
      </c>
      <c r="C13" s="469">
        <f>SUM('Voluntary Costs'!H260:K260)/1000000000</f>
        <v>1.175664018485306</v>
      </c>
      <c r="D13" s="484">
        <f>SUM('Involuntary Costs'!D164:I164)/1000000000</f>
        <v>0.94715469827312671</v>
      </c>
      <c r="E13" s="484">
        <f>SUM([1]Costing!$D164:$I164)/1000000000</f>
        <v>0.95422670079893757</v>
      </c>
      <c r="F13" s="40">
        <f t="shared" si="0"/>
        <v>1.1685920159594951</v>
      </c>
      <c r="G13" s="180">
        <f t="shared" si="1"/>
        <v>1.2246482046468388</v>
      </c>
      <c r="H13" s="465">
        <f t="shared" si="2"/>
        <v>-7.4112394045248824E-3</v>
      </c>
      <c r="I13" s="471">
        <f>SUM('Voluntary Costs'!AJ260:AM260)/1000000000</f>
        <v>1.1783048628338213</v>
      </c>
      <c r="J13" s="40">
        <f>SUM('Involuntary Costs'!AB164:AG164)/1000000000</f>
        <v>1.0450581256315661</v>
      </c>
      <c r="K13" s="40">
        <f>SUM([1]Costing!$AB164:$AG164)/1000000000</f>
        <v>1.0541378371983245</v>
      </c>
      <c r="L13" s="40">
        <f t="shared" si="3"/>
        <v>1.1692251512670631</v>
      </c>
      <c r="M13" s="180">
        <f t="shared" si="5"/>
        <v>1.1091767224432587</v>
      </c>
      <c r="N13" s="465">
        <f t="shared" si="4"/>
        <v>-8.6134006828655508E-3</v>
      </c>
      <c r="P13" s="474"/>
    </row>
    <row r="14" spans="2:16">
      <c r="B14" s="458">
        <v>2029</v>
      </c>
      <c r="C14" s="469">
        <f>SUM('Voluntary Costs'!H261:K261)/1000000000</f>
        <v>1.2262717617202943</v>
      </c>
      <c r="D14" s="484">
        <f>SUM('Involuntary Costs'!D165:I165)/1000000000</f>
        <v>1.0049758505168298</v>
      </c>
      <c r="E14" s="484">
        <f>SUM([1]Costing!$D165:$I165)/1000000000</f>
        <v>1.0129575971861815</v>
      </c>
      <c r="F14" s="40">
        <f t="shared" si="0"/>
        <v>1.2182900150509424</v>
      </c>
      <c r="G14" s="180">
        <f t="shared" si="1"/>
        <v>1.2027058372780246</v>
      </c>
      <c r="H14" s="465">
        <f t="shared" si="2"/>
        <v>-7.8796453983104413E-3</v>
      </c>
      <c r="I14" s="471">
        <f>SUM('Voluntary Costs'!AJ261:AM261)/1000000000</f>
        <v>1.2293711472683124</v>
      </c>
      <c r="J14" s="40">
        <f>SUM('Involuntary Costs'!AB165:AG165)/1000000000</f>
        <v>1.1217709877561388</v>
      </c>
      <c r="K14" s="40">
        <f>SUM([1]Costing!$AB165:$AG165)/1000000000</f>
        <v>1.1314439136661958</v>
      </c>
      <c r="L14" s="40">
        <f t="shared" si="3"/>
        <v>1.2196982213582557</v>
      </c>
      <c r="M14" s="180">
        <f t="shared" si="5"/>
        <v>1.0780014869725987</v>
      </c>
      <c r="N14" s="465">
        <f t="shared" si="4"/>
        <v>-8.5491872758535412E-3</v>
      </c>
      <c r="P14" s="474"/>
    </row>
    <row r="15" spans="2:16">
      <c r="B15" s="458">
        <v>2030</v>
      </c>
      <c r="C15" s="469">
        <f>SUM('Voluntary Costs'!H262:K262)/1000000000</f>
        <v>1.2788783561651615</v>
      </c>
      <c r="D15" s="484">
        <f>SUM('Involuntary Costs'!D166:I166)/1000000000</f>
        <v>1.0661919612361341</v>
      </c>
      <c r="E15" s="484">
        <f>SUM([1]Costing!$D166:$I166)/1000000000</f>
        <v>1.0750824604952465</v>
      </c>
      <c r="F15" s="40">
        <f t="shared" si="0"/>
        <v>1.2699878569060492</v>
      </c>
      <c r="G15" s="180">
        <f t="shared" si="1"/>
        <v>1.1812934389432954</v>
      </c>
      <c r="H15" s="465">
        <f t="shared" si="2"/>
        <v>-8.2695975293065882E-3</v>
      </c>
      <c r="I15" s="471">
        <f>SUM('Voluntary Costs'!AJ262:AM262)/1000000000</f>
        <v>1.2824665579901553</v>
      </c>
      <c r="J15" s="40">
        <f>SUM('Involuntary Costs'!AB166:AG166)/1000000000</f>
        <v>1.2037873484069295</v>
      </c>
      <c r="K15" s="40">
        <f>SUM([1]Costing!$AB166:$AG166)/1000000000</f>
        <v>1.2138389947063675</v>
      </c>
      <c r="L15" s="40">
        <f t="shared" si="3"/>
        <v>1.2724149116907175</v>
      </c>
      <c r="M15" s="180">
        <f t="shared" si="5"/>
        <v>1.0482567434724075</v>
      </c>
      <c r="N15" s="465">
        <f t="shared" si="4"/>
        <v>-8.2808727873086106E-3</v>
      </c>
      <c r="P15" s="474"/>
    </row>
    <row r="16" spans="2:16">
      <c r="B16" s="458">
        <v>2040</v>
      </c>
      <c r="C16" s="469">
        <f>SUM('Voluntary Costs'!H263:K263)/1000000000</f>
        <v>0</v>
      </c>
      <c r="D16" s="484">
        <f>SUM('Involuntary Costs'!D167:I167)/1000000000</f>
        <v>1.8099674813299782</v>
      </c>
      <c r="E16" s="484">
        <f>SUM([1]Costing!$D167:$I167)/1000000000</f>
        <v>1.8269075229000573</v>
      </c>
      <c r="F16" s="40">
        <f t="shared" ref="F16:F22" si="6">((C16+D16)-E16)</f>
        <v>-1.6940041570079112E-2</v>
      </c>
      <c r="G16" s="180">
        <f t="shared" si="1"/>
        <v>-9.2725227510083615E-3</v>
      </c>
      <c r="H16" s="465">
        <f t="shared" si="2"/>
        <v>-9.2725227510083615E-3</v>
      </c>
      <c r="I16" s="471">
        <f>SUM('Voluntary Costs'!AJ263:AM263)/1000000000</f>
        <v>0</v>
      </c>
      <c r="J16" s="40">
        <f>SUM('Involuntary Costs'!AB167:AG167)/1000000000</f>
        <v>2.6139655391744689</v>
      </c>
      <c r="K16" s="40">
        <f>SUM([1]Costing!$AB167:$AG167)/1000000000</f>
        <v>2.6586939015786712</v>
      </c>
      <c r="L16" s="40">
        <f>((I16+J16)-K16)</f>
        <v>-4.4728362404202304E-2</v>
      </c>
      <c r="M16" s="180">
        <f t="shared" si="5"/>
        <v>-1.6823434385449049E-2</v>
      </c>
      <c r="N16" s="465">
        <f t="shared" si="4"/>
        <v>-1.6823434385449049E-2</v>
      </c>
      <c r="P16" s="474"/>
    </row>
    <row r="17" spans="1:16">
      <c r="B17" s="458">
        <v>2050</v>
      </c>
      <c r="C17" s="469">
        <f>SUM('Voluntary Costs'!H264:K264)/1000000000</f>
        <v>0</v>
      </c>
      <c r="D17" s="484">
        <f>SUM('Involuntary Costs'!D168:I168)/1000000000</f>
        <v>2.8397102866983661</v>
      </c>
      <c r="E17" s="484">
        <f>SUM([1]Costing!$D168:$I168)/1000000000</f>
        <v>2.8665091748384572</v>
      </c>
      <c r="F17" s="40">
        <f t="shared" si="6"/>
        <v>-2.6798888140091126E-2</v>
      </c>
      <c r="G17" s="180">
        <f t="shared" si="1"/>
        <v>-9.3489629739634036E-3</v>
      </c>
      <c r="H17" s="465">
        <f t="shared" si="2"/>
        <v>-9.3489629739634036E-3</v>
      </c>
      <c r="I17" s="471">
        <f>SUM('Voluntary Costs'!AJ264:AM264)/1000000000</f>
        <v>0</v>
      </c>
      <c r="J17" s="40">
        <f>SUM('Involuntary Costs'!AB168:AG168)/1000000000</f>
        <v>6.0110139496168262</v>
      </c>
      <c r="K17" s="40">
        <f>SUM([1]Costing!$AB168:$AG168)/1000000000</f>
        <v>6.1149724636253877</v>
      </c>
      <c r="L17" s="40">
        <f t="shared" ref="L17:L22" si="7">((I17+J17)-K17)</f>
        <v>-0.10395851400856149</v>
      </c>
      <c r="M17" s="180">
        <f t="shared" si="5"/>
        <v>-1.7000651209298747E-2</v>
      </c>
      <c r="N17" s="465">
        <f t="shared" si="4"/>
        <v>-1.7000651209298747E-2</v>
      </c>
      <c r="P17" s="62"/>
    </row>
    <row r="18" spans="1:16">
      <c r="B18" s="458">
        <v>2060</v>
      </c>
      <c r="C18" s="469">
        <f>SUM('Voluntary Costs'!H265:K265)/1000000000</f>
        <v>0</v>
      </c>
      <c r="D18" s="484">
        <f>SUM('Involuntary Costs'!D169:I169)/1000000000</f>
        <v>4.1745760364775943</v>
      </c>
      <c r="E18" s="484">
        <f>SUM([1]Costing!$D169:$I169)/1000000000</f>
        <v>4.2138799599844168</v>
      </c>
      <c r="F18" s="40">
        <f t="shared" si="6"/>
        <v>-3.9303923506822436E-2</v>
      </c>
      <c r="G18" s="180">
        <f t="shared" si="1"/>
        <v>-9.327252764686678E-3</v>
      </c>
      <c r="H18" s="465">
        <f t="shared" si="2"/>
        <v>-9.327252764686678E-3</v>
      </c>
      <c r="I18" s="471">
        <f>SUM('Voluntary Costs'!AJ265:AM265)/1000000000</f>
        <v>0</v>
      </c>
      <c r="J18" s="40">
        <f>SUM('Involuntary Costs'!AB169:AG169)/1000000000</f>
        <v>14.477943065208651</v>
      </c>
      <c r="K18" s="40">
        <f>SUM([1]Costing!$AB169:$AG169)/1000000000</f>
        <v>14.728480195709137</v>
      </c>
      <c r="L18" s="40">
        <f t="shared" si="7"/>
        <v>-0.25053713050048643</v>
      </c>
      <c r="M18" s="180">
        <f t="shared" si="5"/>
        <v>-1.701038580840647E-2</v>
      </c>
      <c r="N18" s="465">
        <f t="shared" si="4"/>
        <v>-1.701038580840647E-2</v>
      </c>
      <c r="P18" s="474"/>
    </row>
    <row r="19" spans="1:16">
      <c r="B19" s="458">
        <v>2070</v>
      </c>
      <c r="C19" s="469">
        <f>SUM('Voluntary Costs'!H266:K266)/1000000000</f>
        <v>0</v>
      </c>
      <c r="D19" s="484">
        <f>SUM('Involuntary Costs'!D170:I170)/1000000000</f>
        <v>5.8514533887003317</v>
      </c>
      <c r="E19" s="484">
        <f>SUM([1]Costing!$D170:$I170)/1000000000</f>
        <v>5.9059219524121005</v>
      </c>
      <c r="F19" s="40">
        <f t="shared" si="6"/>
        <v>-5.446856371176878E-2</v>
      </c>
      <c r="G19" s="180">
        <f t="shared" si="1"/>
        <v>-9.2227029328626146E-3</v>
      </c>
      <c r="H19" s="465">
        <f t="shared" si="2"/>
        <v>-9.2227029328626146E-3</v>
      </c>
      <c r="I19" s="471">
        <f>SUM('Voluntary Costs'!AJ266:AM266)/1000000000</f>
        <v>0</v>
      </c>
      <c r="J19" s="40">
        <f>SUM('Involuntary Costs'!AB170:AG170)/1000000000</f>
        <v>36.104483781164689</v>
      </c>
      <c r="K19" s="40">
        <f>SUM([1]Costing!$AB170:$AG170)/1000000000</f>
        <v>36.724500949510997</v>
      </c>
      <c r="L19" s="40">
        <f t="shared" si="7"/>
        <v>-0.62001716834630827</v>
      </c>
      <c r="M19" s="180">
        <f t="shared" si="5"/>
        <v>-1.6882929714925481E-2</v>
      </c>
      <c r="N19" s="465">
        <f t="shared" si="4"/>
        <v>-1.6882929714925481E-2</v>
      </c>
      <c r="P19" s="474"/>
    </row>
    <row r="20" spans="1:16">
      <c r="B20" s="458">
        <v>2080</v>
      </c>
      <c r="C20" s="469">
        <f>SUM('Voluntary Costs'!H267:K267)/1000000000</f>
        <v>0</v>
      </c>
      <c r="D20" s="484">
        <f>SUM('Involuntary Costs'!D171:I171)/1000000000</f>
        <v>7.814950125215784</v>
      </c>
      <c r="E20" s="484">
        <f>SUM([1]Costing!$D171:$I171)/1000000000</f>
        <v>7.8862045307155739</v>
      </c>
      <c r="F20" s="40">
        <f t="shared" si="6"/>
        <v>-7.1254405499789897E-2</v>
      </c>
      <c r="G20" s="180">
        <f t="shared" si="1"/>
        <v>-9.0353230406673788E-3</v>
      </c>
      <c r="H20" s="465">
        <f t="shared" si="2"/>
        <v>-9.0353230406673788E-3</v>
      </c>
      <c r="I20" s="471">
        <f>SUM('Voluntary Costs'!AJ267:AM267)/1000000000</f>
        <v>0</v>
      </c>
      <c r="J20" s="40">
        <f>SUM('Involuntary Costs'!AB171:AG171)/1000000000</f>
        <v>90.745298070084928</v>
      </c>
      <c r="K20" s="40">
        <f>SUM([1]Costing!$AB171:$AG171)/1000000000</f>
        <v>92.279161446389779</v>
      </c>
      <c r="L20" s="40">
        <f t="shared" si="7"/>
        <v>-1.5338633763048506</v>
      </c>
      <c r="M20" s="180">
        <f t="shared" si="5"/>
        <v>-1.6621990840217586E-2</v>
      </c>
      <c r="N20" s="465">
        <f t="shared" si="4"/>
        <v>-1.6621990840217586E-2</v>
      </c>
      <c r="P20" s="474"/>
    </row>
    <row r="21" spans="1:16">
      <c r="B21" s="458">
        <v>2090</v>
      </c>
      <c r="C21" s="469">
        <f>SUM('Voluntary Costs'!H268:K268)/1000000000</f>
        <v>0</v>
      </c>
      <c r="D21" s="484">
        <f>SUM('Involuntary Costs'!D172:I172)/1000000000</f>
        <v>9.9756165888968695</v>
      </c>
      <c r="E21" s="484">
        <f>SUM([1]Costing!$D172:$I172)/1000000000</f>
        <v>10.063786418803858</v>
      </c>
      <c r="F21" s="40">
        <f t="shared" si="6"/>
        <v>-8.8169829906988184E-2</v>
      </c>
      <c r="G21" s="180">
        <f t="shared" si="1"/>
        <v>-8.7610990772067389E-3</v>
      </c>
      <c r="H21" s="465">
        <f t="shared" si="2"/>
        <v>-8.7610990772067389E-3</v>
      </c>
      <c r="I21" s="471">
        <f>SUM('Voluntary Costs'!AJ268:AM268)/1000000000</f>
        <v>0</v>
      </c>
      <c r="J21" s="40">
        <f>SUM('Involuntary Costs'!AB172:AG172)/1000000000</f>
        <v>220.77513084569927</v>
      </c>
      <c r="K21" s="40">
        <f>SUM([1]Costing!$AB172:$AG172)/1000000000</f>
        <v>224.41882805352736</v>
      </c>
      <c r="L21" s="40">
        <f t="shared" si="7"/>
        <v>-3.6436972078280974</v>
      </c>
      <c r="M21" s="180">
        <f t="shared" si="5"/>
        <v>-1.6236147561375817E-2</v>
      </c>
      <c r="N21" s="465">
        <f t="shared" si="4"/>
        <v>-1.6236147561375817E-2</v>
      </c>
      <c r="P21" s="474"/>
    </row>
    <row r="22" spans="1:16">
      <c r="B22" s="459">
        <v>2100</v>
      </c>
      <c r="C22" s="469">
        <f>SUM('Voluntary Costs'!H269:K269)/1000000000</f>
        <v>0</v>
      </c>
      <c r="D22" s="485">
        <f>SUM('Involuntary Costs'!D173:I173)/1000000000</f>
        <v>12.601931839282081</v>
      </c>
      <c r="E22" s="485">
        <f>SUM([1]Costing!$D173:$I173)/1000000000</f>
        <v>12.708832985129018</v>
      </c>
      <c r="F22" s="40">
        <f t="shared" si="6"/>
        <v>-0.10690114584693688</v>
      </c>
      <c r="G22" s="467">
        <f t="shared" si="1"/>
        <v>-8.4115627274372936E-3</v>
      </c>
      <c r="H22" s="468">
        <f t="shared" si="2"/>
        <v>-8.4115627274372936E-3</v>
      </c>
      <c r="I22" s="471">
        <f>SUM('Voluntary Costs'!AJ269:AM269)/1000000000</f>
        <v>0</v>
      </c>
      <c r="J22" s="466">
        <f>SUM('Involuntary Costs'!AB173:AG173)/1000000000</f>
        <v>505.78344321255219</v>
      </c>
      <c r="K22" s="466">
        <f>SUM([1]Costing!$AB173:$AG173)/1000000000</f>
        <v>513.87300235124599</v>
      </c>
      <c r="L22" s="40">
        <f t="shared" si="7"/>
        <v>-8.0895591386938008</v>
      </c>
      <c r="M22" s="467">
        <f>L22/K22</f>
        <v>-1.5742331474274202E-2</v>
      </c>
      <c r="N22" s="468">
        <f t="shared" si="4"/>
        <v>-1.5742331474274202E-2</v>
      </c>
      <c r="P22" s="62"/>
    </row>
    <row r="23" spans="1:16" ht="15" customHeight="1">
      <c r="C23" s="619" t="s">
        <v>202</v>
      </c>
      <c r="D23" s="620"/>
      <c r="E23" s="620"/>
      <c r="F23" s="620"/>
      <c r="G23" s="620"/>
      <c r="H23" s="621"/>
      <c r="I23" s="619" t="s">
        <v>203</v>
      </c>
      <c r="J23" s="620"/>
      <c r="K23" s="620"/>
      <c r="L23" s="620"/>
      <c r="M23" s="620"/>
      <c r="N23" s="620"/>
      <c r="O23" s="475"/>
    </row>
    <row r="24" spans="1:16" ht="33" customHeight="1">
      <c r="B24" s="457" t="s">
        <v>87</v>
      </c>
      <c r="C24" s="460" t="s">
        <v>324</v>
      </c>
      <c r="D24" s="461" t="s">
        <v>325</v>
      </c>
      <c r="E24" s="462" t="s">
        <v>326</v>
      </c>
      <c r="F24" s="461" t="s">
        <v>327</v>
      </c>
      <c r="G24" s="463" t="s">
        <v>328</v>
      </c>
      <c r="H24" s="462" t="s">
        <v>329</v>
      </c>
      <c r="I24" s="460" t="s">
        <v>324</v>
      </c>
      <c r="J24" s="461" t="s">
        <v>325</v>
      </c>
      <c r="K24" s="462" t="s">
        <v>326</v>
      </c>
      <c r="L24" s="461" t="s">
        <v>327</v>
      </c>
      <c r="M24" s="463" t="s">
        <v>328</v>
      </c>
      <c r="N24" s="463" t="s">
        <v>329</v>
      </c>
      <c r="O24" s="476"/>
    </row>
    <row r="25" spans="1:16">
      <c r="A25" s="449"/>
      <c r="B25" s="458">
        <v>2020</v>
      </c>
      <c r="C25" s="469">
        <f>SUM('Voluntary Costs'!Q252:T252)/1000000000</f>
        <v>0.83325332336381874</v>
      </c>
      <c r="D25" s="484">
        <f>SUM('Involuntary Costs'!L156:Q156)/1000000000</f>
        <v>0.58708683448691845</v>
      </c>
      <c r="E25" s="484">
        <f>SUM([1]Costing!$L156:$Q156)/1000000000</f>
        <v>0.58708683448691845</v>
      </c>
      <c r="F25" s="40">
        <f t="shared" ref="F25:F35" si="8">(C25+D25)-E25</f>
        <v>0.83325332336381885</v>
      </c>
      <c r="G25" s="180">
        <f t="shared" ref="G25:G42" si="9">F25/E25</f>
        <v>1.4193016678564021</v>
      </c>
      <c r="H25" s="470">
        <f t="shared" ref="H25:H42" si="10">(D25-E25)/E25</f>
        <v>0</v>
      </c>
      <c r="I25" s="469">
        <f>SUM('Voluntary Costs'!Z252:AC252)/1000000000</f>
        <v>0.83325332336381874</v>
      </c>
      <c r="J25" s="40">
        <f>SUM('Involuntary Costs'!T156:Y156)/1000000000</f>
        <v>0.58708683448691845</v>
      </c>
      <c r="K25" s="40">
        <f>SUM([1]Costing!$T156:$Y156)/1000000000</f>
        <v>0.58708683448691845</v>
      </c>
      <c r="L25" s="40">
        <f>(I25+J25)-K25</f>
        <v>0.83325332336381885</v>
      </c>
      <c r="M25" s="180">
        <f>L25/K25</f>
        <v>1.4193016678564021</v>
      </c>
      <c r="N25" s="427">
        <f t="shared" ref="N25:N35" si="11">(J25-K25)/K25</f>
        <v>0</v>
      </c>
      <c r="O25" s="180"/>
    </row>
    <row r="26" spans="1:16">
      <c r="B26" s="458">
        <v>2021</v>
      </c>
      <c r="C26" s="469">
        <f>SUM('Voluntary Costs'!Q253:T253)/1000000000</f>
        <v>0.87243073880265731</v>
      </c>
      <c r="D26" s="484">
        <f>SUM('Involuntary Costs'!L157:Q157)/1000000000</f>
        <v>0.62588705626721408</v>
      </c>
      <c r="E26" s="484">
        <f>SUM([1]Costing!$L157:$Q157)/1000000000</f>
        <v>0.6267994813995369</v>
      </c>
      <c r="F26" s="40">
        <f t="shared" si="8"/>
        <v>0.8715183136703345</v>
      </c>
      <c r="G26" s="180">
        <f t="shared" si="9"/>
        <v>1.3904260286310097</v>
      </c>
      <c r="H26" s="465">
        <f t="shared" si="10"/>
        <v>-1.4556890351688284E-3</v>
      </c>
      <c r="I26" s="469">
        <f>SUM('Voluntary Costs'!Z253:AC253)/1000000000</f>
        <v>0.87399028296185888</v>
      </c>
      <c r="J26" s="40">
        <f>SUM('Involuntary Costs'!T157:Y157)/1000000000</f>
        <v>0.63035517573739253</v>
      </c>
      <c r="K26" s="40">
        <f>SUM([1]Costing!$T157:$Y157)/1000000000</f>
        <v>0.63150839187292129</v>
      </c>
      <c r="L26" s="40">
        <f t="shared" ref="L26:L30" si="12">(I26+J26)-K26</f>
        <v>0.87283706682633</v>
      </c>
      <c r="M26" s="180">
        <f t="shared" ref="M26:M28" si="13">L26/K26</f>
        <v>1.3821464260160954</v>
      </c>
      <c r="N26" s="180">
        <f t="shared" si="11"/>
        <v>-1.8261295500896994E-3</v>
      </c>
      <c r="O26" s="180"/>
    </row>
    <row r="27" spans="1:16">
      <c r="B27" s="458">
        <v>2022</v>
      </c>
      <c r="C27" s="469">
        <f>SUM('Voluntary Costs'!Q254:T254)/1000000000</f>
        <v>0.91322278129954726</v>
      </c>
      <c r="D27" s="484">
        <f>SUM('Involuntary Costs'!L158:Q158)/1000000000</f>
        <v>0.66715252835455896</v>
      </c>
      <c r="E27" s="484">
        <f>SUM([1]Costing!$L158:$Q158)/1000000000</f>
        <v>0.66898839979043256</v>
      </c>
      <c r="F27" s="40">
        <f t="shared" si="8"/>
        <v>0.91138690986367366</v>
      </c>
      <c r="G27" s="180">
        <f t="shared" si="9"/>
        <v>1.3623358942384873</v>
      </c>
      <c r="H27" s="465">
        <f t="shared" si="10"/>
        <v>-2.7442500295202566E-3</v>
      </c>
      <c r="I27" s="469">
        <f>SUM('Voluntary Costs'!Z254:AC254)/1000000000</f>
        <v>0.91653761238350984</v>
      </c>
      <c r="J27" s="40">
        <f>SUM('Involuntary Costs'!T158:Y158)/1000000000</f>
        <v>0.67664652169765238</v>
      </c>
      <c r="K27" s="40">
        <f>SUM([1]Costing!$T158:$Y158)/1000000000</f>
        <v>0.67895104899512215</v>
      </c>
      <c r="L27" s="40">
        <f t="shared" si="12"/>
        <v>0.91423308508603995</v>
      </c>
      <c r="M27" s="180">
        <f t="shared" si="13"/>
        <v>1.3465375544218479</v>
      </c>
      <c r="N27" s="180">
        <f t="shared" si="11"/>
        <v>-3.3942466115643756E-3</v>
      </c>
      <c r="O27" s="180"/>
    </row>
    <row r="28" spans="1:16">
      <c r="B28" s="458">
        <v>2023</v>
      </c>
      <c r="C28" s="469">
        <f>SUM('Voluntary Costs'!Q255:T255)/1000000000</f>
        <v>0.95569578714352199</v>
      </c>
      <c r="D28" s="484">
        <f>SUM('Involuntary Costs'!L159:Q159)/1000000000</f>
        <v>0.71102035773165972</v>
      </c>
      <c r="E28" s="484">
        <f>SUM([1]Costing!$L159:$Q159)/1000000000</f>
        <v>0.71379807054338706</v>
      </c>
      <c r="F28" s="40">
        <f t="shared" si="8"/>
        <v>0.95291807433179465</v>
      </c>
      <c r="G28" s="180">
        <f t="shared" si="9"/>
        <v>1.3349967079714502</v>
      </c>
      <c r="H28" s="465">
        <f t="shared" si="10"/>
        <v>-3.8914546373216919E-3</v>
      </c>
      <c r="I28" s="469">
        <f>SUM('Voluntary Costs'!Z255:AC255)/1000000000</f>
        <v>0.9609647116068486</v>
      </c>
      <c r="J28" s="40">
        <f>SUM('Involuntary Costs'!T159:Y159)/1000000000</f>
        <v>0.72614776880673348</v>
      </c>
      <c r="K28" s="40">
        <f>SUM([1]Costing!$T159:$Y159)/1000000000</f>
        <v>0.72960313516034692</v>
      </c>
      <c r="L28" s="40">
        <f t="shared" si="12"/>
        <v>0.95750934525323528</v>
      </c>
      <c r="M28" s="180">
        <f t="shared" si="13"/>
        <v>1.3123701079530048</v>
      </c>
      <c r="N28" s="180">
        <f t="shared" si="11"/>
        <v>-4.7359532697924004E-3</v>
      </c>
      <c r="O28" s="180"/>
    </row>
    <row r="29" spans="1:16">
      <c r="B29" s="458">
        <v>2024</v>
      </c>
      <c r="C29" s="469">
        <f>SUM('Voluntary Costs'!Q256:T256)/1000000000</f>
        <v>0.99991912797276727</v>
      </c>
      <c r="D29" s="484">
        <f>SUM('Involuntary Costs'!L160:Q160)/1000000000</f>
        <v>0.75763364017464696</v>
      </c>
      <c r="E29" s="484">
        <f>SUM([1]Costing!$L160:$Q160)/1000000000</f>
        <v>0.76138096941877398</v>
      </c>
      <c r="F29" s="40">
        <f t="shared" si="8"/>
        <v>0.99617179872864015</v>
      </c>
      <c r="G29" s="180">
        <f t="shared" si="9"/>
        <v>1.3083749643612734</v>
      </c>
      <c r="H29" s="465">
        <f t="shared" si="10"/>
        <v>-4.9217532282001594E-3</v>
      </c>
      <c r="I29" s="469">
        <f>SUM('Voluntary Costs'!Z256:AC256)/1000000000</f>
        <v>1.0073440369137445</v>
      </c>
      <c r="J29" s="40">
        <f>SUM('Involuntary Costs'!T160:Y160)/1000000000</f>
        <v>0.77907003873810976</v>
      </c>
      <c r="K29" s="40">
        <f>SUM([1]Costing!$T160:$Y160)/1000000000</f>
        <v>0.78366394849036558</v>
      </c>
      <c r="L29" s="40">
        <f t="shared" si="12"/>
        <v>1.0027501271614887</v>
      </c>
      <c r="M29" s="180">
        <f>L29/K29</f>
        <v>1.2795664890456762</v>
      </c>
      <c r="N29" s="180">
        <f t="shared" si="11"/>
        <v>-5.8620914756962288E-3</v>
      </c>
      <c r="O29" s="180"/>
    </row>
    <row r="30" spans="1:16">
      <c r="B30" s="458">
        <v>2025</v>
      </c>
      <c r="C30" s="469">
        <f>SUM('Voluntary Costs'!Q257:T257)/1000000000</f>
        <v>1.0459652853705494</v>
      </c>
      <c r="D30" s="484">
        <f>SUM('Involuntary Costs'!L161:Q161)/1000000000</f>
        <v>0.80718724971192779</v>
      </c>
      <c r="E30" s="484">
        <f>SUM([1]Costing!$L161:$Q161)/1000000000</f>
        <v>0.81189799104728111</v>
      </c>
      <c r="F30" s="40">
        <f t="shared" si="8"/>
        <v>1.0412545440351959</v>
      </c>
      <c r="G30" s="180">
        <f t="shared" si="9"/>
        <v>1.2824942979499971</v>
      </c>
      <c r="H30" s="465">
        <f t="shared" si="10"/>
        <v>-5.8021344889360458E-3</v>
      </c>
      <c r="I30" s="469">
        <f>SUM('Voluntary Costs'!Z257:AC257)/1000000000</f>
        <v>1.0557512953768924</v>
      </c>
      <c r="J30" s="40">
        <f>SUM('Involuntary Costs'!T161:Y161)/1000000000</f>
        <v>0.83565320739006743</v>
      </c>
      <c r="K30" s="40">
        <f>SUM([1]Costing!$T161:$Y161)/1000000000</f>
        <v>0.84134436166215243</v>
      </c>
      <c r="L30" s="40">
        <f t="shared" si="12"/>
        <v>1.0500601411048072</v>
      </c>
      <c r="M30" s="180">
        <f t="shared" ref="M30:M37" si="14">L30/K30</f>
        <v>1.2480741405698823</v>
      </c>
      <c r="N30" s="180">
        <f t="shared" si="11"/>
        <v>-6.7643577724127175E-3</v>
      </c>
      <c r="O30" s="180"/>
    </row>
    <row r="31" spans="1:16">
      <c r="B31" s="458">
        <v>2026</v>
      </c>
      <c r="C31" s="469">
        <f>SUM('Voluntary Costs'!Q258:T258)/1000000000</f>
        <v>1.093909931931526</v>
      </c>
      <c r="D31" s="484">
        <f>SUM('Involuntary Costs'!L162:Q162)/1000000000</f>
        <v>0.8598599319855561</v>
      </c>
      <c r="E31" s="484">
        <f>SUM([1]Costing!$L162:$Q162)/1000000000</f>
        <v>0.86551889464597853</v>
      </c>
      <c r="F31" s="40">
        <f t="shared" si="8"/>
        <v>1.0882509692711038</v>
      </c>
      <c r="G31" s="180">
        <f t="shared" si="9"/>
        <v>1.2573393556199937</v>
      </c>
      <c r="H31" s="465">
        <f t="shared" si="10"/>
        <v>-6.5382312222509054E-3</v>
      </c>
      <c r="I31" s="469">
        <f>SUM('Voluntary Costs'!Z258:AC258)/1000000000</f>
        <v>1.1062656350957949</v>
      </c>
      <c r="J31" s="40">
        <f>SUM('Involuntary Costs'!T162:Y162)/1000000000</f>
        <v>0.89613831112921205</v>
      </c>
      <c r="K31" s="40">
        <f>SUM([1]Costing!$T162:$Y162)/1000000000</f>
        <v>0.90286745971225069</v>
      </c>
      <c r="L31" s="40">
        <f>(I31+J31)-K31</f>
        <v>1.0995364865127564</v>
      </c>
      <c r="M31" s="180">
        <f t="shared" si="14"/>
        <v>1.2178271292036433</v>
      </c>
      <c r="N31" s="180">
        <f t="shared" si="11"/>
        <v>-7.4530857332960653E-3</v>
      </c>
      <c r="O31" s="180"/>
    </row>
    <row r="32" spans="1:16">
      <c r="B32" s="458">
        <v>2027</v>
      </c>
      <c r="C32" s="469">
        <f>SUM('Voluntary Costs'!Q259:T259)/1000000000</f>
        <v>1.1438320192445233</v>
      </c>
      <c r="D32" s="484">
        <f>SUM('Involuntary Costs'!L163:Q163)/1000000000</f>
        <v>0.91580718553877039</v>
      </c>
      <c r="E32" s="484">
        <f>SUM([1]Costing!$L163:$Q163)/1000000000</f>
        <v>0.92242277253835969</v>
      </c>
      <c r="F32" s="40">
        <f t="shared" si="8"/>
        <v>1.1372164322449341</v>
      </c>
      <c r="G32" s="180">
        <f t="shared" si="9"/>
        <v>1.2328581493228929</v>
      </c>
      <c r="H32" s="465">
        <f t="shared" si="10"/>
        <v>-7.171968425480511E-3</v>
      </c>
      <c r="I32" s="469">
        <f>SUM('Voluntary Costs'!Z259:AC259)/1000000000</f>
        <v>1.1589698308411602</v>
      </c>
      <c r="J32" s="40">
        <f>SUM('Involuntary Costs'!T163:Y163)/1000000000</f>
        <v>0.96074687410939075</v>
      </c>
      <c r="K32" s="40">
        <f>SUM([1]Costing!$T163:$Y163)/1000000000</f>
        <v>0.96846921154528587</v>
      </c>
      <c r="L32" s="40">
        <f t="shared" ref="L32:L35" si="15">(I32+J32)-K32</f>
        <v>1.1512474934052648</v>
      </c>
      <c r="M32" s="180">
        <f t="shared" si="14"/>
        <v>1.1887290578585752</v>
      </c>
      <c r="N32" s="180">
        <f t="shared" si="11"/>
        <v>-7.9737562576443592E-3</v>
      </c>
      <c r="O32" s="180"/>
    </row>
    <row r="33" spans="2:15">
      <c r="B33" s="458">
        <v>2028</v>
      </c>
      <c r="C33" s="469">
        <f>SUM('Voluntary Costs'!Q260:T260)/1000000000</f>
        <v>1.195813873113013</v>
      </c>
      <c r="D33" s="484">
        <f>SUM('Involuntary Costs'!L164:Q164)/1000000000</f>
        <v>0.97525952270362049</v>
      </c>
      <c r="E33" s="484">
        <f>SUM([1]Costing!$L164:$Q164)/1000000000</f>
        <v>0.98279854261257005</v>
      </c>
      <c r="F33" s="40">
        <f t="shared" si="8"/>
        <v>1.1882748532040635</v>
      </c>
      <c r="G33" s="180">
        <f t="shared" si="9"/>
        <v>1.2090726651316315</v>
      </c>
      <c r="H33" s="465">
        <f t="shared" si="10"/>
        <v>-7.6709718035484781E-3</v>
      </c>
      <c r="I33" s="469">
        <f>SUM('Voluntary Costs'!Z260:AC260)/1000000000</f>
        <v>1.213950465203842</v>
      </c>
      <c r="J33" s="40">
        <f>SUM('Involuntary Costs'!T164:Y164)/1000000000</f>
        <v>1.0297819032224944</v>
      </c>
      <c r="K33" s="40">
        <f>SUM([1]Costing!$T164:$Y164)/1000000000</f>
        <v>1.0383991768681873</v>
      </c>
      <c r="L33" s="40">
        <f t="shared" si="15"/>
        <v>1.2053331915581489</v>
      </c>
      <c r="M33" s="180">
        <f t="shared" si="14"/>
        <v>1.1607609274050417</v>
      </c>
      <c r="N33" s="180">
        <f t="shared" si="11"/>
        <v>-8.298613710078789E-3</v>
      </c>
      <c r="O33" s="180"/>
    </row>
    <row r="34" spans="2:15">
      <c r="B34" s="458">
        <v>2029</v>
      </c>
      <c r="C34" s="469">
        <f>SUM('Voluntary Costs'!Q261:T261)/1000000000</f>
        <v>1.2499412962380794</v>
      </c>
      <c r="D34" s="484">
        <f>SUM('Involuntary Costs'!L165:Q165)/1000000000</f>
        <v>1.0384100267883236</v>
      </c>
      <c r="E34" s="484">
        <f>SUM([1]Costing!$L165:$Q165)/1000000000</f>
        <v>1.0468454659071371</v>
      </c>
      <c r="F34" s="40">
        <f t="shared" si="8"/>
        <v>1.2415058571192659</v>
      </c>
      <c r="G34" s="180">
        <f t="shared" si="9"/>
        <v>1.1859495002382678</v>
      </c>
      <c r="H34" s="465">
        <f t="shared" si="10"/>
        <v>-8.0579602181338472E-3</v>
      </c>
      <c r="I34" s="469">
        <f>SUM('Voluntary Costs'!Z261:AC261)/1000000000</f>
        <v>1.2712981057154853</v>
      </c>
      <c r="J34" s="40">
        <f>SUM('Involuntary Costs'!T165:Y165)/1000000000</f>
        <v>1.1035323837936433</v>
      </c>
      <c r="K34" s="40">
        <f>SUM([1]Costing!$T165:$Y165)/1000000000</f>
        <v>1.1129212503572197</v>
      </c>
      <c r="L34" s="40">
        <f t="shared" si="15"/>
        <v>1.2619092391519089</v>
      </c>
      <c r="M34" s="180">
        <f t="shared" si="14"/>
        <v>1.1338710971210837</v>
      </c>
      <c r="N34" s="180">
        <f t="shared" si="11"/>
        <v>-8.4362362211727153E-3</v>
      </c>
      <c r="O34" s="180"/>
    </row>
    <row r="35" spans="2:15">
      <c r="B35" s="458">
        <v>2030</v>
      </c>
      <c r="C35" s="469">
        <f>SUM('Voluntary Costs'!Q262:T262)/1000000000</f>
        <v>1.3063036785172846</v>
      </c>
      <c r="D35" s="484">
        <f>SUM('Involuntary Costs'!L166:Q166)/1000000000</f>
        <v>1.1054602155012354</v>
      </c>
      <c r="E35" s="484">
        <f>SUM([1]Costing!$L166:$Q166)/1000000000</f>
        <v>1.1147736905712271</v>
      </c>
      <c r="F35" s="40">
        <f t="shared" si="8"/>
        <v>1.2969902034472931</v>
      </c>
      <c r="G35" s="180">
        <f t="shared" si="9"/>
        <v>1.1634560578682975</v>
      </c>
      <c r="H35" s="465">
        <f t="shared" si="10"/>
        <v>-8.3545881543179643E-3</v>
      </c>
      <c r="I35" s="469">
        <f>SUM('Voluntary Costs'!Z262:AC262)/1000000000</f>
        <v>1.3311074787056723</v>
      </c>
      <c r="J35" s="40">
        <f>SUM('Involuntary Costs'!T166:Y166)/1000000000</f>
        <v>1.1822644547034313</v>
      </c>
      <c r="K35" s="40">
        <f>SUM([1]Costing!$T166:$Y166)/1000000000</f>
        <v>1.1923144449545495</v>
      </c>
      <c r="L35" s="40">
        <f t="shared" si="15"/>
        <v>1.3210574884545541</v>
      </c>
      <c r="M35" s="180">
        <f t="shared" si="14"/>
        <v>1.10797742495262</v>
      </c>
      <c r="N35" s="180">
        <f t="shared" si="11"/>
        <v>-8.4289763439889306E-3</v>
      </c>
      <c r="O35" s="180"/>
    </row>
    <row r="36" spans="2:15">
      <c r="B36" s="458">
        <v>2040</v>
      </c>
      <c r="C36" s="469">
        <f>SUM('Voluntary Costs'!Q263:T263)/1000000000</f>
        <v>0</v>
      </c>
      <c r="D36" s="484">
        <f>SUM('Involuntary Costs'!L167:Q167)/1000000000</f>
        <v>2.0336796315826868</v>
      </c>
      <c r="E36" s="484">
        <f>SUM([1]Costing!$L167:$Q167)/1000000000</f>
        <v>2.0531178092784237</v>
      </c>
      <c r="F36" s="40">
        <f t="shared" ref="F36:F42" si="16">((C36+D36)-E36)</f>
        <v>-1.9438177695736858E-2</v>
      </c>
      <c r="G36" s="180">
        <f t="shared" si="9"/>
        <v>-9.4676387335846466E-3</v>
      </c>
      <c r="H36" s="465">
        <f t="shared" si="10"/>
        <v>-9.4676387335846466E-3</v>
      </c>
      <c r="I36" s="469">
        <f>SUM('Voluntary Costs'!Z263:AC263)/1000000000</f>
        <v>0</v>
      </c>
      <c r="J36" s="40">
        <f>SUM('Involuntary Costs'!T167:Y167)/1000000000</f>
        <v>2.3311496997862995</v>
      </c>
      <c r="K36" s="40">
        <f>SUM([1]Costing!$T167:$Y167)/1000000000</f>
        <v>2.3725872311135285</v>
      </c>
      <c r="L36" s="40">
        <f>((I36+J36)-K36)</f>
        <v>-4.1437531327229049E-2</v>
      </c>
      <c r="M36" s="180">
        <f t="shared" si="14"/>
        <v>-1.7465124478386884E-2</v>
      </c>
      <c r="N36" s="180">
        <f>(J36-K36)/K36</f>
        <v>-1.7465124478386884E-2</v>
      </c>
      <c r="O36" s="180"/>
    </row>
    <row r="37" spans="2:15">
      <c r="B37" s="458">
        <v>2050</v>
      </c>
      <c r="C37" s="469">
        <f>SUM('Voluntary Costs'!Q264:T264)/1000000000</f>
        <v>0</v>
      </c>
      <c r="D37" s="484">
        <f>SUM('Involuntary Costs'!L168:Q168)/1000000000</f>
        <v>3.5636585999899393</v>
      </c>
      <c r="E37" s="484">
        <f>SUM([1]Costing!$L168:$Q168)/1000000000</f>
        <v>3.5984296961831062</v>
      </c>
      <c r="F37" s="40">
        <f t="shared" si="16"/>
        <v>-3.4771096193166873E-2</v>
      </c>
      <c r="G37" s="180">
        <f t="shared" si="9"/>
        <v>-9.6628527243561146E-3</v>
      </c>
      <c r="H37" s="465">
        <f t="shared" si="10"/>
        <v>-9.6628527243561146E-3</v>
      </c>
      <c r="I37" s="469">
        <f>SUM('Voluntary Costs'!Z264:AC264)/1000000000</f>
        <v>0</v>
      </c>
      <c r="J37" s="40">
        <f>SUM('Involuntary Costs'!T168:Y168)/1000000000</f>
        <v>4.488217348649</v>
      </c>
      <c r="K37" s="40">
        <f>SUM([1]Costing!$T168:$Y168)/1000000000</f>
        <v>4.5708190214821025</v>
      </c>
      <c r="L37" s="40">
        <f t="shared" ref="L37:L42" si="17">((I37+J37)-K37)</f>
        <v>-8.2601672833102491E-2</v>
      </c>
      <c r="M37" s="180">
        <f t="shared" si="14"/>
        <v>-1.8071525572307311E-2</v>
      </c>
      <c r="N37" s="180">
        <f t="shared" ref="N37:N39" si="18">(J37-K37)/K37</f>
        <v>-1.8071525572307311E-2</v>
      </c>
      <c r="O37" s="180"/>
    </row>
    <row r="38" spans="2:15">
      <c r="B38" s="458">
        <v>2060</v>
      </c>
      <c r="C38" s="469">
        <f>SUM('Voluntary Costs'!Q265:T265)/1000000000</f>
        <v>0</v>
      </c>
      <c r="D38" s="484">
        <f>SUM('Involuntary Costs'!L169:Q169)/1000000000</f>
        <v>5.8553810267304263</v>
      </c>
      <c r="E38" s="484">
        <f>SUM([1]Costing!$L169:$Q169)/1000000000</f>
        <v>5.913135487756791</v>
      </c>
      <c r="F38" s="40">
        <f t="shared" si="16"/>
        <v>-5.7754461026364723E-2</v>
      </c>
      <c r="G38" s="180">
        <f t="shared" si="9"/>
        <v>-9.7671465749340491E-3</v>
      </c>
      <c r="H38" s="465">
        <f t="shared" si="10"/>
        <v>-9.7671465749340491E-3</v>
      </c>
      <c r="I38" s="469">
        <f>SUM('Voluntary Costs'!Z265:AC265)/1000000000</f>
        <v>0</v>
      </c>
      <c r="J38" s="40">
        <f>SUM('Involuntary Costs'!T169:Y169)/1000000000</f>
        <v>8.5102043244525234</v>
      </c>
      <c r="K38" s="40">
        <f>SUM([1]Costing!$T169:$Y169)/1000000000</f>
        <v>8.6711723736851205</v>
      </c>
      <c r="L38" s="40">
        <f t="shared" si="17"/>
        <v>-0.16096804923259711</v>
      </c>
      <c r="M38" s="180">
        <f>L38/K38</f>
        <v>-1.8563585441006298E-2</v>
      </c>
      <c r="N38" s="180">
        <f t="shared" si="18"/>
        <v>-1.8563585441006298E-2</v>
      </c>
      <c r="O38" s="180"/>
    </row>
    <row r="39" spans="2:15">
      <c r="B39" s="458">
        <v>2070</v>
      </c>
      <c r="C39" s="469">
        <f>SUM('Voluntary Costs'!Q266:T266)/1000000000</f>
        <v>0</v>
      </c>
      <c r="D39" s="484">
        <f>SUM('Involuntary Costs'!L170:Q170)/1000000000</f>
        <v>8.9760527782254655</v>
      </c>
      <c r="E39" s="484">
        <f>SUM([1]Costing!$L170:$Q170)/1000000000</f>
        <v>9.064945730573795</v>
      </c>
      <c r="F39" s="40">
        <f t="shared" si="16"/>
        <v>-8.8892952348329501E-2</v>
      </c>
      <c r="G39" s="180">
        <f t="shared" si="9"/>
        <v>-9.8062310564657664E-3</v>
      </c>
      <c r="H39" s="465">
        <f t="shared" si="10"/>
        <v>-9.8062310564657664E-3</v>
      </c>
      <c r="I39" s="469">
        <f>SUM('Voluntary Costs'!Z266:AC266)/1000000000</f>
        <v>0</v>
      </c>
      <c r="J39" s="40">
        <f>SUM('Involuntary Costs'!T170:Y170)/1000000000</f>
        <v>15.749560102300316</v>
      </c>
      <c r="K39" s="40">
        <f>SUM([1]Costing!$T170:$Y170)/1000000000</f>
        <v>16.054285904039205</v>
      </c>
      <c r="L39" s="40">
        <f t="shared" si="17"/>
        <v>-0.30472580173888808</v>
      </c>
      <c r="M39" s="180">
        <f t="shared" ref="M39:M42" si="19">L39/K39</f>
        <v>-1.8980962688737224E-2</v>
      </c>
      <c r="N39" s="180">
        <f t="shared" si="18"/>
        <v>-1.8980962688737224E-2</v>
      </c>
      <c r="O39" s="180"/>
    </row>
    <row r="40" spans="2:15">
      <c r="B40" s="458">
        <v>2080</v>
      </c>
      <c r="C40" s="469">
        <f>SUM('Voluntary Costs'!Q267:T267)/1000000000</f>
        <v>0</v>
      </c>
      <c r="D40" s="484">
        <f>SUM('Involuntary Costs'!L171:Q171)/1000000000</f>
        <v>12.991043885739137</v>
      </c>
      <c r="E40" s="484">
        <f>SUM([1]Costing!$L171:$Q171)/1000000000</f>
        <v>13.119375577459222</v>
      </c>
      <c r="F40" s="40">
        <f t="shared" si="16"/>
        <v>-0.12833169172008496</v>
      </c>
      <c r="G40" s="180">
        <f t="shared" si="9"/>
        <v>-9.7818444911795463E-3</v>
      </c>
      <c r="H40" s="465">
        <f t="shared" si="10"/>
        <v>-9.7818444911795463E-3</v>
      </c>
      <c r="I40" s="469">
        <f>SUM('Voluntary Costs'!Z267:AC267)/1000000000</f>
        <v>0</v>
      </c>
      <c r="J40" s="40">
        <f>SUM('Involuntary Costs'!T171:Y171)/1000000000</f>
        <v>27.965249690654645</v>
      </c>
      <c r="K40" s="40">
        <f>SUM([1]Costing!$T171:$Y171)/1000000000</f>
        <v>28.516983909702105</v>
      </c>
      <c r="L40" s="40">
        <f t="shared" si="17"/>
        <v>-0.55173421904746078</v>
      </c>
      <c r="M40" s="180">
        <f t="shared" si="19"/>
        <v>-1.9347565675055443E-2</v>
      </c>
      <c r="N40" s="180">
        <f>(J40-K40)/K40</f>
        <v>-1.9347565675055443E-2</v>
      </c>
      <c r="O40" s="180"/>
    </row>
    <row r="41" spans="2:15">
      <c r="B41" s="458">
        <v>2090</v>
      </c>
      <c r="C41" s="469">
        <f>SUM('Voluntary Costs'!Q268:T268)/1000000000</f>
        <v>0</v>
      </c>
      <c r="D41" s="484">
        <f>SUM('Involuntary Costs'!L172:Q172)/1000000000</f>
        <v>18.01897546455233</v>
      </c>
      <c r="E41" s="484">
        <f>SUM([1]Costing!$L172:$Q172)/1000000000</f>
        <v>18.195524399481567</v>
      </c>
      <c r="F41" s="40">
        <f t="shared" si="16"/>
        <v>-0.17654893492923662</v>
      </c>
      <c r="G41" s="180">
        <f t="shared" si="9"/>
        <v>-9.7028769851924095E-3</v>
      </c>
      <c r="H41" s="465">
        <f t="shared" si="10"/>
        <v>-9.7028769851924095E-3</v>
      </c>
      <c r="I41" s="469">
        <f>SUM('Voluntary Costs'!Z268:AC268)/1000000000</f>
        <v>0</v>
      </c>
      <c r="J41" s="40">
        <f>SUM('Involuntary Costs'!T172:Y172)/1000000000</f>
        <v>48.202512015023565</v>
      </c>
      <c r="K41" s="40">
        <f>SUM([1]Costing!$T172:$Y172)/1000000000</f>
        <v>49.170650188428574</v>
      </c>
      <c r="L41" s="40">
        <f t="shared" si="17"/>
        <v>-0.96813817340500918</v>
      </c>
      <c r="M41" s="180">
        <f t="shared" si="19"/>
        <v>-1.9689350653183817E-2</v>
      </c>
      <c r="N41" s="180">
        <f t="shared" ref="N41:N42" si="20">(J41-K41)/K41</f>
        <v>-1.9689350653183817E-2</v>
      </c>
      <c r="O41" s="180"/>
    </row>
    <row r="42" spans="2:15">
      <c r="B42" s="459">
        <v>2100</v>
      </c>
      <c r="C42" s="469">
        <f>SUM('Voluntary Costs'!Q269:T269)/1000000000</f>
        <v>0</v>
      </c>
      <c r="D42" s="484">
        <f>SUM('Involuntary Costs'!L173:Q173)/1000000000</f>
        <v>24.403862995103538</v>
      </c>
      <c r="E42" s="484">
        <f>SUM([1]Costing!$L173:$Q173)/1000000000</f>
        <v>24.640210023360048</v>
      </c>
      <c r="F42" s="40">
        <f t="shared" si="16"/>
        <v>-0.23634702825651033</v>
      </c>
      <c r="G42" s="467">
        <f t="shared" si="9"/>
        <v>-9.5919242584556908E-3</v>
      </c>
      <c r="H42" s="468">
        <f t="shared" si="10"/>
        <v>-9.5919242584556908E-3</v>
      </c>
      <c r="I42" s="469">
        <f>SUM('Voluntary Costs'!Z269:AC269)/1000000000</f>
        <v>0</v>
      </c>
      <c r="J42" s="40">
        <f>SUM('Involuntary Costs'!T173:Y173)/1000000000</f>
        <v>81.89835358411942</v>
      </c>
      <c r="K42" s="40">
        <f>SUM([1]Costing!$T173:$Y173)/1000000000</f>
        <v>83.570479365657633</v>
      </c>
      <c r="L42" s="40">
        <f t="shared" si="17"/>
        <v>-1.6721257815382131</v>
      </c>
      <c r="M42" s="467">
        <f t="shared" si="19"/>
        <v>-2.0008569942765637E-2</v>
      </c>
      <c r="N42" s="467">
        <f t="shared" si="20"/>
        <v>-2.0008569942765637E-2</v>
      </c>
      <c r="O42" s="180"/>
    </row>
    <row r="43" spans="2:15">
      <c r="C43" s="40"/>
      <c r="D43" s="40"/>
      <c r="E43" s="40"/>
    </row>
    <row r="44" spans="2:15">
      <c r="C44" s="40"/>
      <c r="D44" s="40"/>
      <c r="E44" s="40"/>
    </row>
    <row r="45" spans="2:15">
      <c r="C45" s="40"/>
      <c r="D45" s="40"/>
      <c r="E45" s="40"/>
    </row>
    <row r="46" spans="2:15">
      <c r="C46" s="40"/>
      <c r="D46" s="40"/>
      <c r="E46" s="40"/>
    </row>
    <row r="47" spans="2:15">
      <c r="C47" s="40"/>
      <c r="D47" s="40"/>
      <c r="E47" s="40"/>
    </row>
    <row r="48" spans="2:15">
      <c r="C48" s="40"/>
      <c r="D48" s="40"/>
      <c r="E48" s="40"/>
    </row>
    <row r="49" spans="4:4">
      <c r="D49" s="40"/>
    </row>
    <row r="50" spans="4:4">
      <c r="D50" s="40"/>
    </row>
    <row r="51" spans="4:4">
      <c r="D51" s="40"/>
    </row>
    <row r="52" spans="4:4">
      <c r="D52" s="40"/>
    </row>
    <row r="53" spans="4:4">
      <c r="D53" s="40"/>
    </row>
    <row r="54" spans="4:4">
      <c r="D54" s="40"/>
    </row>
    <row r="55" spans="4:4">
      <c r="D55" s="40"/>
    </row>
    <row r="56" spans="4:4">
      <c r="D56" s="40"/>
    </row>
    <row r="57" spans="4:4">
      <c r="D57" s="40"/>
    </row>
    <row r="58" spans="4:4">
      <c r="D58" s="40"/>
    </row>
    <row r="59" spans="4:4">
      <c r="D59" s="40"/>
    </row>
    <row r="60" spans="4:4">
      <c r="D60" s="40"/>
    </row>
    <row r="61" spans="4:4">
      <c r="D61" s="40"/>
    </row>
    <row r="62" spans="4:4">
      <c r="D62" s="40"/>
    </row>
    <row r="63" spans="4:4">
      <c r="D63" s="40"/>
    </row>
    <row r="64" spans="4:4">
      <c r="D64" s="40"/>
    </row>
  </sheetData>
  <mergeCells count="5">
    <mergeCell ref="C2:N2"/>
    <mergeCell ref="C3:H3"/>
    <mergeCell ref="I3:N3"/>
    <mergeCell ref="C23:H23"/>
    <mergeCell ref="I23:N23"/>
  </mergeCells>
  <conditionalFormatting sqref="C43:E48 D49:D64">
    <cfRule type="cellIs" dxfId="69" priority="31" operator="lessThan">
      <formula>0</formula>
    </cfRule>
    <cfRule type="cellIs" dxfId="68" priority="32" operator="greaterThan">
      <formula>0</formula>
    </cfRule>
  </conditionalFormatting>
  <conditionalFormatting sqref="F5:H22">
    <cfRule type="cellIs" dxfId="67" priority="9" operator="lessThan">
      <formula>0</formula>
    </cfRule>
    <cfRule type="cellIs" dxfId="66" priority="10" operator="greaterThan">
      <formula>0</formula>
    </cfRule>
  </conditionalFormatting>
  <conditionalFormatting sqref="F25:H42">
    <cfRule type="cellIs" dxfId="65" priority="5" operator="lessThan">
      <formula>0</formula>
    </cfRule>
    <cfRule type="cellIs" dxfId="64" priority="6" operator="greaterThan">
      <formula>0</formula>
    </cfRule>
  </conditionalFormatting>
  <conditionalFormatting sqref="L5:N22">
    <cfRule type="cellIs" dxfId="63" priority="7" operator="lessThan">
      <formula>0</formula>
    </cfRule>
    <cfRule type="cellIs" dxfId="62" priority="8" operator="greaterThan">
      <formula>0</formula>
    </cfRule>
  </conditionalFormatting>
  <conditionalFormatting sqref="L25:O42">
    <cfRule type="cellIs" dxfId="61" priority="1" operator="lessThan">
      <formula>0</formula>
    </cfRule>
    <cfRule type="cellIs" dxfId="60" priority="2" operator="greaterThan">
      <formula>0</formula>
    </cfRule>
  </conditionalFormatting>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65142-C3A1-47EE-8FAE-C9B4DB187811}">
  <sheetPr>
    <tabColor rgb="FF92D050"/>
  </sheetPr>
  <dimension ref="A2:P95"/>
  <sheetViews>
    <sheetView topLeftCell="A78" workbookViewId="0">
      <selection activeCell="I78" sqref="I78"/>
    </sheetView>
  </sheetViews>
  <sheetFormatPr defaultColWidth="8.7109375" defaultRowHeight="15"/>
  <cols>
    <col min="1" max="1" width="3.140625" customWidth="1"/>
    <col min="2" max="2" width="15.7109375" bestFit="1" customWidth="1"/>
    <col min="3" max="3" width="16.7109375" customWidth="1"/>
    <col min="4" max="4" width="15.28515625" customWidth="1"/>
    <col min="5" max="5" width="16.42578125" customWidth="1"/>
    <col min="6" max="6" width="16.140625" customWidth="1"/>
    <col min="7" max="8" width="13.42578125" customWidth="1"/>
    <col min="9" max="9" width="14.28515625" customWidth="1"/>
    <col min="10" max="10" width="16.7109375" customWidth="1"/>
    <col min="11" max="11" width="15.7109375" customWidth="1"/>
    <col min="12" max="12" width="16" customWidth="1"/>
    <col min="13" max="13" width="12" customWidth="1"/>
    <col min="14" max="14" width="13" customWidth="1"/>
    <col min="15" max="15" width="9.140625" bestFit="1" customWidth="1"/>
    <col min="16" max="16" width="12.85546875" bestFit="1" customWidth="1"/>
  </cols>
  <sheetData>
    <row r="2" spans="2:16">
      <c r="C2" s="618" t="s">
        <v>323</v>
      </c>
      <c r="D2" s="574"/>
      <c r="E2" s="574"/>
      <c r="F2" s="574"/>
      <c r="G2" s="574"/>
      <c r="H2" s="574"/>
      <c r="I2" s="574"/>
      <c r="J2" s="574"/>
      <c r="K2" s="574"/>
      <c r="L2" s="574"/>
      <c r="M2" s="574"/>
      <c r="N2" s="574"/>
    </row>
    <row r="3" spans="2:16">
      <c r="C3" s="619" t="s">
        <v>201</v>
      </c>
      <c r="D3" s="620"/>
      <c r="E3" s="620"/>
      <c r="F3" s="620"/>
      <c r="G3" s="620"/>
      <c r="H3" s="621"/>
      <c r="I3" s="619" t="s">
        <v>204</v>
      </c>
      <c r="J3" s="620"/>
      <c r="K3" s="620"/>
      <c r="L3" s="620"/>
      <c r="M3" s="620"/>
      <c r="N3" s="621"/>
    </row>
    <row r="4" spans="2:16" ht="60">
      <c r="B4" s="457" t="s">
        <v>87</v>
      </c>
      <c r="C4" s="460" t="s">
        <v>324</v>
      </c>
      <c r="D4" s="461" t="s">
        <v>325</v>
      </c>
      <c r="E4" s="462" t="s">
        <v>326</v>
      </c>
      <c r="F4" s="461" t="s">
        <v>327</v>
      </c>
      <c r="G4" s="463" t="s">
        <v>328</v>
      </c>
      <c r="H4" s="462" t="s">
        <v>329</v>
      </c>
      <c r="I4" s="461" t="s">
        <v>324</v>
      </c>
      <c r="J4" s="461" t="s">
        <v>325</v>
      </c>
      <c r="K4" s="462" t="s">
        <v>326</v>
      </c>
      <c r="L4" s="461" t="s">
        <v>327</v>
      </c>
      <c r="M4" s="462" t="s">
        <v>328</v>
      </c>
      <c r="N4" s="464" t="s">
        <v>329</v>
      </c>
    </row>
    <row r="5" spans="2:16">
      <c r="B5" s="458">
        <v>2020</v>
      </c>
      <c r="C5" s="469">
        <f>SUM('Voluntary Costs'!H252:K252)/1000000000</f>
        <v>0.83325332336381874</v>
      </c>
      <c r="D5" s="484">
        <f>SUM('Involuntary Costs'!D156:I156)/1000000000</f>
        <v>0.58708683448691845</v>
      </c>
      <c r="E5" s="484">
        <f>SUM([1]Costing!$D156:$I156)/1000000000</f>
        <v>0.58708683448691845</v>
      </c>
      <c r="F5" s="40">
        <f t="shared" ref="F5:F15" si="0">(C5+D5)-E5</f>
        <v>0.83325332336381885</v>
      </c>
      <c r="G5" s="180">
        <f t="shared" ref="G5:G22" si="1">F5/E5</f>
        <v>1.4193016678564021</v>
      </c>
      <c r="H5" s="470">
        <f t="shared" ref="H5:H22" si="2">(D5-E5)/E5</f>
        <v>0</v>
      </c>
      <c r="I5" s="471">
        <f>SUM('Voluntary Costs'!AJ252:AM252)/1000000000</f>
        <v>0.83325332336381874</v>
      </c>
      <c r="J5" s="40">
        <f>SUM('Involuntary Costs'!AB156:AG156)/1000000000</f>
        <v>0.58708683448691845</v>
      </c>
      <c r="K5" s="40">
        <f>SUM([1]Costing!$AB156:$AG156)/1000000000</f>
        <v>0.58708683448691845</v>
      </c>
      <c r="L5" s="40">
        <f t="shared" ref="L5:L15" si="3">(I5+J5)-K5</f>
        <v>0.83325332336381885</v>
      </c>
      <c r="M5" s="180">
        <f t="shared" ref="M5:M22" si="4">L5/K5</f>
        <v>1.4193016678564021</v>
      </c>
      <c r="N5" s="465">
        <f t="shared" ref="N5:N22" si="5">(J5-K5)/K5</f>
        <v>0</v>
      </c>
      <c r="P5" s="474"/>
    </row>
    <row r="6" spans="2:16">
      <c r="B6" s="458">
        <v>2021</v>
      </c>
      <c r="C6" s="469">
        <f>SUM('Voluntary Costs'!H253:K253)/1000000000</f>
        <v>0.87068285150245439</v>
      </c>
      <c r="D6" s="484">
        <f>SUM('Involuntary Costs'!D157:I157)/1000000000</f>
        <v>0.62352759382329026</v>
      </c>
      <c r="E6" s="484">
        <f>SUM([1]Costing!$D157:$I157)/1000000000</f>
        <v>0.62434266684598827</v>
      </c>
      <c r="F6" s="40">
        <f t="shared" si="0"/>
        <v>0.86986777847975627</v>
      </c>
      <c r="G6" s="180">
        <f t="shared" si="1"/>
        <v>1.3932537766065149</v>
      </c>
      <c r="H6" s="465">
        <f t="shared" si="2"/>
        <v>-1.3054898631476525E-3</v>
      </c>
      <c r="I6" s="471">
        <f>SUM('Voluntary Costs'!AJ253:AM253)/1000000000</f>
        <v>0.87091274156971676</v>
      </c>
      <c r="J6" s="40">
        <f>SUM('Involuntary Costs'!AB157:AG157)/1000000000</f>
        <v>0.63161117260100175</v>
      </c>
      <c r="K6" s="40">
        <f>SUM([1]Costing!$AB157:$AG157)/1000000000</f>
        <v>0.63293232010770317</v>
      </c>
      <c r="L6" s="40">
        <f t="shared" si="3"/>
        <v>0.86959159406301534</v>
      </c>
      <c r="M6" s="180">
        <f t="shared" si="4"/>
        <v>1.37390928925077</v>
      </c>
      <c r="N6" s="465">
        <f t="shared" si="5"/>
        <v>-2.0873440409499267E-3</v>
      </c>
      <c r="P6" s="474"/>
    </row>
    <row r="7" spans="2:16">
      <c r="B7" s="458">
        <v>2022</v>
      </c>
      <c r="C7" s="469">
        <f>SUM('Voluntary Costs'!H254:K254)/1000000000</f>
        <v>0.90950235860343998</v>
      </c>
      <c r="D7" s="484">
        <f>SUM('Involuntary Costs'!D158:I158)/1000000000</f>
        <v>0.66213945096353566</v>
      </c>
      <c r="E7" s="484">
        <f>SUM([1]Costing!$D158:$I158)/1000000000</f>
        <v>0.66380260561362425</v>
      </c>
      <c r="F7" s="40">
        <f t="shared" si="0"/>
        <v>0.90783920395335149</v>
      </c>
      <c r="G7" s="180">
        <f t="shared" si="1"/>
        <v>1.3676342880789658</v>
      </c>
      <c r="H7" s="465">
        <f t="shared" si="2"/>
        <v>-2.5054958146046458E-3</v>
      </c>
      <c r="I7" s="471">
        <f>SUM('Voluntary Costs'!AJ254:AM254)/1000000000</f>
        <v>0.90999195991056037</v>
      </c>
      <c r="J7" s="40">
        <f>SUM('Involuntary Costs'!AB158:AG158)/1000000000</f>
        <v>0.67930220552629605</v>
      </c>
      <c r="K7" s="40">
        <f>SUM([1]Costing!$AB158:$AG158)/1000000000</f>
        <v>0.68193608217024071</v>
      </c>
      <c r="L7" s="40">
        <f t="shared" si="3"/>
        <v>0.90735808326661571</v>
      </c>
      <c r="M7" s="180">
        <f t="shared" si="4"/>
        <v>1.3305617740286984</v>
      </c>
      <c r="N7" s="465">
        <f t="shared" si="5"/>
        <v>-3.862351198021995E-3</v>
      </c>
      <c r="P7" s="474"/>
    </row>
    <row r="8" spans="2:16">
      <c r="B8" s="458">
        <v>2023</v>
      </c>
      <c r="C8" s="469">
        <f>SUM('Voluntary Costs'!H255:K255)/1000000000</f>
        <v>0.9497828618088423</v>
      </c>
      <c r="D8" s="484">
        <f>SUM('Involuntary Costs'!D159:I159)/1000000000</f>
        <v>0.70306072428631494</v>
      </c>
      <c r="E8" s="484">
        <f>SUM([1]Costing!$D159:$I159)/1000000000</f>
        <v>0.70558983472394687</v>
      </c>
      <c r="F8" s="40">
        <f t="shared" si="0"/>
        <v>0.94725375137121026</v>
      </c>
      <c r="G8" s="180">
        <f t="shared" si="1"/>
        <v>1.3424991471735295</v>
      </c>
      <c r="H8" s="465">
        <f t="shared" si="2"/>
        <v>-3.584391828180765E-3</v>
      </c>
      <c r="I8" s="471">
        <f>SUM('Voluntary Costs'!AJ255:AM255)/1000000000</f>
        <v>0.95056091086040795</v>
      </c>
      <c r="J8" s="40">
        <f>SUM('Involuntary Costs'!AB159:AG159)/1000000000</f>
        <v>0.73038624307498579</v>
      </c>
      <c r="K8" s="40">
        <f>SUM([1]Costing!$AB159:$AG159)/1000000000</f>
        <v>0.73429495102772202</v>
      </c>
      <c r="L8" s="40">
        <f t="shared" si="3"/>
        <v>0.94665220290767171</v>
      </c>
      <c r="M8" s="180">
        <f t="shared" si="4"/>
        <v>1.2891988452089091</v>
      </c>
      <c r="N8" s="465">
        <f t="shared" si="5"/>
        <v>-5.3230761661449419E-3</v>
      </c>
      <c r="P8" s="474"/>
    </row>
    <row r="9" spans="2:16">
      <c r="B9" s="458">
        <v>2024</v>
      </c>
      <c r="C9" s="469">
        <f>SUM('Voluntary Costs'!H256:K256)/1000000000</f>
        <v>0.99159623467375957</v>
      </c>
      <c r="D9" s="484">
        <f>SUM('Involuntary Costs'!D160:I160)/1000000000</f>
        <v>0.74642511013269053</v>
      </c>
      <c r="E9" s="484">
        <f>SUM([1]Costing!$D160:$I160)/1000000000</f>
        <v>0.7498341164410689</v>
      </c>
      <c r="F9" s="40">
        <f t="shared" si="0"/>
        <v>0.9881872283653812</v>
      </c>
      <c r="G9" s="180">
        <f t="shared" si="1"/>
        <v>1.3178744560938433</v>
      </c>
      <c r="H9" s="465">
        <f t="shared" si="2"/>
        <v>-4.5463472968641479E-3</v>
      </c>
      <c r="I9" s="471">
        <f>SUM('Voluntary Costs'!AJ256:AM256)/1000000000</f>
        <v>0.9926908345304607</v>
      </c>
      <c r="J9" s="40">
        <f>SUM('Involuntary Costs'!AB160:AG160)/1000000000</f>
        <v>0.78507692685893771</v>
      </c>
      <c r="K9" s="40">
        <f>SUM([1]Costing!$AB160:$AG160)/1000000000</f>
        <v>0.79021714379158703</v>
      </c>
      <c r="L9" s="40">
        <f t="shared" si="3"/>
        <v>0.98755061759781149</v>
      </c>
      <c r="M9" s="180">
        <f t="shared" si="4"/>
        <v>1.2497205677662055</v>
      </c>
      <c r="N9" s="465">
        <f t="shared" si="5"/>
        <v>-6.504815762393798E-3</v>
      </c>
      <c r="P9" s="474"/>
    </row>
    <row r="10" spans="2:16">
      <c r="B10" s="458">
        <v>2025</v>
      </c>
      <c r="C10" s="469">
        <f>SUM('Voluntary Costs'!H257:K257)/1000000000</f>
        <v>1.0350155515137582</v>
      </c>
      <c r="D10" s="484">
        <f>SUM('Involuntary Costs'!D161:I161)/1000000000</f>
        <v>0.79235877511146235</v>
      </c>
      <c r="E10" s="484">
        <f>SUM([1]Costing!$D161:$I161)/1000000000</f>
        <v>0.79667213000635595</v>
      </c>
      <c r="F10" s="40">
        <f t="shared" si="0"/>
        <v>1.0307021966188645</v>
      </c>
      <c r="G10" s="180">
        <f t="shared" si="1"/>
        <v>1.2937595753608722</v>
      </c>
      <c r="H10" s="465">
        <f t="shared" si="2"/>
        <v>-5.4142158768114342E-3</v>
      </c>
      <c r="I10" s="471">
        <f>SUM('Voluntary Costs'!AJ257:AM257)/1000000000</f>
        <v>1.0364545406683259</v>
      </c>
      <c r="J10" s="40">
        <f>SUM('Involuntary Costs'!AB161:AG161)/1000000000</f>
        <v>0.84363019069056511</v>
      </c>
      <c r="K10" s="40">
        <f>SUM([1]Costing!$AB161:$AG161)/1000000000</f>
        <v>0.84992288715008291</v>
      </c>
      <c r="L10" s="40">
        <f t="shared" si="3"/>
        <v>1.0301618442088079</v>
      </c>
      <c r="M10" s="180">
        <f t="shared" si="4"/>
        <v>1.2120650705890423</v>
      </c>
      <c r="N10" s="465">
        <f t="shared" si="5"/>
        <v>-7.4038439894449021E-3</v>
      </c>
      <c r="P10" s="474"/>
    </row>
    <row r="11" spans="2:16">
      <c r="B11" s="458">
        <v>2026</v>
      </c>
      <c r="C11" s="469">
        <f>SUM('Voluntary Costs'!H258:K258)/1000000000</f>
        <v>1.0801153885155963</v>
      </c>
      <c r="D11" s="484">
        <f>SUM('Involuntary Costs'!D162:I162)/1000000000</f>
        <v>0.84102436296961813</v>
      </c>
      <c r="E11" s="484">
        <f>SUM([1]Costing!$D162:$I162)/1000000000</f>
        <v>0.84624782720383607</v>
      </c>
      <c r="F11" s="40">
        <f t="shared" si="0"/>
        <v>1.0748919242813784</v>
      </c>
      <c r="G11" s="180">
        <f t="shared" si="1"/>
        <v>1.2701857419628786</v>
      </c>
      <c r="H11" s="465">
        <f t="shared" si="2"/>
        <v>-6.1724994337382872E-3</v>
      </c>
      <c r="I11" s="471">
        <f>SUM('Voluntary Costs'!AJ258:AM258)/1000000000</f>
        <v>1.0819266464775668</v>
      </c>
      <c r="J11" s="40">
        <f>SUM('Involuntary Costs'!AB162:AG162)/1000000000</f>
        <v>0.90628790930296377</v>
      </c>
      <c r="K11" s="40">
        <f>SUM([1]Costing!$AB162:$AG162)/1000000000</f>
        <v>0.91364507280799134</v>
      </c>
      <c r="L11" s="40">
        <f t="shared" si="3"/>
        <v>1.0745694829725392</v>
      </c>
      <c r="M11" s="180">
        <f t="shared" si="4"/>
        <v>1.1761344913402354</v>
      </c>
      <c r="N11" s="465">
        <f t="shared" si="5"/>
        <v>-8.05254001142491E-3</v>
      </c>
      <c r="P11" s="474"/>
    </row>
    <row r="12" spans="2:16">
      <c r="B12" s="458">
        <v>2027</v>
      </c>
      <c r="C12" s="469">
        <f>SUM('Voluntary Costs'!H259:K259)/1000000000</f>
        <v>1.1269720915640273</v>
      </c>
      <c r="D12" s="484">
        <f>SUM('Involuntary Costs'!D163:I163)/1000000000</f>
        <v>0.89256264182934564</v>
      </c>
      <c r="E12" s="484">
        <f>SUM([1]Costing!$D163:$I163)/1000000000</f>
        <v>0.89871280566816958</v>
      </c>
      <c r="F12" s="40">
        <f t="shared" si="0"/>
        <v>1.1208219277252032</v>
      </c>
      <c r="G12" s="180">
        <f t="shared" si="1"/>
        <v>1.2471413789323957</v>
      </c>
      <c r="H12" s="465">
        <f t="shared" si="2"/>
        <v>-6.8433027770773269E-3</v>
      </c>
      <c r="I12" s="471">
        <f>SUM('Voluntary Costs'!AJ259:AM259)/1000000000</f>
        <v>1.1291837956378958</v>
      </c>
      <c r="J12" s="40">
        <f>SUM('Involuntary Costs'!AB163:AG163)/1000000000</f>
        <v>0.97333933401148165</v>
      </c>
      <c r="K12" s="40">
        <f>SUM([1]Costing!$AB163:$AG163)/1000000000</f>
        <v>0.98162994719836272</v>
      </c>
      <c r="L12" s="40">
        <f t="shared" si="3"/>
        <v>1.1208931824510149</v>
      </c>
      <c r="M12" s="180">
        <f t="shared" si="4"/>
        <v>1.1418693833150859</v>
      </c>
      <c r="N12" s="465">
        <f t="shared" si="5"/>
        <v>-8.4457622860254333E-3</v>
      </c>
      <c r="P12" s="474"/>
    </row>
    <row r="13" spans="2:16">
      <c r="B13" s="458">
        <v>2028</v>
      </c>
      <c r="C13" s="469">
        <f>SUM('Voluntary Costs'!H260:K260)/1000000000</f>
        <v>1.175664018485306</v>
      </c>
      <c r="D13" s="484">
        <f>SUM('Involuntary Costs'!D164:I164)/1000000000</f>
        <v>0.94715469827312671</v>
      </c>
      <c r="E13" s="484">
        <f>SUM([1]Costing!$D164:$I164)/1000000000</f>
        <v>0.95422670079893757</v>
      </c>
      <c r="F13" s="40">
        <f t="shared" si="0"/>
        <v>1.1685920159594951</v>
      </c>
      <c r="G13" s="180">
        <f t="shared" si="1"/>
        <v>1.2246482046468388</v>
      </c>
      <c r="H13" s="465">
        <f t="shared" si="2"/>
        <v>-7.4112394045248824E-3</v>
      </c>
      <c r="I13" s="471">
        <f>SUM('Voluntary Costs'!AJ260:AM260)/1000000000</f>
        <v>1.1783048628338213</v>
      </c>
      <c r="J13" s="40">
        <f>SUM('Involuntary Costs'!AB164:AG164)/1000000000</f>
        <v>1.0450581256315661</v>
      </c>
      <c r="K13" s="40">
        <f>SUM([1]Costing!$AB164:$AG164)/1000000000</f>
        <v>1.0541378371983245</v>
      </c>
      <c r="L13" s="40">
        <f t="shared" si="3"/>
        <v>1.1692251512670631</v>
      </c>
      <c r="M13" s="180">
        <f t="shared" si="4"/>
        <v>1.1091767224432587</v>
      </c>
      <c r="N13" s="465">
        <f t="shared" si="5"/>
        <v>-8.6134006828655508E-3</v>
      </c>
      <c r="P13" s="474"/>
    </row>
    <row r="14" spans="2:16">
      <c r="B14" s="458">
        <v>2029</v>
      </c>
      <c r="C14" s="469">
        <f>SUM('Voluntary Costs'!H261:K261)/1000000000</f>
        <v>1.2262717617202943</v>
      </c>
      <c r="D14" s="484">
        <f>SUM('Involuntary Costs'!D165:I165)/1000000000</f>
        <v>1.0049758505168298</v>
      </c>
      <c r="E14" s="484">
        <f>SUM([1]Costing!$D165:$I165)/1000000000</f>
        <v>1.0129575971861815</v>
      </c>
      <c r="F14" s="40">
        <f t="shared" si="0"/>
        <v>1.2182900150509424</v>
      </c>
      <c r="G14" s="180">
        <f t="shared" si="1"/>
        <v>1.2027058372780246</v>
      </c>
      <c r="H14" s="465">
        <f t="shared" si="2"/>
        <v>-7.8796453983104413E-3</v>
      </c>
      <c r="I14" s="471">
        <f>SUM('Voluntary Costs'!AJ261:AM261)/1000000000</f>
        <v>1.2293711472683124</v>
      </c>
      <c r="J14" s="40">
        <f>SUM('Involuntary Costs'!AB165:AG165)/1000000000</f>
        <v>1.1217709877561388</v>
      </c>
      <c r="K14" s="40">
        <f>SUM([1]Costing!$AB165:$AG165)/1000000000</f>
        <v>1.1314439136661958</v>
      </c>
      <c r="L14" s="40">
        <f t="shared" si="3"/>
        <v>1.2196982213582557</v>
      </c>
      <c r="M14" s="180">
        <f t="shared" si="4"/>
        <v>1.0780014869725987</v>
      </c>
      <c r="N14" s="465">
        <f t="shared" si="5"/>
        <v>-8.5491872758535412E-3</v>
      </c>
      <c r="P14" s="474"/>
    </row>
    <row r="15" spans="2:16">
      <c r="B15" s="458">
        <v>2030</v>
      </c>
      <c r="C15" s="469">
        <f>SUM('Voluntary Costs'!H262:K262)/1000000000</f>
        <v>1.2788783561651615</v>
      </c>
      <c r="D15" s="484">
        <f>SUM('Involuntary Costs'!D166:I166)/1000000000</f>
        <v>1.0661919612361341</v>
      </c>
      <c r="E15" s="484">
        <f>SUM([1]Costing!$D166:$I166)/1000000000</f>
        <v>1.0750824604952465</v>
      </c>
      <c r="F15" s="40">
        <f t="shared" si="0"/>
        <v>1.2699878569060492</v>
      </c>
      <c r="G15" s="180">
        <f t="shared" si="1"/>
        <v>1.1812934389432954</v>
      </c>
      <c r="H15" s="465">
        <f t="shared" si="2"/>
        <v>-8.2695975293065882E-3</v>
      </c>
      <c r="I15" s="471">
        <f>SUM('Voluntary Costs'!AJ262:AM262)/1000000000</f>
        <v>1.2824665579901553</v>
      </c>
      <c r="J15" s="40">
        <f>SUM('Involuntary Costs'!AB166:AG166)/1000000000</f>
        <v>1.2037873484069295</v>
      </c>
      <c r="K15" s="40">
        <f>SUM([1]Costing!$AB166:$AG166)/1000000000</f>
        <v>1.2138389947063675</v>
      </c>
      <c r="L15" s="40">
        <f t="shared" si="3"/>
        <v>1.2724149116907175</v>
      </c>
      <c r="M15" s="180">
        <f t="shared" si="4"/>
        <v>1.0482567434724075</v>
      </c>
      <c r="N15" s="465">
        <f t="shared" si="5"/>
        <v>-8.2808727873086106E-3</v>
      </c>
      <c r="P15" s="474"/>
    </row>
    <row r="16" spans="2:16">
      <c r="B16" s="458">
        <v>2040</v>
      </c>
      <c r="C16" s="469">
        <f>SUM('Voluntary Costs'!H263:K263)/1000000000</f>
        <v>0</v>
      </c>
      <c r="D16" s="484">
        <f>SUM('Involuntary Costs'!D167:I167)/1000000000</f>
        <v>1.8099674813299782</v>
      </c>
      <c r="E16" s="484">
        <f>SUM([1]Costing!$D167:$I167)/1000000000</f>
        <v>1.8269075229000573</v>
      </c>
      <c r="F16" s="40">
        <f t="shared" ref="F16:F22" si="6">((C16+D16)-E16)</f>
        <v>-1.6940041570079112E-2</v>
      </c>
      <c r="G16" s="180">
        <f t="shared" si="1"/>
        <v>-9.2725227510083615E-3</v>
      </c>
      <c r="H16" s="465">
        <f t="shared" si="2"/>
        <v>-9.2725227510083615E-3</v>
      </c>
      <c r="I16" s="471">
        <f>SUM('Voluntary Costs'!AJ263:AM263)/1000000000</f>
        <v>0</v>
      </c>
      <c r="J16" s="40">
        <f>SUM('Involuntary Costs'!AB167:AG167)/1000000000</f>
        <v>2.6139655391744689</v>
      </c>
      <c r="K16" s="40">
        <f>SUM([1]Costing!$AB167:$AG167)/1000000000</f>
        <v>2.6586939015786712</v>
      </c>
      <c r="L16" s="40">
        <f t="shared" ref="L16:L22" si="7">((I16+J16)-K16)</f>
        <v>-4.4728362404202304E-2</v>
      </c>
      <c r="M16" s="180">
        <f t="shared" si="4"/>
        <v>-1.6823434385449049E-2</v>
      </c>
      <c r="N16" s="465">
        <f t="shared" si="5"/>
        <v>-1.6823434385449049E-2</v>
      </c>
      <c r="P16" s="474"/>
    </row>
    <row r="17" spans="1:16">
      <c r="B17" s="458">
        <v>2050</v>
      </c>
      <c r="C17" s="469">
        <f>SUM('Voluntary Costs'!H264:K264)/1000000000</f>
        <v>0</v>
      </c>
      <c r="D17" s="484">
        <f>SUM('Involuntary Costs'!D168:I168)/1000000000</f>
        <v>2.8397102866983661</v>
      </c>
      <c r="E17" s="484">
        <f>SUM([1]Costing!$D168:$I168)/1000000000</f>
        <v>2.8665091748384572</v>
      </c>
      <c r="F17" s="40">
        <f t="shared" si="6"/>
        <v>-2.6798888140091126E-2</v>
      </c>
      <c r="G17" s="180">
        <f t="shared" si="1"/>
        <v>-9.3489629739634036E-3</v>
      </c>
      <c r="H17" s="465">
        <f t="shared" si="2"/>
        <v>-9.3489629739634036E-3</v>
      </c>
      <c r="I17" s="471">
        <f>SUM('Voluntary Costs'!AJ264:AM264)/1000000000</f>
        <v>0</v>
      </c>
      <c r="J17" s="40">
        <f>SUM('Involuntary Costs'!AB168:AG168)/1000000000</f>
        <v>6.0110139496168262</v>
      </c>
      <c r="K17" s="40">
        <f>SUM([1]Costing!$AB168:$AG168)/1000000000</f>
        <v>6.1149724636253877</v>
      </c>
      <c r="L17" s="40">
        <f t="shared" si="7"/>
        <v>-0.10395851400856149</v>
      </c>
      <c r="M17" s="180">
        <f t="shared" si="4"/>
        <v>-1.7000651209298747E-2</v>
      </c>
      <c r="N17" s="465">
        <f t="shared" si="5"/>
        <v>-1.7000651209298747E-2</v>
      </c>
      <c r="P17" s="62"/>
    </row>
    <row r="18" spans="1:16">
      <c r="B18" s="458">
        <v>2060</v>
      </c>
      <c r="C18" s="469">
        <f>SUM('Voluntary Costs'!H265:K265)/1000000000</f>
        <v>0</v>
      </c>
      <c r="D18" s="484">
        <f>SUM('Involuntary Costs'!D169:I169)/1000000000</f>
        <v>4.1745760364775943</v>
      </c>
      <c r="E18" s="484">
        <f>SUM([1]Costing!$D169:$I169)/1000000000</f>
        <v>4.2138799599844168</v>
      </c>
      <c r="F18" s="40">
        <f t="shared" si="6"/>
        <v>-3.9303923506822436E-2</v>
      </c>
      <c r="G18" s="180">
        <f t="shared" si="1"/>
        <v>-9.327252764686678E-3</v>
      </c>
      <c r="H18" s="465">
        <f t="shared" si="2"/>
        <v>-9.327252764686678E-3</v>
      </c>
      <c r="I18" s="471">
        <f>SUM('Voluntary Costs'!AJ265:AM265)/1000000000</f>
        <v>0</v>
      </c>
      <c r="J18" s="40">
        <f>SUM('Involuntary Costs'!AB169:AG169)/1000000000</f>
        <v>14.477943065208651</v>
      </c>
      <c r="K18" s="40">
        <f>SUM([1]Costing!$AB169:$AG169)/1000000000</f>
        <v>14.728480195709137</v>
      </c>
      <c r="L18" s="40">
        <f t="shared" si="7"/>
        <v>-0.25053713050048643</v>
      </c>
      <c r="M18" s="180">
        <f t="shared" si="4"/>
        <v>-1.701038580840647E-2</v>
      </c>
      <c r="N18" s="465">
        <f t="shared" si="5"/>
        <v>-1.701038580840647E-2</v>
      </c>
      <c r="P18" s="474"/>
    </row>
    <row r="19" spans="1:16">
      <c r="B19" s="458">
        <v>2070</v>
      </c>
      <c r="C19" s="469">
        <f>SUM('Voluntary Costs'!H266:K266)/1000000000</f>
        <v>0</v>
      </c>
      <c r="D19" s="484">
        <f>SUM('Involuntary Costs'!D170:I170)/1000000000</f>
        <v>5.8514533887003317</v>
      </c>
      <c r="E19" s="484">
        <f>SUM([1]Costing!$D170:$I170)/1000000000</f>
        <v>5.9059219524121005</v>
      </c>
      <c r="F19" s="40">
        <f t="shared" si="6"/>
        <v>-5.446856371176878E-2</v>
      </c>
      <c r="G19" s="180">
        <f t="shared" si="1"/>
        <v>-9.2227029328626146E-3</v>
      </c>
      <c r="H19" s="465">
        <f t="shared" si="2"/>
        <v>-9.2227029328626146E-3</v>
      </c>
      <c r="I19" s="471">
        <f>SUM('Voluntary Costs'!AJ266:AM266)/1000000000</f>
        <v>0</v>
      </c>
      <c r="J19" s="40">
        <f>SUM('Involuntary Costs'!AB170:AG170)/1000000000</f>
        <v>36.104483781164689</v>
      </c>
      <c r="K19" s="40">
        <f>SUM([1]Costing!$AB170:$AG170)/1000000000</f>
        <v>36.724500949510997</v>
      </c>
      <c r="L19" s="40">
        <f t="shared" si="7"/>
        <v>-0.62001716834630827</v>
      </c>
      <c r="M19" s="180">
        <f t="shared" si="4"/>
        <v>-1.6882929714925481E-2</v>
      </c>
      <c r="N19" s="465">
        <f t="shared" si="5"/>
        <v>-1.6882929714925481E-2</v>
      </c>
      <c r="P19" s="474"/>
    </row>
    <row r="20" spans="1:16">
      <c r="B20" s="458">
        <v>2080</v>
      </c>
      <c r="C20" s="469">
        <f>SUM('Voluntary Costs'!H267:K267)/1000000000</f>
        <v>0</v>
      </c>
      <c r="D20" s="484">
        <f>SUM('Involuntary Costs'!D171:I171)/1000000000</f>
        <v>7.814950125215784</v>
      </c>
      <c r="E20" s="484">
        <f>SUM([1]Costing!$D171:$I171)/1000000000</f>
        <v>7.8862045307155739</v>
      </c>
      <c r="F20" s="40">
        <f t="shared" si="6"/>
        <v>-7.1254405499789897E-2</v>
      </c>
      <c r="G20" s="180">
        <f t="shared" si="1"/>
        <v>-9.0353230406673788E-3</v>
      </c>
      <c r="H20" s="465">
        <f t="shared" si="2"/>
        <v>-9.0353230406673788E-3</v>
      </c>
      <c r="I20" s="471">
        <f>SUM('Voluntary Costs'!AJ267:AM267)/1000000000</f>
        <v>0</v>
      </c>
      <c r="J20" s="40">
        <f>SUM('Involuntary Costs'!AB171:AG171)/1000000000</f>
        <v>90.745298070084928</v>
      </c>
      <c r="K20" s="40">
        <f>SUM([1]Costing!$AB171:$AG171)/1000000000</f>
        <v>92.279161446389779</v>
      </c>
      <c r="L20" s="40">
        <f t="shared" si="7"/>
        <v>-1.5338633763048506</v>
      </c>
      <c r="M20" s="180">
        <f t="shared" si="4"/>
        <v>-1.6621990840217586E-2</v>
      </c>
      <c r="N20" s="465">
        <f t="shared" si="5"/>
        <v>-1.6621990840217586E-2</v>
      </c>
      <c r="P20" s="474"/>
    </row>
    <row r="21" spans="1:16">
      <c r="B21" s="458">
        <v>2090</v>
      </c>
      <c r="C21" s="469">
        <f>SUM('Voluntary Costs'!H268:K268)/1000000000</f>
        <v>0</v>
      </c>
      <c r="D21" s="484">
        <f>SUM('Involuntary Costs'!D172:I172)/1000000000</f>
        <v>9.9756165888968695</v>
      </c>
      <c r="E21" s="484">
        <f>SUM([1]Costing!$D172:$I172)/1000000000</f>
        <v>10.063786418803858</v>
      </c>
      <c r="F21" s="40">
        <f t="shared" si="6"/>
        <v>-8.8169829906988184E-2</v>
      </c>
      <c r="G21" s="180">
        <f t="shared" si="1"/>
        <v>-8.7610990772067389E-3</v>
      </c>
      <c r="H21" s="465">
        <f t="shared" si="2"/>
        <v>-8.7610990772067389E-3</v>
      </c>
      <c r="I21" s="471">
        <f>SUM('Voluntary Costs'!AJ268:AM268)/1000000000</f>
        <v>0</v>
      </c>
      <c r="J21" s="40">
        <f>SUM('Involuntary Costs'!AB172:AG172)/1000000000</f>
        <v>220.77513084569927</v>
      </c>
      <c r="K21" s="40">
        <f>SUM([1]Costing!$AB172:$AG172)/1000000000</f>
        <v>224.41882805352736</v>
      </c>
      <c r="L21" s="40">
        <f t="shared" si="7"/>
        <v>-3.6436972078280974</v>
      </c>
      <c r="M21" s="180">
        <f t="shared" si="4"/>
        <v>-1.6236147561375817E-2</v>
      </c>
      <c r="N21" s="465">
        <f t="shared" si="5"/>
        <v>-1.6236147561375817E-2</v>
      </c>
      <c r="P21" s="474"/>
    </row>
    <row r="22" spans="1:16">
      <c r="B22" s="459">
        <v>2100</v>
      </c>
      <c r="C22" s="469">
        <f>SUM('Voluntary Costs'!H269:K269)/1000000000</f>
        <v>0</v>
      </c>
      <c r="D22" s="485">
        <f>SUM('Involuntary Costs'!D173:I173)/1000000000</f>
        <v>12.601931839282081</v>
      </c>
      <c r="E22" s="485">
        <f>SUM([1]Costing!$D173:$I173)/1000000000</f>
        <v>12.708832985129018</v>
      </c>
      <c r="F22" s="40">
        <f t="shared" si="6"/>
        <v>-0.10690114584693688</v>
      </c>
      <c r="G22" s="467">
        <f t="shared" si="1"/>
        <v>-8.4115627274372936E-3</v>
      </c>
      <c r="H22" s="468">
        <f t="shared" si="2"/>
        <v>-8.4115627274372936E-3</v>
      </c>
      <c r="I22" s="471">
        <f>SUM('Voluntary Costs'!AJ269:AM269)/1000000000</f>
        <v>0</v>
      </c>
      <c r="J22" s="466">
        <f>SUM('Involuntary Costs'!AB173:AG173)/1000000000</f>
        <v>505.78344321255219</v>
      </c>
      <c r="K22" s="466">
        <f>SUM([1]Costing!$AB173:$AG173)/1000000000</f>
        <v>513.87300235124599</v>
      </c>
      <c r="L22" s="40">
        <f t="shared" si="7"/>
        <v>-8.0895591386938008</v>
      </c>
      <c r="M22" s="467">
        <f t="shared" si="4"/>
        <v>-1.5742331474274202E-2</v>
      </c>
      <c r="N22" s="468">
        <f t="shared" si="5"/>
        <v>-1.5742331474274202E-2</v>
      </c>
      <c r="P22" s="62"/>
    </row>
    <row r="23" spans="1:16" ht="15" customHeight="1">
      <c r="C23" s="619" t="s">
        <v>202</v>
      </c>
      <c r="D23" s="620"/>
      <c r="E23" s="620"/>
      <c r="F23" s="620"/>
      <c r="G23" s="620"/>
      <c r="H23" s="621"/>
      <c r="I23" s="619" t="s">
        <v>203</v>
      </c>
      <c r="J23" s="620"/>
      <c r="K23" s="620"/>
      <c r="L23" s="620"/>
      <c r="M23" s="620"/>
      <c r="N23" s="620"/>
      <c r="O23" s="475"/>
    </row>
    <row r="24" spans="1:16" ht="33" customHeight="1">
      <c r="B24" s="457" t="s">
        <v>87</v>
      </c>
      <c r="C24" s="460" t="s">
        <v>324</v>
      </c>
      <c r="D24" s="461" t="s">
        <v>325</v>
      </c>
      <c r="E24" s="462" t="s">
        <v>326</v>
      </c>
      <c r="F24" s="461" t="s">
        <v>327</v>
      </c>
      <c r="G24" s="463" t="s">
        <v>328</v>
      </c>
      <c r="H24" s="462" t="s">
        <v>329</v>
      </c>
      <c r="I24" s="460" t="s">
        <v>324</v>
      </c>
      <c r="J24" s="461" t="s">
        <v>325</v>
      </c>
      <c r="K24" s="462" t="s">
        <v>326</v>
      </c>
      <c r="L24" s="461" t="s">
        <v>327</v>
      </c>
      <c r="M24" s="463" t="s">
        <v>328</v>
      </c>
      <c r="N24" s="463" t="s">
        <v>329</v>
      </c>
      <c r="O24" s="476"/>
    </row>
    <row r="25" spans="1:16">
      <c r="A25" s="449"/>
      <c r="B25" s="458">
        <v>2020</v>
      </c>
      <c r="C25" s="469">
        <f>SUM('Voluntary Costs'!Q252:T252)/1000000000</f>
        <v>0.83325332336381874</v>
      </c>
      <c r="D25" s="484">
        <f>SUM('Involuntary Costs'!L156:Q156)/1000000000</f>
        <v>0.58708683448691845</v>
      </c>
      <c r="E25" s="484">
        <f>SUM([1]Costing!$L156:$Q156)/1000000000</f>
        <v>0.58708683448691845</v>
      </c>
      <c r="F25" s="40">
        <f t="shared" ref="F25:F35" si="8">(C25+D25)-E25</f>
        <v>0.83325332336381885</v>
      </c>
      <c r="G25" s="180">
        <f t="shared" ref="G25:G42" si="9">F25/E25</f>
        <v>1.4193016678564021</v>
      </c>
      <c r="H25" s="470">
        <f t="shared" ref="H25:H42" si="10">(D25-E25)/E25</f>
        <v>0</v>
      </c>
      <c r="I25" s="469">
        <f>SUM('Voluntary Costs'!Z252:AC252)/1000000000</f>
        <v>0.83325332336381874</v>
      </c>
      <c r="J25" s="40">
        <f>SUM('Involuntary Costs'!T156:Y156)/1000000000</f>
        <v>0.58708683448691845</v>
      </c>
      <c r="K25" s="40">
        <f>SUM([1]Costing!$T156:$Y156)/1000000000</f>
        <v>0.58708683448691845</v>
      </c>
      <c r="L25" s="40">
        <f t="shared" ref="L25:L35" si="11">(I25+J25)-K25</f>
        <v>0.83325332336381885</v>
      </c>
      <c r="M25" s="180">
        <f t="shared" ref="M25:M42" si="12">L25/K25</f>
        <v>1.4193016678564021</v>
      </c>
      <c r="N25" s="427">
        <f t="shared" ref="N25:N42" si="13">(J25-K25)/K25</f>
        <v>0</v>
      </c>
      <c r="O25" s="180"/>
    </row>
    <row r="26" spans="1:16">
      <c r="B26" s="458">
        <v>2021</v>
      </c>
      <c r="C26" s="469">
        <f>SUM('Voluntary Costs'!Q253:T253)/1000000000</f>
        <v>0.87243073880265731</v>
      </c>
      <c r="D26" s="484">
        <f>SUM('Involuntary Costs'!L157:Q157)/1000000000</f>
        <v>0.62588705626721408</v>
      </c>
      <c r="E26" s="484">
        <f>SUM([1]Costing!$L157:$Q157)/1000000000</f>
        <v>0.6267994813995369</v>
      </c>
      <c r="F26" s="40">
        <f t="shared" si="8"/>
        <v>0.8715183136703345</v>
      </c>
      <c r="G26" s="180">
        <f t="shared" si="9"/>
        <v>1.3904260286310097</v>
      </c>
      <c r="H26" s="465">
        <f t="shared" si="10"/>
        <v>-1.4556890351688284E-3</v>
      </c>
      <c r="I26" s="469">
        <f>SUM('Voluntary Costs'!Z253:AC253)/1000000000</f>
        <v>0.87399028296185888</v>
      </c>
      <c r="J26" s="40">
        <f>SUM('Involuntary Costs'!T157:Y157)/1000000000</f>
        <v>0.63035517573739253</v>
      </c>
      <c r="K26" s="40">
        <f>SUM([1]Costing!$T157:$Y157)/1000000000</f>
        <v>0.63150839187292129</v>
      </c>
      <c r="L26" s="40">
        <f t="shared" si="11"/>
        <v>0.87283706682633</v>
      </c>
      <c r="M26" s="180">
        <f t="shared" si="12"/>
        <v>1.3821464260160954</v>
      </c>
      <c r="N26" s="180">
        <f t="shared" si="13"/>
        <v>-1.8261295500896994E-3</v>
      </c>
      <c r="O26" s="180"/>
    </row>
    <row r="27" spans="1:16">
      <c r="B27" s="458">
        <v>2022</v>
      </c>
      <c r="C27" s="469">
        <f>SUM('Voluntary Costs'!Q254:T254)/1000000000</f>
        <v>0.91322278129954726</v>
      </c>
      <c r="D27" s="484">
        <f>SUM('Involuntary Costs'!L158:Q158)/1000000000</f>
        <v>0.66715252835455896</v>
      </c>
      <c r="E27" s="484">
        <f>SUM([1]Costing!$L158:$Q158)/1000000000</f>
        <v>0.66898839979043256</v>
      </c>
      <c r="F27" s="40">
        <f t="shared" si="8"/>
        <v>0.91138690986367366</v>
      </c>
      <c r="G27" s="180">
        <f t="shared" si="9"/>
        <v>1.3623358942384873</v>
      </c>
      <c r="H27" s="465">
        <f t="shared" si="10"/>
        <v>-2.7442500295202566E-3</v>
      </c>
      <c r="I27" s="469">
        <f>SUM('Voluntary Costs'!Z254:AC254)/1000000000</f>
        <v>0.91653761238350984</v>
      </c>
      <c r="J27" s="40">
        <f>SUM('Involuntary Costs'!T158:Y158)/1000000000</f>
        <v>0.67664652169765238</v>
      </c>
      <c r="K27" s="40">
        <f>SUM([1]Costing!$T158:$Y158)/1000000000</f>
        <v>0.67895104899512215</v>
      </c>
      <c r="L27" s="40">
        <f t="shared" si="11"/>
        <v>0.91423308508603995</v>
      </c>
      <c r="M27" s="180">
        <f t="shared" si="12"/>
        <v>1.3465375544218479</v>
      </c>
      <c r="N27" s="180">
        <f t="shared" si="13"/>
        <v>-3.3942466115643756E-3</v>
      </c>
      <c r="O27" s="180"/>
    </row>
    <row r="28" spans="1:16">
      <c r="B28" s="458">
        <v>2023</v>
      </c>
      <c r="C28" s="469">
        <f>SUM('Voluntary Costs'!Q255:T255)/1000000000</f>
        <v>0.95569578714352199</v>
      </c>
      <c r="D28" s="484">
        <f>SUM('Involuntary Costs'!L159:Q159)/1000000000</f>
        <v>0.71102035773165972</v>
      </c>
      <c r="E28" s="484">
        <f>SUM([1]Costing!$L159:$Q159)/1000000000</f>
        <v>0.71379807054338706</v>
      </c>
      <c r="F28" s="40">
        <f t="shared" si="8"/>
        <v>0.95291807433179465</v>
      </c>
      <c r="G28" s="180">
        <f t="shared" si="9"/>
        <v>1.3349967079714502</v>
      </c>
      <c r="H28" s="465">
        <f t="shared" si="10"/>
        <v>-3.8914546373216919E-3</v>
      </c>
      <c r="I28" s="469">
        <f>SUM('Voluntary Costs'!Z255:AC255)/1000000000</f>
        <v>0.9609647116068486</v>
      </c>
      <c r="J28" s="40">
        <f>SUM('Involuntary Costs'!T159:Y159)/1000000000</f>
        <v>0.72614776880673348</v>
      </c>
      <c r="K28" s="40">
        <f>SUM([1]Costing!$T159:$Y159)/1000000000</f>
        <v>0.72960313516034692</v>
      </c>
      <c r="L28" s="40">
        <f t="shared" si="11"/>
        <v>0.95750934525323528</v>
      </c>
      <c r="M28" s="180">
        <f t="shared" si="12"/>
        <v>1.3123701079530048</v>
      </c>
      <c r="N28" s="180">
        <f t="shared" si="13"/>
        <v>-4.7359532697924004E-3</v>
      </c>
      <c r="O28" s="180"/>
    </row>
    <row r="29" spans="1:16">
      <c r="B29" s="458">
        <v>2024</v>
      </c>
      <c r="C29" s="469">
        <f>SUM('Voluntary Costs'!Q256:T256)/1000000000</f>
        <v>0.99991912797276727</v>
      </c>
      <c r="D29" s="484">
        <f>SUM('Involuntary Costs'!L160:Q160)/1000000000</f>
        <v>0.75763364017464696</v>
      </c>
      <c r="E29" s="484">
        <f>SUM([1]Costing!$L160:$Q160)/1000000000</f>
        <v>0.76138096941877398</v>
      </c>
      <c r="F29" s="40">
        <f t="shared" si="8"/>
        <v>0.99617179872864015</v>
      </c>
      <c r="G29" s="180">
        <f t="shared" si="9"/>
        <v>1.3083749643612734</v>
      </c>
      <c r="H29" s="465">
        <f t="shared" si="10"/>
        <v>-4.9217532282001594E-3</v>
      </c>
      <c r="I29" s="469">
        <f>SUM('Voluntary Costs'!Z256:AC256)/1000000000</f>
        <v>1.0073440369137445</v>
      </c>
      <c r="J29" s="40">
        <f>SUM('Involuntary Costs'!T160:Y160)/1000000000</f>
        <v>0.77907003873810976</v>
      </c>
      <c r="K29" s="40">
        <f>SUM([1]Costing!$T160:$Y160)/1000000000</f>
        <v>0.78366394849036558</v>
      </c>
      <c r="L29" s="40">
        <f t="shared" si="11"/>
        <v>1.0027501271614887</v>
      </c>
      <c r="M29" s="180">
        <f t="shared" si="12"/>
        <v>1.2795664890456762</v>
      </c>
      <c r="N29" s="180">
        <f t="shared" si="13"/>
        <v>-5.8620914756962288E-3</v>
      </c>
      <c r="O29" s="180"/>
    </row>
    <row r="30" spans="1:16">
      <c r="B30" s="458">
        <v>2025</v>
      </c>
      <c r="C30" s="469">
        <f>SUM('Voluntary Costs'!Q257:T257)/1000000000</f>
        <v>1.0459652853705494</v>
      </c>
      <c r="D30" s="484">
        <f>SUM('Involuntary Costs'!L161:Q161)/1000000000</f>
        <v>0.80718724971192779</v>
      </c>
      <c r="E30" s="484">
        <f>SUM([1]Costing!$L161:$Q161)/1000000000</f>
        <v>0.81189799104728111</v>
      </c>
      <c r="F30" s="40">
        <f t="shared" si="8"/>
        <v>1.0412545440351959</v>
      </c>
      <c r="G30" s="180">
        <f t="shared" si="9"/>
        <v>1.2824942979499971</v>
      </c>
      <c r="H30" s="465">
        <f t="shared" si="10"/>
        <v>-5.8021344889360458E-3</v>
      </c>
      <c r="I30" s="469">
        <f>SUM('Voluntary Costs'!Z257:AC257)/1000000000</f>
        <v>1.0557512953768924</v>
      </c>
      <c r="J30" s="40">
        <f>SUM('Involuntary Costs'!T161:Y161)/1000000000</f>
        <v>0.83565320739006743</v>
      </c>
      <c r="K30" s="40">
        <f>SUM([1]Costing!$T161:$Y161)/1000000000</f>
        <v>0.84134436166215243</v>
      </c>
      <c r="L30" s="40">
        <f t="shared" si="11"/>
        <v>1.0500601411048072</v>
      </c>
      <c r="M30" s="180">
        <f t="shared" si="12"/>
        <v>1.2480741405698823</v>
      </c>
      <c r="N30" s="180">
        <f t="shared" si="13"/>
        <v>-6.7643577724127175E-3</v>
      </c>
      <c r="O30" s="180"/>
    </row>
    <row r="31" spans="1:16">
      <c r="B31" s="458">
        <v>2026</v>
      </c>
      <c r="C31" s="469">
        <f>SUM('Voluntary Costs'!Q258:T258)/1000000000</f>
        <v>1.093909931931526</v>
      </c>
      <c r="D31" s="484">
        <f>SUM('Involuntary Costs'!L162:Q162)/1000000000</f>
        <v>0.8598599319855561</v>
      </c>
      <c r="E31" s="484">
        <f>SUM([1]Costing!$L162:$Q162)/1000000000</f>
        <v>0.86551889464597853</v>
      </c>
      <c r="F31" s="40">
        <f t="shared" si="8"/>
        <v>1.0882509692711038</v>
      </c>
      <c r="G31" s="180">
        <f t="shared" si="9"/>
        <v>1.2573393556199937</v>
      </c>
      <c r="H31" s="465">
        <f t="shared" si="10"/>
        <v>-6.5382312222509054E-3</v>
      </c>
      <c r="I31" s="469">
        <f>SUM('Voluntary Costs'!Z258:AC258)/1000000000</f>
        <v>1.1062656350957949</v>
      </c>
      <c r="J31" s="40">
        <f>SUM('Involuntary Costs'!T162:Y162)/1000000000</f>
        <v>0.89613831112921205</v>
      </c>
      <c r="K31" s="40">
        <f>SUM([1]Costing!$T162:$Y162)/1000000000</f>
        <v>0.90286745971225069</v>
      </c>
      <c r="L31" s="40">
        <f t="shared" si="11"/>
        <v>1.0995364865127564</v>
      </c>
      <c r="M31" s="180">
        <f t="shared" si="12"/>
        <v>1.2178271292036433</v>
      </c>
      <c r="N31" s="180">
        <f t="shared" si="13"/>
        <v>-7.4530857332960653E-3</v>
      </c>
      <c r="O31" s="180"/>
    </row>
    <row r="32" spans="1:16">
      <c r="B32" s="458">
        <v>2027</v>
      </c>
      <c r="C32" s="469">
        <f>SUM('Voluntary Costs'!Q259:T259)/1000000000</f>
        <v>1.1438320192445233</v>
      </c>
      <c r="D32" s="484">
        <f>SUM('Involuntary Costs'!L163:Q163)/1000000000</f>
        <v>0.91580718553877039</v>
      </c>
      <c r="E32" s="484">
        <f>SUM([1]Costing!$L163:$Q163)/1000000000</f>
        <v>0.92242277253835969</v>
      </c>
      <c r="F32" s="40">
        <f t="shared" si="8"/>
        <v>1.1372164322449341</v>
      </c>
      <c r="G32" s="180">
        <f t="shared" si="9"/>
        <v>1.2328581493228929</v>
      </c>
      <c r="H32" s="465">
        <f t="shared" si="10"/>
        <v>-7.171968425480511E-3</v>
      </c>
      <c r="I32" s="469">
        <f>SUM('Voluntary Costs'!Z259:AC259)/1000000000</f>
        <v>1.1589698308411602</v>
      </c>
      <c r="J32" s="40">
        <f>SUM('Involuntary Costs'!T163:Y163)/1000000000</f>
        <v>0.96074687410939075</v>
      </c>
      <c r="K32" s="40">
        <f>SUM([1]Costing!$T163:$Y163)/1000000000</f>
        <v>0.96846921154528587</v>
      </c>
      <c r="L32" s="40">
        <f t="shared" si="11"/>
        <v>1.1512474934052648</v>
      </c>
      <c r="M32" s="180">
        <f t="shared" si="12"/>
        <v>1.1887290578585752</v>
      </c>
      <c r="N32" s="180">
        <f t="shared" si="13"/>
        <v>-7.9737562576443592E-3</v>
      </c>
      <c r="O32" s="180"/>
    </row>
    <row r="33" spans="2:15">
      <c r="B33" s="458">
        <v>2028</v>
      </c>
      <c r="C33" s="469">
        <f>SUM('Voluntary Costs'!Q260:T260)/1000000000</f>
        <v>1.195813873113013</v>
      </c>
      <c r="D33" s="484">
        <f>SUM('Involuntary Costs'!L164:Q164)/1000000000</f>
        <v>0.97525952270362049</v>
      </c>
      <c r="E33" s="484">
        <f>SUM([1]Costing!$L164:$Q164)/1000000000</f>
        <v>0.98279854261257005</v>
      </c>
      <c r="F33" s="40">
        <f t="shared" si="8"/>
        <v>1.1882748532040635</v>
      </c>
      <c r="G33" s="180">
        <f t="shared" si="9"/>
        <v>1.2090726651316315</v>
      </c>
      <c r="H33" s="465">
        <f t="shared" si="10"/>
        <v>-7.6709718035484781E-3</v>
      </c>
      <c r="I33" s="469">
        <f>SUM('Voluntary Costs'!Z260:AC260)/1000000000</f>
        <v>1.213950465203842</v>
      </c>
      <c r="J33" s="40">
        <f>SUM('Involuntary Costs'!T164:Y164)/1000000000</f>
        <v>1.0297819032224944</v>
      </c>
      <c r="K33" s="40">
        <f>SUM([1]Costing!$T164:$Y164)/1000000000</f>
        <v>1.0383991768681873</v>
      </c>
      <c r="L33" s="40">
        <f t="shared" si="11"/>
        <v>1.2053331915581489</v>
      </c>
      <c r="M33" s="180">
        <f t="shared" si="12"/>
        <v>1.1607609274050417</v>
      </c>
      <c r="N33" s="180">
        <f t="shared" si="13"/>
        <v>-8.298613710078789E-3</v>
      </c>
      <c r="O33" s="180"/>
    </row>
    <row r="34" spans="2:15">
      <c r="B34" s="458">
        <v>2029</v>
      </c>
      <c r="C34" s="469">
        <f>SUM('Voluntary Costs'!Q261:T261)/1000000000</f>
        <v>1.2499412962380794</v>
      </c>
      <c r="D34" s="484">
        <f>SUM('Involuntary Costs'!L165:Q165)/1000000000</f>
        <v>1.0384100267883236</v>
      </c>
      <c r="E34" s="484">
        <f>SUM([1]Costing!$L165:$Q165)/1000000000</f>
        <v>1.0468454659071371</v>
      </c>
      <c r="F34" s="40">
        <f t="shared" si="8"/>
        <v>1.2415058571192659</v>
      </c>
      <c r="G34" s="180">
        <f t="shared" si="9"/>
        <v>1.1859495002382678</v>
      </c>
      <c r="H34" s="465">
        <f t="shared" si="10"/>
        <v>-8.0579602181338472E-3</v>
      </c>
      <c r="I34" s="469">
        <f>SUM('Voluntary Costs'!Z261:AC261)/1000000000</f>
        <v>1.2712981057154853</v>
      </c>
      <c r="J34" s="40">
        <f>SUM('Involuntary Costs'!T165:Y165)/1000000000</f>
        <v>1.1035323837936433</v>
      </c>
      <c r="K34" s="40">
        <f>SUM([1]Costing!$T165:$Y165)/1000000000</f>
        <v>1.1129212503572197</v>
      </c>
      <c r="L34" s="40">
        <f t="shared" si="11"/>
        <v>1.2619092391519089</v>
      </c>
      <c r="M34" s="180">
        <f t="shared" si="12"/>
        <v>1.1338710971210837</v>
      </c>
      <c r="N34" s="180">
        <f t="shared" si="13"/>
        <v>-8.4362362211727153E-3</v>
      </c>
      <c r="O34" s="180"/>
    </row>
    <row r="35" spans="2:15">
      <c r="B35" s="458">
        <v>2030</v>
      </c>
      <c r="C35" s="469">
        <f>SUM('Voluntary Costs'!Q262:T262)/1000000000</f>
        <v>1.3063036785172846</v>
      </c>
      <c r="D35" s="484">
        <f>SUM('Involuntary Costs'!L166:Q166)/1000000000</f>
        <v>1.1054602155012354</v>
      </c>
      <c r="E35" s="484">
        <f>SUM([1]Costing!$L166:$Q166)/1000000000</f>
        <v>1.1147736905712271</v>
      </c>
      <c r="F35" s="40">
        <f t="shared" si="8"/>
        <v>1.2969902034472931</v>
      </c>
      <c r="G35" s="180">
        <f t="shared" si="9"/>
        <v>1.1634560578682975</v>
      </c>
      <c r="H35" s="465">
        <f t="shared" si="10"/>
        <v>-8.3545881543179643E-3</v>
      </c>
      <c r="I35" s="469">
        <f>SUM('Voluntary Costs'!Z262:AC262)/1000000000</f>
        <v>1.3311074787056723</v>
      </c>
      <c r="J35" s="40">
        <f>SUM('Involuntary Costs'!T166:Y166)/1000000000</f>
        <v>1.1822644547034313</v>
      </c>
      <c r="K35" s="40">
        <f>SUM([1]Costing!$T166:$Y166)/1000000000</f>
        <v>1.1923144449545495</v>
      </c>
      <c r="L35" s="40">
        <f t="shared" si="11"/>
        <v>1.3210574884545541</v>
      </c>
      <c r="M35" s="180">
        <f t="shared" si="12"/>
        <v>1.10797742495262</v>
      </c>
      <c r="N35" s="180">
        <f t="shared" si="13"/>
        <v>-8.4289763439889306E-3</v>
      </c>
      <c r="O35" s="180"/>
    </row>
    <row r="36" spans="2:15">
      <c r="B36" s="458">
        <v>2040</v>
      </c>
      <c r="C36" s="469">
        <f>SUM('Voluntary Costs'!Q263:T263)/1000000000</f>
        <v>0</v>
      </c>
      <c r="D36" s="484">
        <f>SUM('Involuntary Costs'!L167:Q167)/1000000000</f>
        <v>2.0336796315826868</v>
      </c>
      <c r="E36" s="484">
        <f>SUM([1]Costing!$L167:$Q167)/1000000000</f>
        <v>2.0531178092784237</v>
      </c>
      <c r="F36" s="40">
        <f t="shared" ref="F36:F42" si="14">((C36+D36)-E36)</f>
        <v>-1.9438177695736858E-2</v>
      </c>
      <c r="G36" s="180">
        <f t="shared" si="9"/>
        <v>-9.4676387335846466E-3</v>
      </c>
      <c r="H36" s="465">
        <f t="shared" si="10"/>
        <v>-9.4676387335846466E-3</v>
      </c>
      <c r="I36" s="469">
        <f>SUM('Voluntary Costs'!Z263:AC263)/1000000000</f>
        <v>0</v>
      </c>
      <c r="J36" s="40">
        <f>SUM('Involuntary Costs'!T167:Y167)/1000000000</f>
        <v>2.3311496997862995</v>
      </c>
      <c r="K36" s="40">
        <f>SUM([1]Costing!$T167:$Y167)/1000000000</f>
        <v>2.3725872311135285</v>
      </c>
      <c r="L36" s="40">
        <f t="shared" ref="L36:L42" si="15">((I36+J36)-K36)</f>
        <v>-4.1437531327229049E-2</v>
      </c>
      <c r="M36" s="180">
        <f t="shared" si="12"/>
        <v>-1.7465124478386884E-2</v>
      </c>
      <c r="N36" s="180">
        <f t="shared" si="13"/>
        <v>-1.7465124478386884E-2</v>
      </c>
      <c r="O36" s="180"/>
    </row>
    <row r="37" spans="2:15">
      <c r="B37" s="458">
        <v>2050</v>
      </c>
      <c r="C37" s="469">
        <f>SUM('Voluntary Costs'!Q264:T264)/1000000000</f>
        <v>0</v>
      </c>
      <c r="D37" s="484">
        <f>SUM('Involuntary Costs'!L168:Q168)/1000000000</f>
        <v>3.5636585999899393</v>
      </c>
      <c r="E37" s="484">
        <f>SUM([1]Costing!$L168:$Q168)/1000000000</f>
        <v>3.5984296961831062</v>
      </c>
      <c r="F37" s="40">
        <f t="shared" si="14"/>
        <v>-3.4771096193166873E-2</v>
      </c>
      <c r="G37" s="180">
        <f t="shared" si="9"/>
        <v>-9.6628527243561146E-3</v>
      </c>
      <c r="H37" s="465">
        <f t="shared" si="10"/>
        <v>-9.6628527243561146E-3</v>
      </c>
      <c r="I37" s="469">
        <f>SUM('Voluntary Costs'!Z264:AC264)/1000000000</f>
        <v>0</v>
      </c>
      <c r="J37" s="40">
        <f>SUM('Involuntary Costs'!T168:Y168)/1000000000</f>
        <v>4.488217348649</v>
      </c>
      <c r="K37" s="40">
        <f>SUM([1]Costing!$T168:$Y168)/1000000000</f>
        <v>4.5708190214821025</v>
      </c>
      <c r="L37" s="40">
        <f t="shared" si="15"/>
        <v>-8.2601672833102491E-2</v>
      </c>
      <c r="M37" s="180">
        <f t="shared" si="12"/>
        <v>-1.8071525572307311E-2</v>
      </c>
      <c r="N37" s="180">
        <f t="shared" si="13"/>
        <v>-1.8071525572307311E-2</v>
      </c>
      <c r="O37" s="180"/>
    </row>
    <row r="38" spans="2:15">
      <c r="B38" s="458">
        <v>2060</v>
      </c>
      <c r="C38" s="469">
        <f>SUM('Voluntary Costs'!Q265:T265)/1000000000</f>
        <v>0</v>
      </c>
      <c r="D38" s="484">
        <f>SUM('Involuntary Costs'!L169:Q169)/1000000000</f>
        <v>5.8553810267304263</v>
      </c>
      <c r="E38" s="484">
        <f>SUM([1]Costing!$L169:$Q169)/1000000000</f>
        <v>5.913135487756791</v>
      </c>
      <c r="F38" s="40">
        <f t="shared" si="14"/>
        <v>-5.7754461026364723E-2</v>
      </c>
      <c r="G38" s="180">
        <f t="shared" si="9"/>
        <v>-9.7671465749340491E-3</v>
      </c>
      <c r="H38" s="465">
        <f t="shared" si="10"/>
        <v>-9.7671465749340491E-3</v>
      </c>
      <c r="I38" s="469">
        <f>SUM('Voluntary Costs'!Z265:AC265)/1000000000</f>
        <v>0</v>
      </c>
      <c r="J38" s="40">
        <f>SUM('Involuntary Costs'!T169:Y169)/1000000000</f>
        <v>8.5102043244525234</v>
      </c>
      <c r="K38" s="40">
        <f>SUM([1]Costing!$T169:$Y169)/1000000000</f>
        <v>8.6711723736851205</v>
      </c>
      <c r="L38" s="40">
        <f t="shared" si="15"/>
        <v>-0.16096804923259711</v>
      </c>
      <c r="M38" s="180">
        <f t="shared" si="12"/>
        <v>-1.8563585441006298E-2</v>
      </c>
      <c r="N38" s="180">
        <f t="shared" si="13"/>
        <v>-1.8563585441006298E-2</v>
      </c>
      <c r="O38" s="180"/>
    </row>
    <row r="39" spans="2:15">
      <c r="B39" s="458">
        <v>2070</v>
      </c>
      <c r="C39" s="469">
        <f>SUM('Voluntary Costs'!Q266:T266)/1000000000</f>
        <v>0</v>
      </c>
      <c r="D39" s="484">
        <f>SUM('Involuntary Costs'!L170:Q170)/1000000000</f>
        <v>8.9760527782254655</v>
      </c>
      <c r="E39" s="484">
        <f>SUM([1]Costing!$L170:$Q170)/1000000000</f>
        <v>9.064945730573795</v>
      </c>
      <c r="F39" s="40">
        <f t="shared" si="14"/>
        <v>-8.8892952348329501E-2</v>
      </c>
      <c r="G39" s="180">
        <f t="shared" si="9"/>
        <v>-9.8062310564657664E-3</v>
      </c>
      <c r="H39" s="465">
        <f t="shared" si="10"/>
        <v>-9.8062310564657664E-3</v>
      </c>
      <c r="I39" s="469">
        <f>SUM('Voluntary Costs'!Z266:AC266)/1000000000</f>
        <v>0</v>
      </c>
      <c r="J39" s="40">
        <f>SUM('Involuntary Costs'!T170:Y170)/1000000000</f>
        <v>15.749560102300316</v>
      </c>
      <c r="K39" s="40">
        <f>SUM([1]Costing!$T170:$Y170)/1000000000</f>
        <v>16.054285904039205</v>
      </c>
      <c r="L39" s="40">
        <f t="shared" si="15"/>
        <v>-0.30472580173888808</v>
      </c>
      <c r="M39" s="180">
        <f t="shared" si="12"/>
        <v>-1.8980962688737224E-2</v>
      </c>
      <c r="N39" s="180">
        <f t="shared" si="13"/>
        <v>-1.8980962688737224E-2</v>
      </c>
      <c r="O39" s="180"/>
    </row>
    <row r="40" spans="2:15">
      <c r="B40" s="458">
        <v>2080</v>
      </c>
      <c r="C40" s="469">
        <f>SUM('Voluntary Costs'!Q267:T267)/1000000000</f>
        <v>0</v>
      </c>
      <c r="D40" s="484">
        <f>SUM('Involuntary Costs'!L171:Q171)/1000000000</f>
        <v>12.991043885739137</v>
      </c>
      <c r="E40" s="484">
        <f>SUM([1]Costing!$L171:$Q171)/1000000000</f>
        <v>13.119375577459222</v>
      </c>
      <c r="F40" s="40">
        <f t="shared" si="14"/>
        <v>-0.12833169172008496</v>
      </c>
      <c r="G40" s="180">
        <f t="shared" si="9"/>
        <v>-9.7818444911795463E-3</v>
      </c>
      <c r="H40" s="465">
        <f t="shared" si="10"/>
        <v>-9.7818444911795463E-3</v>
      </c>
      <c r="I40" s="469">
        <f>SUM('Voluntary Costs'!Z267:AC267)/1000000000</f>
        <v>0</v>
      </c>
      <c r="J40" s="40">
        <f>SUM('Involuntary Costs'!T171:Y171)/1000000000</f>
        <v>27.965249690654645</v>
      </c>
      <c r="K40" s="40">
        <f>SUM([1]Costing!$T171:$Y171)/1000000000</f>
        <v>28.516983909702105</v>
      </c>
      <c r="L40" s="40">
        <f t="shared" si="15"/>
        <v>-0.55173421904746078</v>
      </c>
      <c r="M40" s="180">
        <f t="shared" si="12"/>
        <v>-1.9347565675055443E-2</v>
      </c>
      <c r="N40" s="180">
        <f t="shared" si="13"/>
        <v>-1.9347565675055443E-2</v>
      </c>
      <c r="O40" s="180"/>
    </row>
    <row r="41" spans="2:15">
      <c r="B41" s="458">
        <v>2090</v>
      </c>
      <c r="C41" s="469">
        <f>SUM('Voluntary Costs'!Q268:T268)/1000000000</f>
        <v>0</v>
      </c>
      <c r="D41" s="484">
        <f>SUM('Involuntary Costs'!L172:Q172)/1000000000</f>
        <v>18.01897546455233</v>
      </c>
      <c r="E41" s="484">
        <f>SUM([1]Costing!$L172:$Q172)/1000000000</f>
        <v>18.195524399481567</v>
      </c>
      <c r="F41" s="40">
        <f t="shared" si="14"/>
        <v>-0.17654893492923662</v>
      </c>
      <c r="G41" s="180">
        <f t="shared" si="9"/>
        <v>-9.7028769851924095E-3</v>
      </c>
      <c r="H41" s="465">
        <f t="shared" si="10"/>
        <v>-9.7028769851924095E-3</v>
      </c>
      <c r="I41" s="469">
        <f>SUM('Voluntary Costs'!Z268:AC268)/1000000000</f>
        <v>0</v>
      </c>
      <c r="J41" s="40">
        <f>SUM('Involuntary Costs'!T172:Y172)/1000000000</f>
        <v>48.202512015023565</v>
      </c>
      <c r="K41" s="40">
        <f>SUM([1]Costing!$T172:$Y172)/1000000000</f>
        <v>49.170650188428574</v>
      </c>
      <c r="L41" s="40">
        <f t="shared" si="15"/>
        <v>-0.96813817340500918</v>
      </c>
      <c r="M41" s="180">
        <f t="shared" si="12"/>
        <v>-1.9689350653183817E-2</v>
      </c>
      <c r="N41" s="180">
        <f t="shared" si="13"/>
        <v>-1.9689350653183817E-2</v>
      </c>
      <c r="O41" s="180"/>
    </row>
    <row r="42" spans="2:15">
      <c r="B42" s="459">
        <v>2100</v>
      </c>
      <c r="C42" s="469">
        <f>SUM('Voluntary Costs'!Q269:T269)/1000000000</f>
        <v>0</v>
      </c>
      <c r="D42" s="484">
        <f>SUM('Involuntary Costs'!L173:Q173)/1000000000</f>
        <v>24.403862995103538</v>
      </c>
      <c r="E42" s="484">
        <f>SUM([1]Costing!$L173:$Q173)/1000000000</f>
        <v>24.640210023360048</v>
      </c>
      <c r="F42" s="40">
        <f t="shared" si="14"/>
        <v>-0.23634702825651033</v>
      </c>
      <c r="G42" s="467">
        <f t="shared" si="9"/>
        <v>-9.5919242584556908E-3</v>
      </c>
      <c r="H42" s="468">
        <f t="shared" si="10"/>
        <v>-9.5919242584556908E-3</v>
      </c>
      <c r="I42" s="469">
        <f>SUM('Voluntary Costs'!Z269:AC269)/1000000000</f>
        <v>0</v>
      </c>
      <c r="J42" s="40">
        <f>SUM('Involuntary Costs'!T173:Y173)/1000000000</f>
        <v>81.89835358411942</v>
      </c>
      <c r="K42" s="40">
        <f>SUM([1]Costing!$T173:$Y173)/1000000000</f>
        <v>83.570479365657633</v>
      </c>
      <c r="L42" s="40">
        <f t="shared" si="15"/>
        <v>-1.6721257815382131</v>
      </c>
      <c r="M42" s="467">
        <f t="shared" si="12"/>
        <v>-2.0008569942765637E-2</v>
      </c>
      <c r="N42" s="467">
        <f t="shared" si="13"/>
        <v>-2.0008569942765637E-2</v>
      </c>
      <c r="O42" s="180"/>
    </row>
    <row r="43" spans="2:15">
      <c r="C43" s="40"/>
      <c r="D43" s="40"/>
      <c r="E43" s="40"/>
    </row>
    <row r="44" spans="2:15">
      <c r="C44" s="40"/>
      <c r="D44" s="40"/>
      <c r="E44" s="40"/>
    </row>
    <row r="45" spans="2:15">
      <c r="C45" s="40"/>
      <c r="D45" s="40"/>
      <c r="E45" s="40"/>
    </row>
    <row r="46" spans="2:15">
      <c r="C46" s="40"/>
      <c r="D46" s="40"/>
      <c r="E46" s="40"/>
    </row>
    <row r="47" spans="2:15">
      <c r="C47" s="40"/>
      <c r="D47" s="40"/>
      <c r="E47" s="40"/>
    </row>
    <row r="48" spans="2:15">
      <c r="C48" s="40"/>
      <c r="D48" s="40"/>
      <c r="E48" s="40"/>
    </row>
    <row r="49" spans="2:6">
      <c r="D49" s="40"/>
    </row>
    <row r="50" spans="2:6">
      <c r="D50" s="40"/>
    </row>
    <row r="51" spans="2:6">
      <c r="D51" s="40"/>
    </row>
    <row r="52" spans="2:6">
      <c r="B52" s="457" t="s">
        <v>87</v>
      </c>
      <c r="C52" t="s">
        <v>201</v>
      </c>
      <c r="D52" t="s">
        <v>202</v>
      </c>
      <c r="E52" t="s">
        <v>203</v>
      </c>
      <c r="F52" t="s">
        <v>204</v>
      </c>
    </row>
    <row r="53" spans="2:6">
      <c r="B53" s="458">
        <v>2020</v>
      </c>
      <c r="C53">
        <f t="shared" ref="C53:C70" si="16">H5*-1</f>
        <v>0</v>
      </c>
      <c r="D53">
        <f t="shared" ref="D53:D70" si="17">H25*-1</f>
        <v>0</v>
      </c>
      <c r="E53">
        <f t="shared" ref="E53:E70" si="18">N25*-1</f>
        <v>0</v>
      </c>
      <c r="F53">
        <f t="shared" ref="F53:F70" si="19">N5*-1</f>
        <v>0</v>
      </c>
    </row>
    <row r="54" spans="2:6">
      <c r="B54" s="458">
        <v>2021</v>
      </c>
      <c r="C54">
        <f t="shared" si="16"/>
        <v>1.3054898631476525E-3</v>
      </c>
      <c r="D54">
        <f t="shared" si="17"/>
        <v>1.4556890351688284E-3</v>
      </c>
      <c r="E54">
        <f t="shared" si="18"/>
        <v>1.8261295500896994E-3</v>
      </c>
      <c r="F54">
        <f t="shared" si="19"/>
        <v>2.0873440409499267E-3</v>
      </c>
    </row>
    <row r="55" spans="2:6">
      <c r="B55" s="458">
        <v>2022</v>
      </c>
      <c r="C55">
        <f t="shared" si="16"/>
        <v>2.5054958146046458E-3</v>
      </c>
      <c r="D55">
        <f t="shared" si="17"/>
        <v>2.7442500295202566E-3</v>
      </c>
      <c r="E55">
        <f t="shared" si="18"/>
        <v>3.3942466115643756E-3</v>
      </c>
      <c r="F55">
        <f t="shared" si="19"/>
        <v>3.862351198021995E-3</v>
      </c>
    </row>
    <row r="56" spans="2:6">
      <c r="B56" s="458">
        <v>2023</v>
      </c>
      <c r="C56">
        <f t="shared" si="16"/>
        <v>3.584391828180765E-3</v>
      </c>
      <c r="D56">
        <f t="shared" si="17"/>
        <v>3.8914546373216919E-3</v>
      </c>
      <c r="E56">
        <f t="shared" si="18"/>
        <v>4.7359532697924004E-3</v>
      </c>
      <c r="F56">
        <f t="shared" si="19"/>
        <v>5.3230761661449419E-3</v>
      </c>
    </row>
    <row r="57" spans="2:6">
      <c r="B57" s="458">
        <v>2024</v>
      </c>
      <c r="C57">
        <f t="shared" si="16"/>
        <v>4.5463472968641479E-3</v>
      </c>
      <c r="D57">
        <f t="shared" si="17"/>
        <v>4.9217532282001594E-3</v>
      </c>
      <c r="E57">
        <f t="shared" si="18"/>
        <v>5.8620914756962288E-3</v>
      </c>
      <c r="F57">
        <f t="shared" si="19"/>
        <v>6.504815762393798E-3</v>
      </c>
    </row>
    <row r="58" spans="2:6">
      <c r="B58" s="458">
        <v>2025</v>
      </c>
      <c r="C58">
        <f t="shared" si="16"/>
        <v>5.4142158768114342E-3</v>
      </c>
      <c r="D58">
        <f t="shared" si="17"/>
        <v>5.8021344889360458E-3</v>
      </c>
      <c r="E58">
        <f t="shared" si="18"/>
        <v>6.7643577724127175E-3</v>
      </c>
      <c r="F58">
        <f t="shared" si="19"/>
        <v>7.4038439894449021E-3</v>
      </c>
    </row>
    <row r="59" spans="2:6">
      <c r="B59" s="458">
        <v>2026</v>
      </c>
      <c r="C59">
        <f t="shared" si="16"/>
        <v>6.1724994337382872E-3</v>
      </c>
      <c r="D59">
        <f t="shared" si="17"/>
        <v>6.5382312222509054E-3</v>
      </c>
      <c r="E59">
        <f t="shared" si="18"/>
        <v>7.4530857332960653E-3</v>
      </c>
      <c r="F59">
        <f t="shared" si="19"/>
        <v>8.05254001142491E-3</v>
      </c>
    </row>
    <row r="60" spans="2:6">
      <c r="B60" s="458">
        <v>2027</v>
      </c>
      <c r="C60">
        <f t="shared" si="16"/>
        <v>6.8433027770773269E-3</v>
      </c>
      <c r="D60">
        <f t="shared" si="17"/>
        <v>7.171968425480511E-3</v>
      </c>
      <c r="E60">
        <f t="shared" si="18"/>
        <v>7.9737562576443592E-3</v>
      </c>
      <c r="F60">
        <f t="shared" si="19"/>
        <v>8.4457622860254333E-3</v>
      </c>
    </row>
    <row r="61" spans="2:6">
      <c r="B61" s="458">
        <v>2028</v>
      </c>
      <c r="C61">
        <f t="shared" si="16"/>
        <v>7.4112394045248824E-3</v>
      </c>
      <c r="D61">
        <f t="shared" si="17"/>
        <v>7.6709718035484781E-3</v>
      </c>
      <c r="E61">
        <f t="shared" si="18"/>
        <v>8.298613710078789E-3</v>
      </c>
      <c r="F61">
        <f t="shared" si="19"/>
        <v>8.6134006828655508E-3</v>
      </c>
    </row>
    <row r="62" spans="2:6">
      <c r="B62" s="458">
        <v>2029</v>
      </c>
      <c r="C62">
        <f t="shared" si="16"/>
        <v>7.8796453983104413E-3</v>
      </c>
      <c r="D62">
        <f t="shared" si="17"/>
        <v>8.0579602181338472E-3</v>
      </c>
      <c r="E62">
        <f t="shared" si="18"/>
        <v>8.4362362211727153E-3</v>
      </c>
      <c r="F62">
        <f t="shared" si="19"/>
        <v>8.5491872758535412E-3</v>
      </c>
    </row>
    <row r="63" spans="2:6">
      <c r="B63" s="458">
        <v>2030</v>
      </c>
      <c r="C63">
        <f t="shared" si="16"/>
        <v>8.2695975293065882E-3</v>
      </c>
      <c r="D63">
        <f t="shared" si="17"/>
        <v>8.3545881543179643E-3</v>
      </c>
      <c r="E63">
        <f t="shared" si="18"/>
        <v>8.4289763439889306E-3</v>
      </c>
      <c r="F63">
        <f t="shared" si="19"/>
        <v>8.2808727873086106E-3</v>
      </c>
    </row>
    <row r="64" spans="2:6">
      <c r="B64" s="458">
        <v>2040</v>
      </c>
      <c r="C64">
        <f t="shared" si="16"/>
        <v>9.2725227510083615E-3</v>
      </c>
      <c r="D64">
        <f t="shared" si="17"/>
        <v>9.4676387335846466E-3</v>
      </c>
      <c r="E64">
        <f t="shared" si="18"/>
        <v>1.7465124478386884E-2</v>
      </c>
      <c r="F64">
        <f t="shared" si="19"/>
        <v>1.6823434385449049E-2</v>
      </c>
    </row>
    <row r="65" spans="2:12">
      <c r="B65" s="458">
        <v>2050</v>
      </c>
      <c r="C65">
        <f t="shared" si="16"/>
        <v>9.3489629739634036E-3</v>
      </c>
      <c r="D65">
        <f t="shared" si="17"/>
        <v>9.6628527243561146E-3</v>
      </c>
      <c r="E65">
        <f t="shared" si="18"/>
        <v>1.8071525572307311E-2</v>
      </c>
      <c r="F65">
        <f t="shared" si="19"/>
        <v>1.7000651209298747E-2</v>
      </c>
    </row>
    <row r="66" spans="2:12">
      <c r="B66" s="458">
        <v>2060</v>
      </c>
      <c r="C66">
        <f t="shared" si="16"/>
        <v>9.327252764686678E-3</v>
      </c>
      <c r="D66">
        <f t="shared" si="17"/>
        <v>9.7671465749340491E-3</v>
      </c>
      <c r="E66">
        <f t="shared" si="18"/>
        <v>1.8563585441006298E-2</v>
      </c>
      <c r="F66">
        <f t="shared" si="19"/>
        <v>1.701038580840647E-2</v>
      </c>
    </row>
    <row r="67" spans="2:12">
      <c r="B67" s="458">
        <v>2070</v>
      </c>
      <c r="C67">
        <f t="shared" si="16"/>
        <v>9.2227029328626146E-3</v>
      </c>
      <c r="D67">
        <f t="shared" si="17"/>
        <v>9.8062310564657664E-3</v>
      </c>
      <c r="E67">
        <f t="shared" si="18"/>
        <v>1.8980962688737224E-2</v>
      </c>
      <c r="F67">
        <f t="shared" si="19"/>
        <v>1.6882929714925481E-2</v>
      </c>
    </row>
    <row r="68" spans="2:12">
      <c r="B68" s="458">
        <v>2080</v>
      </c>
      <c r="C68">
        <f t="shared" si="16"/>
        <v>9.0353230406673788E-3</v>
      </c>
      <c r="D68">
        <f t="shared" si="17"/>
        <v>9.7818444911795463E-3</v>
      </c>
      <c r="E68">
        <f t="shared" si="18"/>
        <v>1.9347565675055443E-2</v>
      </c>
      <c r="F68">
        <f t="shared" si="19"/>
        <v>1.6621990840217586E-2</v>
      </c>
    </row>
    <row r="69" spans="2:12">
      <c r="B69" s="458">
        <v>2090</v>
      </c>
      <c r="C69">
        <f t="shared" si="16"/>
        <v>8.7610990772067389E-3</v>
      </c>
      <c r="D69">
        <f t="shared" si="17"/>
        <v>9.7028769851924095E-3</v>
      </c>
      <c r="E69">
        <f t="shared" si="18"/>
        <v>1.9689350653183817E-2</v>
      </c>
      <c r="F69">
        <f t="shared" si="19"/>
        <v>1.6236147561375817E-2</v>
      </c>
    </row>
    <row r="70" spans="2:12">
      <c r="B70" s="459">
        <v>2100</v>
      </c>
      <c r="C70">
        <f t="shared" si="16"/>
        <v>8.4115627274372936E-3</v>
      </c>
      <c r="D70">
        <f t="shared" si="17"/>
        <v>9.5919242584556908E-3</v>
      </c>
      <c r="E70">
        <f t="shared" si="18"/>
        <v>2.0008569942765637E-2</v>
      </c>
      <c r="F70">
        <f t="shared" si="19"/>
        <v>1.5742331474274202E-2</v>
      </c>
    </row>
    <row r="75" spans="2:12">
      <c r="B75">
        <v>0.2</v>
      </c>
    </row>
    <row r="76" spans="2:12">
      <c r="B76" s="622" t="s">
        <v>330</v>
      </c>
      <c r="C76" s="622"/>
      <c r="D76" s="622"/>
      <c r="E76" s="622"/>
      <c r="F76" s="622"/>
      <c r="H76" s="622" t="s">
        <v>331</v>
      </c>
      <c r="I76" s="622"/>
      <c r="J76" s="622"/>
      <c r="K76" s="622"/>
      <c r="L76" s="622"/>
    </row>
    <row r="77" spans="2:12">
      <c r="B77" s="457" t="s">
        <v>87</v>
      </c>
      <c r="C77" t="s">
        <v>201</v>
      </c>
      <c r="D77" t="s">
        <v>202</v>
      </c>
      <c r="E77" t="s">
        <v>203</v>
      </c>
      <c r="F77" t="s">
        <v>204</v>
      </c>
      <c r="H77" s="457" t="s">
        <v>87</v>
      </c>
      <c r="I77" t="s">
        <v>201</v>
      </c>
      <c r="J77" t="s">
        <v>202</v>
      </c>
      <c r="K77" t="s">
        <v>203</v>
      </c>
      <c r="L77" t="s">
        <v>204</v>
      </c>
    </row>
    <row r="78" spans="2:12">
      <c r="B78" s="458">
        <v>2020</v>
      </c>
      <c r="C78" s="40">
        <f t="shared" ref="C78:C95" si="20">(C5+D5)*($B$75+1)</f>
        <v>1.7044081894208847</v>
      </c>
      <c r="D78" s="495">
        <f t="shared" ref="D78:D95" si="21">(C25+D25)*(1+$B$75)</f>
        <v>1.7044081894208847</v>
      </c>
      <c r="E78" s="40">
        <f t="shared" ref="E78:E95" si="22">(I25+J25)*(1+$B$75)</f>
        <v>1.7044081894208847</v>
      </c>
      <c r="F78" s="40">
        <f t="shared" ref="F78:F95" si="23">(I5+J5)*(1+$B$75)</f>
        <v>1.7044081894208847</v>
      </c>
      <c r="H78" s="458">
        <v>2020</v>
      </c>
      <c r="I78">
        <f>C78/(SUM('Voluntary Costs'!F271:K271)/1000000)</f>
        <v>1.3141776844760964E-3</v>
      </c>
      <c r="J78">
        <f>D78/(SUM('Voluntary Costs'!O271:T271)/1000000)</f>
        <v>1.3141776844760964E-3</v>
      </c>
      <c r="K78">
        <f>E78/(SUM('Voluntary Costs'!X271:AC271)/1000000)</f>
        <v>1.3141776844760964E-3</v>
      </c>
      <c r="L78">
        <f>F78/(SUM('Voluntary Costs'!AH271:AM271)/1000000)</f>
        <v>1.3141776844760964E-3</v>
      </c>
    </row>
    <row r="79" spans="2:12">
      <c r="B79" s="458">
        <v>2021</v>
      </c>
      <c r="C79" s="40">
        <f t="shared" si="20"/>
        <v>1.7930525343908934</v>
      </c>
      <c r="D79" s="495">
        <f t="shared" si="21"/>
        <v>1.7979813540838456</v>
      </c>
      <c r="E79" s="40">
        <f t="shared" si="22"/>
        <v>1.8052145504391015</v>
      </c>
      <c r="F79" s="40">
        <f t="shared" si="23"/>
        <v>1.8030286970048621</v>
      </c>
      <c r="H79" s="458">
        <v>2021</v>
      </c>
      <c r="I79">
        <f>C79/(SUM('Voluntary Costs'!F272:K272)/1000000)</f>
        <v>1.3128606412768742E-3</v>
      </c>
      <c r="J79">
        <f>D79/(SUM('Voluntary Costs'!O272:T272)/1000000)</f>
        <v>1.3314045193330293E-3</v>
      </c>
      <c r="K79">
        <f>E79/(SUM('Voluntary Costs'!X272:AC272)/1000000)</f>
        <v>1.3465178371133105E-3</v>
      </c>
      <c r="L79">
        <f>F79/(SUM('Voluntary Costs'!AH272:AM272)/1000000)</f>
        <v>1.3081843382135429E-3</v>
      </c>
    </row>
    <row r="80" spans="2:12">
      <c r="B80" s="458">
        <v>2022</v>
      </c>
      <c r="C80" s="40">
        <f t="shared" si="20"/>
        <v>1.8859701714803707</v>
      </c>
      <c r="D80" s="495">
        <f t="shared" si="21"/>
        <v>1.8964503715849275</v>
      </c>
      <c r="E80" s="40">
        <f t="shared" si="22"/>
        <v>1.9118209608973944</v>
      </c>
      <c r="F80" s="40">
        <f t="shared" si="23"/>
        <v>1.9071529985242277</v>
      </c>
      <c r="H80" s="458">
        <v>2022</v>
      </c>
      <c r="I80">
        <f>C80/(SUM('Voluntary Costs'!F273:K273)/1000000)</f>
        <v>1.3146487365004534E-3</v>
      </c>
      <c r="J80">
        <f>D80/(SUM('Voluntary Costs'!O273:T273)/1000000)</f>
        <v>1.3508056340665157E-3</v>
      </c>
      <c r="K80">
        <f>E80/(SUM('Voluntary Costs'!X273:AC273)/1000000)</f>
        <v>1.381005208698998E-3</v>
      </c>
      <c r="L80">
        <f>F80/(SUM('Voluntary Costs'!AH273:AM273)/1000000)</f>
        <v>1.3066296558039811E-3</v>
      </c>
    </row>
    <row r="81" spans="2:12">
      <c r="B81" s="458">
        <v>2023</v>
      </c>
      <c r="C81" s="40">
        <f t="shared" si="20"/>
        <v>1.9834123033141884</v>
      </c>
      <c r="D81" s="495">
        <f t="shared" si="21"/>
        <v>2.0000593738502181</v>
      </c>
      <c r="E81" s="40">
        <f t="shared" si="22"/>
        <v>2.0245349764962985</v>
      </c>
      <c r="F81" s="40">
        <f t="shared" si="23"/>
        <v>2.0171365847224725</v>
      </c>
      <c r="H81" s="458">
        <v>2023</v>
      </c>
      <c r="I81">
        <f>C81/(SUM('Voluntary Costs'!F274:K274)/1000000)</f>
        <v>1.3192826288943539E-3</v>
      </c>
      <c r="J81">
        <f>D81/(SUM('Voluntary Costs'!O274:T274)/1000000)</f>
        <v>1.3723090914481764E-3</v>
      </c>
      <c r="K81">
        <f>E81/(SUM('Voluntary Costs'!X274:AC274)/1000000)</f>
        <v>1.4176579760635242E-3</v>
      </c>
      <c r="L81">
        <f>F81/(SUM('Voluntary Costs'!AH274:AM274)/1000000)</f>
        <v>1.3090415267910079E-3</v>
      </c>
    </row>
    <row r="82" spans="2:12">
      <c r="B82" s="458">
        <v>2024</v>
      </c>
      <c r="C82" s="40">
        <f t="shared" si="20"/>
        <v>2.08562561376774</v>
      </c>
      <c r="D82" s="495">
        <f t="shared" si="21"/>
        <v>2.109063321776897</v>
      </c>
      <c r="E82" s="40">
        <f t="shared" si="22"/>
        <v>2.1436968907822251</v>
      </c>
      <c r="F82" s="40">
        <f t="shared" si="23"/>
        <v>2.133321313667278</v>
      </c>
      <c r="H82" s="458">
        <v>2024</v>
      </c>
      <c r="I82">
        <f>C82/(SUM('Voluntary Costs'!F275:K275)/1000000)</f>
        <v>1.3265455117631515E-3</v>
      </c>
      <c r="J82">
        <f>D82/(SUM('Voluntary Costs'!O275:T275)/1000000)</f>
        <v>1.3958603101336389E-3</v>
      </c>
      <c r="K82">
        <f>E82/(SUM('Voluntary Costs'!X275:AC275)/1000000)</f>
        <v>1.4565143999155476E-3</v>
      </c>
      <c r="L82">
        <f>F82/(SUM('Voluntary Costs'!AH275:AM275)/1000000)</f>
        <v>1.315034111148863E-3</v>
      </c>
    </row>
    <row r="83" spans="2:12">
      <c r="B83" s="458">
        <v>2025</v>
      </c>
      <c r="C83" s="40">
        <f t="shared" si="20"/>
        <v>2.1928491919502644</v>
      </c>
      <c r="D83" s="495">
        <f t="shared" si="21"/>
        <v>2.2237830420989724</v>
      </c>
      <c r="E83" s="40">
        <f t="shared" si="22"/>
        <v>2.2696854033203517</v>
      </c>
      <c r="F83" s="40">
        <f t="shared" si="23"/>
        <v>2.256101677630669</v>
      </c>
      <c r="H83" s="458">
        <v>2025</v>
      </c>
      <c r="I83">
        <f>C83/(SUM('Voluntary Costs'!F276:K276)/1000000)</f>
        <v>1.3362523196065455E-3</v>
      </c>
      <c r="J83">
        <f>D83/(SUM('Voluntary Costs'!O276:T276)/1000000)</f>
        <v>1.4214542768531536E-3</v>
      </c>
      <c r="K83">
        <f>E83/(SUM('Voluntary Costs'!X276:AC276)/1000000)</f>
        <v>1.4976336683374105E-3</v>
      </c>
      <c r="L83">
        <f>F83/(SUM('Voluntary Costs'!AH276:AM276)/1000000)</f>
        <v>1.3243261450233425E-3</v>
      </c>
    </row>
    <row r="84" spans="2:12">
      <c r="B84" s="458">
        <v>2026</v>
      </c>
      <c r="C84" s="40">
        <f t="shared" si="20"/>
        <v>2.3053677017822571</v>
      </c>
      <c r="D84" s="495">
        <f t="shared" si="21"/>
        <v>2.3445238367004984</v>
      </c>
      <c r="E84" s="40">
        <f t="shared" si="22"/>
        <v>2.4028847354700082</v>
      </c>
      <c r="F84" s="40">
        <f t="shared" si="23"/>
        <v>2.3858574669366366</v>
      </c>
      <c r="H84" s="458">
        <v>2026</v>
      </c>
      <c r="I84">
        <f>C84/(SUM('Voluntary Costs'!F277:K277)/1000000)</f>
        <v>1.3482744360670434E-3</v>
      </c>
      <c r="J84">
        <f>D84/(SUM('Voluntary Costs'!O277:T277)/1000000)</f>
        <v>1.449077046008384E-3</v>
      </c>
      <c r="K84">
        <f>E84/(SUM('Voluntary Costs'!X277:AC277)/1000000)</f>
        <v>1.5410718731020579E-3</v>
      </c>
      <c r="L84">
        <f>F84/(SUM('Voluntary Costs'!AH277:AM277)/1000000)</f>
        <v>1.336679390641416E-3</v>
      </c>
    </row>
    <row r="85" spans="2:12">
      <c r="B85" s="458">
        <v>2027</v>
      </c>
      <c r="C85" s="40">
        <f t="shared" si="20"/>
        <v>2.4234416800720475</v>
      </c>
      <c r="D85" s="495">
        <f t="shared" si="21"/>
        <v>2.4715670457399521</v>
      </c>
      <c r="E85" s="40">
        <f t="shared" si="22"/>
        <v>2.5436600459406606</v>
      </c>
      <c r="F85" s="40">
        <f t="shared" si="23"/>
        <v>2.5230277555792529</v>
      </c>
      <c r="H85" s="458">
        <v>2027</v>
      </c>
      <c r="I85">
        <f>C85/(SUM('Voluntary Costs'!F278:K278)/1000000)</f>
        <v>1.3624895859541528E-3</v>
      </c>
      <c r="J85">
        <f>D85/(SUM('Voluntary Costs'!O278:T278)/1000000)</f>
        <v>1.4787021215731104E-3</v>
      </c>
      <c r="K85">
        <f>E85/(SUM('Voluntary Costs'!X278:AC278)/1000000)</f>
        <v>1.5868670948302951E-3</v>
      </c>
      <c r="L85">
        <f>F85/(SUM('Voluntary Costs'!AH278:AM278)/1000000)</f>
        <v>1.3519289052787359E-3</v>
      </c>
    </row>
    <row r="86" spans="2:12">
      <c r="B86" s="458">
        <v>2028</v>
      </c>
      <c r="C86" s="40">
        <f t="shared" si="20"/>
        <v>2.5473824601101192</v>
      </c>
      <c r="D86" s="495">
        <f t="shared" si="21"/>
        <v>2.6052880749799603</v>
      </c>
      <c r="E86" s="40">
        <f t="shared" si="22"/>
        <v>2.6924788421116035</v>
      </c>
      <c r="F86" s="40">
        <f t="shared" si="23"/>
        <v>2.668035586158465</v>
      </c>
      <c r="H86" s="458">
        <v>2028</v>
      </c>
      <c r="I86">
        <f>C86/(SUM('Voluntary Costs'!F279:K279)/1000000)</f>
        <v>1.3788212080570671E-3</v>
      </c>
      <c r="J86">
        <f>D86/(SUM('Voluntary Costs'!O279:T279)/1000000)</f>
        <v>1.5103608272615228E-3</v>
      </c>
      <c r="K86">
        <f>E86/(SUM('Voluntary Costs'!X279:AC279)/1000000)</f>
        <v>1.6351155256504892E-3</v>
      </c>
      <c r="L86">
        <f>F86/(SUM('Voluntary Costs'!AH279:AM279)/1000000)</f>
        <v>1.3699290662702169E-3</v>
      </c>
    </row>
    <row r="87" spans="2:12">
      <c r="B87" s="458">
        <v>2029</v>
      </c>
      <c r="C87" s="40">
        <f t="shared" si="20"/>
        <v>2.6774971346845486</v>
      </c>
      <c r="D87" s="495">
        <f t="shared" si="21"/>
        <v>2.7460215876316836</v>
      </c>
      <c r="E87" s="40">
        <f t="shared" si="22"/>
        <v>2.8497965874109541</v>
      </c>
      <c r="F87" s="40">
        <f t="shared" si="23"/>
        <v>2.8213705620293417</v>
      </c>
      <c r="H87" s="458">
        <v>2029</v>
      </c>
      <c r="I87">
        <f>C87/(SUM('Voluntary Costs'!F280:K280)/1000000)</f>
        <v>1.3972015265032692E-3</v>
      </c>
      <c r="J87">
        <f>D87/(SUM('Voluntary Costs'!O280:T280)/1000000)</f>
        <v>1.544057808474225E-3</v>
      </c>
      <c r="K87">
        <f>E87/(SUM('Voluntary Costs'!X280:AC280)/1000000)</f>
        <v>1.6858962821026647E-3</v>
      </c>
      <c r="L87">
        <f>F87/(SUM('Voluntary Costs'!AH280:AM280)/1000000)</f>
        <v>1.3905904065786862E-3</v>
      </c>
    </row>
    <row r="88" spans="2:12">
      <c r="B88" s="458">
        <v>2030</v>
      </c>
      <c r="C88" s="40">
        <f t="shared" si="20"/>
        <v>2.8140843808815545</v>
      </c>
      <c r="D88" s="495">
        <f t="shared" si="21"/>
        <v>2.8941166728222241</v>
      </c>
      <c r="E88" s="40">
        <f t="shared" si="22"/>
        <v>3.0160463200909242</v>
      </c>
      <c r="F88" s="40">
        <f t="shared" si="23"/>
        <v>2.9835046876765019</v>
      </c>
      <c r="H88" s="458">
        <v>2030</v>
      </c>
      <c r="I88">
        <f>C88/(SUM('Voluntary Costs'!F281:K281)/1000000)</f>
        <v>1.4175679246936465E-3</v>
      </c>
      <c r="J88">
        <f>D88/(SUM('Voluntary Costs'!O281:T281)/1000000)</f>
        <v>1.5798050425921476E-3</v>
      </c>
      <c r="K88">
        <f>E88/(SUM('Voluntary Costs'!X281:AC281)/1000000)</f>
        <v>1.7392675708968546E-3</v>
      </c>
      <c r="L88">
        <f>F88/(SUM('Voluntary Costs'!AH281:AM281)/1000000)</f>
        <v>1.4138289117657822E-3</v>
      </c>
    </row>
    <row r="89" spans="2:12">
      <c r="B89" s="458">
        <v>2040</v>
      </c>
      <c r="C89" s="40">
        <f t="shared" si="20"/>
        <v>2.1719609775959738</v>
      </c>
      <c r="D89" s="495">
        <f t="shared" si="21"/>
        <v>2.4404155578992239</v>
      </c>
      <c r="E89" s="40">
        <f t="shared" si="22"/>
        <v>2.7973796397435593</v>
      </c>
      <c r="F89" s="40">
        <f t="shared" si="23"/>
        <v>3.1367586470093625</v>
      </c>
      <c r="H89" s="458">
        <v>2040</v>
      </c>
      <c r="I89">
        <f>C89/(SUM('Voluntary Costs'!F282:K282)/1000000)</f>
        <v>7.6396136633849975E-4</v>
      </c>
      <c r="J89">
        <f>D89/(SUM('Voluntary Costs'!O282:T282)/1000000)</f>
        <v>1.0267548838977011E-3</v>
      </c>
      <c r="K89">
        <f>E89/(SUM('Voluntary Costs'!X282:AC282)/1000000)</f>
        <v>1.3697787515352894E-3</v>
      </c>
      <c r="L89">
        <f>F89/(SUM('Voluntary Costs'!AH282:AM282)/1000000)</f>
        <v>9.4717117265216135E-4</v>
      </c>
    </row>
    <row r="90" spans="2:12">
      <c r="B90" s="458">
        <v>2050</v>
      </c>
      <c r="C90" s="40">
        <f t="shared" si="20"/>
        <v>3.4076523440380391</v>
      </c>
      <c r="D90" s="495">
        <f t="shared" si="21"/>
        <v>4.276390319987927</v>
      </c>
      <c r="E90" s="40">
        <f t="shared" si="22"/>
        <v>5.3858608183787995</v>
      </c>
      <c r="F90" s="40">
        <f t="shared" si="23"/>
        <v>7.2132167395401909</v>
      </c>
      <c r="H90" s="458">
        <v>2050</v>
      </c>
      <c r="I90">
        <f>C90/(SUM('Voluntary Costs'!F283:K283)/1000000)</f>
        <v>9.1839257705094541E-4</v>
      </c>
      <c r="J90">
        <f>D90/(SUM('Voluntary Costs'!O283:T283)/1000000)</f>
        <v>1.4490393578318714E-3</v>
      </c>
      <c r="K90">
        <f>E90/(SUM('Voluntary Costs'!X283:AC283)/1000000)</f>
        <v>2.3584704257985502E-3</v>
      </c>
      <c r="L90">
        <f>F90/(SUM('Voluntary Costs'!AH283:AM283)/1000000)</f>
        <v>1.5539887794195114E-3</v>
      </c>
    </row>
    <row r="91" spans="2:12">
      <c r="B91" s="458">
        <v>2060</v>
      </c>
      <c r="C91" s="40">
        <f t="shared" si="20"/>
        <v>5.0094912437731134</v>
      </c>
      <c r="D91" s="495">
        <f t="shared" si="21"/>
        <v>7.0264572320765115</v>
      </c>
      <c r="E91" s="40">
        <f t="shared" si="22"/>
        <v>10.212245189343028</v>
      </c>
      <c r="F91" s="40">
        <f t="shared" si="23"/>
        <v>17.37353167825038</v>
      </c>
      <c r="H91" s="458">
        <v>2060</v>
      </c>
      <c r="I91">
        <f>C91/(SUM('Voluntary Costs'!F284:K284)/1000000)</f>
        <v>1.1038334674864708E-3</v>
      </c>
      <c r="J91">
        <f>D91/(SUM('Voluntary Costs'!O284:T284)/1000000)</f>
        <v>1.9670410173357618E-3</v>
      </c>
      <c r="K91">
        <f>E91/(SUM('Voluntary Costs'!X284:AC284)/1000000)</f>
        <v>4.0923041652658268E-3</v>
      </c>
      <c r="L91">
        <f>F91/(SUM('Voluntary Costs'!AH284:AM284)/1000000)</f>
        <v>2.8539239081395726E-3</v>
      </c>
    </row>
    <row r="92" spans="2:12">
      <c r="B92" s="458">
        <v>2070</v>
      </c>
      <c r="C92" s="40">
        <f t="shared" si="20"/>
        <v>7.0217440664403981</v>
      </c>
      <c r="D92" s="495">
        <f t="shared" si="21"/>
        <v>10.771263333870559</v>
      </c>
      <c r="E92" s="40">
        <f t="shared" si="22"/>
        <v>18.899472122760379</v>
      </c>
      <c r="F92" s="40">
        <f t="shared" si="23"/>
        <v>43.325380537397628</v>
      </c>
      <c r="H92" s="458">
        <v>2070</v>
      </c>
      <c r="I92">
        <f>C92/(SUM('Voluntary Costs'!F285:K285)/1000000)</f>
        <v>1.314752665771075E-3</v>
      </c>
      <c r="J92">
        <f>D92/(SUM('Voluntary Costs'!O285:T285)/1000000)</f>
        <v>2.5139838881554476E-3</v>
      </c>
      <c r="K92">
        <f>E92/(SUM('Voluntary Costs'!X285:AC285)/1000000)</f>
        <v>6.9548643136352903E-3</v>
      </c>
      <c r="L92">
        <f>F92/(SUM('Voluntary Costs'!AH285:AM285)/1000000)</f>
        <v>5.6191131448436547E-3</v>
      </c>
    </row>
    <row r="93" spans="2:12">
      <c r="B93" s="458">
        <v>2080</v>
      </c>
      <c r="C93" s="40">
        <f t="shared" si="20"/>
        <v>9.3779401502589401</v>
      </c>
      <c r="D93" s="495">
        <f t="shared" si="21"/>
        <v>15.589252662886963</v>
      </c>
      <c r="E93" s="40">
        <f t="shared" si="22"/>
        <v>33.558299628785569</v>
      </c>
      <c r="F93" s="40">
        <f t="shared" si="23"/>
        <v>108.89435768410191</v>
      </c>
      <c r="H93" s="458">
        <v>2080</v>
      </c>
      <c r="I93">
        <f>C93/(SUM('Voluntary Costs'!F286:K286)/1000000)</f>
        <v>1.5486154146370096E-3</v>
      </c>
      <c r="J93">
        <f>D93/(SUM('Voluntary Costs'!O286:T286)/1000000)</f>
        <v>3.0824043093445686E-3</v>
      </c>
      <c r="K93">
        <f>E93/(SUM('Voluntary Costs'!X286:AC286)/1000000)</f>
        <v>1.1385703081790979E-2</v>
      </c>
      <c r="L93">
        <f>F93/(SUM('Voluntary Costs'!AH286:AM286)/1000000)</f>
        <v>1.1552509383040902E-2</v>
      </c>
    </row>
    <row r="94" spans="2:12">
      <c r="B94" s="458">
        <v>2090</v>
      </c>
      <c r="C94" s="40">
        <f t="shared" si="20"/>
        <v>11.970739906676243</v>
      </c>
      <c r="D94" s="495">
        <f t="shared" si="21"/>
        <v>21.622770557462797</v>
      </c>
      <c r="E94" s="40">
        <f t="shared" si="22"/>
        <v>57.843014418028275</v>
      </c>
      <c r="F94" s="40">
        <f t="shared" si="23"/>
        <v>264.9301570148391</v>
      </c>
      <c r="H94" s="458">
        <v>2090</v>
      </c>
      <c r="I94">
        <f>C94/(SUM('Voluntary Costs'!F287:K287)/1000000)</f>
        <v>1.7905008801898025E-3</v>
      </c>
      <c r="J94">
        <f>D94/(SUM('Voluntary Costs'!O287:T287)/1000000)</f>
        <v>3.6672222180807448E-3</v>
      </c>
      <c r="K94">
        <f>E94/(SUM('Voluntary Costs'!X287:AC287)/1000000)</f>
        <v>1.8093237290816064E-2</v>
      </c>
      <c r="L94">
        <f>F94/(SUM('Voluntary Costs'!AH287:AM287)/1000000)</f>
        <v>2.3592272603039536E-2</v>
      </c>
    </row>
    <row r="95" spans="2:12">
      <c r="B95" s="459">
        <v>2100</v>
      </c>
      <c r="C95" s="40">
        <f t="shared" si="20"/>
        <v>15.122318207138497</v>
      </c>
      <c r="D95" s="495">
        <f t="shared" si="21"/>
        <v>29.284635594124243</v>
      </c>
      <c r="E95" s="40">
        <f t="shared" si="22"/>
        <v>98.278024300943301</v>
      </c>
      <c r="F95" s="40">
        <f t="shared" si="23"/>
        <v>606.94013185506265</v>
      </c>
      <c r="H95" s="459">
        <v>2100</v>
      </c>
      <c r="I95">
        <f>C95/(SUM('Voluntary Costs'!F288:K288)/1000000)</f>
        <v>2.0998284629139491E-3</v>
      </c>
      <c r="J95">
        <f>D95/(SUM('Voluntary Costs'!O288:T288)/1000000)</f>
        <v>4.2941245456961166E-3</v>
      </c>
      <c r="K95">
        <f>E95/(SUM('Voluntary Costs'!X288:AC288)/1000000)</f>
        <v>2.8220046872417973E-2</v>
      </c>
      <c r="L95">
        <f>F95/(SUM('Voluntary Costs'!AH288:AM288)/1000000)</f>
        <v>4.625320692013854E-2</v>
      </c>
    </row>
  </sheetData>
  <mergeCells count="7">
    <mergeCell ref="B76:F76"/>
    <mergeCell ref="H76:L76"/>
    <mergeCell ref="C2:N2"/>
    <mergeCell ref="C3:H3"/>
    <mergeCell ref="I3:N3"/>
    <mergeCell ref="C23:H23"/>
    <mergeCell ref="I23:N23"/>
  </mergeCells>
  <conditionalFormatting sqref="C43:E48 D49:D51">
    <cfRule type="cellIs" dxfId="59" priority="9" operator="lessThan">
      <formula>0</formula>
    </cfRule>
    <cfRule type="cellIs" dxfId="58" priority="10" operator="greaterThan">
      <formula>0</formula>
    </cfRule>
  </conditionalFormatting>
  <conditionalFormatting sqref="F5:H22">
    <cfRule type="cellIs" dxfId="57" priority="7" operator="lessThan">
      <formula>0</formula>
    </cfRule>
    <cfRule type="cellIs" dxfId="56" priority="8" operator="greaterThan">
      <formula>0</formula>
    </cfRule>
  </conditionalFormatting>
  <conditionalFormatting sqref="F25:H42">
    <cfRule type="cellIs" dxfId="55" priority="3" operator="lessThan">
      <formula>0</formula>
    </cfRule>
    <cfRule type="cellIs" dxfId="54" priority="4" operator="greaterThan">
      <formula>0</formula>
    </cfRule>
  </conditionalFormatting>
  <conditionalFormatting sqref="L5:N22">
    <cfRule type="cellIs" dxfId="53" priority="5" operator="lessThan">
      <formula>0</formula>
    </cfRule>
    <cfRule type="cellIs" dxfId="52" priority="6" operator="greaterThan">
      <formula>0</formula>
    </cfRule>
  </conditionalFormatting>
  <conditionalFormatting sqref="L25:O42">
    <cfRule type="cellIs" dxfId="51" priority="1" operator="lessThan">
      <formula>0</formula>
    </cfRule>
    <cfRule type="cellIs" dxfId="50" priority="2" operator="greaterThan">
      <formula>0</formula>
    </cfRule>
  </conditionalFormatting>
  <pageMargins left="0.7" right="0.7" top="0.75" bottom="0.75" header="0.3" footer="0.3"/>
  <drawing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82982-781B-47B9-8D5D-51F745A94134}">
  <dimension ref="A2:R58"/>
  <sheetViews>
    <sheetView topLeftCell="A18" workbookViewId="0">
      <selection activeCell="F60" sqref="F60"/>
    </sheetView>
  </sheetViews>
  <sheetFormatPr defaultColWidth="8.7109375" defaultRowHeight="15"/>
  <cols>
    <col min="2" max="2" width="15.140625" bestFit="1" customWidth="1"/>
    <col min="4" max="4" width="11" bestFit="1" customWidth="1"/>
    <col min="5" max="9" width="11" customWidth="1"/>
  </cols>
  <sheetData>
    <row r="2" spans="2:17" ht="20.25" thickBot="1">
      <c r="B2" s="480" t="s">
        <v>332</v>
      </c>
    </row>
    <row r="3" spans="2:17" ht="15.75" thickTop="1">
      <c r="J3" s="446" t="s">
        <v>88</v>
      </c>
    </row>
    <row r="4" spans="2:17">
      <c r="B4" s="65"/>
      <c r="C4" s="481"/>
      <c r="D4" s="472">
        <v>0</v>
      </c>
      <c r="E4" s="472">
        <v>0</v>
      </c>
      <c r="F4" s="473">
        <v>1.2500000000000001E-2</v>
      </c>
      <c r="G4" s="473">
        <v>1.2500000000000001E-2</v>
      </c>
      <c r="H4" s="473">
        <v>2.5000000000000001E-2</v>
      </c>
      <c r="I4" s="473">
        <v>2.5000000000000001E-2</v>
      </c>
      <c r="J4" s="473">
        <v>3.7499999999999999E-2</v>
      </c>
      <c r="K4" s="473">
        <v>3.7499999999999999E-2</v>
      </c>
      <c r="L4" s="472">
        <v>0.05</v>
      </c>
      <c r="M4" s="473">
        <v>0.05</v>
      </c>
      <c r="N4" s="473">
        <v>6.25E-2</v>
      </c>
      <c r="O4" s="473">
        <v>6.25E-2</v>
      </c>
      <c r="P4" s="473">
        <v>7.4999999999999997E-2</v>
      </c>
      <c r="Q4" s="448">
        <v>7.4999999999999997E-2</v>
      </c>
    </row>
    <row r="5" spans="2:17">
      <c r="B5" s="65"/>
      <c r="C5" s="482" t="s">
        <v>333</v>
      </c>
      <c r="D5" s="423" t="s">
        <v>334</v>
      </c>
      <c r="E5" s="422" t="s">
        <v>335</v>
      </c>
      <c r="F5" s="423" t="s">
        <v>334</v>
      </c>
      <c r="G5" s="422" t="s">
        <v>335</v>
      </c>
      <c r="H5" s="423" t="s">
        <v>334</v>
      </c>
      <c r="I5" s="422" t="s">
        <v>335</v>
      </c>
      <c r="J5" s="423" t="s">
        <v>334</v>
      </c>
      <c r="K5" s="422" t="s">
        <v>335</v>
      </c>
      <c r="L5" s="423" t="s">
        <v>334</v>
      </c>
      <c r="M5" s="422" t="s">
        <v>335</v>
      </c>
      <c r="N5" s="423" t="s">
        <v>334</v>
      </c>
      <c r="O5" s="422" t="s">
        <v>335</v>
      </c>
      <c r="P5" s="423" t="s">
        <v>334</v>
      </c>
      <c r="Q5" s="422" t="s">
        <v>335</v>
      </c>
    </row>
    <row r="6" spans="2:17">
      <c r="B6" s="65"/>
      <c r="C6" s="483">
        <v>2020</v>
      </c>
      <c r="D6" s="40">
        <v>2.2122109867809416E-2</v>
      </c>
      <c r="E6" s="180">
        <v>4.6972832260695145E-4</v>
      </c>
      <c r="F6" s="40">
        <v>2.2122109867809416E-2</v>
      </c>
      <c r="G6" s="180">
        <v>4.6972832260695145E-4</v>
      </c>
      <c r="H6" s="40">
        <v>2.2122109867809416E-2</v>
      </c>
      <c r="I6" s="180">
        <v>4.6972832260695145E-4</v>
      </c>
      <c r="J6" s="40">
        <v>2.2122109867809416E-2</v>
      </c>
      <c r="K6" s="180">
        <v>4.6972832260695145E-4</v>
      </c>
      <c r="L6" s="40">
        <v>2.2122109867809416E-2</v>
      </c>
      <c r="M6" s="427">
        <v>4.6972832260695145E-4</v>
      </c>
      <c r="N6" s="40">
        <v>2.2122109867809416E-2</v>
      </c>
      <c r="O6" s="180">
        <v>4.6972832260695145E-4</v>
      </c>
      <c r="P6" s="40">
        <v>2.2122109867809416E-2</v>
      </c>
      <c r="Q6" s="180">
        <v>4.6972832260695145E-4</v>
      </c>
    </row>
    <row r="7" spans="2:17">
      <c r="B7" s="65"/>
      <c r="C7" s="483">
        <v>2021</v>
      </c>
      <c r="D7" s="40">
        <v>1.9804120904324412E-2</v>
      </c>
      <c r="E7" s="180">
        <v>4.5683384958585042E-4</v>
      </c>
      <c r="F7" s="40">
        <v>2.0051672415628434E-2</v>
      </c>
      <c r="G7" s="180">
        <v>4.6254427270567359E-4</v>
      </c>
      <c r="H7" s="40">
        <v>2.0299223926932574E-2</v>
      </c>
      <c r="I7" s="180">
        <v>4.6825469582549681E-4</v>
      </c>
      <c r="J7" s="40">
        <v>2.0546775438236593E-2</v>
      </c>
      <c r="K7" s="180">
        <v>4.7396511894531998E-4</v>
      </c>
      <c r="L7" s="40">
        <v>2.0794326949540854E-2</v>
      </c>
      <c r="M7" s="180">
        <v>4.7967554206514314E-4</v>
      </c>
      <c r="N7" s="40">
        <v>2.1041878460844755E-2</v>
      </c>
      <c r="O7" s="180">
        <v>4.853859651849662E-4</v>
      </c>
      <c r="P7" s="40">
        <v>2.1289429972148777E-2</v>
      </c>
      <c r="Q7" s="180">
        <v>4.9109638830478937E-4</v>
      </c>
    </row>
    <row r="8" spans="2:17">
      <c r="B8" s="65"/>
      <c r="C8" s="483">
        <v>2022</v>
      </c>
      <c r="D8" s="40">
        <v>1.7434928474644423E-2</v>
      </c>
      <c r="E8" s="180">
        <v>4.4534938174942493E-4</v>
      </c>
      <c r="F8" s="40">
        <v>1.7873525894084571E-2</v>
      </c>
      <c r="G8" s="180">
        <v>4.5655270213405889E-4</v>
      </c>
      <c r="H8" s="40">
        <v>1.8317571728672981E-2</v>
      </c>
      <c r="I8" s="180">
        <v>4.6789519420048953E-4</v>
      </c>
      <c r="J8" s="40">
        <v>1.8767065978410245E-2</v>
      </c>
      <c r="K8" s="180">
        <v>4.7937685794871717E-4</v>
      </c>
      <c r="L8" s="40">
        <v>1.9222008643295169E-2</v>
      </c>
      <c r="M8" s="180">
        <v>4.9099769337874099E-4</v>
      </c>
      <c r="N8" s="40">
        <v>1.9682399723329067E-2</v>
      </c>
      <c r="O8" s="180">
        <v>5.0275770049056188E-4</v>
      </c>
      <c r="P8" s="40">
        <v>2.0148239218510628E-2</v>
      </c>
      <c r="Q8" s="180">
        <v>5.1465687928417916E-4</v>
      </c>
    </row>
    <row r="9" spans="2:17">
      <c r="B9" s="65"/>
      <c r="C9" s="483">
        <v>2023</v>
      </c>
      <c r="D9" s="40">
        <v>1.5031538165994049E-2</v>
      </c>
      <c r="E9" s="180">
        <v>4.350940469771622E-4</v>
      </c>
      <c r="F9" s="40">
        <v>1.5602296239207268E-2</v>
      </c>
      <c r="G9" s="180">
        <v>4.5161487386638673E-4</v>
      </c>
      <c r="H9" s="40">
        <v>1.6187322530288817E-2</v>
      </c>
      <c r="I9" s="180">
        <v>4.6854870018301557E-4</v>
      </c>
      <c r="J9" s="40">
        <v>1.6786793190076709E-2</v>
      </c>
      <c r="K9" s="180">
        <v>4.8590062468541146E-4</v>
      </c>
      <c r="L9" s="40">
        <v>1.7400884369409085E-2</v>
      </c>
      <c r="M9" s="180">
        <v>5.0367574613193746E-4</v>
      </c>
      <c r="N9" s="40">
        <v>1.8029772219123483E-2</v>
      </c>
      <c r="O9" s="180">
        <v>5.2187916328095651E-4</v>
      </c>
      <c r="P9" s="40">
        <v>1.8673632890057801E-2</v>
      </c>
      <c r="Q9" s="180">
        <v>5.4051597489083178E-4</v>
      </c>
    </row>
    <row r="10" spans="2:17">
      <c r="B10" s="65"/>
      <c r="C10" s="483">
        <v>2024</v>
      </c>
      <c r="D10" s="40">
        <v>1.2598610579920769E-2</v>
      </c>
      <c r="E10" s="180">
        <v>4.2591079054519641E-4</v>
      </c>
      <c r="F10" s="40">
        <v>1.3240451040563822E-2</v>
      </c>
      <c r="G10" s="180">
        <v>4.4760895926485608E-4</v>
      </c>
      <c r="H10" s="40">
        <v>1.3906508762081146E-2</v>
      </c>
      <c r="I10" s="180">
        <v>4.7012582086007214E-4</v>
      </c>
      <c r="J10" s="40">
        <v>1.4597385377340675E-2</v>
      </c>
      <c r="K10" s="180">
        <v>4.934817142348073E-4</v>
      </c>
      <c r="L10" s="40">
        <v>1.531368990121007E-2</v>
      </c>
      <c r="M10" s="180">
        <v>5.1769722785012713E-4</v>
      </c>
      <c r="N10" s="40">
        <v>1.6056038730554105E-2</v>
      </c>
      <c r="O10" s="180">
        <v>5.4279319972420296E-4</v>
      </c>
      <c r="P10" s="40">
        <v>1.6825055644235969E-2</v>
      </c>
      <c r="Q10" s="180">
        <v>5.6879071743230791E-4</v>
      </c>
    </row>
    <row r="11" spans="2:17">
      <c r="B11" s="65"/>
      <c r="C11" s="483">
        <v>2025</v>
      </c>
      <c r="D11" s="40">
        <v>1.0127792406434535E-2</v>
      </c>
      <c r="E11" s="180">
        <v>4.1766097331034127E-4</v>
      </c>
      <c r="F11" s="40">
        <v>1.077680315531063E-2</v>
      </c>
      <c r="G11" s="180">
        <v>4.444255879653855E-4</v>
      </c>
      <c r="H11" s="40">
        <v>1.1458667507091165E-2</v>
      </c>
      <c r="I11" s="180">
        <v>4.7254505540721218E-4</v>
      </c>
      <c r="J11" s="40">
        <v>1.217461728296256E-2</v>
      </c>
      <c r="K11" s="180">
        <v>5.0207017482433282E-4</v>
      </c>
      <c r="L11" s="40">
        <v>1.2925914717159868E-2</v>
      </c>
      <c r="M11" s="180">
        <v>5.3305299961179319E-4</v>
      </c>
      <c r="N11" s="40">
        <v>1.371385282785666E-2</v>
      </c>
      <c r="O11" s="180">
        <v>5.6554685266637901E-4</v>
      </c>
      <c r="P11" s="40">
        <v>1.4539755788058282E-2</v>
      </c>
      <c r="Q11" s="180">
        <v>5.9960634168181471E-4</v>
      </c>
    </row>
    <row r="12" spans="2:17">
      <c r="B12" s="446" t="s">
        <v>87</v>
      </c>
      <c r="C12" s="483">
        <v>2026</v>
      </c>
      <c r="D12" s="40">
        <v>7.6351674816676381E-3</v>
      </c>
      <c r="E12" s="180">
        <v>4.1024256855738363E-4</v>
      </c>
      <c r="F12" s="40">
        <v>8.2260010253989695E-3</v>
      </c>
      <c r="G12" s="180">
        <v>4.4198844330763516E-4</v>
      </c>
      <c r="H12" s="40">
        <v>8.8544534754430061E-3</v>
      </c>
      <c r="I12" s="180">
        <v>4.7575560662674809E-4</v>
      </c>
      <c r="J12" s="40">
        <v>9.5224170959136486E-3</v>
      </c>
      <c r="K12" s="180">
        <v>5.1164573110965212E-4</v>
      </c>
      <c r="L12" s="40">
        <v>1.0231854657624245E-2</v>
      </c>
      <c r="M12" s="180">
        <v>5.4976427772255232E-4</v>
      </c>
      <c r="N12" s="40">
        <v>1.0984801168161988E-2</v>
      </c>
      <c r="O12" s="180">
        <v>5.9022058876103626E-4</v>
      </c>
      <c r="P12" s="40">
        <v>1.1783365622934579E-2</v>
      </c>
      <c r="Q12" s="180">
        <v>6.3312798193493499E-4</v>
      </c>
    </row>
    <row r="13" spans="2:17">
      <c r="B13" s="65"/>
      <c r="C13" s="483">
        <v>2027</v>
      </c>
      <c r="D13" s="40">
        <v>5.1114317215830091E-3</v>
      </c>
      <c r="E13" s="180">
        <v>4.0355506666219312E-4</v>
      </c>
      <c r="F13" s="40">
        <v>5.5758076974084378E-3</v>
      </c>
      <c r="G13" s="180">
        <v>4.402182342614622E-4</v>
      </c>
      <c r="H13" s="40">
        <v>6.0758860682933328E-3</v>
      </c>
      <c r="I13" s="180">
        <v>4.7970015856197464E-4</v>
      </c>
      <c r="J13" s="40">
        <v>6.6139255441129211E-3</v>
      </c>
      <c r="K13" s="180">
        <v>5.2217916803682328E-4</v>
      </c>
      <c r="L13" s="40">
        <v>7.192297735817671E-3</v>
      </c>
      <c r="M13" s="180">
        <v>5.678425048654429E-4</v>
      </c>
      <c r="N13" s="40">
        <v>7.8134913361237041E-3</v>
      </c>
      <c r="O13" s="180">
        <v>6.1688665500503337E-4</v>
      </c>
      <c r="P13" s="40">
        <v>8.4801164021539692E-3</v>
      </c>
      <c r="Q13" s="180">
        <v>6.6951768631170713E-4</v>
      </c>
    </row>
    <row r="14" spans="2:17">
      <c r="B14" s="65"/>
      <c r="C14" s="483">
        <v>2028</v>
      </c>
      <c r="D14" s="40">
        <v>2.5725297759708167E-3</v>
      </c>
      <c r="E14" s="180">
        <v>3.9752660061954996E-4</v>
      </c>
      <c r="F14" s="40">
        <v>2.8413233824350834E-3</v>
      </c>
      <c r="G14" s="180">
        <v>4.390626052341872E-4</v>
      </c>
      <c r="H14" s="40">
        <v>3.1343777329735758E-3</v>
      </c>
      <c r="I14" s="180">
        <v>4.8434756203212759E-4</v>
      </c>
      <c r="J14" s="40">
        <v>3.4535460659056902E-3</v>
      </c>
      <c r="K14" s="180">
        <v>5.3366784730199119E-4</v>
      </c>
      <c r="L14" s="40">
        <v>3.8007981218178273E-3</v>
      </c>
      <c r="M14" s="180">
        <v>5.8732784013631448E-4</v>
      </c>
      <c r="N14" s="40">
        <v>4.178225930529118E-3</v>
      </c>
      <c r="O14" s="180">
        <v>6.456508166778974E-4</v>
      </c>
      <c r="P14" s="40">
        <v>4.5880498110411165E-3</v>
      </c>
      <c r="Q14" s="180">
        <v>7.0897987727587986E-4</v>
      </c>
    </row>
    <row r="15" spans="2:17">
      <c r="B15" s="65"/>
      <c r="C15" s="483">
        <v>2029</v>
      </c>
      <c r="D15" s="40">
        <v>2.1692497546434403E-5</v>
      </c>
      <c r="E15" s="180">
        <v>3.9208899280141765E-4</v>
      </c>
      <c r="F15" s="40">
        <v>2.4258550315737723E-5</v>
      </c>
      <c r="G15" s="180">
        <v>4.3847005351257707E-4</v>
      </c>
      <c r="H15" s="40">
        <v>2.7090956911206245E-5</v>
      </c>
      <c r="I15" s="180">
        <v>4.8966542403376711E-4</v>
      </c>
      <c r="J15" s="40">
        <v>3.0213602101445199E-5</v>
      </c>
      <c r="K15" s="180">
        <v>5.461068183324479E-4</v>
      </c>
      <c r="L15" s="40">
        <v>3.3652183519124982E-5</v>
      </c>
      <c r="M15" s="180">
        <v>6.0825871770743632E-4</v>
      </c>
      <c r="N15" s="40">
        <v>3.7434324912071228E-5</v>
      </c>
      <c r="O15" s="180">
        <v>6.7662041771353158E-4</v>
      </c>
      <c r="P15" s="40">
        <v>4.1589694982290268E-5</v>
      </c>
      <c r="Q15" s="180">
        <v>7.5172817613125054E-4</v>
      </c>
    </row>
    <row r="16" spans="2:17">
      <c r="B16" s="65"/>
      <c r="C16" s="483">
        <v>2030</v>
      </c>
      <c r="D16" s="40">
        <v>-2.5513795142338277E-3</v>
      </c>
      <c r="E16" s="180">
        <v>3.8717670415927856E-4</v>
      </c>
      <c r="F16" s="40">
        <v>-2.8888525993700028E-3</v>
      </c>
      <c r="G16" s="180">
        <v>4.3838888804509894E-4</v>
      </c>
      <c r="H16" s="40">
        <v>-3.2659814825500249E-3</v>
      </c>
      <c r="I16" s="180">
        <v>4.9561891486717786E-4</v>
      </c>
      <c r="J16" s="40">
        <v>-3.6868555123958585E-3</v>
      </c>
      <c r="K16" s="180">
        <v>5.5948735107313736E-4</v>
      </c>
      <c r="L16" s="40">
        <v>-4.1559283816056253E-3</v>
      </c>
      <c r="M16" s="180">
        <v>6.3067005301844755E-4</v>
      </c>
      <c r="N16" s="40">
        <v>-4.6780456054198744E-3</v>
      </c>
      <c r="O16" s="180">
        <v>7.0990233687648699E-4</v>
      </c>
      <c r="P16" s="40">
        <v>-5.2584737058963774E-3</v>
      </c>
      <c r="Q16" s="180">
        <v>7.9798340740718215E-4</v>
      </c>
    </row>
    <row r="17" spans="1:18">
      <c r="B17" s="65"/>
      <c r="C17" s="483">
        <v>2040</v>
      </c>
      <c r="D17" s="40">
        <v>-8.1834744158624059E-2</v>
      </c>
      <c r="E17" s="180">
        <v>3.1679134447984284E-4</v>
      </c>
      <c r="F17" s="40">
        <v>-0.10491518885870266</v>
      </c>
      <c r="G17" s="180">
        <v>4.0613829830617849E-4</v>
      </c>
      <c r="H17" s="40">
        <v>-0.13409575716527963</v>
      </c>
      <c r="I17" s="180">
        <v>5.1909950520636868E-4</v>
      </c>
      <c r="J17" s="40">
        <v>-0.17088338436795211</v>
      </c>
      <c r="K17" s="180">
        <v>6.6150847833358162E-4</v>
      </c>
      <c r="L17" s="40">
        <v>-0.21713193887715768</v>
      </c>
      <c r="M17" s="180">
        <v>8.4054174731798255E-4</v>
      </c>
      <c r="N17" s="40">
        <v>-0.27511641489340494</v>
      </c>
      <c r="O17" s="180">
        <v>1.065006066294051E-3</v>
      </c>
      <c r="P17" s="40">
        <v>-0.34762180801199627</v>
      </c>
      <c r="Q17" s="180">
        <v>1.3456824611949281E-3</v>
      </c>
    </row>
    <row r="18" spans="1:18">
      <c r="B18" s="65"/>
      <c r="C18" s="483">
        <v>2050</v>
      </c>
      <c r="D18" s="40">
        <v>-0.22888216395912528</v>
      </c>
      <c r="E18" s="180">
        <v>2.5934827721077605E-4</v>
      </c>
      <c r="F18" s="40">
        <v>-0.33224840707041242</v>
      </c>
      <c r="G18" s="180">
        <v>3.7647342409399977E-4</v>
      </c>
      <c r="H18" s="40">
        <v>-0.48009580655074308</v>
      </c>
      <c r="I18" s="180">
        <v>5.4400053796804001E-4</v>
      </c>
      <c r="J18" s="40">
        <v>-0.69064538218464377</v>
      </c>
      <c r="K18" s="180">
        <v>7.8257600738672122E-4</v>
      </c>
      <c r="L18" s="40">
        <v>-0.98921552333112528</v>
      </c>
      <c r="M18" s="180">
        <v>1.1208883091995737E-3</v>
      </c>
      <c r="N18" s="40">
        <v>-1.4108476285454787</v>
      </c>
      <c r="O18" s="180">
        <v>1.5986431425714896E-3</v>
      </c>
      <c r="P18" s="40">
        <v>-2.0038530890163764</v>
      </c>
      <c r="Q18" s="180">
        <v>2.2705825453166301E-3</v>
      </c>
    </row>
    <row r="19" spans="1:18">
      <c r="B19" s="65"/>
      <c r="C19" s="483">
        <v>2060</v>
      </c>
      <c r="D19" s="40">
        <v>-0.37576439800517414</v>
      </c>
      <c r="E19" s="180">
        <v>2.1556583002139398E-4</v>
      </c>
      <c r="F19" s="40">
        <v>-0.61761367824678393</v>
      </c>
      <c r="G19" s="180">
        <v>3.5430819388589612E-4</v>
      </c>
      <c r="H19" s="40">
        <v>-1.0089513968380686</v>
      </c>
      <c r="I19" s="180">
        <v>5.7880801498296321E-4</v>
      </c>
      <c r="J19" s="40">
        <v>-1.6384750994346742</v>
      </c>
      <c r="K19" s="180">
        <v>9.3994866638259344E-4</v>
      </c>
      <c r="L19" s="40">
        <v>-2.6453771203747376</v>
      </c>
      <c r="M19" s="180">
        <v>1.5175810100703938E-3</v>
      </c>
      <c r="N19" s="40">
        <v>-4.2469111888854671</v>
      </c>
      <c r="O19" s="180">
        <v>2.4363376102667224E-3</v>
      </c>
      <c r="P19" s="40">
        <v>-6.7803825939493905</v>
      </c>
      <c r="Q19" s="180">
        <v>3.8897213506298859E-3</v>
      </c>
    </row>
    <row r="20" spans="1:18">
      <c r="B20" s="65"/>
      <c r="C20" s="483">
        <v>2070</v>
      </c>
      <c r="D20" s="40">
        <v>-0.48736394129253624</v>
      </c>
      <c r="E20" s="180">
        <v>1.7761397750241915E-4</v>
      </c>
      <c r="F20" s="40">
        <v>-0.90699519881898549</v>
      </c>
      <c r="G20" s="180">
        <v>3.3054358599160635E-4</v>
      </c>
      <c r="H20" s="40">
        <v>-1.6751228522856616</v>
      </c>
      <c r="I20" s="180">
        <v>6.1047855081479375E-4</v>
      </c>
      <c r="J20" s="40">
        <v>-3.0708504225852749</v>
      </c>
      <c r="K20" s="180">
        <v>1.1191348223749055E-3</v>
      </c>
      <c r="L20" s="40">
        <v>-5.5887971559620953</v>
      </c>
      <c r="M20" s="180">
        <v>2.0367704875581005E-3</v>
      </c>
      <c r="N20" s="40">
        <v>-10.099510613241478</v>
      </c>
      <c r="O20" s="180">
        <v>3.6806462252589899E-3</v>
      </c>
      <c r="P20" s="40">
        <v>-18.124941201826715</v>
      </c>
      <c r="Q20" s="180">
        <v>6.6054187150493366E-3</v>
      </c>
    </row>
    <row r="21" spans="1:18">
      <c r="B21" s="65"/>
      <c r="C21" s="483">
        <v>2080</v>
      </c>
      <c r="D21" s="40">
        <v>-0.56092069965875913</v>
      </c>
      <c r="E21" s="180">
        <v>1.4477221716301317E-4</v>
      </c>
      <c r="F21" s="40">
        <v>-1.1819616354397748</v>
      </c>
      <c r="G21" s="180">
        <v>3.0506131556267535E-4</v>
      </c>
      <c r="H21" s="40">
        <v>-2.4679331442567642</v>
      </c>
      <c r="I21" s="180">
        <v>6.3696731698704946E-4</v>
      </c>
      <c r="J21" s="40">
        <v>-5.1072579146825117</v>
      </c>
      <c r="K21" s="180">
        <v>1.3181703802012446E-3</v>
      </c>
      <c r="L21" s="40">
        <v>-10.477542020787469</v>
      </c>
      <c r="M21" s="180">
        <v>2.7042271566922612E-3</v>
      </c>
      <c r="N21" s="40">
        <v>-21.312666561234014</v>
      </c>
      <c r="O21" s="180">
        <v>5.5007454593901444E-3</v>
      </c>
      <c r="P21" s="40">
        <v>-42.994145531522321</v>
      </c>
      <c r="Q21" s="180">
        <v>1.1096680470901479E-2</v>
      </c>
    </row>
    <row r="22" spans="1:18">
      <c r="B22" s="65"/>
      <c r="C22" s="483">
        <v>2090</v>
      </c>
      <c r="D22" s="40">
        <v>-0.60459515477643311</v>
      </c>
      <c r="E22" s="180">
        <v>1.1587066306615993E-4</v>
      </c>
      <c r="F22" s="40">
        <v>-1.4425035628315832</v>
      </c>
      <c r="G22" s="180">
        <v>2.7645581176117802E-4</v>
      </c>
      <c r="H22" s="40">
        <v>-3.4051420974393234</v>
      </c>
      <c r="I22" s="180">
        <v>6.5259549228555711E-4</v>
      </c>
      <c r="J22" s="40">
        <v>-7.9548508149122998</v>
      </c>
      <c r="K22" s="180">
        <v>1.5245471804303655E-3</v>
      </c>
      <c r="L22" s="40">
        <v>-18.395669455937622</v>
      </c>
      <c r="M22" s="180">
        <v>3.5255301015331315E-3</v>
      </c>
      <c r="N22" s="40">
        <v>-42.120194985864359</v>
      </c>
      <c r="O22" s="180">
        <v>8.0723354842179556E-3</v>
      </c>
      <c r="P22" s="40">
        <v>-95.511828644881149</v>
      </c>
      <c r="Q22" s="180">
        <v>1.8304842220967177E-2</v>
      </c>
    </row>
    <row r="23" spans="1:18">
      <c r="B23" s="65"/>
      <c r="C23" s="482">
        <v>2100</v>
      </c>
      <c r="D23" s="40">
        <v>-0.61469040437452693</v>
      </c>
      <c r="E23" s="180">
        <v>9.405771266316623E-5</v>
      </c>
      <c r="F23" s="40">
        <v>-1.6605768706433628</v>
      </c>
      <c r="G23" s="180">
        <v>2.5409549432124775E-4</v>
      </c>
      <c r="H23" s="40">
        <v>-4.4316521563236693</v>
      </c>
      <c r="I23" s="180">
        <v>6.7811545808452178E-4</v>
      </c>
      <c r="J23" s="40">
        <v>-11.687048985198674</v>
      </c>
      <c r="K23" s="180">
        <v>1.788310159890498E-3</v>
      </c>
      <c r="L23" s="40">
        <v>-30.464942250761677</v>
      </c>
      <c r="M23" s="180">
        <v>4.6616357830375167E-3</v>
      </c>
      <c r="N23" s="40">
        <v>-78.518416303510463</v>
      </c>
      <c r="O23" s="180">
        <v>1.2014605380016075E-2</v>
      </c>
      <c r="P23" s="40">
        <v>-200.13985174814277</v>
      </c>
      <c r="Q23" s="180">
        <v>3.0624679569108297E-2</v>
      </c>
    </row>
    <row r="24" spans="1:18">
      <c r="D24" s="40"/>
      <c r="E24" s="40"/>
      <c r="F24" s="40"/>
      <c r="G24" s="40"/>
      <c r="H24" s="40"/>
      <c r="I24" s="40"/>
      <c r="J24" s="40"/>
      <c r="L24" s="40"/>
      <c r="N24" s="40"/>
      <c r="P24" s="40"/>
    </row>
    <row r="25" spans="1:18">
      <c r="C25" t="s">
        <v>336</v>
      </c>
      <c r="D25" s="40">
        <f>SUM(D6:D23)</f>
        <v>-2.8441429638635176</v>
      </c>
      <c r="E25" s="40"/>
      <c r="F25" s="40">
        <f>SUM(F6:F23)</f>
        <v>-6.1333691452408132</v>
      </c>
      <c r="G25" s="40"/>
      <c r="H25" s="40">
        <f>SUM(H6:H23)</f>
        <v>-13.485875979785561</v>
      </c>
      <c r="I25" s="40"/>
      <c r="J25" s="40">
        <f>SUM(J6:J23)</f>
        <v>-30.199084009435552</v>
      </c>
      <c r="L25" s="40">
        <f>SUM(L6:L23)</f>
        <v>-68.65379385726628</v>
      </c>
      <c r="N25" s="40">
        <f>SUM(N6:N23)</f>
        <v>-157.85468173719084</v>
      </c>
      <c r="P25" s="40">
        <f>SUM(P6:P23)</f>
        <v>-365.76939174614472</v>
      </c>
    </row>
    <row r="27" spans="1:18" ht="15.75" thickBot="1">
      <c r="A27" s="445"/>
      <c r="B27" s="445"/>
      <c r="C27" s="445"/>
      <c r="D27" s="445"/>
      <c r="E27" s="445"/>
      <c r="F27" s="445"/>
      <c r="G27" s="445"/>
      <c r="H27" s="445"/>
      <c r="I27" s="445"/>
      <c r="J27" s="445"/>
      <c r="K27" s="445"/>
      <c r="L27" s="445"/>
      <c r="M27" s="445"/>
      <c r="N27" s="445"/>
      <c r="O27" s="445"/>
      <c r="P27" s="445"/>
      <c r="Q27" s="445"/>
      <c r="R27" s="445"/>
    </row>
    <row r="28" spans="1:18" ht="20.25" thickBot="1">
      <c r="B28" s="447" t="s">
        <v>337</v>
      </c>
      <c r="J28" s="446" t="s">
        <v>88</v>
      </c>
    </row>
    <row r="29" spans="1:18" ht="15.75" thickTop="1">
      <c r="B29" s="65"/>
      <c r="C29" s="481"/>
      <c r="D29" s="472">
        <v>0</v>
      </c>
      <c r="E29" s="472">
        <v>0</v>
      </c>
      <c r="F29" s="473">
        <v>1.2500000000000001E-2</v>
      </c>
      <c r="G29" s="473">
        <v>1.2500000000000001E-2</v>
      </c>
      <c r="H29" s="473">
        <v>2.5000000000000001E-2</v>
      </c>
      <c r="I29" s="473">
        <v>2.5000000000000001E-2</v>
      </c>
      <c r="J29" s="473">
        <v>3.7499999999999999E-2</v>
      </c>
      <c r="K29" s="473">
        <v>3.7499999999999999E-2</v>
      </c>
      <c r="L29" s="472">
        <v>0.05</v>
      </c>
      <c r="M29" s="473">
        <v>0.05</v>
      </c>
      <c r="N29" s="473">
        <v>6.25E-2</v>
      </c>
      <c r="O29" s="473">
        <v>6.25E-2</v>
      </c>
      <c r="P29" s="473">
        <v>7.4999999999999997E-2</v>
      </c>
      <c r="Q29" s="448">
        <v>7.4999999999999997E-2</v>
      </c>
    </row>
    <row r="30" spans="1:18">
      <c r="B30" s="65"/>
      <c r="C30" s="482" t="s">
        <v>87</v>
      </c>
      <c r="D30" s="423" t="s">
        <v>334</v>
      </c>
      <c r="E30" s="422" t="s">
        <v>335</v>
      </c>
      <c r="F30" s="423" t="s">
        <v>334</v>
      </c>
      <c r="G30" s="422" t="s">
        <v>335</v>
      </c>
      <c r="H30" s="423" t="s">
        <v>334</v>
      </c>
      <c r="I30" s="422" t="s">
        <v>335</v>
      </c>
      <c r="J30" s="423" t="s">
        <v>334</v>
      </c>
      <c r="K30" s="422" t="s">
        <v>335</v>
      </c>
      <c r="L30" s="423" t="s">
        <v>334</v>
      </c>
      <c r="M30" s="422" t="s">
        <v>335</v>
      </c>
      <c r="N30" s="423" t="s">
        <v>334</v>
      </c>
      <c r="O30" s="422" t="s">
        <v>335</v>
      </c>
      <c r="P30" s="423" t="s">
        <v>334</v>
      </c>
      <c r="Q30" s="422" t="s">
        <v>335</v>
      </c>
    </row>
    <row r="31" spans="1:18">
      <c r="B31" s="65"/>
      <c r="C31" s="483">
        <v>2020</v>
      </c>
      <c r="D31" s="40">
        <v>-8.2127557829819921E-3</v>
      </c>
      <c r="E31" s="180">
        <v>4.4633873568329565E-4</v>
      </c>
      <c r="F31" s="40">
        <v>-8.2127557829819921E-3</v>
      </c>
      <c r="G31" s="180">
        <v>4.4633873568329565E-4</v>
      </c>
      <c r="H31" s="40">
        <v>-8.2127557829819921E-3</v>
      </c>
      <c r="I31" s="180">
        <v>4.4633873568329565E-4</v>
      </c>
      <c r="J31" s="40">
        <v>-8.2127557829819921E-3</v>
      </c>
      <c r="K31" s="180">
        <v>4.4633873568329565E-4</v>
      </c>
      <c r="L31" s="40">
        <v>-8.2127557829819921E-3</v>
      </c>
      <c r="M31" s="180">
        <v>4.4633873568329565E-4</v>
      </c>
      <c r="N31" s="40">
        <v>-8.2127557829819921E-3</v>
      </c>
      <c r="O31" s="428">
        <v>4.4633873568329565E-4</v>
      </c>
      <c r="P31" s="40">
        <v>-8.2127557829819921E-3</v>
      </c>
      <c r="Q31" s="180">
        <v>4.4633873568329565E-4</v>
      </c>
    </row>
    <row r="32" spans="1:18">
      <c r="B32" s="65"/>
      <c r="C32" s="483">
        <v>2021</v>
      </c>
      <c r="D32" s="40">
        <v>-8.459323917567492E-3</v>
      </c>
      <c r="E32" s="180">
        <v>4.3647016872544822E-4</v>
      </c>
      <c r="F32" s="40">
        <v>-5.6377987094651458E-3</v>
      </c>
      <c r="G32" s="180">
        <v>4.4404991914376313E-4</v>
      </c>
      <c r="H32" s="40">
        <v>-1.6373499788810014E-3</v>
      </c>
      <c r="I32" s="180">
        <v>4.5248503547534616E-4</v>
      </c>
      <c r="J32" s="40">
        <v>3.6635941380759479E-3</v>
      </c>
      <c r="K32" s="180">
        <v>4.6186372397480303E-4</v>
      </c>
      <c r="L32" s="40">
        <v>1.039743705633688E-2</v>
      </c>
      <c r="M32" s="180">
        <v>4.7228204970977669E-4</v>
      </c>
      <c r="N32" s="40">
        <v>1.8708230646720527E-2</v>
      </c>
      <c r="O32" s="429">
        <v>4.8384452926483794E-4</v>
      </c>
      <c r="P32" s="40">
        <v>2.8752542852380634E-2</v>
      </c>
      <c r="Q32" s="180">
        <v>4.9666476023909375E-4</v>
      </c>
    </row>
    <row r="33" spans="2:17">
      <c r="B33" s="65"/>
      <c r="C33" s="483">
        <v>2022</v>
      </c>
      <c r="D33" s="40">
        <v>-9.2404321232004167E-3</v>
      </c>
      <c r="E33" s="180">
        <v>4.276810986303198E-4</v>
      </c>
      <c r="F33" s="40">
        <v>-4.2625580799192193E-3</v>
      </c>
      <c r="G33" s="180">
        <v>4.4200965435604899E-4</v>
      </c>
      <c r="H33" s="40">
        <v>2.8857401795091631E-3</v>
      </c>
      <c r="I33" s="180">
        <v>4.5796084097268411E-4</v>
      </c>
      <c r="J33" s="40">
        <v>1.2447606382865309E-2</v>
      </c>
      <c r="K33" s="180">
        <v>4.7570124123765868E-4</v>
      </c>
      <c r="L33" s="40">
        <v>2.4687847360014201E-2</v>
      </c>
      <c r="M33" s="180">
        <v>4.9541227974418981E-4</v>
      </c>
      <c r="N33" s="40">
        <v>3.9894566852590442E-2</v>
      </c>
      <c r="O33" s="429">
        <v>5.1729134227782264E-4</v>
      </c>
      <c r="P33" s="40">
        <v>5.8380900746903421E-2</v>
      </c>
      <c r="Q33" s="180">
        <v>5.4155296466010131E-4</v>
      </c>
    </row>
    <row r="34" spans="2:17">
      <c r="B34" s="65"/>
      <c r="C34" s="483">
        <v>2023</v>
      </c>
      <c r="D34" s="40">
        <v>-1.0553101290768266E-2</v>
      </c>
      <c r="E34" s="180">
        <v>4.1980480577313069E-4</v>
      </c>
      <c r="F34" s="40">
        <v>-4.1166195819267032E-3</v>
      </c>
      <c r="G34" s="180">
        <v>4.4018215442371525E-4</v>
      </c>
      <c r="H34" s="40">
        <v>5.2651222234607938E-3</v>
      </c>
      <c r="I34" s="180">
        <v>4.6287584725599043E-4</v>
      </c>
      <c r="J34" s="40">
        <v>1.7949537118659972E-2</v>
      </c>
      <c r="K34" s="180">
        <v>4.8812283095078378E-4</v>
      </c>
      <c r="L34" s="40">
        <v>3.4326532750061034E-2</v>
      </c>
      <c r="M34" s="180">
        <v>5.1618113992817581E-4</v>
      </c>
      <c r="N34" s="40">
        <v>5.4820962131710532E-2</v>
      </c>
      <c r="O34" s="429">
        <v>5.4733148676389533E-4</v>
      </c>
      <c r="P34" s="40">
        <v>7.9895226494667168E-2</v>
      </c>
      <c r="Q34" s="180">
        <v>5.8187895133517077E-4</v>
      </c>
    </row>
    <row r="35" spans="2:17">
      <c r="B35" s="65"/>
      <c r="C35" s="483">
        <v>2024</v>
      </c>
      <c r="D35" s="40">
        <v>-1.2395441274805904E-2</v>
      </c>
      <c r="E35" s="180">
        <v>4.127073321339028E-4</v>
      </c>
      <c r="F35" s="40">
        <v>-5.2312995728996991E-3</v>
      </c>
      <c r="G35" s="180">
        <v>4.3853827400204038E-4</v>
      </c>
      <c r="H35" s="40">
        <v>5.4046714537135361E-3</v>
      </c>
      <c r="I35" s="180">
        <v>4.6731734110817868E-4</v>
      </c>
      <c r="J35" s="40">
        <v>1.9967857750693322E-2</v>
      </c>
      <c r="K35" s="180">
        <v>4.9934531832699052E-4</v>
      </c>
      <c r="L35" s="40">
        <v>3.8956592308233735E-2</v>
      </c>
      <c r="M35" s="180">
        <v>5.3494971049345634E-4</v>
      </c>
      <c r="N35" s="40">
        <v>6.2915422780439142E-2</v>
      </c>
      <c r="O35" s="429">
        <v>5.7448675664746964E-4</v>
      </c>
      <c r="P35" s="40">
        <v>9.2438581951133247E-2</v>
      </c>
      <c r="Q35" s="180">
        <v>6.1834356931819278E-4</v>
      </c>
    </row>
    <row r="36" spans="2:17">
      <c r="B36" s="65"/>
      <c r="C36" s="483">
        <v>2025</v>
      </c>
      <c r="D36" s="40">
        <v>-1.4766405211797595E-2</v>
      </c>
      <c r="E36" s="180">
        <v>4.0627980531572204E-4</v>
      </c>
      <c r="F36" s="40">
        <v>-7.6394663802684549E-3</v>
      </c>
      <c r="G36" s="180">
        <v>4.3705403989441062E-4</v>
      </c>
      <c r="H36" s="40">
        <v>3.203532837005973E-3</v>
      </c>
      <c r="I36" s="180">
        <v>4.7135564381340977E-4</v>
      </c>
      <c r="J36" s="40">
        <v>1.8288768391133071E-2</v>
      </c>
      <c r="K36" s="180">
        <v>5.0954395023683496E-4</v>
      </c>
      <c r="L36" s="40">
        <v>3.8194557266948939E-2</v>
      </c>
      <c r="M36" s="180">
        <v>5.5201014504618223E-4</v>
      </c>
      <c r="N36" s="40">
        <v>6.3555417413076049E-2</v>
      </c>
      <c r="O36" s="429">
        <v>5.9917966520514425E-4</v>
      </c>
      <c r="P36" s="40">
        <v>9.5066381230017899E-2</v>
      </c>
      <c r="Q36" s="180">
        <v>6.5151474596236399E-4</v>
      </c>
    </row>
    <row r="37" spans="2:17">
      <c r="B37" s="446" t="s">
        <v>87</v>
      </c>
      <c r="C37" s="483">
        <v>2026</v>
      </c>
      <c r="D37" s="40">
        <v>-1.7665605892916204E-2</v>
      </c>
      <c r="E37" s="180">
        <v>4.0043282632188889E-4</v>
      </c>
      <c r="F37" s="40">
        <v>-1.1375411800530314E-2</v>
      </c>
      <c r="G37" s="180">
        <v>4.3570955545360222E-4</v>
      </c>
      <c r="H37" s="40">
        <v>-1.4439229901727438E-3</v>
      </c>
      <c r="I37" s="180">
        <v>4.7504804350029223E-4</v>
      </c>
      <c r="J37" s="40">
        <v>1.2685646704346418E-2</v>
      </c>
      <c r="K37" s="180">
        <v>5.188619248162272E-4</v>
      </c>
      <c r="L37" s="40">
        <v>3.1628639916562201E-2</v>
      </c>
      <c r="M37" s="180">
        <v>5.6760142926255079E-4</v>
      </c>
      <c r="N37" s="40">
        <v>5.6063699329032539E-2</v>
      </c>
      <c r="O37" s="429">
        <v>6.2175613278229352E-4</v>
      </c>
      <c r="P37" s="40">
        <v>8.673781361136651E-2</v>
      </c>
      <c r="Q37" s="180">
        <v>6.8185787849787158E-4</v>
      </c>
    </row>
    <row r="38" spans="2:17">
      <c r="B38" s="65"/>
      <c r="C38" s="483">
        <v>2027</v>
      </c>
      <c r="D38" s="40">
        <v>-2.109317656721282E-2</v>
      </c>
      <c r="E38" s="180">
        <v>3.9509230097857241E-4</v>
      </c>
      <c r="F38" s="40">
        <v>-1.6474758652196764E-2</v>
      </c>
      <c r="G38" s="180">
        <v>4.3448817234062156E-4</v>
      </c>
      <c r="H38" s="40">
        <v>-8.6481784194279918E-3</v>
      </c>
      <c r="I38" s="180">
        <v>4.7844168390517161E-4</v>
      </c>
      <c r="J38" s="40">
        <v>2.9184396943423749E-3</v>
      </c>
      <c r="K38" s="180">
        <v>5.2741741703133446E-4</v>
      </c>
      <c r="L38" s="40">
        <v>1.8816840598212242E-2</v>
      </c>
      <c r="M38" s="180">
        <v>5.8192100965425721E-4</v>
      </c>
      <c r="N38" s="40">
        <v>3.9703766202165126E-2</v>
      </c>
      <c r="O38" s="429">
        <v>6.4250223626094232E-4</v>
      </c>
      <c r="P38" s="40">
        <v>6.6306423647974497E-2</v>
      </c>
      <c r="Q38" s="180">
        <v>7.0975827846522018E-4</v>
      </c>
    </row>
    <row r="39" spans="2:17">
      <c r="B39" s="65"/>
      <c r="C39" s="483">
        <v>2028</v>
      </c>
      <c r="D39" s="40">
        <v>-2.5049664044463515E-2</v>
      </c>
      <c r="E39" s="180">
        <v>3.9019629923279863E-4</v>
      </c>
      <c r="F39" s="40">
        <v>-2.2974394648670911E-2</v>
      </c>
      <c r="G39" s="180">
        <v>4.3337585649024429E-4</v>
      </c>
      <c r="H39" s="40">
        <v>-1.8524674636924268E-2</v>
      </c>
      <c r="I39" s="180">
        <v>4.8157571863688929E-4</v>
      </c>
      <c r="J39" s="40">
        <v>-1.1266996946859956E-2</v>
      </c>
      <c r="K39" s="180">
        <v>5.3530883542533348E-4</v>
      </c>
      <c r="L39" s="40">
        <v>-7.1509015356850626E-4</v>
      </c>
      <c r="M39" s="180">
        <v>5.95133502306163E-4</v>
      </c>
      <c r="N39" s="40">
        <v>1.3674933461320638E-2</v>
      </c>
      <c r="O39" s="429">
        <v>6.6165675838955054E-4</v>
      </c>
      <c r="P39" s="40">
        <v>3.2509773584908488E-2</v>
      </c>
      <c r="Q39" s="180">
        <v>7.3553799427344805E-4</v>
      </c>
    </row>
    <row r="40" spans="2:17">
      <c r="B40" s="65"/>
      <c r="C40" s="483">
        <v>2029</v>
      </c>
      <c r="D40" s="40">
        <v>-2.9535945606009008E-2</v>
      </c>
      <c r="E40" s="180">
        <v>3.8569265809218148E-4</v>
      </c>
      <c r="F40" s="40">
        <v>-3.0912425779307605E-2</v>
      </c>
      <c r="G40" s="180">
        <v>4.3236069715036886E-4</v>
      </c>
      <c r="H40" s="40">
        <v>-3.1193939185328961E-2</v>
      </c>
      <c r="I40" s="180">
        <v>4.844829397478144E-4</v>
      </c>
      <c r="J40" s="40">
        <v>-3.013960929458356E-2</v>
      </c>
      <c r="K40" s="180">
        <v>5.4261880856202942E-4</v>
      </c>
      <c r="L40" s="40">
        <v>-2.7475839306630372E-2</v>
      </c>
      <c r="M40" s="180">
        <v>6.0737730273808545E-4</v>
      </c>
      <c r="N40" s="40">
        <v>-2.2893005694141388E-2</v>
      </c>
      <c r="O40" s="429">
        <v>6.7942071709778862E-4</v>
      </c>
      <c r="P40" s="40">
        <v>-1.6041895055278779E-2</v>
      </c>
      <c r="Q40" s="180">
        <v>7.5946859101479268E-4</v>
      </c>
    </row>
    <row r="41" spans="2:17">
      <c r="B41" s="65"/>
      <c r="C41" s="483">
        <v>2030</v>
      </c>
      <c r="D41" s="40">
        <v>-3.4553163687139156E-2</v>
      </c>
      <c r="E41" s="180">
        <v>3.8153713044515543E-4</v>
      </c>
      <c r="F41" s="40">
        <v>-4.0328144358545426E-2</v>
      </c>
      <c r="G41" s="180">
        <v>4.3143252269349649E-4</v>
      </c>
      <c r="H41" s="40">
        <v>-4.6781731642744302E-2</v>
      </c>
      <c r="I41" s="180">
        <v>4.8719102428439095E-4</v>
      </c>
      <c r="J41" s="40">
        <v>-5.3983904184824467E-2</v>
      </c>
      <c r="K41" s="180">
        <v>5.494172453705576E-4</v>
      </c>
      <c r="L41" s="40">
        <v>-6.2010875438172103E-2</v>
      </c>
      <c r="M41" s="180">
        <v>6.1876966437257944E-4</v>
      </c>
      <c r="N41" s="40">
        <v>-7.0945563887541058E-2</v>
      </c>
      <c r="O41" s="429">
        <v>6.9596469067028321E-4</v>
      </c>
      <c r="P41" s="40">
        <v>-8.0878092462491516E-2</v>
      </c>
      <c r="Q41" s="180">
        <v>7.8178097949681107E-4</v>
      </c>
    </row>
    <row r="42" spans="2:17">
      <c r="B42" s="65"/>
      <c r="C42" s="483">
        <v>2040</v>
      </c>
      <c r="D42" s="40">
        <v>-9.9183428108385804E-2</v>
      </c>
      <c r="E42" s="180">
        <v>3.5422270994424327E-4</v>
      </c>
      <c r="F42" s="40">
        <v>-0.12909381223118305</v>
      </c>
      <c r="G42" s="180">
        <v>4.5354181938549735E-4</v>
      </c>
      <c r="H42" s="40">
        <v>-0.16690946172637153</v>
      </c>
      <c r="I42" s="180">
        <v>5.79110806242542E-4</v>
      </c>
      <c r="J42" s="40">
        <v>-0.21458324249171687</v>
      </c>
      <c r="K42" s="180">
        <v>7.3741427134925311E-4</v>
      </c>
      <c r="L42" s="40">
        <v>-0.27451761760753823</v>
      </c>
      <c r="M42" s="180">
        <v>9.364297282214492E-4</v>
      </c>
      <c r="N42" s="40">
        <v>-0.34966079501777364</v>
      </c>
      <c r="O42" s="429">
        <v>1.1859468668289155E-3</v>
      </c>
      <c r="P42" s="40">
        <v>-0.44362190310439775</v>
      </c>
      <c r="Q42" s="180">
        <v>1.4979500005554518E-3</v>
      </c>
    </row>
    <row r="43" spans="2:17">
      <c r="B43" s="65"/>
      <c r="C43" s="483">
        <v>2050</v>
      </c>
      <c r="D43" s="40">
        <v>-0.23889597876432705</v>
      </c>
      <c r="E43" s="180">
        <v>3.8462541255376061E-4</v>
      </c>
      <c r="F43" s="40">
        <v>-0.35136362346651506</v>
      </c>
      <c r="G43" s="180">
        <v>5.5734089835302785E-4</v>
      </c>
      <c r="H43" s="40">
        <v>-0.51222899202783589</v>
      </c>
      <c r="I43" s="180">
        <v>8.0438030557914949E-4</v>
      </c>
      <c r="J43" s="40">
        <v>-0.74131746570967005</v>
      </c>
      <c r="K43" s="180">
        <v>1.15618928253197E-3</v>
      </c>
      <c r="L43" s="40">
        <v>-1.0661767190056619</v>
      </c>
      <c r="M43" s="180">
        <v>1.6550725293357738E-3</v>
      </c>
      <c r="N43" s="40">
        <v>-1.5249335469309062</v>
      </c>
      <c r="O43" s="429">
        <v>2.3595810002711255E-3</v>
      </c>
      <c r="P43" s="40">
        <v>-2.1701531604839839</v>
      </c>
      <c r="Q43" s="180">
        <v>3.3504385868874747E-3</v>
      </c>
    </row>
    <row r="44" spans="2:17">
      <c r="B44" s="65"/>
      <c r="C44" s="483">
        <v>2060</v>
      </c>
      <c r="D44" s="40">
        <v>-0.47358026048833751</v>
      </c>
      <c r="E44" s="180">
        <v>4.7623431485464005E-4</v>
      </c>
      <c r="F44" s="40">
        <v>-0.78782974009091189</v>
      </c>
      <c r="G44" s="180">
        <v>7.8119663634907766E-4</v>
      </c>
      <c r="H44" s="40">
        <v>-1.2963186398441506</v>
      </c>
      <c r="I44" s="180">
        <v>1.2746579318745779E-3</v>
      </c>
      <c r="J44" s="40">
        <v>-2.1142970755907307</v>
      </c>
      <c r="K44" s="180">
        <v>2.0684622780683878E-3</v>
      </c>
      <c r="L44" s="40">
        <v>-3.4226261133083153</v>
      </c>
      <c r="M44" s="180">
        <v>3.338125671387397E-3</v>
      </c>
      <c r="N44" s="40">
        <v>-5.5035967372130283</v>
      </c>
      <c r="O44" s="429">
        <v>5.3575964219206903E-3</v>
      </c>
      <c r="P44" s="40">
        <v>-8.795490224900826</v>
      </c>
      <c r="Q44" s="180">
        <v>8.5522030808953195E-3</v>
      </c>
    </row>
    <row r="45" spans="2:17">
      <c r="B45" s="65"/>
      <c r="C45" s="483">
        <v>2070</v>
      </c>
      <c r="D45" s="40">
        <v>-0.93335257097454738</v>
      </c>
      <c r="E45" s="180">
        <v>6.3344310055689834E-4</v>
      </c>
      <c r="F45" s="40">
        <v>-1.7549759733417587</v>
      </c>
      <c r="G45" s="180">
        <v>1.17651908232846E-3</v>
      </c>
      <c r="H45" s="40">
        <v>-3.2589431940244369</v>
      </c>
      <c r="I45" s="180">
        <v>2.1706101373924576E-3</v>
      </c>
      <c r="J45" s="40">
        <v>-5.9917292163216702</v>
      </c>
      <c r="K45" s="180">
        <v>3.9769248647416825E-3</v>
      </c>
      <c r="L45" s="40">
        <v>-10.921781315517524</v>
      </c>
      <c r="M45" s="180">
        <v>7.2355867726690776E-3</v>
      </c>
      <c r="N45" s="40">
        <v>-19.753601327495193</v>
      </c>
      <c r="O45" s="429">
        <v>1.3073236126394336E-2</v>
      </c>
      <c r="P45" s="40">
        <v>-35.467115198038208</v>
      </c>
      <c r="Q45" s="180">
        <v>2.3459542002954886E-2</v>
      </c>
    </row>
    <row r="46" spans="2:17">
      <c r="B46" s="65"/>
      <c r="C46" s="483">
        <v>2080</v>
      </c>
      <c r="D46" s="40">
        <v>-1.7993122486477051</v>
      </c>
      <c r="E46" s="180">
        <v>8.8187747173989171E-4</v>
      </c>
      <c r="F46" s="40">
        <v>-3.8238810291880836</v>
      </c>
      <c r="G46" s="180">
        <v>1.8548380650053879E-3</v>
      </c>
      <c r="H46" s="40">
        <v>-8.0160970642568508</v>
      </c>
      <c r="I46" s="180">
        <v>3.8695194330984678E-3</v>
      </c>
      <c r="J46" s="40">
        <v>-16.620190971836319</v>
      </c>
      <c r="K46" s="180">
        <v>8.0044465313006338E-3</v>
      </c>
      <c r="L46" s="40">
        <v>-34.127103829648377</v>
      </c>
      <c r="M46" s="180">
        <v>1.6417861024355163E-2</v>
      </c>
      <c r="N46" s="40">
        <v>-69.449179419187317</v>
      </c>
      <c r="O46" s="429">
        <v>3.339282771913623E-2</v>
      </c>
      <c r="P46" s="40">
        <v>-140.12993959159974</v>
      </c>
      <c r="Q46" s="180">
        <v>6.7360354538082437E-2</v>
      </c>
    </row>
    <row r="47" spans="2:17">
      <c r="B47" s="65"/>
      <c r="C47" s="483">
        <v>2090</v>
      </c>
      <c r="D47" s="40">
        <v>-3.2817680181782474</v>
      </c>
      <c r="E47" s="180">
        <v>1.2226510117342739E-3</v>
      </c>
      <c r="F47" s="40">
        <v>-7.8859552896725544</v>
      </c>
      <c r="G47" s="180">
        <v>2.9121374932298346E-3</v>
      </c>
      <c r="H47" s="40">
        <v>-18.670374293844237</v>
      </c>
      <c r="I47" s="180">
        <v>6.8694331121846195E-3</v>
      </c>
      <c r="J47" s="40">
        <v>-43.67037520637485</v>
      </c>
      <c r="K47" s="180">
        <v>1.6043074645099232E-2</v>
      </c>
      <c r="L47" s="40">
        <v>-101.04118546303155</v>
      </c>
      <c r="M47" s="180">
        <v>3.7095043786573759E-2</v>
      </c>
      <c r="N47" s="40">
        <v>-231.40407168906543</v>
      </c>
      <c r="O47" s="429">
        <v>8.4931137537848395E-2</v>
      </c>
      <c r="P47" s="40">
        <v>-524.78348850111399</v>
      </c>
      <c r="Q47" s="180">
        <v>0.19258543772710612</v>
      </c>
    </row>
    <row r="48" spans="2:17">
      <c r="B48" s="65"/>
      <c r="C48" s="482">
        <v>2100</v>
      </c>
      <c r="D48" s="40">
        <v>-5.537335739081036</v>
      </c>
      <c r="E48" s="180">
        <v>1.6315013460224458E-3</v>
      </c>
      <c r="F48" s="40">
        <v>-15.05267269009674</v>
      </c>
      <c r="G48" s="180">
        <v>4.4003400023083436E-3</v>
      </c>
      <c r="H48" s="40">
        <v>-40.263549692785276</v>
      </c>
      <c r="I48" s="180">
        <v>1.1736375621778657E-2</v>
      </c>
      <c r="J48" s="40">
        <v>-106.27219189882275</v>
      </c>
      <c r="K48" s="180">
        <v>3.0944027555692828E-2</v>
      </c>
      <c r="L48" s="40">
        <v>-277.11098503233461</v>
      </c>
      <c r="M48" s="180">
        <v>8.0655882937840193E-2</v>
      </c>
      <c r="N48" s="40">
        <v>-714.29514605317672</v>
      </c>
      <c r="O48" s="430">
        <v>0.20787075837335642</v>
      </c>
      <c r="P48" s="40">
        <v>-1820.7909044794199</v>
      </c>
      <c r="Q48" s="180">
        <v>0.52984655857031526</v>
      </c>
    </row>
    <row r="49" spans="3:16">
      <c r="D49" s="40"/>
      <c r="E49" s="40"/>
      <c r="F49" s="40"/>
      <c r="G49" s="40"/>
      <c r="H49" s="40"/>
      <c r="I49" s="40"/>
      <c r="J49" s="40"/>
      <c r="L49" s="40"/>
      <c r="N49" s="40"/>
      <c r="P49" s="40"/>
    </row>
    <row r="50" spans="3:16">
      <c r="C50" t="s">
        <v>336</v>
      </c>
      <c r="D50" s="40">
        <f>SUM(D31:D48)</f>
        <v>-12.554953259641447</v>
      </c>
      <c r="E50" s="40"/>
      <c r="F50" s="40">
        <f>SUM(F31:F48)</f>
        <v>-29.94293779143446</v>
      </c>
      <c r="G50" s="40"/>
      <c r="H50" s="40">
        <f>SUM(H31:H48)</f>
        <v>-72.28410482445193</v>
      </c>
      <c r="I50" s="40"/>
      <c r="J50" s="40">
        <f>SUM(J31:J48)</f>
        <v>-175.64036689317686</v>
      </c>
      <c r="L50" s="40">
        <f>SUM(L31:L48)</f>
        <v>-427.86578220387855</v>
      </c>
      <c r="N50" s="40">
        <f>SUM(N31:N48)</f>
        <v>-1042.032903894634</v>
      </c>
      <c r="P50" s="40">
        <f>SUM(P31:P48)</f>
        <v>-2532.1457581578425</v>
      </c>
    </row>
    <row r="57" spans="3:16">
      <c r="G57">
        <v>9</v>
      </c>
      <c r="H57">
        <v>10</v>
      </c>
      <c r="I57">
        <v>10</v>
      </c>
      <c r="J57">
        <v>10</v>
      </c>
      <c r="K57">
        <v>10</v>
      </c>
    </row>
    <row r="58" spans="3:16">
      <c r="G58">
        <v>10</v>
      </c>
      <c r="H58">
        <v>10</v>
      </c>
      <c r="I58">
        <v>10</v>
      </c>
      <c r="J58">
        <v>10</v>
      </c>
      <c r="K58">
        <v>10</v>
      </c>
    </row>
  </sheetData>
  <conditionalFormatting sqref="D6:D23 D24:J25 F6:F25 H6:H25 J6:J25 L6:L25 N6:N25 P6:P25">
    <cfRule type="cellIs" dxfId="49" priority="47" operator="lessThan">
      <formula>0</formula>
    </cfRule>
    <cfRule type="cellIs" dxfId="48" priority="48" operator="greaterThan">
      <formula>0</formula>
    </cfRule>
  </conditionalFormatting>
  <conditionalFormatting sqref="D31:D48 D49:J50 F31:F48 H31:H48 J31:J48 L31:L50 N31:N50 P31:P50">
    <cfRule type="cellIs" dxfId="47" priority="43" operator="lessThan">
      <formula>0</formula>
    </cfRule>
    <cfRule type="cellIs" dxfId="46" priority="44" operator="greaterThan">
      <formula>0</formula>
    </cfRule>
  </conditionalFormatting>
  <conditionalFormatting sqref="E6:E23">
    <cfRule type="cellIs" dxfId="45" priority="41" operator="greaterThanOrEqual">
      <formula>0.1</formula>
    </cfRule>
    <cfRule type="cellIs" dxfId="44" priority="42" operator="lessThan">
      <formula>0.1</formula>
    </cfRule>
  </conditionalFormatting>
  <conditionalFormatting sqref="E31:E48">
    <cfRule type="cellIs" dxfId="43" priority="35" operator="greaterThanOrEqual">
      <formula>0.1</formula>
    </cfRule>
    <cfRule type="cellIs" dxfId="42" priority="36" operator="lessThan">
      <formula>0.1</formula>
    </cfRule>
  </conditionalFormatting>
  <conditionalFormatting sqref="G6:G23">
    <cfRule type="cellIs" dxfId="41" priority="39" operator="greaterThanOrEqual">
      <formula>0.1</formula>
    </cfRule>
    <cfRule type="cellIs" dxfId="40" priority="40" operator="lessThan">
      <formula>0.1</formula>
    </cfRule>
  </conditionalFormatting>
  <conditionalFormatting sqref="G31:G48">
    <cfRule type="cellIs" dxfId="39" priority="33" operator="greaterThanOrEqual">
      <formula>0.1</formula>
    </cfRule>
    <cfRule type="cellIs" dxfId="38" priority="34" operator="lessThan">
      <formula>0.1</formula>
    </cfRule>
  </conditionalFormatting>
  <conditionalFormatting sqref="I6:I23">
    <cfRule type="cellIs" dxfId="37" priority="27" operator="greaterThanOrEqual">
      <formula>0.1</formula>
    </cfRule>
    <cfRule type="cellIs" dxfId="36" priority="28" operator="lessThan">
      <formula>0.1</formula>
    </cfRule>
  </conditionalFormatting>
  <conditionalFormatting sqref="I31:I48">
    <cfRule type="cellIs" dxfId="35" priority="31" operator="greaterThanOrEqual">
      <formula>0.1</formula>
    </cfRule>
    <cfRule type="cellIs" dxfId="34" priority="32" operator="lessThan">
      <formula>0.1</formula>
    </cfRule>
  </conditionalFormatting>
  <conditionalFormatting sqref="K6:K23">
    <cfRule type="cellIs" dxfId="33" priority="25" operator="greaterThanOrEqual">
      <formula>0.1</formula>
    </cfRule>
    <cfRule type="cellIs" dxfId="32" priority="26" operator="lessThan">
      <formula>0.1</formula>
    </cfRule>
  </conditionalFormatting>
  <conditionalFormatting sqref="K31:K48">
    <cfRule type="cellIs" dxfId="31" priority="19" operator="greaterThanOrEqual">
      <formula>0.1</formula>
    </cfRule>
    <cfRule type="cellIs" dxfId="30" priority="20" operator="lessThan">
      <formula>0.1</formula>
    </cfRule>
  </conditionalFormatting>
  <conditionalFormatting sqref="M6:M23">
    <cfRule type="cellIs" dxfId="29" priority="11" operator="greaterThanOrEqual">
      <formula>0.1</formula>
    </cfRule>
    <cfRule type="cellIs" dxfId="28" priority="12" operator="lessThan">
      <formula>0.1</formula>
    </cfRule>
  </conditionalFormatting>
  <conditionalFormatting sqref="M31:M48">
    <cfRule type="cellIs" dxfId="27" priority="17" operator="greaterThanOrEqual">
      <formula>0.1</formula>
    </cfRule>
    <cfRule type="cellIs" dxfId="26" priority="18" operator="lessThan">
      <formula>0.1</formula>
    </cfRule>
  </conditionalFormatting>
  <conditionalFormatting sqref="O6:O23">
    <cfRule type="cellIs" dxfId="25" priority="21" operator="greaterThanOrEqual">
      <formula>0.1</formula>
    </cfRule>
    <cfRule type="cellIs" dxfId="24" priority="22" operator="lessThan">
      <formula>0.1</formula>
    </cfRule>
  </conditionalFormatting>
  <conditionalFormatting sqref="O31:O48">
    <cfRule type="cellIs" dxfId="23" priority="1" operator="greaterThanOrEqual">
      <formula>0.1</formula>
    </cfRule>
    <cfRule type="cellIs" dxfId="22" priority="2" operator="lessThan">
      <formula>0.1</formula>
    </cfRule>
  </conditionalFormatting>
  <conditionalFormatting sqref="Q6:Q23">
    <cfRule type="cellIs" dxfId="21" priority="9" operator="greaterThanOrEqual">
      <formula>0.1</formula>
    </cfRule>
    <cfRule type="cellIs" dxfId="20" priority="10" operator="lessThan">
      <formula>0.1</formula>
    </cfRule>
  </conditionalFormatting>
  <conditionalFormatting sqref="Q31:Q48">
    <cfRule type="cellIs" dxfId="19" priority="13" operator="greaterThanOrEqual">
      <formula>0.1</formula>
    </cfRule>
    <cfRule type="cellIs" dxfId="18" priority="14" operator="lessThan">
      <formula>0.1</formula>
    </cfRule>
  </conditionalFormatting>
  <pageMargins left="0.7" right="0.7" top="0.75" bottom="0.75" header="0.3" footer="0.3"/>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51DB1-ADFB-4B20-8FF5-76E8147CA696}">
  <sheetPr>
    <tabColor rgb="FF7030A0"/>
  </sheetPr>
  <dimension ref="B2:AF109"/>
  <sheetViews>
    <sheetView topLeftCell="F19" workbookViewId="0">
      <selection activeCell="Y99" sqref="Y99"/>
    </sheetView>
  </sheetViews>
  <sheetFormatPr defaultColWidth="8.7109375" defaultRowHeight="15"/>
  <cols>
    <col min="1" max="1" width="3.7109375" customWidth="1"/>
    <col min="2" max="2" width="17.7109375" customWidth="1"/>
    <col min="3" max="4" width="10.42578125" bestFit="1" customWidth="1"/>
    <col min="5" max="6" width="11" bestFit="1" customWidth="1"/>
    <col min="7" max="9" width="12.140625" bestFit="1" customWidth="1"/>
    <col min="23" max="23" width="13" customWidth="1"/>
    <col min="26" max="26" width="13.28515625" customWidth="1"/>
    <col min="28" max="28" width="10.28515625" customWidth="1"/>
    <col min="29" max="32" width="9.28515625" customWidth="1"/>
  </cols>
  <sheetData>
    <row r="2" spans="2:32">
      <c r="B2" s="450"/>
      <c r="C2" s="574" t="s">
        <v>338</v>
      </c>
      <c r="D2" s="574"/>
      <c r="E2" s="574"/>
      <c r="F2" s="574"/>
      <c r="G2" s="574"/>
      <c r="H2" s="574"/>
      <c r="I2" s="574"/>
      <c r="J2" s="574"/>
      <c r="K2" s="574"/>
      <c r="L2" s="574"/>
      <c r="M2" s="574"/>
      <c r="N2" s="574"/>
      <c r="O2" s="574"/>
      <c r="P2" s="574"/>
      <c r="V2" s="321"/>
      <c r="W2" s="627" t="s">
        <v>339</v>
      </c>
      <c r="X2" s="627"/>
      <c r="Y2" s="627"/>
      <c r="Z2" s="627"/>
      <c r="AA2" s="627"/>
      <c r="AB2" s="627"/>
      <c r="AC2" s="627"/>
      <c r="AD2" s="627"/>
      <c r="AE2" s="627"/>
      <c r="AF2" s="627"/>
    </row>
    <row r="3" spans="2:32">
      <c r="B3" s="387" t="s">
        <v>201</v>
      </c>
      <c r="C3" s="486" t="s">
        <v>340</v>
      </c>
      <c r="D3" s="487"/>
      <c r="E3" s="487"/>
      <c r="F3" s="487"/>
      <c r="G3" s="487"/>
      <c r="H3" s="487"/>
      <c r="I3" s="487" t="s">
        <v>328</v>
      </c>
      <c r="J3" s="487"/>
      <c r="K3" s="487"/>
      <c r="L3" s="487"/>
      <c r="M3" s="487"/>
      <c r="N3" s="487"/>
      <c r="O3" s="488" t="s">
        <v>341</v>
      </c>
      <c r="P3" s="489"/>
      <c r="Q3" s="489"/>
      <c r="R3" s="489"/>
      <c r="S3" s="489"/>
      <c r="T3" s="489"/>
      <c r="U3" s="1"/>
      <c r="V3" s="492" t="s">
        <v>201</v>
      </c>
      <c r="W3" s="626" t="s">
        <v>342</v>
      </c>
      <c r="X3" s="626"/>
      <c r="Y3" s="626"/>
      <c r="Z3" s="626"/>
      <c r="AA3" s="626"/>
      <c r="AB3" s="626" t="s">
        <v>343</v>
      </c>
      <c r="AC3" s="626"/>
      <c r="AD3" s="626"/>
      <c r="AE3" s="626"/>
      <c r="AF3" s="626"/>
    </row>
    <row r="4" spans="2:32">
      <c r="B4" s="375" t="s">
        <v>87</v>
      </c>
      <c r="C4" s="478">
        <v>1.2500000000000001E-2</v>
      </c>
      <c r="D4" s="478">
        <v>2.5000000000000001E-2</v>
      </c>
      <c r="E4" s="478">
        <v>3.7499999999999999E-2</v>
      </c>
      <c r="F4" s="479">
        <v>0.05</v>
      </c>
      <c r="G4" s="478">
        <v>6.25E-2</v>
      </c>
      <c r="H4" s="478">
        <v>7.4999999999999997E-2</v>
      </c>
      <c r="I4" s="478">
        <v>1.2500000000000001E-2</v>
      </c>
      <c r="J4" s="478">
        <v>2.5000000000000001E-2</v>
      </c>
      <c r="K4" s="478">
        <v>3.7499999999999999E-2</v>
      </c>
      <c r="L4" s="479">
        <v>0.05</v>
      </c>
      <c r="M4" s="478">
        <v>6.25E-2</v>
      </c>
      <c r="N4" s="478">
        <v>7.4999999999999997E-2</v>
      </c>
      <c r="O4" s="478">
        <v>1.2500000000000001E-2</v>
      </c>
      <c r="P4" s="478">
        <v>2.5000000000000001E-2</v>
      </c>
      <c r="Q4" s="478">
        <v>3.7499999999999999E-2</v>
      </c>
      <c r="R4" s="479">
        <v>0.05</v>
      </c>
      <c r="S4" s="478">
        <v>6.25E-2</v>
      </c>
      <c r="T4" s="478">
        <v>7.4999999999999997E-2</v>
      </c>
      <c r="V4" s="499" t="s">
        <v>87</v>
      </c>
      <c r="W4" s="500" t="s">
        <v>344</v>
      </c>
      <c r="X4" s="501" t="s">
        <v>345</v>
      </c>
      <c r="Y4" s="501" t="s">
        <v>346</v>
      </c>
      <c r="Z4" s="501" t="s">
        <v>347</v>
      </c>
      <c r="AA4" s="501" t="s">
        <v>348</v>
      </c>
      <c r="AB4" s="500">
        <v>5.0000000000000002E-5</v>
      </c>
      <c r="AC4" s="501">
        <v>5.0000000000000001E-4</v>
      </c>
      <c r="AD4" s="501">
        <v>5.0000000000000001E-3</v>
      </c>
      <c r="AE4" s="501">
        <v>0.01</v>
      </c>
      <c r="AF4" s="502">
        <v>0.02</v>
      </c>
    </row>
    <row r="5" spans="2:32">
      <c r="B5">
        <v>2020</v>
      </c>
      <c r="C5" s="439">
        <v>0.83325332336381885</v>
      </c>
      <c r="D5" s="439">
        <v>0.83325332336381885</v>
      </c>
      <c r="E5" s="439">
        <v>0.83325332336381885</v>
      </c>
      <c r="F5" s="439">
        <v>0.83325332336381885</v>
      </c>
      <c r="G5" s="439">
        <v>0.83325332336381885</v>
      </c>
      <c r="H5" s="456">
        <v>0.83325332336381885</v>
      </c>
      <c r="I5" s="180">
        <v>1.4193016678564021</v>
      </c>
      <c r="J5" s="180">
        <v>1.4193016678564021</v>
      </c>
      <c r="K5" s="180">
        <v>1.4193016678564021</v>
      </c>
      <c r="L5" s="180">
        <v>1.4193016678564021</v>
      </c>
      <c r="M5" s="180">
        <v>1.4193016678564021</v>
      </c>
      <c r="N5" s="180">
        <v>1.4193016678564021</v>
      </c>
      <c r="O5" s="180">
        <v>0</v>
      </c>
      <c r="P5" s="180">
        <v>0</v>
      </c>
      <c r="Q5" s="180">
        <v>0</v>
      </c>
      <c r="R5" s="180">
        <v>0</v>
      </c>
      <c r="S5" s="180">
        <v>0</v>
      </c>
      <c r="T5" s="180">
        <v>0</v>
      </c>
      <c r="V5" s="503">
        <v>2020</v>
      </c>
      <c r="W5" s="504">
        <v>1.4193016678563939E-2</v>
      </c>
      <c r="X5" s="504">
        <v>0.14193016678564013</v>
      </c>
      <c r="Y5" s="504">
        <v>1.4193016678564021</v>
      </c>
      <c r="Z5" s="504">
        <v>2.8386033357128033</v>
      </c>
      <c r="AA5" s="504">
        <v>5.6772066714256075</v>
      </c>
      <c r="AB5" s="504">
        <v>0</v>
      </c>
      <c r="AC5" s="504">
        <v>0</v>
      </c>
      <c r="AD5" s="504">
        <v>0</v>
      </c>
      <c r="AE5" s="504">
        <v>0</v>
      </c>
      <c r="AF5" s="504">
        <v>0</v>
      </c>
    </row>
    <row r="6" spans="2:32">
      <c r="B6">
        <v>2021</v>
      </c>
      <c r="C6" s="439">
        <v>0.84887506323287698</v>
      </c>
      <c r="D6" s="439">
        <v>0.85935500228513506</v>
      </c>
      <c r="E6" s="439">
        <v>0.86986777847975627</v>
      </c>
      <c r="F6" s="439">
        <v>0.88031488038965056</v>
      </c>
      <c r="G6" s="439">
        <v>0.8907948194419083</v>
      </c>
      <c r="H6" s="456">
        <v>0.90127475849416594</v>
      </c>
      <c r="I6" s="180">
        <v>1.3932537766065147</v>
      </c>
      <c r="J6" s="180">
        <v>1.3932537766065158</v>
      </c>
      <c r="K6" s="180">
        <v>1.3932537766065149</v>
      </c>
      <c r="L6" s="180">
        <v>1.3932537766065152</v>
      </c>
      <c r="M6" s="180">
        <v>1.3932537766065154</v>
      </c>
      <c r="N6" s="180">
        <v>1.3932537766065152</v>
      </c>
      <c r="O6" s="180">
        <v>-1.3054898631476692E-3</v>
      </c>
      <c r="P6" s="180">
        <v>-1.3054898631469497E-3</v>
      </c>
      <c r="Q6" s="180">
        <v>-1.3054898631476525E-3</v>
      </c>
      <c r="R6" s="180">
        <v>-1.305489863147142E-3</v>
      </c>
      <c r="S6" s="180">
        <v>-1.3054898631474957E-3</v>
      </c>
      <c r="T6" s="180">
        <v>-1.3054898631474977E-3</v>
      </c>
      <c r="V6">
        <v>2021</v>
      </c>
      <c r="W6" s="180">
        <v>1.3469522034090938E-2</v>
      </c>
      <c r="X6" s="180">
        <v>0.13912201069477081</v>
      </c>
      <c r="Y6" s="180">
        <v>1.3932537766065149</v>
      </c>
      <c r="Z6" s="180">
        <v>2.78163435021533</v>
      </c>
      <c r="AA6" s="180">
        <v>5.5423197218158338</v>
      </c>
      <c r="AB6" s="180">
        <v>-5.0266187027050112E-4</v>
      </c>
      <c r="AC6" s="180">
        <v>-5.7564623325946239E-4</v>
      </c>
      <c r="AD6" s="180">
        <v>-1.3054898631476525E-3</v>
      </c>
      <c r="AE6" s="180">
        <v>-2.1164272296899278E-3</v>
      </c>
      <c r="AF6" s="180">
        <v>-3.7383019627744785E-3</v>
      </c>
    </row>
    <row r="7" spans="2:32">
      <c r="B7">
        <v>2022</v>
      </c>
      <c r="C7" s="439">
        <v>0.86454976447948184</v>
      </c>
      <c r="D7" s="439">
        <v>0.88602844327999319</v>
      </c>
      <c r="E7" s="439">
        <v>0.90783920395335149</v>
      </c>
      <c r="F7" s="439">
        <v>0.92977642709453201</v>
      </c>
      <c r="G7" s="439">
        <v>0.95204573210855914</v>
      </c>
      <c r="H7" s="456">
        <v>0.97457857919375801</v>
      </c>
      <c r="I7" s="180">
        <v>1.3676342880789658</v>
      </c>
      <c r="J7" s="180">
        <v>1.3676342880789654</v>
      </c>
      <c r="K7" s="180">
        <v>1.3676342880789658</v>
      </c>
      <c r="L7" s="180">
        <v>1.3676342880789663</v>
      </c>
      <c r="M7" s="180">
        <v>1.3676342880789656</v>
      </c>
      <c r="N7" s="180">
        <v>1.3676342880789656</v>
      </c>
      <c r="O7" s="180">
        <v>-2.5054958146046372E-3</v>
      </c>
      <c r="P7" s="180">
        <v>-2.5054958146048193E-3</v>
      </c>
      <c r="Q7" s="180">
        <v>-2.5054958146046458E-3</v>
      </c>
      <c r="R7" s="180">
        <v>-2.5054958146043162E-3</v>
      </c>
      <c r="S7" s="180">
        <v>-2.5054958146046263E-3</v>
      </c>
      <c r="T7" s="180">
        <v>-2.505495814604759E-3</v>
      </c>
      <c r="V7" s="222">
        <v>2022</v>
      </c>
      <c r="W7" s="505">
        <v>1.2856351788202013E-2</v>
      </c>
      <c r="X7" s="505">
        <v>0.13644192138903974</v>
      </c>
      <c r="Y7" s="505">
        <v>1.3676342880789658</v>
      </c>
      <c r="Z7" s="505">
        <v>2.7257199708861246</v>
      </c>
      <c r="AA7" s="505">
        <v>5.4108619807037019</v>
      </c>
      <c r="AB7" s="505">
        <v>-8.9688776465452554E-4</v>
      </c>
      <c r="AC7" s="505">
        <v>-1.0432652060280699E-3</v>
      </c>
      <c r="AD7" s="505">
        <v>-2.5054958146046458E-3</v>
      </c>
      <c r="AE7" s="505">
        <v>-4.126903527742789E-3</v>
      </c>
      <c r="AF7" s="505">
        <v>-7.3593141070133761E-3</v>
      </c>
    </row>
    <row r="8" spans="2:32">
      <c r="B8">
        <v>2023</v>
      </c>
      <c r="C8" s="439">
        <v>0.88031464959287598</v>
      </c>
      <c r="D8" s="439">
        <v>0.91332307390044176</v>
      </c>
      <c r="E8" s="439">
        <v>0.94725375137121026</v>
      </c>
      <c r="F8" s="439">
        <v>0.98179480708544531</v>
      </c>
      <c r="G8" s="439">
        <v>1.0172779935707352</v>
      </c>
      <c r="H8" s="456">
        <v>1.0536059783897864</v>
      </c>
      <c r="I8" s="180">
        <v>1.3424991471735295</v>
      </c>
      <c r="J8" s="180">
        <v>1.3424991471735288</v>
      </c>
      <c r="K8" s="180">
        <v>1.3424991471735295</v>
      </c>
      <c r="L8" s="180">
        <v>1.3424991471735297</v>
      </c>
      <c r="M8" s="180">
        <v>1.3424991471735295</v>
      </c>
      <c r="N8" s="180">
        <v>1.3424991471735304</v>
      </c>
      <c r="O8" s="180">
        <v>-3.5843918281804727E-3</v>
      </c>
      <c r="P8" s="180">
        <v>-3.5843918281805985E-3</v>
      </c>
      <c r="Q8" s="180">
        <v>-3.584391828180765E-3</v>
      </c>
      <c r="R8" s="180">
        <v>-3.584391828180575E-3</v>
      </c>
      <c r="S8" s="180">
        <v>-3.5843918281806184E-3</v>
      </c>
      <c r="T8" s="180">
        <v>-3.584391828180242E-3</v>
      </c>
      <c r="V8">
        <v>2023</v>
      </c>
      <c r="W8" s="180">
        <v>1.2369997126388102E-2</v>
      </c>
      <c r="X8" s="180">
        <v>0.13391182022593831</v>
      </c>
      <c r="Y8" s="180">
        <v>1.3424991471735295</v>
      </c>
      <c r="Z8" s="180">
        <v>2.6709092302623443</v>
      </c>
      <c r="AA8" s="180">
        <v>5.282724680045134</v>
      </c>
      <c r="AB8" s="180">
        <v>-1.1668146267170536E-3</v>
      </c>
      <c r="AC8" s="180">
        <v>-1.3870161497958507E-3</v>
      </c>
      <c r="AD8" s="180">
        <v>-3.584391828180765E-3</v>
      </c>
      <c r="AE8" s="180">
        <v>-6.01603857042988E-3</v>
      </c>
      <c r="AF8" s="180">
        <v>-1.0848196935371347E-2</v>
      </c>
    </row>
    <row r="9" spans="2:32">
      <c r="B9">
        <v>2024</v>
      </c>
      <c r="C9" s="439">
        <v>0.89619262087563356</v>
      </c>
      <c r="D9" s="439">
        <v>0.94127537623435742</v>
      </c>
      <c r="E9" s="439">
        <v>0.9881872283653812</v>
      </c>
      <c r="F9" s="439">
        <v>1.0365217805493623</v>
      </c>
      <c r="G9" s="439">
        <v>1.0867683726734061</v>
      </c>
      <c r="H9" s="456">
        <v>1.1388200196497151</v>
      </c>
      <c r="I9" s="180">
        <v>1.3178744560938431</v>
      </c>
      <c r="J9" s="180">
        <v>1.3178744560938429</v>
      </c>
      <c r="K9" s="180">
        <v>1.3178744560938433</v>
      </c>
      <c r="L9" s="180">
        <v>1.317874456093844</v>
      </c>
      <c r="M9" s="180">
        <v>1.3178744560938438</v>
      </c>
      <c r="N9" s="180">
        <v>1.3178744560938438</v>
      </c>
      <c r="O9" s="180">
        <v>-4.5463472968641748E-3</v>
      </c>
      <c r="P9" s="180">
        <v>-4.5463472968642841E-3</v>
      </c>
      <c r="Q9" s="180">
        <v>-4.5463472968641479E-3</v>
      </c>
      <c r="R9" s="180">
        <v>-4.5463472968637715E-3</v>
      </c>
      <c r="S9" s="180">
        <v>-4.5463472968641158E-3</v>
      </c>
      <c r="T9" s="180">
        <v>-4.5463472968640195E-3</v>
      </c>
      <c r="V9" s="222">
        <v>2024</v>
      </c>
      <c r="W9" s="505">
        <v>1.2006976698219913E-2</v>
      </c>
      <c r="X9" s="505">
        <v>0.13153221086454162</v>
      </c>
      <c r="Y9" s="505">
        <v>1.3178744560938433</v>
      </c>
      <c r="Z9" s="505">
        <v>2.6172229604567252</v>
      </c>
      <c r="AA9" s="505">
        <v>5.1577929495427348</v>
      </c>
      <c r="AB9" s="505">
        <v>-1.31638411810243E-3</v>
      </c>
      <c r="AC9" s="505">
        <v>-1.6108622742657993E-3</v>
      </c>
      <c r="AD9" s="505">
        <v>-4.5463472968641479E-3</v>
      </c>
      <c r="AE9" s="505">
        <v>-7.7882257991744672E-3</v>
      </c>
      <c r="AF9" s="505">
        <v>-1.4209865818034319E-2</v>
      </c>
    </row>
    <row r="10" spans="2:32">
      <c r="B10">
        <v>2025</v>
      </c>
      <c r="C10" s="439">
        <v>0.91219116253614052</v>
      </c>
      <c r="D10" s="439">
        <v>0.96990685305946533</v>
      </c>
      <c r="E10" s="439">
        <v>1.0307021966188645</v>
      </c>
      <c r="F10" s="439">
        <v>1.0941004491557993</v>
      </c>
      <c r="G10" s="439">
        <v>1.1607946413800554</v>
      </c>
      <c r="H10" s="456">
        <v>1.2307023283397824</v>
      </c>
      <c r="I10" s="180">
        <v>1.2937595753608726</v>
      </c>
      <c r="J10" s="180">
        <v>1.2937595753608722</v>
      </c>
      <c r="K10" s="180">
        <v>1.2937595753608722</v>
      </c>
      <c r="L10" s="180">
        <v>1.2937595753608724</v>
      </c>
      <c r="M10" s="180">
        <v>1.293759575360873</v>
      </c>
      <c r="N10" s="180">
        <v>1.2937595753608722</v>
      </c>
      <c r="O10" s="180">
        <v>-5.4142158768111853E-3</v>
      </c>
      <c r="P10" s="180">
        <v>-5.4142158768114334E-3</v>
      </c>
      <c r="Q10" s="180">
        <v>-5.4142158768114342E-3</v>
      </c>
      <c r="R10" s="180">
        <v>-5.414215876811442E-3</v>
      </c>
      <c r="S10" s="180">
        <v>-5.4142158768110552E-3</v>
      </c>
      <c r="T10" s="180">
        <v>-5.4142158768113978E-3</v>
      </c>
      <c r="V10">
        <v>2025</v>
      </c>
      <c r="W10" s="180">
        <v>1.1744912958401819E-2</v>
      </c>
      <c r="X10" s="180">
        <v>0.1292836132575213</v>
      </c>
      <c r="Y10" s="180">
        <v>1.2937595753608722</v>
      </c>
      <c r="Z10" s="180">
        <v>2.5646560165031822</v>
      </c>
      <c r="AA10" s="180">
        <v>5.0359457426421823</v>
      </c>
      <c r="AB10" s="180">
        <v>-1.3683077224743983E-3</v>
      </c>
      <c r="AC10" s="180">
        <v>-1.7375289035502237E-3</v>
      </c>
      <c r="AD10" s="180">
        <v>-5.4142158768114342E-3</v>
      </c>
      <c r="AE10" s="180">
        <v>-9.466455021763881E-3</v>
      </c>
      <c r="AF10" s="180">
        <v>-1.7467653252676761E-2</v>
      </c>
    </row>
    <row r="11" spans="2:32">
      <c r="B11">
        <v>2026</v>
      </c>
      <c r="C11" s="439">
        <v>0.92834198151204006</v>
      </c>
      <c r="D11" s="439">
        <v>0.99926572574190309</v>
      </c>
      <c r="E11" s="439">
        <v>1.0748919242813784</v>
      </c>
      <c r="F11" s="439">
        <v>1.1547117728375995</v>
      </c>
      <c r="G11" s="439">
        <v>1.2396852433497965</v>
      </c>
      <c r="H11" s="456">
        <v>1.329806908302128</v>
      </c>
      <c r="I11" s="180">
        <v>1.2701857419628777</v>
      </c>
      <c r="J11" s="180">
        <v>1.2701857419628777</v>
      </c>
      <c r="K11" s="180">
        <v>1.2701857419628786</v>
      </c>
      <c r="L11" s="180">
        <v>1.270185741962879</v>
      </c>
      <c r="M11" s="180">
        <v>1.2701857419628779</v>
      </c>
      <c r="N11" s="180">
        <v>1.2701857419628779</v>
      </c>
      <c r="O11" s="180">
        <v>-6.1724994337385734E-3</v>
      </c>
      <c r="P11" s="180">
        <v>-6.1724994337384442E-3</v>
      </c>
      <c r="Q11" s="180">
        <v>-6.1724994337382872E-3</v>
      </c>
      <c r="R11" s="180">
        <v>-6.1724994337384554E-3</v>
      </c>
      <c r="S11" s="180">
        <v>-6.1724994337386836E-3</v>
      </c>
      <c r="T11" s="180">
        <v>-6.1724994337388882E-3</v>
      </c>
      <c r="V11" s="222">
        <v>2026</v>
      </c>
      <c r="W11" s="505">
        <v>1.1599800163222216E-2</v>
      </c>
      <c r="X11" s="505">
        <v>0.12718407161559123</v>
      </c>
      <c r="Y11" s="505">
        <v>1.2701857419628786</v>
      </c>
      <c r="Z11" s="505">
        <v>2.5132350554687433</v>
      </c>
      <c r="AA11" s="505">
        <v>4.9171108192711479</v>
      </c>
      <c r="AB11" s="505">
        <v>-1.3068290487456896E-3</v>
      </c>
      <c r="AC11" s="505">
        <v>-1.7512841577890007E-3</v>
      </c>
      <c r="AD11" s="505">
        <v>-6.1724994337382872E-3</v>
      </c>
      <c r="AE11" s="505">
        <v>-1.1035478833353174E-2</v>
      </c>
      <c r="AF11" s="505">
        <v>-2.0606876414117851E-2</v>
      </c>
    </row>
    <row r="12" spans="2:32">
      <c r="B12">
        <v>2027</v>
      </c>
      <c r="C12" s="439">
        <v>0.94464872165727642</v>
      </c>
      <c r="D12" s="439">
        <v>1.0293715850380254</v>
      </c>
      <c r="E12" s="439">
        <v>1.1208219277252032</v>
      </c>
      <c r="F12" s="439">
        <v>1.2185131250270098</v>
      </c>
      <c r="G12" s="439">
        <v>1.3237552302566058</v>
      </c>
      <c r="H12" s="456">
        <v>1.4366942967783809</v>
      </c>
      <c r="I12" s="180">
        <v>1.2471413789323949</v>
      </c>
      <c r="J12" s="180">
        <v>1.2471413789323951</v>
      </c>
      <c r="K12" s="180">
        <v>1.2471413789323957</v>
      </c>
      <c r="L12" s="180">
        <v>1.2471413789323951</v>
      </c>
      <c r="M12" s="180">
        <v>1.2471413789323955</v>
      </c>
      <c r="N12" s="180">
        <v>1.2471413789323962</v>
      </c>
      <c r="O12" s="180">
        <v>-6.8433027770776235E-3</v>
      </c>
      <c r="P12" s="180">
        <v>-6.8433027770772132E-3</v>
      </c>
      <c r="Q12" s="180">
        <v>-6.8433027770773269E-3</v>
      </c>
      <c r="R12" s="180">
        <v>-6.8433027770775515E-3</v>
      </c>
      <c r="S12" s="180">
        <v>-6.8433027770773581E-3</v>
      </c>
      <c r="T12" s="180">
        <v>-6.8433027770769365E-3</v>
      </c>
      <c r="V12">
        <v>2027</v>
      </c>
      <c r="W12" s="180">
        <v>1.1549795531224601E-2</v>
      </c>
      <c r="X12" s="180">
        <v>0.12521316361257281</v>
      </c>
      <c r="Y12" s="180">
        <v>1.2471413789323957</v>
      </c>
      <c r="Z12" s="180">
        <v>2.462943715761829</v>
      </c>
      <c r="AA12" s="180">
        <v>4.8011881582570091</v>
      </c>
      <c r="AB12" s="180">
        <v>-1.1539551311286942E-3</v>
      </c>
      <c r="AC12" s="180">
        <v>-1.6741450140239313E-3</v>
      </c>
      <c r="AD12" s="180">
        <v>-6.8433027770773269E-3</v>
      </c>
      <c r="AE12" s="180">
        <v>-1.2517490327080778E-2</v>
      </c>
      <c r="AF12" s="180">
        <v>-2.364996761168266E-2</v>
      </c>
    </row>
    <row r="13" spans="2:32">
      <c r="B13">
        <v>2028</v>
      </c>
      <c r="C13" s="439">
        <v>0.96114114441960519</v>
      </c>
      <c r="D13" s="439">
        <v>1.0602733289483908</v>
      </c>
      <c r="E13" s="439">
        <v>1.1685920159594951</v>
      </c>
      <c r="F13" s="439">
        <v>1.2857049215498941</v>
      </c>
      <c r="G13" s="439">
        <v>1.4133783142525929</v>
      </c>
      <c r="H13" s="456">
        <v>1.5520104023706358</v>
      </c>
      <c r="I13" s="180">
        <v>1.2246482046468381</v>
      </c>
      <c r="J13" s="180">
        <v>1.2246482046468383</v>
      </c>
      <c r="K13" s="180">
        <v>1.2246482046468388</v>
      </c>
      <c r="L13" s="180">
        <v>1.2246482046468392</v>
      </c>
      <c r="M13" s="180">
        <v>1.2246482046468379</v>
      </c>
      <c r="N13" s="180">
        <v>1.2246482046468383</v>
      </c>
      <c r="O13" s="180">
        <v>-7.4112394045248008E-3</v>
      </c>
      <c r="P13" s="180">
        <v>-7.4112394045247089E-3</v>
      </c>
      <c r="Q13" s="180">
        <v>-7.4112394045248824E-3</v>
      </c>
      <c r="R13" s="180">
        <v>-7.4112394045249708E-3</v>
      </c>
      <c r="S13" s="180">
        <v>-7.4112394045249518E-3</v>
      </c>
      <c r="T13" s="180">
        <v>-7.411239404524937E-3</v>
      </c>
      <c r="V13" s="222">
        <v>2028</v>
      </c>
      <c r="W13" s="505">
        <v>1.161066666594898E-2</v>
      </c>
      <c r="X13" s="505">
        <v>0.12338756266356761</v>
      </c>
      <c r="Y13" s="505">
        <v>1.2246482046468388</v>
      </c>
      <c r="Z13" s="505">
        <v>2.4137981468938832</v>
      </c>
      <c r="AA13" s="505">
        <v>4.6881226199742629</v>
      </c>
      <c r="AB13" s="505">
        <v>-8.940258625202449E-4</v>
      </c>
      <c r="AC13" s="505">
        <v>-1.4904774464520483E-3</v>
      </c>
      <c r="AD13" s="505">
        <v>-7.4112394045248824E-3</v>
      </c>
      <c r="AE13" s="505">
        <v>-1.3897365272383016E-2</v>
      </c>
      <c r="AF13" s="505">
        <v>-2.6582379402715166E-2</v>
      </c>
    </row>
    <row r="14" spans="2:32">
      <c r="B14">
        <v>2029</v>
      </c>
      <c r="C14" s="439">
        <v>0.97783475811918497</v>
      </c>
      <c r="D14" s="439">
        <v>1.0920058682084042</v>
      </c>
      <c r="E14" s="439">
        <v>1.2182900150509424</v>
      </c>
      <c r="F14" s="439">
        <v>1.3564815004778354</v>
      </c>
      <c r="G14" s="439">
        <v>1.5089353473359517</v>
      </c>
      <c r="H14" s="456">
        <v>1.6764336204720827</v>
      </c>
      <c r="I14" s="180">
        <v>1.202705837278025</v>
      </c>
      <c r="J14" s="180">
        <v>1.2027058372780253</v>
      </c>
      <c r="K14" s="180">
        <v>1.2027058372780246</v>
      </c>
      <c r="L14" s="180">
        <v>1.2027058372780264</v>
      </c>
      <c r="M14" s="180">
        <v>1.2027058372780264</v>
      </c>
      <c r="N14" s="180">
        <v>1.2027058372780244</v>
      </c>
      <c r="O14" s="180">
        <v>-7.8796453983102002E-3</v>
      </c>
      <c r="P14" s="180">
        <v>-7.8796453983101047E-3</v>
      </c>
      <c r="Q14" s="180">
        <v>-7.8796453983104413E-3</v>
      </c>
      <c r="R14" s="180">
        <v>-7.8796453983099712E-3</v>
      </c>
      <c r="S14" s="180">
        <v>-7.8796453983099E-3</v>
      </c>
      <c r="T14" s="180">
        <v>-7.8796453983103025E-3</v>
      </c>
      <c r="V14">
        <v>2029</v>
      </c>
      <c r="W14" s="180">
        <v>1.1779330785398572E-2</v>
      </c>
      <c r="X14" s="180">
        <v>0.12170471189823988</v>
      </c>
      <c r="Y14" s="180">
        <v>1.2027058372780246</v>
      </c>
      <c r="Z14" s="180">
        <v>2.3657917466563472</v>
      </c>
      <c r="AA14" s="180">
        <v>4.577847128401821</v>
      </c>
      <c r="AB14" s="180">
        <v>-5.3018755439662398E-4</v>
      </c>
      <c r="AC14" s="180">
        <v>-1.2034462742818595E-3</v>
      </c>
      <c r="AD14" s="180">
        <v>-7.8796453983104413E-3</v>
      </c>
      <c r="AE14" s="180">
        <v>-1.5178616312168972E-2</v>
      </c>
      <c r="AF14" s="180">
        <v>-2.9408026983705825E-2</v>
      </c>
    </row>
    <row r="15" spans="2:32">
      <c r="B15">
        <v>2030</v>
      </c>
      <c r="C15" s="439">
        <v>0.99472924421301367</v>
      </c>
      <c r="D15" s="439">
        <v>1.1245874200916881</v>
      </c>
      <c r="E15" s="439">
        <v>1.2699878569060492</v>
      </c>
      <c r="F15" s="439">
        <v>1.4310261101378203</v>
      </c>
      <c r="G15" s="439">
        <v>1.6108086547886094</v>
      </c>
      <c r="H15" s="456">
        <v>1.8106695981377436</v>
      </c>
      <c r="I15" s="180">
        <v>1.1812934389432947</v>
      </c>
      <c r="J15" s="180">
        <v>1.181293438943295</v>
      </c>
      <c r="K15" s="180">
        <v>1.1812934389432954</v>
      </c>
      <c r="L15" s="180">
        <v>1.1812934389432961</v>
      </c>
      <c r="M15" s="180">
        <v>1.1812934389432947</v>
      </c>
      <c r="N15" s="180">
        <v>1.181293438943295</v>
      </c>
      <c r="O15" s="180">
        <v>-8.2695975293065604E-3</v>
      </c>
      <c r="P15" s="180">
        <v>-8.2695975293065015E-3</v>
      </c>
      <c r="Q15" s="180">
        <v>-8.2695975293065882E-3</v>
      </c>
      <c r="R15" s="180">
        <v>-8.2695975293066402E-3</v>
      </c>
      <c r="S15" s="180">
        <v>-8.2695975293066073E-3</v>
      </c>
      <c r="T15" s="180">
        <v>-8.2695975293067669E-3</v>
      </c>
      <c r="V15" s="222">
        <v>2030</v>
      </c>
      <c r="W15" s="505">
        <v>1.2034775941705638E-2</v>
      </c>
      <c r="X15" s="505">
        <v>0.12014383735289313</v>
      </c>
      <c r="Y15" s="505">
        <v>1.1812934389432954</v>
      </c>
      <c r="Z15" s="505">
        <v>2.3188968279675</v>
      </c>
      <c r="AA15" s="505">
        <v>4.4702825636106258</v>
      </c>
      <c r="AB15" s="505">
        <v>-8.3481515881048826E-5</v>
      </c>
      <c r="AC15" s="505">
        <v>-8.3409724070548637E-4</v>
      </c>
      <c r="AD15" s="505">
        <v>-8.2695975293065882E-3</v>
      </c>
      <c r="AE15" s="505">
        <v>-1.6382342136982475E-2</v>
      </c>
      <c r="AF15" s="505">
        <v>-3.2148106014039189E-2</v>
      </c>
    </row>
    <row r="16" spans="2:32">
      <c r="B16">
        <v>2040</v>
      </c>
      <c r="C16" s="439">
        <v>-1.0392621413414238E-2</v>
      </c>
      <c r="D16" s="439">
        <v>-1.3283171412298955E-2</v>
      </c>
      <c r="E16" s="439">
        <v>-1.6940041570079112E-2</v>
      </c>
      <c r="F16" s="439">
        <v>-2.1508516183962101E-2</v>
      </c>
      <c r="G16" s="439">
        <v>-2.7252305178171898E-2</v>
      </c>
      <c r="H16" s="456">
        <v>-3.4434497855031054E-2</v>
      </c>
      <c r="I16" s="180">
        <v>-9.2725227510086668E-3</v>
      </c>
      <c r="J16" s="180">
        <v>-9.2725227510085557E-3</v>
      </c>
      <c r="K16" s="180">
        <v>-9.2725227510083615E-3</v>
      </c>
      <c r="L16" s="180">
        <v>-9.2725227510084378E-3</v>
      </c>
      <c r="M16" s="180">
        <v>-9.2725227510084812E-3</v>
      </c>
      <c r="N16" s="180">
        <v>-9.2725227510084603E-3</v>
      </c>
      <c r="O16" s="180">
        <v>-9.2725227510086668E-3</v>
      </c>
      <c r="P16" s="180">
        <v>-9.2725227510085557E-3</v>
      </c>
      <c r="Q16" s="180">
        <v>-9.2725227510083615E-3</v>
      </c>
      <c r="R16" s="180">
        <v>-9.2725227510084378E-3</v>
      </c>
      <c r="S16" s="180">
        <v>-9.2725227510084812E-3</v>
      </c>
      <c r="T16" s="180">
        <v>-9.2725227510084603E-3</v>
      </c>
      <c r="V16">
        <v>2040</v>
      </c>
      <c r="W16" s="180">
        <v>-9.3703967629142266E-5</v>
      </c>
      <c r="X16" s="180">
        <v>-9.3614457733123748E-4</v>
      </c>
      <c r="Y16" s="180">
        <v>-9.2725227510083615E-3</v>
      </c>
      <c r="Z16" s="180">
        <v>-1.834991129531215E-2</v>
      </c>
      <c r="AA16" s="180">
        <v>-3.5934503028833574E-2</v>
      </c>
      <c r="AB16" s="180">
        <v>-9.3703967629142266E-5</v>
      </c>
      <c r="AC16" s="180">
        <v>-9.3614457733123748E-4</v>
      </c>
      <c r="AD16" s="180">
        <v>-9.2725227510083615E-3</v>
      </c>
      <c r="AE16" s="180">
        <v>-1.834991129531215E-2</v>
      </c>
      <c r="AF16" s="180">
        <v>-3.5934503028833574E-2</v>
      </c>
    </row>
    <row r="17" spans="2:32">
      <c r="B17">
        <v>2050</v>
      </c>
      <c r="C17" s="439">
        <v>-1.2877534697437909E-2</v>
      </c>
      <c r="D17" s="439">
        <v>-1.8607915870734182E-2</v>
      </c>
      <c r="E17" s="439">
        <v>-2.6798888140091126E-2</v>
      </c>
      <c r="F17" s="439">
        <v>-3.8340762374946102E-2</v>
      </c>
      <c r="G17" s="439">
        <v>-5.4682697953590598E-2</v>
      </c>
      <c r="H17" s="456">
        <v>-7.7666851467879994E-2</v>
      </c>
      <c r="I17" s="180">
        <v>-9.3489629739632353E-3</v>
      </c>
      <c r="J17" s="180">
        <v>-9.3489629739633099E-3</v>
      </c>
      <c r="K17" s="180">
        <v>-9.3489629739634036E-3</v>
      </c>
      <c r="L17" s="180">
        <v>-9.3489629739634504E-3</v>
      </c>
      <c r="M17" s="180">
        <v>-9.3489629739635424E-3</v>
      </c>
      <c r="N17" s="180">
        <v>-9.348962973963584E-3</v>
      </c>
      <c r="O17" s="180">
        <v>-9.3489629739632353E-3</v>
      </c>
      <c r="P17" s="180">
        <v>-9.3489629739633099E-3</v>
      </c>
      <c r="Q17" s="180">
        <v>-9.3489629739634036E-3</v>
      </c>
      <c r="R17" s="180">
        <v>-9.3489629739634504E-3</v>
      </c>
      <c r="S17" s="180">
        <v>-9.3489629739635424E-3</v>
      </c>
      <c r="T17" s="180">
        <v>-9.348962973963584E-3</v>
      </c>
      <c r="V17" s="222">
        <v>2050</v>
      </c>
      <c r="W17" s="505">
        <v>-9.4476438333477555E-5</v>
      </c>
      <c r="X17" s="505">
        <v>-9.4386190541279557E-4</v>
      </c>
      <c r="Y17" s="505">
        <v>-9.3489629739634036E-3</v>
      </c>
      <c r="Z17" s="505">
        <v>-1.8501183106477682E-2</v>
      </c>
      <c r="AA17" s="505">
        <v>-3.6230737559291015E-2</v>
      </c>
      <c r="AB17" s="505">
        <v>-9.4476438333477555E-5</v>
      </c>
      <c r="AC17" s="505">
        <v>-9.4386190541279557E-4</v>
      </c>
      <c r="AD17" s="505">
        <v>-9.3489629739634036E-3</v>
      </c>
      <c r="AE17" s="505">
        <v>-1.8501183106477682E-2</v>
      </c>
      <c r="AF17" s="505">
        <v>-3.6230737559291015E-2</v>
      </c>
    </row>
    <row r="18" spans="2:32">
      <c r="B18">
        <v>2060</v>
      </c>
      <c r="C18" s="439">
        <v>-1.4793031304036086E-2</v>
      </c>
      <c r="D18" s="439">
        <v>-2.416631969687888E-2</v>
      </c>
      <c r="E18" s="439">
        <v>-3.9303923506822436E-2</v>
      </c>
      <c r="F18" s="439">
        <v>-6.3361852126999629E-2</v>
      </c>
      <c r="G18" s="439">
        <v>-0.1017216625463746</v>
      </c>
      <c r="H18" s="456">
        <v>-0.16240315831470298</v>
      </c>
      <c r="I18" s="180">
        <v>-9.3272527646868428E-3</v>
      </c>
      <c r="J18" s="180">
        <v>-9.3272527646872209E-3</v>
      </c>
      <c r="K18" s="180">
        <v>-9.327252764686678E-3</v>
      </c>
      <c r="L18" s="180">
        <v>-9.327252764687018E-3</v>
      </c>
      <c r="M18" s="180">
        <v>-9.3272527646869677E-3</v>
      </c>
      <c r="N18" s="180">
        <v>-9.3272527646872036E-3</v>
      </c>
      <c r="O18" s="180">
        <v>-9.3272527646868428E-3</v>
      </c>
      <c r="P18" s="180">
        <v>-9.3272527646872209E-3</v>
      </c>
      <c r="Q18" s="180">
        <v>-9.327252764686678E-3</v>
      </c>
      <c r="R18" s="180">
        <v>-9.327252764687018E-3</v>
      </c>
      <c r="S18" s="180">
        <v>-9.3272527646869677E-3</v>
      </c>
      <c r="T18" s="180">
        <v>-9.3272527646872036E-3</v>
      </c>
      <c r="V18">
        <v>2060</v>
      </c>
      <c r="W18" s="180">
        <v>-9.4257044668623064E-5</v>
      </c>
      <c r="X18" s="180">
        <v>-9.4167006450442668E-4</v>
      </c>
      <c r="Y18" s="180">
        <v>-9.327252764686678E-3</v>
      </c>
      <c r="Z18" s="180">
        <v>-1.8458219565149685E-2</v>
      </c>
      <c r="AA18" s="180">
        <v>-3.6146602356612018E-2</v>
      </c>
      <c r="AB18" s="180">
        <v>-9.4257044668623064E-5</v>
      </c>
      <c r="AC18" s="180">
        <v>-9.4167006450442668E-4</v>
      </c>
      <c r="AD18" s="180">
        <v>-9.327252764686678E-3</v>
      </c>
      <c r="AE18" s="180">
        <v>-1.8458219565149685E-2</v>
      </c>
      <c r="AF18" s="180">
        <v>-3.6146602356612018E-2</v>
      </c>
    </row>
    <row r="19" spans="2:32">
      <c r="B19">
        <v>2070</v>
      </c>
      <c r="C19" s="439">
        <v>-1.6057299630782618E-2</v>
      </c>
      <c r="D19" s="439">
        <v>-2.9656110189499429E-2</v>
      </c>
      <c r="E19" s="439">
        <v>-5.446856371176878E-2</v>
      </c>
      <c r="F19" s="439">
        <v>-9.8943181425658722E-2</v>
      </c>
      <c r="G19" s="439">
        <v>-0.17880013946297879</v>
      </c>
      <c r="H19" s="456">
        <v>-0.32088109402014453</v>
      </c>
      <c r="I19" s="180">
        <v>-9.222702932862788E-3</v>
      </c>
      <c r="J19" s="180">
        <v>-9.2227029328630326E-3</v>
      </c>
      <c r="K19" s="180">
        <v>-9.2227029328626146E-3</v>
      </c>
      <c r="L19" s="180">
        <v>-9.2227029328627065E-3</v>
      </c>
      <c r="M19" s="180">
        <v>-9.2227029328627447E-3</v>
      </c>
      <c r="N19" s="180">
        <v>-9.2227029328629667E-3</v>
      </c>
      <c r="O19" s="180">
        <v>-9.222702932862788E-3</v>
      </c>
      <c r="P19" s="180">
        <v>-9.2227029328630326E-3</v>
      </c>
      <c r="Q19" s="180">
        <v>-9.2227029328626146E-3</v>
      </c>
      <c r="R19" s="180">
        <v>-9.2227029328627065E-3</v>
      </c>
      <c r="S19" s="180">
        <v>-9.2227029328627447E-3</v>
      </c>
      <c r="T19" s="180">
        <v>-9.2227029328629667E-3</v>
      </c>
      <c r="V19" s="222">
        <v>2070</v>
      </c>
      <c r="W19" s="505">
        <v>-9.320051082995386E-5</v>
      </c>
      <c r="X19" s="505">
        <v>-9.3111481856407051E-4</v>
      </c>
      <c r="Y19" s="505">
        <v>-9.2227029328626146E-3</v>
      </c>
      <c r="Z19" s="505">
        <v>-1.8251320084670845E-2</v>
      </c>
      <c r="AA19" s="505">
        <v>-3.5741432550159893E-2</v>
      </c>
      <c r="AB19" s="505">
        <v>-9.320051082995386E-5</v>
      </c>
      <c r="AC19" s="505">
        <v>-9.3111481856407051E-4</v>
      </c>
      <c r="AD19" s="505">
        <v>-9.2227029328626146E-3</v>
      </c>
      <c r="AE19" s="505">
        <v>-1.8251320084670845E-2</v>
      </c>
      <c r="AF19" s="505">
        <v>-3.5741432550159893E-2</v>
      </c>
    </row>
    <row r="20" spans="2:32">
      <c r="B20">
        <v>2080</v>
      </c>
      <c r="C20" s="439">
        <v>-1.6452944265085367E-2</v>
      </c>
      <c r="D20" s="439">
        <v>-3.4353709337871408E-2</v>
      </c>
      <c r="E20" s="439">
        <v>-7.1254405499789897E-2</v>
      </c>
      <c r="F20" s="439">
        <v>-0.1458477244390135</v>
      </c>
      <c r="G20" s="439">
        <v>-0.2966730091386296</v>
      </c>
      <c r="H20" s="456">
        <v>-0.59847989896212539</v>
      </c>
      <c r="I20" s="180">
        <v>-9.0353230406676477E-3</v>
      </c>
      <c r="J20" s="180">
        <v>-9.0353230406675887E-3</v>
      </c>
      <c r="K20" s="180">
        <v>-9.0353230406673788E-3</v>
      </c>
      <c r="L20" s="180">
        <v>-9.0353230406676442E-3</v>
      </c>
      <c r="M20" s="180">
        <v>-9.0353230406677015E-3</v>
      </c>
      <c r="N20" s="180">
        <v>-9.0353230406676355E-3</v>
      </c>
      <c r="O20" s="180">
        <v>-9.0353230406676477E-3</v>
      </c>
      <c r="P20" s="180">
        <v>-9.0353230406675887E-3</v>
      </c>
      <c r="Q20" s="180">
        <v>-9.0353230406673788E-3</v>
      </c>
      <c r="R20" s="180">
        <v>-9.0353230406676442E-3</v>
      </c>
      <c r="S20" s="180">
        <v>-9.0353230406677015E-3</v>
      </c>
      <c r="T20" s="180">
        <v>-9.0353230406676355E-3</v>
      </c>
      <c r="V20">
        <v>2080</v>
      </c>
      <c r="W20" s="180">
        <v>-9.1306933448065069E-5</v>
      </c>
      <c r="X20" s="180">
        <v>-9.1219713297956172E-4</v>
      </c>
      <c r="Y20" s="180">
        <v>-9.0353230406673788E-3</v>
      </c>
      <c r="Z20" s="180">
        <v>-1.7880503588164186E-2</v>
      </c>
      <c r="AA20" s="180">
        <v>-3.5015265196955386E-2</v>
      </c>
      <c r="AB20" s="180">
        <v>-9.1306933448065069E-5</v>
      </c>
      <c r="AC20" s="180">
        <v>-9.1219713297956172E-4</v>
      </c>
      <c r="AD20" s="180">
        <v>-9.0353230406673788E-3</v>
      </c>
      <c r="AE20" s="180">
        <v>-1.7880503588164186E-2</v>
      </c>
      <c r="AF20" s="180">
        <v>-3.5015265196955386E-2</v>
      </c>
    </row>
    <row r="21" spans="2:32">
      <c r="B21">
        <v>2090</v>
      </c>
      <c r="C21" s="439">
        <v>-1.5946200709972214E-2</v>
      </c>
      <c r="D21" s="439">
        <v>-3.764224971837038E-2</v>
      </c>
      <c r="E21" s="439">
        <v>-8.8169829906988184E-2</v>
      </c>
      <c r="F21" s="439">
        <v>-0.20335550281960479</v>
      </c>
      <c r="G21" s="439">
        <v>-0.46561901162263553</v>
      </c>
      <c r="H21" s="456">
        <v>-1.0558384942620478</v>
      </c>
      <c r="I21" s="180">
        <v>-8.7610990772064076E-3</v>
      </c>
      <c r="J21" s="180">
        <v>-8.7610990772067736E-3</v>
      </c>
      <c r="K21" s="180">
        <v>-8.7610990772067389E-3</v>
      </c>
      <c r="L21" s="180">
        <v>-8.7610990772064579E-3</v>
      </c>
      <c r="M21" s="180">
        <v>-8.7610990772065966E-3</v>
      </c>
      <c r="N21" s="180">
        <v>-8.7610990772063486E-3</v>
      </c>
      <c r="O21" s="180">
        <v>-8.7610990772064076E-3</v>
      </c>
      <c r="P21" s="180">
        <v>-8.7610990772067736E-3</v>
      </c>
      <c r="Q21" s="180">
        <v>-8.7610990772067389E-3</v>
      </c>
      <c r="R21" s="180">
        <v>-8.7610990772064579E-3</v>
      </c>
      <c r="S21" s="180">
        <v>-8.7610990772065966E-3</v>
      </c>
      <c r="T21" s="180">
        <v>-8.7610990772063486E-3</v>
      </c>
      <c r="V21" s="222">
        <v>2090</v>
      </c>
      <c r="W21" s="505">
        <v>-8.8535748724796225E-5</v>
      </c>
      <c r="X21" s="505">
        <v>-8.8451175724527618E-4</v>
      </c>
      <c r="Y21" s="505">
        <v>-8.7610990772067389E-3</v>
      </c>
      <c r="Z21" s="505">
        <v>-1.7337826526087462E-2</v>
      </c>
      <c r="AA21" s="505">
        <v>-3.3952544499451634E-2</v>
      </c>
      <c r="AB21" s="505">
        <v>-8.8535748724796225E-5</v>
      </c>
      <c r="AC21" s="505">
        <v>-8.8451175724527618E-4</v>
      </c>
      <c r="AD21" s="505">
        <v>-8.7610990772067389E-3</v>
      </c>
      <c r="AE21" s="505">
        <v>-1.7337826526087462E-2</v>
      </c>
      <c r="AF21" s="505">
        <v>-3.3952544499451634E-2</v>
      </c>
    </row>
    <row r="22" spans="2:32">
      <c r="B22">
        <v>2100</v>
      </c>
      <c r="C22" s="439">
        <v>-1.5143452549511549E-2</v>
      </c>
      <c r="D22" s="439">
        <v>-4.041397621010212E-2</v>
      </c>
      <c r="E22" s="439">
        <v>-0.10690114584693688</v>
      </c>
      <c r="F22" s="439">
        <v>-0.27782177118923101</v>
      </c>
      <c r="G22" s="439">
        <v>-0.7160402704478912</v>
      </c>
      <c r="H22" s="456">
        <v>-1.8251538978980761</v>
      </c>
      <c r="I22" s="180">
        <v>-8.411562727437252E-3</v>
      </c>
      <c r="J22" s="180">
        <v>-8.4115627274370906E-3</v>
      </c>
      <c r="K22" s="180">
        <v>-8.4115627274372936E-3</v>
      </c>
      <c r="L22" s="180">
        <v>-8.4115627274370733E-3</v>
      </c>
      <c r="M22" s="180">
        <v>-8.4115627274371236E-3</v>
      </c>
      <c r="N22" s="180">
        <v>-8.4115627274368287E-3</v>
      </c>
      <c r="O22" s="180">
        <v>-8.411562727437252E-3</v>
      </c>
      <c r="P22" s="180">
        <v>-8.4115627274370906E-3</v>
      </c>
      <c r="Q22" s="180">
        <v>-8.4115627274372936E-3</v>
      </c>
      <c r="R22" s="180">
        <v>-8.4115627274370733E-3</v>
      </c>
      <c r="S22" s="180">
        <v>-8.4115627274371236E-3</v>
      </c>
      <c r="T22" s="180">
        <v>-8.4115627274368287E-3</v>
      </c>
      <c r="V22" s="223">
        <v>2100</v>
      </c>
      <c r="W22" s="506">
        <v>-8.5003490710271488E-5</v>
      </c>
      <c r="X22" s="506">
        <v>-8.4922291868390007E-4</v>
      </c>
      <c r="Y22" s="506">
        <v>-8.4115627274372936E-3</v>
      </c>
      <c r="Z22" s="506">
        <v>-1.664610959154993E-2</v>
      </c>
      <c r="AA22" s="506">
        <v>-3.259796006145603E-2</v>
      </c>
      <c r="AB22" s="506">
        <v>-8.5003490710271488E-5</v>
      </c>
      <c r="AC22" s="506">
        <v>-8.4922291868390007E-4</v>
      </c>
      <c r="AD22" s="506">
        <v>-8.4115627274372936E-3</v>
      </c>
      <c r="AE22" s="506">
        <v>-1.664610959154993E-2</v>
      </c>
      <c r="AF22" s="506">
        <v>-3.259796006145603E-2</v>
      </c>
    </row>
    <row r="23" spans="2:32">
      <c r="B23" t="s">
        <v>349</v>
      </c>
      <c r="C23" s="439">
        <f t="shared" ref="C23:H23" si="0">SUM(C5:C22)</f>
        <v>9.9404093494317092</v>
      </c>
      <c r="D23" s="439">
        <f t="shared" si="0"/>
        <v>10.510522547715867</v>
      </c>
      <c r="E23" s="439">
        <f t="shared" si="0"/>
        <v>11.025850423892976</v>
      </c>
      <c r="F23" s="439">
        <f t="shared" si="0"/>
        <v>11.353019787109353</v>
      </c>
      <c r="G23" s="439">
        <f t="shared" si="0"/>
        <v>11.196708576171769</v>
      </c>
      <c r="H23" s="439">
        <f t="shared" si="0"/>
        <v>9.8629919207119894</v>
      </c>
    </row>
    <row r="25" spans="2:32">
      <c r="B25" s="450"/>
      <c r="C25" s="574" t="s">
        <v>338</v>
      </c>
      <c r="D25" s="574"/>
      <c r="E25" s="574"/>
      <c r="F25" s="574"/>
      <c r="G25" s="574"/>
      <c r="H25" s="574"/>
      <c r="I25" s="574"/>
      <c r="J25" s="574"/>
      <c r="K25" s="574"/>
      <c r="L25" s="574"/>
      <c r="M25" s="574"/>
      <c r="N25" s="574"/>
      <c r="O25" s="574"/>
      <c r="P25" s="574"/>
      <c r="V25" s="321"/>
      <c r="W25" s="627" t="s">
        <v>339</v>
      </c>
      <c r="X25" s="627"/>
      <c r="Y25" s="627"/>
      <c r="Z25" s="627"/>
      <c r="AA25" s="627"/>
      <c r="AB25" s="627"/>
      <c r="AC25" s="627"/>
      <c r="AD25" s="627"/>
      <c r="AE25" s="627"/>
      <c r="AF25" s="627"/>
    </row>
    <row r="26" spans="2:32">
      <c r="B26" s="387" t="s">
        <v>202</v>
      </c>
      <c r="C26" s="486" t="s">
        <v>340</v>
      </c>
      <c r="D26" s="487"/>
      <c r="E26" s="487"/>
      <c r="F26" s="487"/>
      <c r="G26" s="487"/>
      <c r="H26" s="487"/>
      <c r="I26" s="487" t="s">
        <v>328</v>
      </c>
      <c r="J26" s="487"/>
      <c r="K26" s="487"/>
      <c r="L26" s="487"/>
      <c r="M26" s="487"/>
      <c r="N26" s="487"/>
      <c r="O26" s="488" t="s">
        <v>341</v>
      </c>
      <c r="P26" s="489"/>
      <c r="Q26" s="489"/>
      <c r="R26" s="489"/>
      <c r="S26" s="489"/>
      <c r="T26" s="489"/>
      <c r="U26" s="1"/>
      <c r="V26" s="497" t="s">
        <v>202</v>
      </c>
      <c r="W26" s="623" t="s">
        <v>328</v>
      </c>
      <c r="X26" s="624"/>
      <c r="Y26" s="624"/>
      <c r="Z26" s="624"/>
      <c r="AA26" s="625"/>
      <c r="AB26" s="623" t="s">
        <v>343</v>
      </c>
      <c r="AC26" s="624"/>
      <c r="AD26" s="624"/>
      <c r="AE26" s="624"/>
      <c r="AF26" s="625"/>
    </row>
    <row r="27" spans="2:32">
      <c r="B27" s="375" t="s">
        <v>87</v>
      </c>
      <c r="C27" s="478">
        <v>1.2500000000000001E-2</v>
      </c>
      <c r="D27" s="478">
        <v>2.5000000000000001E-2</v>
      </c>
      <c r="E27" s="478">
        <v>3.7499999999999999E-2</v>
      </c>
      <c r="F27" s="479">
        <v>0.05</v>
      </c>
      <c r="G27" s="478">
        <v>6.25E-2</v>
      </c>
      <c r="H27" s="478">
        <v>7.4999999999999997E-2</v>
      </c>
      <c r="I27" s="478">
        <v>1.2500000000000001E-2</v>
      </c>
      <c r="J27" s="478">
        <v>2.5000000000000001E-2</v>
      </c>
      <c r="K27" s="478">
        <v>3.7499999999999999E-2</v>
      </c>
      <c r="L27" s="479">
        <v>0.05</v>
      </c>
      <c r="M27" s="478">
        <v>6.25E-2</v>
      </c>
      <c r="N27" s="478">
        <v>7.4999999999999997E-2</v>
      </c>
      <c r="O27" s="478">
        <v>1.2500000000000001E-2</v>
      </c>
      <c r="P27" s="478">
        <v>2.5000000000000001E-2</v>
      </c>
      <c r="Q27" s="478">
        <v>3.7499999999999999E-2</v>
      </c>
      <c r="R27" s="479">
        <v>0.05</v>
      </c>
      <c r="S27" s="478">
        <v>6.25E-2</v>
      </c>
      <c r="T27" s="490">
        <v>7.4999999999999997E-2</v>
      </c>
      <c r="U27" s="491"/>
      <c r="V27" s="498" t="s">
        <v>87</v>
      </c>
      <c r="W27" s="493">
        <v>5.0000000000000002E-5</v>
      </c>
      <c r="X27" s="494">
        <v>5.0000000000000001E-4</v>
      </c>
      <c r="Y27" s="494">
        <v>5.0000000000000001E-3</v>
      </c>
      <c r="Z27" s="494">
        <v>0.01</v>
      </c>
      <c r="AA27" s="496">
        <v>0.02</v>
      </c>
      <c r="AB27" s="493">
        <v>5.0000000000000002E-5</v>
      </c>
      <c r="AC27" s="494">
        <v>5.0000000000000001E-4</v>
      </c>
      <c r="AD27" s="494">
        <v>5.0000000000000001E-3</v>
      </c>
      <c r="AE27" s="494">
        <v>0.01</v>
      </c>
      <c r="AF27" s="494">
        <v>0.02</v>
      </c>
    </row>
    <row r="28" spans="2:32">
      <c r="B28">
        <v>2020</v>
      </c>
      <c r="C28" s="439">
        <v>0.83325332336381885</v>
      </c>
      <c r="D28" s="439">
        <v>0.83325332336381885</v>
      </c>
      <c r="E28" s="439">
        <v>0.83325332336381885</v>
      </c>
      <c r="F28" s="439">
        <v>0.83325332336381885</v>
      </c>
      <c r="G28" s="439">
        <v>0.83325332336381885</v>
      </c>
      <c r="H28" s="456">
        <v>0.83325332336381885</v>
      </c>
      <c r="I28" s="180">
        <v>1.4193016678564021</v>
      </c>
      <c r="J28" s="180">
        <v>1.4193016678564021</v>
      </c>
      <c r="K28" s="180">
        <v>1.4193016678564021</v>
      </c>
      <c r="L28" s="180">
        <v>1.4193016678564021</v>
      </c>
      <c r="M28" s="180">
        <v>1.4193016678564021</v>
      </c>
      <c r="N28" s="180">
        <v>1.4193016678564021</v>
      </c>
      <c r="O28" s="180">
        <v>0</v>
      </c>
      <c r="P28" s="180">
        <v>0</v>
      </c>
      <c r="Q28" s="180">
        <v>0</v>
      </c>
      <c r="R28" s="180">
        <v>0</v>
      </c>
      <c r="S28" s="180">
        <v>0</v>
      </c>
      <c r="T28" s="180">
        <v>0</v>
      </c>
      <c r="V28">
        <v>2020</v>
      </c>
      <c r="W28" s="180">
        <v>1.4193016678563939E-2</v>
      </c>
      <c r="X28" s="180">
        <v>0.14193016678564013</v>
      </c>
      <c r="Y28" s="180">
        <v>1.4193016678564021</v>
      </c>
      <c r="Z28" s="180">
        <v>2.8386033357128033</v>
      </c>
      <c r="AA28" s="180">
        <v>5.6772066714256075</v>
      </c>
      <c r="AB28" s="180">
        <v>0</v>
      </c>
      <c r="AC28" s="180">
        <v>0</v>
      </c>
      <c r="AD28" s="180">
        <v>0</v>
      </c>
      <c r="AE28" s="180">
        <v>0</v>
      </c>
      <c r="AF28" s="180">
        <v>0</v>
      </c>
    </row>
    <row r="29" spans="2:32">
      <c r="B29">
        <v>2021</v>
      </c>
      <c r="C29" s="439">
        <v>0.85048576568551715</v>
      </c>
      <c r="D29" s="439">
        <v>0.8609855899532397</v>
      </c>
      <c r="E29" s="439">
        <v>0.8715183136703345</v>
      </c>
      <c r="F29" s="439">
        <v>0.88198523848868482</v>
      </c>
      <c r="G29" s="439">
        <v>0.89248506275640693</v>
      </c>
      <c r="H29" s="456">
        <v>0.90298488702412916</v>
      </c>
      <c r="I29" s="180">
        <v>1.3904260286310095</v>
      </c>
      <c r="J29" s="180">
        <v>1.3904260286310097</v>
      </c>
      <c r="K29" s="180">
        <v>1.3904260286310097</v>
      </c>
      <c r="L29" s="180">
        <v>1.3904260286310104</v>
      </c>
      <c r="M29" s="180">
        <v>1.3904260286310095</v>
      </c>
      <c r="N29" s="180">
        <v>1.3904260286310091</v>
      </c>
      <c r="O29" s="180">
        <v>-1.4556890351690151E-3</v>
      </c>
      <c r="P29" s="180">
        <v>-1.4556890351689819E-3</v>
      </c>
      <c r="Q29" s="180">
        <v>-1.4556890351688284E-3</v>
      </c>
      <c r="R29" s="180">
        <v>-1.455689035168568E-3</v>
      </c>
      <c r="S29" s="180">
        <v>-1.4556890351690597E-3</v>
      </c>
      <c r="T29" s="180">
        <v>-1.4556890351693692E-3</v>
      </c>
      <c r="V29">
        <v>2021</v>
      </c>
      <c r="W29" s="180">
        <v>1.32933335233489E-2</v>
      </c>
      <c r="X29" s="180">
        <v>0.13870466882398302</v>
      </c>
      <c r="Y29" s="180">
        <v>1.3904260286310097</v>
      </c>
      <c r="Z29" s="180">
        <v>2.7761305938278804</v>
      </c>
      <c r="AA29" s="180">
        <v>5.5314697722312296</v>
      </c>
      <c r="AB29" s="180">
        <v>-6.52062318220952E-4</v>
      </c>
      <c r="AC29" s="180">
        <v>-7.2511929248876366E-4</v>
      </c>
      <c r="AD29" s="180">
        <v>-1.4556890351688284E-3</v>
      </c>
      <c r="AE29" s="180">
        <v>-2.2674331937029618E-3</v>
      </c>
      <c r="AF29" s="180">
        <v>-3.890921510770343E-3</v>
      </c>
    </row>
    <row r="30" spans="2:32">
      <c r="B30">
        <v>2022</v>
      </c>
      <c r="C30" s="439">
        <v>0.86792830144489952</v>
      </c>
      <c r="D30" s="439">
        <v>0.8894909158536054</v>
      </c>
      <c r="E30" s="439">
        <v>0.91138690986367366</v>
      </c>
      <c r="F30" s="439">
        <v>0.93340986053882213</v>
      </c>
      <c r="G30" s="439">
        <v>0.95576619081533321</v>
      </c>
      <c r="H30" s="456">
        <v>0.9783870930477786</v>
      </c>
      <c r="I30" s="180">
        <v>1.3623358942384882</v>
      </c>
      <c r="J30" s="180">
        <v>1.362335894238488</v>
      </c>
      <c r="K30" s="180">
        <v>1.3623358942384873</v>
      </c>
      <c r="L30" s="180">
        <v>1.3623358942384882</v>
      </c>
      <c r="M30" s="180">
        <v>1.3623358942384882</v>
      </c>
      <c r="N30" s="180">
        <v>1.3623358942384876</v>
      </c>
      <c r="O30" s="180">
        <v>-2.7442500295198819E-3</v>
      </c>
      <c r="P30" s="180">
        <v>-2.7442500295198546E-3</v>
      </c>
      <c r="Q30" s="180">
        <v>-2.7442500295202566E-3</v>
      </c>
      <c r="R30" s="180">
        <v>-2.7442500295202822E-3</v>
      </c>
      <c r="S30" s="180">
        <v>-2.7442500295199227E-3</v>
      </c>
      <c r="T30" s="180">
        <v>-2.7442500295202983E-3</v>
      </c>
      <c r="V30">
        <v>2022</v>
      </c>
      <c r="W30" s="180">
        <v>1.2570060206355212E-2</v>
      </c>
      <c r="X30" s="180">
        <v>0.13569864887865016</v>
      </c>
      <c r="Y30" s="180">
        <v>1.3623358942384873</v>
      </c>
      <c r="Z30" s="180">
        <v>2.7153921934195413</v>
      </c>
      <c r="AA30" s="180">
        <v>5.3905807858971722</v>
      </c>
      <c r="AB30" s="180">
        <v>-1.1324199138044596E-3</v>
      </c>
      <c r="AC30" s="180">
        <v>-1.2790906372857804E-3</v>
      </c>
      <c r="AD30" s="180">
        <v>-2.7442500295202566E-3</v>
      </c>
      <c r="AE30" s="180">
        <v>-4.3689032392102032E-3</v>
      </c>
      <c r="AF30" s="180">
        <v>-7.6077766468815311E-3</v>
      </c>
    </row>
    <row r="31" spans="2:32">
      <c r="B31">
        <v>2023</v>
      </c>
      <c r="C31" s="439">
        <v>0.88557869470751338</v>
      </c>
      <c r="D31" s="439">
        <v>0.91878450052497285</v>
      </c>
      <c r="E31" s="439">
        <v>0.95291807433179465</v>
      </c>
      <c r="F31" s="439">
        <v>0.98766567628000501</v>
      </c>
      <c r="G31" s="439">
        <v>1.0233610426881852</v>
      </c>
      <c r="H31" s="456">
        <v>1.0599062590972133</v>
      </c>
      <c r="I31" s="180">
        <v>1.3349967079714502</v>
      </c>
      <c r="J31" s="180">
        <v>1.3349967079714495</v>
      </c>
      <c r="K31" s="180">
        <v>1.3349967079714502</v>
      </c>
      <c r="L31" s="180">
        <v>1.3349967079714502</v>
      </c>
      <c r="M31" s="180">
        <v>1.3349967079714504</v>
      </c>
      <c r="N31" s="180">
        <v>1.3349967079714502</v>
      </c>
      <c r="O31" s="180">
        <v>-3.8914546373216676E-3</v>
      </c>
      <c r="P31" s="180">
        <v>-3.8914546373217942E-3</v>
      </c>
      <c r="Q31" s="180">
        <v>-3.8914546373216919E-3</v>
      </c>
      <c r="R31" s="180">
        <v>-3.8914546373213449E-3</v>
      </c>
      <c r="S31" s="180">
        <v>-3.8914546373213176E-3</v>
      </c>
      <c r="T31" s="180">
        <v>-3.8914546373215882E-3</v>
      </c>
      <c r="V31">
        <v>2023</v>
      </c>
      <c r="W31" s="180">
        <v>1.199778969108465E-2</v>
      </c>
      <c r="X31" s="180">
        <v>0.13288753399818568</v>
      </c>
      <c r="Y31" s="180">
        <v>1.3349967079714502</v>
      </c>
      <c r="Z31" s="180">
        <v>2.6563036367971846</v>
      </c>
      <c r="AA31" s="180">
        <v>5.2542456278238028</v>
      </c>
      <c r="AB31" s="180">
        <v>-1.4665956350153871E-3</v>
      </c>
      <c r="AC31" s="180">
        <v>-1.6874607477619843E-3</v>
      </c>
      <c r="AD31" s="180">
        <v>-3.8914546373216919E-3</v>
      </c>
      <c r="AE31" s="180">
        <v>-6.3304167235686236E-3</v>
      </c>
      <c r="AF31" s="180">
        <v>-1.1177081337730217E-2</v>
      </c>
    </row>
    <row r="32" spans="2:32">
      <c r="B32">
        <v>2024</v>
      </c>
      <c r="C32" s="439">
        <v>0.90343387317581914</v>
      </c>
      <c r="D32" s="439">
        <v>0.94888089799886988</v>
      </c>
      <c r="E32" s="439">
        <v>0.99617179872864015</v>
      </c>
      <c r="F32" s="439">
        <v>1.0448968949530737</v>
      </c>
      <c r="G32" s="439">
        <v>1.0955494804342591</v>
      </c>
      <c r="H32" s="456">
        <v>1.1480217056429876</v>
      </c>
      <c r="I32" s="180">
        <v>1.308374964361273</v>
      </c>
      <c r="J32" s="180">
        <v>1.308374964361273</v>
      </c>
      <c r="K32" s="180">
        <v>1.3083749643612734</v>
      </c>
      <c r="L32" s="180">
        <v>1.3083749643612737</v>
      </c>
      <c r="M32" s="180">
        <v>1.3083749643612737</v>
      </c>
      <c r="N32" s="180">
        <v>1.308374964361273</v>
      </c>
      <c r="O32" s="180">
        <v>-4.9217532282003189E-3</v>
      </c>
      <c r="P32" s="180">
        <v>-4.9217532282000284E-3</v>
      </c>
      <c r="Q32" s="180">
        <v>-4.9217532282001594E-3</v>
      </c>
      <c r="R32" s="180">
        <v>-4.921753228200214E-3</v>
      </c>
      <c r="S32" s="180">
        <v>-4.9217532281999807E-3</v>
      </c>
      <c r="T32" s="180">
        <v>-4.9217532282001472E-3</v>
      </c>
      <c r="V32">
        <v>2024</v>
      </c>
      <c r="W32" s="180">
        <v>1.1552319577510564E-2</v>
      </c>
      <c r="X32" s="180">
        <v>0.13024760897455639</v>
      </c>
      <c r="Y32" s="180">
        <v>1.3083749643612734</v>
      </c>
      <c r="Z32" s="180">
        <v>2.5987872072966605</v>
      </c>
      <c r="AA32" s="180">
        <v>5.1221895163188318</v>
      </c>
      <c r="AB32" s="180">
        <v>-1.6788637770361176E-3</v>
      </c>
      <c r="AC32" s="180">
        <v>-1.9745212348338767E-3</v>
      </c>
      <c r="AD32" s="180">
        <v>-4.9217532282001594E-3</v>
      </c>
      <c r="AE32" s="180">
        <v>-8.1765842921912857E-3</v>
      </c>
      <c r="AF32" s="180">
        <v>-1.4623803573983143E-2</v>
      </c>
    </row>
    <row r="33" spans="2:32">
      <c r="B33">
        <v>2025</v>
      </c>
      <c r="C33" s="439">
        <v>0.9215301918782387</v>
      </c>
      <c r="D33" s="439">
        <v>0.97983677666740787</v>
      </c>
      <c r="E33" s="439">
        <v>1.0412545440351959</v>
      </c>
      <c r="F33" s="439">
        <v>1.1053018690089147</v>
      </c>
      <c r="G33" s="439">
        <v>1.1726788775590795</v>
      </c>
      <c r="H33" s="456">
        <v>1.2433022806609586</v>
      </c>
      <c r="I33" s="180">
        <v>1.282494297949998</v>
      </c>
      <c r="J33" s="180">
        <v>1.2824942979499974</v>
      </c>
      <c r="K33" s="180">
        <v>1.2824942979499971</v>
      </c>
      <c r="L33" s="180">
        <v>1.2824942979499983</v>
      </c>
      <c r="M33" s="180">
        <v>1.2824942979499976</v>
      </c>
      <c r="N33" s="180">
        <v>1.2824942979499976</v>
      </c>
      <c r="O33" s="180">
        <v>-5.8021344889359608E-3</v>
      </c>
      <c r="P33" s="180">
        <v>-5.8021344889360674E-3</v>
      </c>
      <c r="Q33" s="180">
        <v>-5.8021344889360458E-3</v>
      </c>
      <c r="R33" s="180">
        <v>-5.8021344889357552E-3</v>
      </c>
      <c r="S33" s="180">
        <v>-5.8021344889361013E-3</v>
      </c>
      <c r="T33" s="180">
        <v>-5.8021344889362704E-3</v>
      </c>
      <c r="V33">
        <v>2025</v>
      </c>
      <c r="W33" s="180">
        <v>1.1267033654113372E-2</v>
      </c>
      <c r="X33" s="180">
        <v>0.12781243731091665</v>
      </c>
      <c r="Y33" s="180">
        <v>1.2824942979499971</v>
      </c>
      <c r="Z33" s="180">
        <v>2.5428271556182613</v>
      </c>
      <c r="AA33" s="180">
        <v>4.9942122220550775</v>
      </c>
      <c r="AB33" s="180">
        <v>-1.7358763785080946E-3</v>
      </c>
      <c r="AC33" s="180">
        <v>-2.1069561661294684E-3</v>
      </c>
      <c r="AD33" s="180">
        <v>-5.8021344889360458E-3</v>
      </c>
      <c r="AE33" s="180">
        <v>-9.8747146128538299E-3</v>
      </c>
      <c r="AF33" s="180">
        <v>-1.7915922526252473E-2</v>
      </c>
    </row>
    <row r="34" spans="2:32">
      <c r="B34">
        <v>2026</v>
      </c>
      <c r="C34" s="439">
        <v>0.93987966452622873</v>
      </c>
      <c r="D34" s="439">
        <v>1.0116848680624682</v>
      </c>
      <c r="E34" s="439">
        <v>1.0882509692711038</v>
      </c>
      <c r="F34" s="439">
        <v>1.1690628403031176</v>
      </c>
      <c r="G34" s="439">
        <v>1.255092383886349</v>
      </c>
      <c r="H34" s="456">
        <v>1.346334105050333</v>
      </c>
      <c r="I34" s="180">
        <v>1.2573393556199925</v>
      </c>
      <c r="J34" s="180">
        <v>1.257339355619993</v>
      </c>
      <c r="K34" s="180">
        <v>1.2573393556199937</v>
      </c>
      <c r="L34" s="180">
        <v>1.2573393556199937</v>
      </c>
      <c r="M34" s="180">
        <v>1.257339355619993</v>
      </c>
      <c r="N34" s="180">
        <v>1.2573393556199925</v>
      </c>
      <c r="O34" s="180">
        <v>-6.5382312222506981E-3</v>
      </c>
      <c r="P34" s="180">
        <v>-6.5382312222504674E-3</v>
      </c>
      <c r="Q34" s="180">
        <v>-6.5382312222509054E-3</v>
      </c>
      <c r="R34" s="180">
        <v>-6.5382312222508612E-3</v>
      </c>
      <c r="S34" s="180">
        <v>-6.5382312222506799E-3</v>
      </c>
      <c r="T34" s="180">
        <v>-6.5382312222507805E-3</v>
      </c>
      <c r="V34">
        <v>2026</v>
      </c>
      <c r="W34" s="180">
        <v>1.1136568004648451E-2</v>
      </c>
      <c r="X34" s="180">
        <v>0.12557659986357819</v>
      </c>
      <c r="Y34" s="180">
        <v>1.2573393556199937</v>
      </c>
      <c r="Z34" s="180">
        <v>2.4883731749327729</v>
      </c>
      <c r="AA34" s="180">
        <v>4.8700924994740493</v>
      </c>
      <c r="AB34" s="180">
        <v>-1.6430036435057388E-3</v>
      </c>
      <c r="AC34" s="180">
        <v>-2.0901611288141322E-3</v>
      </c>
      <c r="AD34" s="180">
        <v>-6.5382312222509054E-3</v>
      </c>
      <c r="AE34" s="180">
        <v>-1.1430683907076217E-2</v>
      </c>
      <c r="AF34" s="180">
        <v>-2.1059827986234278E-2</v>
      </c>
    </row>
    <row r="35" spans="2:32">
      <c r="B35">
        <v>2027</v>
      </c>
      <c r="C35" s="439">
        <v>0.95846630262502241</v>
      </c>
      <c r="D35" s="439">
        <v>1.044428425635032</v>
      </c>
      <c r="E35" s="439">
        <v>1.1372164322449341</v>
      </c>
      <c r="F35" s="439">
        <v>1.2363365797984134</v>
      </c>
      <c r="G35" s="439">
        <v>1.3431180840415113</v>
      </c>
      <c r="H35" s="456">
        <v>1.4577091346927389</v>
      </c>
      <c r="I35" s="180">
        <v>1.2328581493228921</v>
      </c>
      <c r="J35" s="180">
        <v>1.2328581493228916</v>
      </c>
      <c r="K35" s="180">
        <v>1.2328581493228929</v>
      </c>
      <c r="L35" s="180">
        <v>1.2328581493228936</v>
      </c>
      <c r="M35" s="180">
        <v>1.2328581493228925</v>
      </c>
      <c r="N35" s="180">
        <v>1.2328581493228923</v>
      </c>
      <c r="O35" s="180">
        <v>-7.1719684254806255E-3</v>
      </c>
      <c r="P35" s="180">
        <v>-7.171968425481021E-3</v>
      </c>
      <c r="Q35" s="180">
        <v>-7.171968425480511E-3</v>
      </c>
      <c r="R35" s="180">
        <v>-7.1719684254803046E-3</v>
      </c>
      <c r="S35" s="180">
        <v>-7.171968425480583E-3</v>
      </c>
      <c r="T35" s="180">
        <v>-7.1719684254804138E-3</v>
      </c>
      <c r="V35">
        <v>2027</v>
      </c>
      <c r="W35" s="180">
        <v>1.1119020900217422E-2</v>
      </c>
      <c r="X35" s="180">
        <v>0.12349796139504569</v>
      </c>
      <c r="Y35" s="180">
        <v>1.2328581493228929</v>
      </c>
      <c r="Z35" s="180">
        <v>2.4353423097316695</v>
      </c>
      <c r="AA35" s="180">
        <v>4.7495906800451211</v>
      </c>
      <c r="AB35" s="180">
        <v>-1.4421294856850817E-3</v>
      </c>
      <c r="AC35" s="180">
        <v>-1.9660252601290829E-3</v>
      </c>
      <c r="AD35" s="180">
        <v>-7.171968425480511E-3</v>
      </c>
      <c r="AE35" s="180">
        <v>-1.288643768837174E-2</v>
      </c>
      <c r="AF35" s="180">
        <v>-2.4097537357289762E-2</v>
      </c>
    </row>
    <row r="36" spans="2:32">
      <c r="B36">
        <v>2028</v>
      </c>
      <c r="C36" s="439">
        <v>0.97732984368873022</v>
      </c>
      <c r="D36" s="439">
        <v>1.0781317321236963</v>
      </c>
      <c r="E36" s="439">
        <v>1.1882748532040635</v>
      </c>
      <c r="F36" s="439">
        <v>1.3073603157078191</v>
      </c>
      <c r="G36" s="439">
        <v>1.4371841377945194</v>
      </c>
      <c r="H36" s="456">
        <v>1.578151234872093</v>
      </c>
      <c r="I36" s="180">
        <v>1.2090726651316301</v>
      </c>
      <c r="J36" s="180">
        <v>1.2090726651316308</v>
      </c>
      <c r="K36" s="180">
        <v>1.2090726651316315</v>
      </c>
      <c r="L36" s="180">
        <v>1.2090726651316321</v>
      </c>
      <c r="M36" s="180">
        <v>1.2090726651316306</v>
      </c>
      <c r="N36" s="180">
        <v>1.2090726651316306</v>
      </c>
      <c r="O36" s="180">
        <v>-7.6709718035491512E-3</v>
      </c>
      <c r="P36" s="180">
        <v>-7.6709718035486256E-3</v>
      </c>
      <c r="Q36" s="180">
        <v>-7.6709718035484781E-3</v>
      </c>
      <c r="R36" s="180">
        <v>-7.6709718035485198E-3</v>
      </c>
      <c r="S36" s="180">
        <v>-7.670971803548845E-3</v>
      </c>
      <c r="T36" s="180">
        <v>-7.6709718035488823E-3</v>
      </c>
      <c r="V36">
        <v>2028</v>
      </c>
      <c r="W36" s="180">
        <v>1.1247126359291607E-2</v>
      </c>
      <c r="X36" s="180">
        <v>0.12160882773808061</v>
      </c>
      <c r="Y36" s="180">
        <v>1.2090726651316315</v>
      </c>
      <c r="Z36" s="180">
        <v>2.3837284468063982</v>
      </c>
      <c r="AA36" s="180">
        <v>4.6325572976794316</v>
      </c>
      <c r="AB36" s="180">
        <v>-1.1004824985172659E-3</v>
      </c>
      <c r="AC36" s="180">
        <v>-1.7018149791649465E-3</v>
      </c>
      <c r="AD36" s="180">
        <v>-7.6709718035484781E-3</v>
      </c>
      <c r="AE36" s="180">
        <v>-1.4209976338825894E-2</v>
      </c>
      <c r="AF36" s="180">
        <v>-2.6997816595942425E-2</v>
      </c>
    </row>
    <row r="37" spans="2:32">
      <c r="B37">
        <v>2029</v>
      </c>
      <c r="C37" s="439">
        <v>0.99646846358582863</v>
      </c>
      <c r="D37" s="439">
        <v>1.1128152284270774</v>
      </c>
      <c r="E37" s="439">
        <v>1.2415058571192659</v>
      </c>
      <c r="F37" s="439">
        <v>1.3823307316909621</v>
      </c>
      <c r="G37" s="439">
        <v>1.5376897525122883</v>
      </c>
      <c r="H37" s="456">
        <v>1.7083798875267959</v>
      </c>
      <c r="I37" s="180">
        <v>1.1859495002382678</v>
      </c>
      <c r="J37" s="180">
        <v>1.1859495002382672</v>
      </c>
      <c r="K37" s="180">
        <v>1.1859495002382678</v>
      </c>
      <c r="L37" s="180">
        <v>1.1859495002382687</v>
      </c>
      <c r="M37" s="180">
        <v>1.1859495002382672</v>
      </c>
      <c r="N37" s="180">
        <v>1.1859495002382681</v>
      </c>
      <c r="O37" s="180">
        <v>-8.0579602181335228E-3</v>
      </c>
      <c r="P37" s="180">
        <v>-8.0579602181337882E-3</v>
      </c>
      <c r="Q37" s="180">
        <v>-8.0579602181338472E-3</v>
      </c>
      <c r="R37" s="180">
        <v>-8.0579602181337345E-3</v>
      </c>
      <c r="S37" s="180">
        <v>-8.0579602181338802E-3</v>
      </c>
      <c r="T37" s="180">
        <v>-8.0579602181333563E-3</v>
      </c>
      <c r="V37">
        <v>2029</v>
      </c>
      <c r="W37" s="180">
        <v>1.1498213330398901E-2</v>
      </c>
      <c r="X37" s="180">
        <v>0.11988599520081161</v>
      </c>
      <c r="Y37" s="180">
        <v>1.1859495002382678</v>
      </c>
      <c r="Z37" s="180">
        <v>2.3334731153312651</v>
      </c>
      <c r="AA37" s="180">
        <v>4.5188052703187269</v>
      </c>
      <c r="AB37" s="180">
        <v>-6.4068055028942885E-4</v>
      </c>
      <c r="AC37" s="180">
        <v>-1.3201589968205615E-3</v>
      </c>
      <c r="AD37" s="180">
        <v>-8.0579602181338472E-3</v>
      </c>
      <c r="AE37" s="180">
        <v>-1.5424096113210791E-2</v>
      </c>
      <c r="AF37" s="180">
        <v>-2.9783640028135178E-2</v>
      </c>
    </row>
    <row r="38" spans="2:32">
      <c r="B38">
        <v>2030</v>
      </c>
      <c r="C38" s="439">
        <v>1.015879071450249</v>
      </c>
      <c r="D38" s="439">
        <v>1.1484982780326591</v>
      </c>
      <c r="E38" s="439">
        <v>1.2969902034472931</v>
      </c>
      <c r="F38" s="439">
        <v>1.4614524348663471</v>
      </c>
      <c r="G38" s="439">
        <v>1.6450574968320302</v>
      </c>
      <c r="H38" s="456">
        <v>1.8491678622705379</v>
      </c>
      <c r="I38" s="180">
        <v>1.1634560578682973</v>
      </c>
      <c r="J38" s="180">
        <v>1.1634560578682964</v>
      </c>
      <c r="K38" s="180">
        <v>1.1634560578682975</v>
      </c>
      <c r="L38" s="180">
        <v>1.163456057868298</v>
      </c>
      <c r="M38" s="180">
        <v>1.1634560578682978</v>
      </c>
      <c r="N38" s="180">
        <v>1.1634560578682971</v>
      </c>
      <c r="O38" s="180">
        <v>-8.3545881543177734E-3</v>
      </c>
      <c r="P38" s="180">
        <v>-8.3545881543179244E-3</v>
      </c>
      <c r="Q38" s="180">
        <v>-8.3545881543179643E-3</v>
      </c>
      <c r="R38" s="180">
        <v>-8.3545881543181325E-3</v>
      </c>
      <c r="S38" s="180">
        <v>-8.3545881543176208E-3</v>
      </c>
      <c r="T38" s="180">
        <v>-8.3545881543177786E-3</v>
      </c>
      <c r="V38">
        <v>2030</v>
      </c>
      <c r="W38" s="180">
        <v>1.1850599079104684E-2</v>
      </c>
      <c r="X38" s="180">
        <v>0.11830714854327019</v>
      </c>
      <c r="Y38" s="180">
        <v>1.1634560578682975</v>
      </c>
      <c r="Z38" s="180">
        <v>2.2845210136380669</v>
      </c>
      <c r="AA38" s="180">
        <v>4.4081648613933488</v>
      </c>
      <c r="AB38" s="180">
        <v>-8.4340548609340027E-5</v>
      </c>
      <c r="AC38" s="180">
        <v>-8.4267928930681097E-4</v>
      </c>
      <c r="AD38" s="180">
        <v>-8.3545881543179643E-3</v>
      </c>
      <c r="AE38" s="180">
        <v>-1.655046529974296E-2</v>
      </c>
      <c r="AF38" s="180">
        <v>-3.2476729663535847E-2</v>
      </c>
    </row>
    <row r="39" spans="2:32">
      <c r="B39">
        <v>2040</v>
      </c>
      <c r="C39" s="439">
        <v>-1.1925214051142774E-2</v>
      </c>
      <c r="D39" s="439">
        <v>-1.5242031444081539E-2</v>
      </c>
      <c r="E39" s="439">
        <v>-1.9438177695736858E-2</v>
      </c>
      <c r="F39" s="439">
        <v>-2.4680362077383666E-2</v>
      </c>
      <c r="G39" s="439">
        <v>-3.1271183632004984E-2</v>
      </c>
      <c r="H39" s="456">
        <v>-3.9512529258003859E-2</v>
      </c>
      <c r="I39" s="180">
        <v>-9.4676387335842233E-3</v>
      </c>
      <c r="J39" s="180">
        <v>-9.4676387335846674E-3</v>
      </c>
      <c r="K39" s="180">
        <v>-9.4676387335846466E-3</v>
      </c>
      <c r="L39" s="180">
        <v>-9.4676387335846362E-3</v>
      </c>
      <c r="M39" s="180">
        <v>-9.4676387335845356E-3</v>
      </c>
      <c r="N39" s="180">
        <v>-9.4676387335845963E-3</v>
      </c>
      <c r="O39" s="180">
        <v>-9.4676387335842233E-3</v>
      </c>
      <c r="P39" s="180">
        <v>-9.4676387335846674E-3</v>
      </c>
      <c r="Q39" s="180">
        <v>-9.4676387335846466E-3</v>
      </c>
      <c r="R39" s="180">
        <v>-9.4676387335846362E-3</v>
      </c>
      <c r="S39" s="180">
        <v>-9.4676387335845356E-3</v>
      </c>
      <c r="T39" s="180">
        <v>-9.4676387335845963E-3</v>
      </c>
      <c r="V39">
        <v>2040</v>
      </c>
      <c r="W39" s="180">
        <v>-9.5677059049651628E-5</v>
      </c>
      <c r="X39" s="180">
        <v>-9.5585551595088556E-4</v>
      </c>
      <c r="Y39" s="180">
        <v>-9.4676387335846466E-3</v>
      </c>
      <c r="Z39" s="180">
        <v>-1.8735723390892731E-2</v>
      </c>
      <c r="AA39" s="180">
        <v>-3.6688363593227552E-2</v>
      </c>
      <c r="AB39" s="180">
        <v>-9.5677059049651628E-5</v>
      </c>
      <c r="AC39" s="180">
        <v>-9.5585551595088556E-4</v>
      </c>
      <c r="AD39" s="180">
        <v>-9.4676387335846466E-3</v>
      </c>
      <c r="AE39" s="180">
        <v>-1.8735723390892731E-2</v>
      </c>
      <c r="AF39" s="180">
        <v>-3.6688363593227552E-2</v>
      </c>
    </row>
    <row r="40" spans="2:32">
      <c r="B40">
        <v>2050</v>
      </c>
      <c r="C40" s="439">
        <v>-1.6708379666901862E-2</v>
      </c>
      <c r="D40" s="439">
        <v>-2.4143450628002938E-2</v>
      </c>
      <c r="E40" s="439">
        <v>-3.4771096193166873E-2</v>
      </c>
      <c r="F40" s="439">
        <v>-4.9746479394578103E-2</v>
      </c>
      <c r="G40" s="439">
        <v>-7.0949859587709163E-2</v>
      </c>
      <c r="H40" s="456">
        <v>-0.10077140324975709</v>
      </c>
      <c r="I40" s="180">
        <v>-9.6628527243563384E-3</v>
      </c>
      <c r="J40" s="180">
        <v>-9.6628527243561493E-3</v>
      </c>
      <c r="K40" s="180">
        <v>-9.6628527243561146E-3</v>
      </c>
      <c r="L40" s="180">
        <v>-9.6628527243564702E-3</v>
      </c>
      <c r="M40" s="180">
        <v>-9.6628527243562655E-3</v>
      </c>
      <c r="N40" s="180">
        <v>-9.6628527243569993E-3</v>
      </c>
      <c r="O40" s="180">
        <v>-9.6628527243563384E-3</v>
      </c>
      <c r="P40" s="180">
        <v>-9.6628527243561493E-3</v>
      </c>
      <c r="Q40" s="180">
        <v>-9.6628527243561146E-3</v>
      </c>
      <c r="R40" s="180">
        <v>-9.6628527243564702E-3</v>
      </c>
      <c r="S40" s="180">
        <v>-9.6628527243562655E-3</v>
      </c>
      <c r="T40" s="180">
        <v>-9.6628527243569993E-3</v>
      </c>
      <c r="V40">
        <v>2050</v>
      </c>
      <c r="W40" s="180">
        <v>-9.7649831886296529E-5</v>
      </c>
      <c r="X40" s="180">
        <v>-9.7556437632447337E-4</v>
      </c>
      <c r="Y40" s="180">
        <v>-9.6628527243561146E-3</v>
      </c>
      <c r="Z40" s="180">
        <v>-1.9122036751177122E-2</v>
      </c>
      <c r="AA40" s="180">
        <v>-3.7444843859685724E-2</v>
      </c>
      <c r="AB40" s="180">
        <v>-9.7649831886296529E-5</v>
      </c>
      <c r="AC40" s="180">
        <v>-9.7556437632447337E-4</v>
      </c>
      <c r="AD40" s="180">
        <v>-9.6628527243561146E-3</v>
      </c>
      <c r="AE40" s="180">
        <v>-1.9122036751177122E-2</v>
      </c>
      <c r="AF40" s="180">
        <v>-3.7444843859685724E-2</v>
      </c>
    </row>
    <row r="41" spans="2:32">
      <c r="B41">
        <v>2060</v>
      </c>
      <c r="C41" s="439">
        <v>-2.1737360387503735E-2</v>
      </c>
      <c r="D41" s="439">
        <v>-3.5510774613676688E-2</v>
      </c>
      <c r="E41" s="439">
        <v>-5.7754461026364723E-2</v>
      </c>
      <c r="F41" s="439">
        <v>-9.3105962273501319E-2</v>
      </c>
      <c r="G41" s="439">
        <v>-0.14947311288278264</v>
      </c>
      <c r="H41" s="456">
        <v>-0.23864047251710119</v>
      </c>
      <c r="I41" s="180">
        <v>-9.767146574933468E-3</v>
      </c>
      <c r="J41" s="180">
        <v>-9.7671465749339173E-3</v>
      </c>
      <c r="K41" s="180">
        <v>-9.7671465749340491E-3</v>
      </c>
      <c r="L41" s="180">
        <v>-9.7671465749336276E-3</v>
      </c>
      <c r="M41" s="180">
        <v>-9.7671465749342035E-3</v>
      </c>
      <c r="N41" s="180">
        <v>-9.7671465749336189E-3</v>
      </c>
      <c r="O41" s="180">
        <v>-9.767146574933468E-3</v>
      </c>
      <c r="P41" s="180">
        <v>-9.7671465749339173E-3</v>
      </c>
      <c r="Q41" s="180">
        <v>-9.7671465749340491E-3</v>
      </c>
      <c r="R41" s="180">
        <v>-9.7671465749336276E-3</v>
      </c>
      <c r="S41" s="180">
        <v>-9.7671465749342035E-3</v>
      </c>
      <c r="T41" s="180">
        <v>-9.7671465749336189E-3</v>
      </c>
      <c r="V41">
        <v>2060</v>
      </c>
      <c r="W41" s="180">
        <v>-9.870379361630167E-5</v>
      </c>
      <c r="X41" s="180">
        <v>-9.8609391332488789E-4</v>
      </c>
      <c r="Y41" s="180">
        <v>-9.7671465749340491E-3</v>
      </c>
      <c r="Z41" s="180">
        <v>-1.9328426199568618E-2</v>
      </c>
      <c r="AA41" s="180">
        <v>-3.7848996449175699E-2</v>
      </c>
      <c r="AB41" s="180">
        <v>-9.870379361630167E-5</v>
      </c>
      <c r="AC41" s="180">
        <v>-9.8609391332488789E-4</v>
      </c>
      <c r="AD41" s="180">
        <v>-9.7671465749340491E-3</v>
      </c>
      <c r="AE41" s="180">
        <v>-1.9328426199568618E-2</v>
      </c>
      <c r="AF41" s="180">
        <v>-3.7848996449175699E-2</v>
      </c>
    </row>
    <row r="42" spans="2:32">
      <c r="B42">
        <v>2070</v>
      </c>
      <c r="C42" s="439">
        <v>-2.6205588575371142E-2</v>
      </c>
      <c r="D42" s="439">
        <v>-4.8398911413602086E-2</v>
      </c>
      <c r="E42" s="439">
        <v>-8.8892952348329501E-2</v>
      </c>
      <c r="F42" s="439">
        <v>-0.1614757377889724</v>
      </c>
      <c r="G42" s="439">
        <v>-0.29180266917379782</v>
      </c>
      <c r="H42" s="456">
        <v>-0.52367945575273467</v>
      </c>
      <c r="I42" s="180">
        <v>-9.8062310564659156E-3</v>
      </c>
      <c r="J42" s="180">
        <v>-9.8062310564664204E-3</v>
      </c>
      <c r="K42" s="180">
        <v>-9.8062310564657664E-3</v>
      </c>
      <c r="L42" s="180">
        <v>-9.8062310564662105E-3</v>
      </c>
      <c r="M42" s="180">
        <v>-9.806231056465874E-3</v>
      </c>
      <c r="N42" s="180">
        <v>-9.8062310564660336E-3</v>
      </c>
      <c r="O42" s="180">
        <v>-9.8062310564659156E-3</v>
      </c>
      <c r="P42" s="180">
        <v>-9.8062310564664204E-3</v>
      </c>
      <c r="Q42" s="180">
        <v>-9.8062310564657664E-3</v>
      </c>
      <c r="R42" s="180">
        <v>-9.8062310564662105E-3</v>
      </c>
      <c r="S42" s="180">
        <v>-9.806231056465874E-3</v>
      </c>
      <c r="T42" s="180">
        <v>-9.8062310564660336E-3</v>
      </c>
      <c r="V42">
        <v>2070</v>
      </c>
      <c r="W42" s="180">
        <v>-9.9098769423105896E-5</v>
      </c>
      <c r="X42" s="180">
        <v>-9.9003989376570452E-4</v>
      </c>
      <c r="Y42" s="180">
        <v>-9.8062310564657664E-3</v>
      </c>
      <c r="Z42" s="180">
        <v>-1.940577135979981E-2</v>
      </c>
      <c r="AA42" s="180">
        <v>-3.8000454031119693E-2</v>
      </c>
      <c r="AB42" s="180">
        <v>-9.9098769423105896E-5</v>
      </c>
      <c r="AC42" s="180">
        <v>-9.9003989376570452E-4</v>
      </c>
      <c r="AD42" s="180">
        <v>-9.8062310564657664E-3</v>
      </c>
      <c r="AE42" s="180">
        <v>-1.940577135979981E-2</v>
      </c>
      <c r="AF42" s="180">
        <v>-3.8000454031119693E-2</v>
      </c>
    </row>
    <row r="43" spans="2:32">
      <c r="B43">
        <v>2080</v>
      </c>
      <c r="C43" s="439">
        <v>-2.9632331594161787E-2</v>
      </c>
      <c r="D43" s="439">
        <v>-6.1872239411246532E-2</v>
      </c>
      <c r="E43" s="439">
        <v>-0.12833169172008496</v>
      </c>
      <c r="F43" s="439">
        <v>-0.26267688403964584</v>
      </c>
      <c r="G43" s="439">
        <v>-0.53431852926705403</v>
      </c>
      <c r="H43" s="456">
        <v>-1.0778833583068348</v>
      </c>
      <c r="I43" s="180">
        <v>-9.7818444911796729E-3</v>
      </c>
      <c r="J43" s="180">
        <v>-9.7818444911796053E-3</v>
      </c>
      <c r="K43" s="180">
        <v>-9.7818444911795463E-3</v>
      </c>
      <c r="L43" s="180">
        <v>-9.7818444911792236E-3</v>
      </c>
      <c r="M43" s="180">
        <v>-9.7818444911792445E-3</v>
      </c>
      <c r="N43" s="180">
        <v>-9.7818444911792479E-3</v>
      </c>
      <c r="O43" s="180">
        <v>-9.7818444911796729E-3</v>
      </c>
      <c r="P43" s="180">
        <v>-9.7818444911796053E-3</v>
      </c>
      <c r="Q43" s="180">
        <v>-9.7818444911795463E-3</v>
      </c>
      <c r="R43" s="180">
        <v>-9.7818444911792236E-3</v>
      </c>
      <c r="S43" s="180">
        <v>-9.7818444911792445E-3</v>
      </c>
      <c r="T43" s="180">
        <v>-9.7818444911792479E-3</v>
      </c>
      <c r="V43">
        <v>2080</v>
      </c>
      <c r="W43" s="180">
        <v>-9.885232625907307E-5</v>
      </c>
      <c r="X43" s="180">
        <v>-9.8757781915553801E-4</v>
      </c>
      <c r="Y43" s="180">
        <v>-9.7818444911795463E-3</v>
      </c>
      <c r="Z43" s="180">
        <v>-1.9357512236853003E-2</v>
      </c>
      <c r="AA43" s="180">
        <v>-3.7905952836132788E-2</v>
      </c>
      <c r="AB43" s="180">
        <v>-9.885232625907307E-5</v>
      </c>
      <c r="AC43" s="180">
        <v>-9.8757781915553801E-4</v>
      </c>
      <c r="AD43" s="180">
        <v>-9.7818444911795463E-3</v>
      </c>
      <c r="AE43" s="180">
        <v>-1.9357512236853003E-2</v>
      </c>
      <c r="AF43" s="180">
        <v>-3.7905952836132788E-2</v>
      </c>
    </row>
    <row r="44" spans="2:32">
      <c r="B44">
        <v>2090</v>
      </c>
      <c r="C44" s="439">
        <v>-3.1930250455098008E-2</v>
      </c>
      <c r="D44" s="439">
        <v>-7.5373845034400588E-2</v>
      </c>
      <c r="E44" s="439">
        <v>-0.17654893492923662</v>
      </c>
      <c r="F44" s="439">
        <v>-0.40719367920610949</v>
      </c>
      <c r="G44" s="439">
        <v>-0.93234319121975773</v>
      </c>
      <c r="H44" s="456">
        <v>-2.1141830693777024</v>
      </c>
      <c r="I44" s="180">
        <v>-9.7028769851923609E-3</v>
      </c>
      <c r="J44" s="180">
        <v>-9.7028769851926523E-3</v>
      </c>
      <c r="K44" s="180">
        <v>-9.7028769851924095E-3</v>
      </c>
      <c r="L44" s="180">
        <v>-9.7028769851928483E-3</v>
      </c>
      <c r="M44" s="180">
        <v>-9.7028769851927772E-3</v>
      </c>
      <c r="N44" s="180">
        <v>-9.7028769851926436E-3</v>
      </c>
      <c r="O44" s="180">
        <v>-9.7028769851923609E-3</v>
      </c>
      <c r="P44" s="180">
        <v>-9.7028769851926523E-3</v>
      </c>
      <c r="Q44" s="180">
        <v>-9.7028769851924095E-3</v>
      </c>
      <c r="R44" s="180">
        <v>-9.7028769851928483E-3</v>
      </c>
      <c r="S44" s="180">
        <v>-9.7028769851927772E-3</v>
      </c>
      <c r="T44" s="180">
        <v>-9.7028769851926436E-3</v>
      </c>
      <c r="V44">
        <v>2090</v>
      </c>
      <c r="W44" s="180">
        <v>-9.805430481490462E-5</v>
      </c>
      <c r="X44" s="180">
        <v>-9.7960523715256965E-4</v>
      </c>
      <c r="Y44" s="180">
        <v>-9.7028769851924095E-3</v>
      </c>
      <c r="Z44" s="180">
        <v>-1.9201241661826567E-2</v>
      </c>
      <c r="AA44" s="180">
        <v>-3.7599943211851318E-2</v>
      </c>
      <c r="AB44" s="180">
        <v>-9.805430481490462E-5</v>
      </c>
      <c r="AC44" s="180">
        <v>-9.7960523715256965E-4</v>
      </c>
      <c r="AD44" s="180">
        <v>-9.7028769851924095E-3</v>
      </c>
      <c r="AE44" s="180">
        <v>-1.9201241661826567E-2</v>
      </c>
      <c r="AF44" s="180">
        <v>-3.7599943211851318E-2</v>
      </c>
    </row>
    <row r="45" spans="2:32">
      <c r="B45">
        <v>2100</v>
      </c>
      <c r="C45" s="439">
        <v>-3.348055794224214E-2</v>
      </c>
      <c r="D45" s="439">
        <v>-8.9350989660710312E-2</v>
      </c>
      <c r="E45" s="439">
        <v>-0.23634702825651033</v>
      </c>
      <c r="F45" s="439">
        <v>-0.61423429548223396</v>
      </c>
      <c r="G45" s="439">
        <v>-1.5830886441073915</v>
      </c>
      <c r="H45" s="456">
        <v>-4.0352205438159103</v>
      </c>
      <c r="I45" s="180">
        <v>-9.5919242584554254E-3</v>
      </c>
      <c r="J45" s="180">
        <v>-9.5919242584562563E-3</v>
      </c>
      <c r="K45" s="180">
        <v>-9.5919242584556908E-3</v>
      </c>
      <c r="L45" s="180">
        <v>-9.5919242584557151E-3</v>
      </c>
      <c r="M45" s="180">
        <v>-9.5919242584558764E-3</v>
      </c>
      <c r="N45" s="180">
        <v>-9.5919242584556891E-3</v>
      </c>
      <c r="O45" s="180">
        <v>-9.5919242584554254E-3</v>
      </c>
      <c r="P45" s="180">
        <v>-9.5919242584562563E-3</v>
      </c>
      <c r="Q45" s="180">
        <v>-9.5919242584556908E-3</v>
      </c>
      <c r="R45" s="180">
        <v>-9.5919242584557151E-3</v>
      </c>
      <c r="S45" s="180">
        <v>-9.5919242584558764E-3</v>
      </c>
      <c r="T45" s="180">
        <v>-9.5919242584556891E-3</v>
      </c>
      <c r="V45">
        <v>2100</v>
      </c>
      <c r="W45" s="180">
        <v>-9.6933050520580153E-5</v>
      </c>
      <c r="X45" s="180">
        <v>-9.6840341810909645E-4</v>
      </c>
      <c r="Y45" s="180">
        <v>-9.5919242584556908E-3</v>
      </c>
      <c r="Z45" s="180">
        <v>-1.898167481352361E-2</v>
      </c>
      <c r="AA45" s="180">
        <v>-3.7169986588586591E-2</v>
      </c>
      <c r="AB45" s="180">
        <v>-9.6933050520580153E-5</v>
      </c>
      <c r="AC45" s="180">
        <v>-9.6840341810909645E-4</v>
      </c>
      <c r="AD45" s="180">
        <v>-9.5919242584556908E-3</v>
      </c>
      <c r="AE45" s="180">
        <v>-1.898167481352361E-2</v>
      </c>
      <c r="AF45" s="180">
        <v>-3.7169986588586591E-2</v>
      </c>
    </row>
    <row r="46" spans="2:32">
      <c r="B46" t="s">
        <v>349</v>
      </c>
      <c r="C46" t="e">
        <f>SUM(#REF!)</f>
        <v>#REF!</v>
      </c>
      <c r="D46">
        <f>SUM(C28:C45)</f>
        <v>9.9786138134594466</v>
      </c>
      <c r="E46">
        <f>SUM(D28:D45)</f>
        <v>10.476898294437124</v>
      </c>
      <c r="F46">
        <f>SUM(E28:E45)</f>
        <v>10.81665693711069</v>
      </c>
      <c r="G46">
        <f>SUM(F28:F45)</f>
        <v>10.729942364737553</v>
      </c>
      <c r="H46">
        <f>SUM(G28:G45)</f>
        <v>9.5979886428132826</v>
      </c>
    </row>
    <row r="48" spans="2:32">
      <c r="B48" s="450"/>
      <c r="C48" s="574" t="s">
        <v>338</v>
      </c>
      <c r="D48" s="574"/>
      <c r="E48" s="574"/>
      <c r="F48" s="574"/>
      <c r="G48" s="574"/>
      <c r="H48" s="574"/>
      <c r="I48" s="574"/>
      <c r="J48" s="574"/>
      <c r="K48" s="574"/>
      <c r="L48" s="574"/>
      <c r="M48" s="574"/>
      <c r="N48" s="574"/>
      <c r="O48" s="574"/>
      <c r="P48" s="574"/>
      <c r="V48" s="321"/>
      <c r="W48" s="627" t="s">
        <v>339</v>
      </c>
      <c r="X48" s="627"/>
      <c r="Y48" s="627"/>
      <c r="Z48" s="627"/>
      <c r="AA48" s="627"/>
      <c r="AB48" s="627"/>
      <c r="AC48" s="627"/>
      <c r="AD48" s="627"/>
      <c r="AE48" s="627"/>
      <c r="AF48" s="627"/>
    </row>
    <row r="49" spans="2:32">
      <c r="B49" s="387" t="s">
        <v>203</v>
      </c>
      <c r="C49" s="486" t="s">
        <v>340</v>
      </c>
      <c r="D49" s="487"/>
      <c r="E49" s="487"/>
      <c r="F49" s="487"/>
      <c r="G49" s="487"/>
      <c r="H49" s="487"/>
      <c r="I49" s="487" t="s">
        <v>328</v>
      </c>
      <c r="J49" s="487"/>
      <c r="K49" s="487"/>
      <c r="L49" s="487"/>
      <c r="M49" s="487"/>
      <c r="N49" s="487"/>
      <c r="O49" s="488" t="s">
        <v>341</v>
      </c>
      <c r="P49" s="489"/>
      <c r="Q49" s="489"/>
      <c r="R49" s="489"/>
      <c r="S49" s="489"/>
      <c r="T49" s="489"/>
      <c r="U49" s="1"/>
      <c r="V49" s="497" t="s">
        <v>203</v>
      </c>
      <c r="W49" s="626" t="s">
        <v>328</v>
      </c>
      <c r="X49" s="626"/>
      <c r="Y49" s="626"/>
      <c r="Z49" s="626"/>
      <c r="AA49" s="626"/>
      <c r="AB49" s="626" t="s">
        <v>343</v>
      </c>
      <c r="AC49" s="626"/>
      <c r="AD49" s="626"/>
      <c r="AE49" s="626"/>
      <c r="AF49" s="626"/>
    </row>
    <row r="50" spans="2:32">
      <c r="B50" s="375" t="s">
        <v>87</v>
      </c>
      <c r="C50" s="478">
        <v>1.2500000000000001E-2</v>
      </c>
      <c r="D50" s="478">
        <v>2.5000000000000001E-2</v>
      </c>
      <c r="E50" s="478">
        <v>3.7499999999999999E-2</v>
      </c>
      <c r="F50" s="479">
        <v>0.05</v>
      </c>
      <c r="G50" s="478">
        <v>6.25E-2</v>
      </c>
      <c r="H50" s="478">
        <v>7.4999999999999997E-2</v>
      </c>
      <c r="I50" s="478">
        <v>1.2500000000000001E-2</v>
      </c>
      <c r="J50" s="478">
        <v>2.5000000000000001E-2</v>
      </c>
      <c r="K50" s="478">
        <v>3.7499999999999999E-2</v>
      </c>
      <c r="L50" s="479">
        <v>0.05</v>
      </c>
      <c r="M50" s="478">
        <v>6.25E-2</v>
      </c>
      <c r="N50" s="478">
        <v>7.4999999999999997E-2</v>
      </c>
      <c r="O50" s="478">
        <v>1.2500000000000001E-2</v>
      </c>
      <c r="P50" s="478">
        <v>2.5000000000000001E-2</v>
      </c>
      <c r="Q50" s="478">
        <v>3.7499999999999999E-2</v>
      </c>
      <c r="R50" s="479">
        <v>0.05</v>
      </c>
      <c r="S50" s="478">
        <v>6.25E-2</v>
      </c>
      <c r="T50" s="490">
        <v>7.4999999999999997E-2</v>
      </c>
      <c r="U50" s="491"/>
      <c r="V50" s="498" t="s">
        <v>87</v>
      </c>
      <c r="W50" s="493">
        <v>5.0000000000000002E-5</v>
      </c>
      <c r="X50" s="494">
        <v>5.0000000000000001E-4</v>
      </c>
      <c r="Y50" s="494">
        <v>5.0000000000000001E-3</v>
      </c>
      <c r="Z50" s="494">
        <v>0.01</v>
      </c>
      <c r="AA50" s="496">
        <v>0.02</v>
      </c>
      <c r="AB50" s="493">
        <v>5.0000000000000002E-5</v>
      </c>
      <c r="AC50" s="494">
        <v>5.0000000000000001E-4</v>
      </c>
      <c r="AD50" s="494">
        <v>5.0000000000000001E-3</v>
      </c>
      <c r="AE50" s="494">
        <v>0.01</v>
      </c>
      <c r="AF50" s="494">
        <v>0.02</v>
      </c>
    </row>
    <row r="51" spans="2:32">
      <c r="B51">
        <v>2020</v>
      </c>
      <c r="C51" s="439">
        <v>0.83325332336381885</v>
      </c>
      <c r="D51" s="439">
        <v>0.83325332336381885</v>
      </c>
      <c r="E51" s="439">
        <v>0.83325332336381885</v>
      </c>
      <c r="F51" s="439">
        <v>0.83325332336381885</v>
      </c>
      <c r="G51" s="439">
        <v>0.83325332336381885</v>
      </c>
      <c r="H51" s="456">
        <v>0.83325332336381885</v>
      </c>
      <c r="I51" s="180">
        <v>1.4193016678564021</v>
      </c>
      <c r="J51" s="180">
        <v>1.4193016678564021</v>
      </c>
      <c r="K51" s="180">
        <v>1.4193016678564021</v>
      </c>
      <c r="L51" s="180">
        <v>1.4193016678564021</v>
      </c>
      <c r="M51" s="180">
        <v>1.4193016678564021</v>
      </c>
      <c r="N51" s="180">
        <v>1.4193016678564021</v>
      </c>
      <c r="O51" s="180">
        <v>0</v>
      </c>
      <c r="P51" s="180">
        <v>0</v>
      </c>
      <c r="Q51" s="180">
        <v>0</v>
      </c>
      <c r="R51" s="180">
        <v>0</v>
      </c>
      <c r="S51" s="180">
        <v>0</v>
      </c>
      <c r="T51" s="180">
        <v>0</v>
      </c>
      <c r="V51">
        <v>2020</v>
      </c>
      <c r="W51" s="180">
        <v>1.4193016678563901E-2</v>
      </c>
      <c r="X51" s="180">
        <v>0.14193016678564013</v>
      </c>
      <c r="Y51" s="180">
        <v>1.4193016678564021</v>
      </c>
      <c r="Z51" s="180">
        <v>2.8386033357128033</v>
      </c>
      <c r="AA51" s="180">
        <v>5.6772066714256075</v>
      </c>
      <c r="AB51" s="180">
        <v>0</v>
      </c>
      <c r="AC51" s="180">
        <v>0</v>
      </c>
      <c r="AD51" s="180">
        <v>0</v>
      </c>
      <c r="AE51" s="180">
        <v>0</v>
      </c>
      <c r="AF51" s="180">
        <v>0</v>
      </c>
    </row>
    <row r="52" spans="2:32">
      <c r="B52">
        <v>2021</v>
      </c>
      <c r="C52" s="439">
        <v>0.85177269307423054</v>
      </c>
      <c r="D52" s="439">
        <v>0.86228840533440598</v>
      </c>
      <c r="E52" s="439">
        <v>0.87283706682633</v>
      </c>
      <c r="F52" s="439">
        <v>0.88331982985475743</v>
      </c>
      <c r="G52" s="439">
        <v>0.89383554211493332</v>
      </c>
      <c r="H52" s="456">
        <v>0.90435125437510855</v>
      </c>
      <c r="I52" s="180">
        <v>1.3821464260160969</v>
      </c>
      <c r="J52" s="180">
        <v>1.3821464260160958</v>
      </c>
      <c r="K52" s="180">
        <v>1.3821464260160954</v>
      </c>
      <c r="L52" s="180">
        <v>1.3821464260160963</v>
      </c>
      <c r="M52" s="180">
        <v>1.3821464260160965</v>
      </c>
      <c r="N52" s="180">
        <v>1.3821464260160961</v>
      </c>
      <c r="O52" s="180">
        <v>-1.8261295500889548E-3</v>
      </c>
      <c r="P52" s="180">
        <v>-1.8261295500893316E-3</v>
      </c>
      <c r="Q52" s="180">
        <v>-1.8261295500896994E-3</v>
      </c>
      <c r="R52" s="180">
        <v>-1.8261295500893659E-3</v>
      </c>
      <c r="S52" s="180">
        <v>-1.8261295500892104E-3</v>
      </c>
      <c r="T52" s="180">
        <v>-1.8261295500895682E-3</v>
      </c>
      <c r="V52">
        <v>2021</v>
      </c>
      <c r="W52" s="180">
        <v>1.2844210863994395E-2</v>
      </c>
      <c r="X52" s="180">
        <v>0.13754275344433325</v>
      </c>
      <c r="Y52" s="180">
        <v>1.3821464260160954</v>
      </c>
      <c r="Z52" s="180">
        <v>2.759964079006894</v>
      </c>
      <c r="AA52" s="180">
        <v>5.4995963842046969</v>
      </c>
      <c r="AB52" s="180">
        <v>-1.0219795264262519E-3</v>
      </c>
      <c r="AC52" s="180">
        <v>-1.0950840740322914E-3</v>
      </c>
      <c r="AD52" s="180">
        <v>-1.8261295500896994E-3</v>
      </c>
      <c r="AE52" s="180">
        <v>-2.6384023012646363E-3</v>
      </c>
      <c r="AF52" s="180">
        <v>-4.2629478036148617E-3</v>
      </c>
    </row>
    <row r="53" spans="2:32">
      <c r="B53">
        <v>2022</v>
      </c>
      <c r="C53" s="439">
        <v>0.87063875953863323</v>
      </c>
      <c r="D53" s="439">
        <v>0.89226871195515467</v>
      </c>
      <c r="E53" s="439">
        <v>0.91423308508603995</v>
      </c>
      <c r="F53" s="439">
        <v>0.93632481135567647</v>
      </c>
      <c r="G53" s="439">
        <v>0.95875095833967727</v>
      </c>
      <c r="H53" s="456">
        <v>0.98144250351283768</v>
      </c>
      <c r="I53" s="180">
        <v>1.3465375544218481</v>
      </c>
      <c r="J53" s="180">
        <v>1.3465375544218481</v>
      </c>
      <c r="K53" s="180">
        <v>1.3465375544218479</v>
      </c>
      <c r="L53" s="180">
        <v>1.3465375544218472</v>
      </c>
      <c r="M53" s="180">
        <v>1.3465375544218472</v>
      </c>
      <c r="N53" s="180">
        <v>1.3465375544218474</v>
      </c>
      <c r="O53" s="180">
        <v>-3.3942466115640352E-3</v>
      </c>
      <c r="P53" s="180">
        <v>-3.3942466115642399E-3</v>
      </c>
      <c r="Q53" s="180">
        <v>-3.3942466115643756E-3</v>
      </c>
      <c r="R53" s="180">
        <v>-3.3942466115645924E-3</v>
      </c>
      <c r="S53" s="180">
        <v>-3.3942466115647442E-3</v>
      </c>
      <c r="T53" s="180">
        <v>-3.3942466115646271E-3</v>
      </c>
      <c r="V53">
        <v>2022</v>
      </c>
      <c r="W53" s="180">
        <v>1.1770204191120695E-2</v>
      </c>
      <c r="X53" s="180">
        <v>0.13353088321058246</v>
      </c>
      <c r="Y53" s="180">
        <v>1.3465375544218479</v>
      </c>
      <c r="Z53" s="180">
        <v>2.6845523482480309</v>
      </c>
      <c r="AA53" s="180">
        <v>5.3299868172208376</v>
      </c>
      <c r="AB53" s="180">
        <v>-1.7802534011228121E-3</v>
      </c>
      <c r="AC53" s="180">
        <v>-1.9271210404657746E-3</v>
      </c>
      <c r="AD53" s="180">
        <v>-3.3942466115643756E-3</v>
      </c>
      <c r="AE53" s="180">
        <v>-5.0210780146595921E-3</v>
      </c>
      <c r="AF53" s="180">
        <v>-8.2642867886467894E-3</v>
      </c>
    </row>
    <row r="54" spans="2:32">
      <c r="B54">
        <v>2023</v>
      </c>
      <c r="C54" s="439">
        <v>0.88984551660876565</v>
      </c>
      <c r="D54" s="439">
        <v>0.92321131188888672</v>
      </c>
      <c r="E54" s="439">
        <v>0.95750934525323528</v>
      </c>
      <c r="F54" s="439">
        <v>0.9924243652184942</v>
      </c>
      <c r="G54" s="439">
        <v>1.0282917160839271</v>
      </c>
      <c r="H54" s="456">
        <v>1.0650130116270764</v>
      </c>
      <c r="I54" s="180">
        <v>1.312370107953005</v>
      </c>
      <c r="J54" s="180">
        <v>1.3123701079530046</v>
      </c>
      <c r="K54" s="180">
        <v>1.3123701079530048</v>
      </c>
      <c r="L54" s="180">
        <v>1.3123701079530046</v>
      </c>
      <c r="M54" s="180">
        <v>1.3123701079530052</v>
      </c>
      <c r="N54" s="180">
        <v>1.3123701079530052</v>
      </c>
      <c r="O54" s="180">
        <v>-4.7359532697921012E-3</v>
      </c>
      <c r="P54" s="180">
        <v>-4.7359532697922859E-3</v>
      </c>
      <c r="Q54" s="180">
        <v>-4.7359532697924004E-3</v>
      </c>
      <c r="R54" s="180">
        <v>-4.7359532697924134E-3</v>
      </c>
      <c r="S54" s="180">
        <v>-4.7359532697921957E-3</v>
      </c>
      <c r="T54" s="180">
        <v>-4.735953269792338E-3</v>
      </c>
      <c r="V54">
        <v>2023</v>
      </c>
      <c r="W54" s="180">
        <v>1.0939267168457866E-2</v>
      </c>
      <c r="X54" s="180">
        <v>0.12985780538241234</v>
      </c>
      <c r="Y54" s="180">
        <v>1.3123701079530048</v>
      </c>
      <c r="Z54" s="180">
        <v>2.6121509357894848</v>
      </c>
      <c r="AA54" s="180">
        <v>5.1678499679259478</v>
      </c>
      <c r="AB54" s="180">
        <v>-2.3060179317606635E-3</v>
      </c>
      <c r="AC54" s="180">
        <v>-2.5273457529706752E-3</v>
      </c>
      <c r="AD54" s="180">
        <v>-4.7359532697924004E-3</v>
      </c>
      <c r="AE54" s="180">
        <v>-7.1800123557492169E-3</v>
      </c>
      <c r="AF54" s="180">
        <v>-1.2036774510823125E-2</v>
      </c>
    </row>
    <row r="55" spans="2:32">
      <c r="B55">
        <v>2024</v>
      </c>
      <c r="C55" s="439">
        <v>0.90939979666682369</v>
      </c>
      <c r="D55" s="439">
        <v>0.95514693584360644</v>
      </c>
      <c r="E55" s="439">
        <v>1.0027501271614887</v>
      </c>
      <c r="F55" s="439">
        <v>1.0517969848394142</v>
      </c>
      <c r="G55" s="439">
        <v>1.1027840601582892</v>
      </c>
      <c r="H55" s="456">
        <v>1.1556027913928524</v>
      </c>
      <c r="I55" s="180">
        <v>1.2795664890456768</v>
      </c>
      <c r="J55" s="180">
        <v>1.2795664890456762</v>
      </c>
      <c r="K55" s="180">
        <v>1.2795664890456762</v>
      </c>
      <c r="L55" s="180">
        <v>1.2795664890456766</v>
      </c>
      <c r="M55" s="180">
        <v>1.2795664890456757</v>
      </c>
      <c r="N55" s="180">
        <v>1.2795664890456762</v>
      </c>
      <c r="O55" s="180">
        <v>-5.8620914756959295E-3</v>
      </c>
      <c r="P55" s="180">
        <v>-5.8620914756960614E-3</v>
      </c>
      <c r="Q55" s="180">
        <v>-5.8620914756962288E-3</v>
      </c>
      <c r="R55" s="180">
        <v>-5.8620914756961099E-3</v>
      </c>
      <c r="S55" s="180">
        <v>-5.8620914756961828E-3</v>
      </c>
      <c r="T55" s="180">
        <v>-5.8620914756961698E-3</v>
      </c>
      <c r="V55">
        <v>2024</v>
      </c>
      <c r="W55" s="180">
        <v>1.0340452283336254E-2</v>
      </c>
      <c r="X55" s="180">
        <v>0.12650796647817533</v>
      </c>
      <c r="Y55" s="180">
        <v>1.2795664890456762</v>
      </c>
      <c r="Z55" s="180">
        <v>2.5425788524776718</v>
      </c>
      <c r="AA55" s="180">
        <v>5.012707513116589</v>
      </c>
      <c r="AB55" s="180">
        <v>-2.609730573479632E-3</v>
      </c>
      <c r="AC55" s="180">
        <v>-2.9062523888744372E-3</v>
      </c>
      <c r="AD55" s="180">
        <v>-5.8620914756962288E-3</v>
      </c>
      <c r="AE55" s="180">
        <v>-9.1264064548431303E-3</v>
      </c>
      <c r="AF55" s="180">
        <v>-1.5592328855524827E-2</v>
      </c>
    </row>
    <row r="56" spans="2:32">
      <c r="B56">
        <v>2025</v>
      </c>
      <c r="C56" s="439">
        <v>0.9293233137461292</v>
      </c>
      <c r="D56" s="439">
        <v>0.9881229809377714</v>
      </c>
      <c r="E56" s="439">
        <v>1.0500601411048072</v>
      </c>
      <c r="F56" s="439">
        <v>1.1146490963074989</v>
      </c>
      <c r="G56" s="439">
        <v>1.1825958932849487</v>
      </c>
      <c r="H56" s="456">
        <v>1.2538165386605467</v>
      </c>
      <c r="I56" s="180">
        <v>1.2480741405698828</v>
      </c>
      <c r="J56" s="180">
        <v>1.2480741405698825</v>
      </c>
      <c r="K56" s="180">
        <v>1.2480741405698823</v>
      </c>
      <c r="L56" s="180">
        <v>1.248074140569883</v>
      </c>
      <c r="M56" s="180">
        <v>1.2480741405698834</v>
      </c>
      <c r="N56" s="180">
        <v>1.2480741405698832</v>
      </c>
      <c r="O56" s="180">
        <v>-6.7643577724126741E-3</v>
      </c>
      <c r="P56" s="180">
        <v>-6.7643577724125917E-3</v>
      </c>
      <c r="Q56" s="180">
        <v>-6.7643577724127175E-3</v>
      </c>
      <c r="R56" s="180">
        <v>-6.7643577724123887E-3</v>
      </c>
      <c r="S56" s="180">
        <v>-6.7643577724125084E-3</v>
      </c>
      <c r="T56" s="180">
        <v>-6.764357772412394E-3</v>
      </c>
      <c r="V56">
        <v>2025</v>
      </c>
      <c r="W56" s="180">
        <v>9.9820509897589563E-3</v>
      </c>
      <c r="X56" s="180">
        <v>0.12348540612630696</v>
      </c>
      <c r="Y56" s="180">
        <v>1.2480741405698823</v>
      </c>
      <c r="Z56" s="180">
        <v>2.4756885120295955</v>
      </c>
      <c r="AA56" s="180">
        <v>4.8641265013674673</v>
      </c>
      <c r="AB56" s="180">
        <v>-2.6826472266979996E-3</v>
      </c>
      <c r="AC56" s="180">
        <v>-3.055138808017254E-3</v>
      </c>
      <c r="AD56" s="180">
        <v>-6.7643577724127175E-3</v>
      </c>
      <c r="AE56" s="180">
        <v>-1.0852369838597491E-2</v>
      </c>
      <c r="AF56" s="180">
        <v>-1.8923875376548834E-2</v>
      </c>
    </row>
    <row r="57" spans="2:32">
      <c r="B57">
        <v>2026</v>
      </c>
      <c r="C57" s="439">
        <v>0.9496265229794717</v>
      </c>
      <c r="D57" s="439">
        <v>1.022176369879632</v>
      </c>
      <c r="E57" s="439">
        <v>1.0995364865127564</v>
      </c>
      <c r="F57" s="439">
        <v>1.1811864029861381</v>
      </c>
      <c r="G57" s="439">
        <v>1.2681081009756738</v>
      </c>
      <c r="H57" s="456">
        <v>1.3602960285262646</v>
      </c>
      <c r="I57" s="180">
        <v>1.2178271292036427</v>
      </c>
      <c r="J57" s="180">
        <v>1.2178271292036424</v>
      </c>
      <c r="K57" s="180">
        <v>1.2178271292036433</v>
      </c>
      <c r="L57" s="180">
        <v>1.2178271292036431</v>
      </c>
      <c r="M57" s="180">
        <v>1.2178271292036424</v>
      </c>
      <c r="N57" s="180">
        <v>1.2178271292036431</v>
      </c>
      <c r="O57" s="180">
        <v>-7.453085733296106E-3</v>
      </c>
      <c r="P57" s="180">
        <v>-7.4530857332962318E-3</v>
      </c>
      <c r="Q57" s="180">
        <v>-7.4530857332960653E-3</v>
      </c>
      <c r="R57" s="180">
        <v>-7.4530857332959386E-3</v>
      </c>
      <c r="S57" s="180">
        <v>-7.4530857332962492E-3</v>
      </c>
      <c r="T57" s="180">
        <v>-7.4530857332957938E-3</v>
      </c>
      <c r="V57">
        <v>2026</v>
      </c>
      <c r="W57" s="180">
        <v>9.8536989747551249E-3</v>
      </c>
      <c r="X57" s="180">
        <v>0.12077582603456447</v>
      </c>
      <c r="Y57" s="180">
        <v>1.2178271292036433</v>
      </c>
      <c r="Z57" s="180">
        <v>2.4113269847039804</v>
      </c>
      <c r="AA57" s="180">
        <v>4.7216798717201804</v>
      </c>
      <c r="AB57" s="180">
        <v>-2.5347121416445287E-3</v>
      </c>
      <c r="AC57" s="180">
        <v>-2.9839866693144074E-3</v>
      </c>
      <c r="AD57" s="180">
        <v>-7.4530857332960653E-3</v>
      </c>
      <c r="AE57" s="180">
        <v>-1.2368594831617211E-2</v>
      </c>
      <c r="AF57" s="180">
        <v>-2.204280792978127E-2</v>
      </c>
    </row>
    <row r="58" spans="2:32">
      <c r="B58">
        <v>2027</v>
      </c>
      <c r="C58" s="439">
        <v>0.97029193135402436</v>
      </c>
      <c r="D58" s="439">
        <v>1.0573146614492168</v>
      </c>
      <c r="E58" s="439">
        <v>1.1512474934052648</v>
      </c>
      <c r="F58" s="439">
        <v>1.2515905927321358</v>
      </c>
      <c r="G58" s="439">
        <v>1.3596895751388847</v>
      </c>
      <c r="H58" s="456">
        <v>1.4756944587198213</v>
      </c>
      <c r="I58" s="180">
        <v>1.1887290578585759</v>
      </c>
      <c r="J58" s="180">
        <v>1.1887290578585752</v>
      </c>
      <c r="K58" s="180">
        <v>1.1887290578585752</v>
      </c>
      <c r="L58" s="180">
        <v>1.1887290578585756</v>
      </c>
      <c r="M58" s="180">
        <v>1.1887290578585754</v>
      </c>
      <c r="N58" s="180">
        <v>1.1887290578585756</v>
      </c>
      <c r="O58" s="180">
        <v>-7.9737562576441441E-3</v>
      </c>
      <c r="P58" s="180">
        <v>-7.9737562576444824E-3</v>
      </c>
      <c r="Q58" s="180">
        <v>-7.9737562576443592E-3</v>
      </c>
      <c r="R58" s="180">
        <v>-7.9737562576444251E-3</v>
      </c>
      <c r="S58" s="180">
        <v>-7.9737562576445622E-3</v>
      </c>
      <c r="T58" s="180">
        <v>-7.9737562576443315E-3</v>
      </c>
      <c r="V58">
        <v>2027</v>
      </c>
      <c r="W58" s="180">
        <v>9.9096866634631759E-3</v>
      </c>
      <c r="X58" s="180">
        <v>0.11832987737840994</v>
      </c>
      <c r="Y58" s="180">
        <v>1.1887290578585752</v>
      </c>
      <c r="Z58" s="180">
        <v>2.3493186325200841</v>
      </c>
      <c r="AA58" s="180">
        <v>4.5849288832501536</v>
      </c>
      <c r="AB58" s="180">
        <v>-2.2112433453891755E-3</v>
      </c>
      <c r="AC58" s="180">
        <v>-2.7381308263314461E-3</v>
      </c>
      <c r="AD58" s="180">
        <v>-7.9737562576443592E-3</v>
      </c>
      <c r="AE58" s="180">
        <v>-1.3720692694597036E-2</v>
      </c>
      <c r="AF58" s="180">
        <v>-2.4994985410788859E-2</v>
      </c>
    </row>
    <row r="59" spans="2:32">
      <c r="B59">
        <v>2028</v>
      </c>
      <c r="C59" s="439">
        <v>0.99135995053836623</v>
      </c>
      <c r="D59" s="439">
        <v>1.0936089054622151</v>
      </c>
      <c r="E59" s="439">
        <v>1.2053331915581489</v>
      </c>
      <c r="F59" s="439">
        <v>1.3261281913015126</v>
      </c>
      <c r="G59" s="439">
        <v>1.4578157056792722</v>
      </c>
      <c r="H59" s="456">
        <v>1.6008064628824965</v>
      </c>
      <c r="I59" s="180">
        <v>1.1607609274050417</v>
      </c>
      <c r="J59" s="180">
        <v>1.1607609274050412</v>
      </c>
      <c r="K59" s="180">
        <v>1.1607609274050417</v>
      </c>
      <c r="L59" s="180">
        <v>1.1607609274050426</v>
      </c>
      <c r="M59" s="180">
        <v>1.1607609274050414</v>
      </c>
      <c r="N59" s="180">
        <v>1.1607609274050414</v>
      </c>
      <c r="O59" s="180">
        <v>-8.2986137100785548E-3</v>
      </c>
      <c r="P59" s="180">
        <v>-8.2986137100785513E-3</v>
      </c>
      <c r="Q59" s="180">
        <v>-8.298613710078789E-3</v>
      </c>
      <c r="R59" s="180">
        <v>-8.2986137100787317E-3</v>
      </c>
      <c r="S59" s="180">
        <v>-8.2986137100786641E-3</v>
      </c>
      <c r="T59" s="180">
        <v>-8.2986137100786762E-3</v>
      </c>
      <c r="V59">
        <v>2028</v>
      </c>
      <c r="W59" s="180">
        <v>1.0177910131309465E-2</v>
      </c>
      <c r="X59" s="180">
        <v>0.11617202644448839</v>
      </c>
      <c r="Y59" s="180">
        <v>1.1607609274050417</v>
      </c>
      <c r="Z59" s="180">
        <v>2.2895719331700071</v>
      </c>
      <c r="AA59" s="180">
        <v>4.4535286899327744</v>
      </c>
      <c r="AB59" s="180">
        <v>-1.683978310631993E-3</v>
      </c>
      <c r="AC59" s="180">
        <v>-2.2893571106820786E-3</v>
      </c>
      <c r="AD59" s="180">
        <v>-8.298613710078789E-3</v>
      </c>
      <c r="AE59" s="180">
        <v>-1.4881379825364301E-2</v>
      </c>
      <c r="AF59" s="180">
        <v>-2.775404038021605E-2</v>
      </c>
    </row>
    <row r="60" spans="2:32">
      <c r="B60">
        <v>2029</v>
      </c>
      <c r="C60" s="439">
        <v>1.0128448073859277</v>
      </c>
      <c r="D60" s="439">
        <v>1.131103659453915</v>
      </c>
      <c r="E60" s="439">
        <v>1.2619092391519089</v>
      </c>
      <c r="F60" s="439">
        <v>1.4050484835665731</v>
      </c>
      <c r="G60" s="439">
        <v>1.5629607339484837</v>
      </c>
      <c r="H60" s="456">
        <v>1.7364560559171507</v>
      </c>
      <c r="I60" s="180">
        <v>1.1338710971210832</v>
      </c>
      <c r="J60" s="180">
        <v>1.1338710971210832</v>
      </c>
      <c r="K60" s="180">
        <v>1.1338710971210837</v>
      </c>
      <c r="L60" s="180">
        <v>1.1338710971210846</v>
      </c>
      <c r="M60" s="180">
        <v>1.1338710971210835</v>
      </c>
      <c r="N60" s="180">
        <v>1.1338710971210835</v>
      </c>
      <c r="O60" s="180">
        <v>-8.4362362211727951E-3</v>
      </c>
      <c r="P60" s="180">
        <v>-8.4362362211726893E-3</v>
      </c>
      <c r="Q60" s="180">
        <v>-8.4362362211727153E-3</v>
      </c>
      <c r="R60" s="180">
        <v>-8.4362362211727274E-3</v>
      </c>
      <c r="S60" s="180">
        <v>-8.4362362211728714E-3</v>
      </c>
      <c r="T60" s="180">
        <v>-8.4362362211726164E-3</v>
      </c>
      <c r="V60">
        <v>2029</v>
      </c>
      <c r="W60" s="180">
        <v>1.0649786292907354E-2</v>
      </c>
      <c r="X60" s="180">
        <v>0.11429048851778585</v>
      </c>
      <c r="Y60" s="180">
        <v>1.1338710971210837</v>
      </c>
      <c r="Z60" s="180">
        <v>2.2319694687414393</v>
      </c>
      <c r="AA60" s="180">
        <v>4.3271196391489006</v>
      </c>
      <c r="AB60" s="180">
        <v>-9.6115589652558781E-4</v>
      </c>
      <c r="AC60" s="180">
        <v>-1.6459375558878107E-3</v>
      </c>
      <c r="AD60" s="180">
        <v>-8.4362362211727153E-3</v>
      </c>
      <c r="AE60" s="180">
        <v>-1.5859536261999548E-2</v>
      </c>
      <c r="AF60" s="180">
        <v>-3.0329429613556246E-2</v>
      </c>
    </row>
    <row r="61" spans="2:32">
      <c r="B61">
        <v>2030</v>
      </c>
      <c r="C61" s="439">
        <v>1.0347299857289531</v>
      </c>
      <c r="D61" s="439">
        <v>1.1698101085417043</v>
      </c>
      <c r="E61" s="439">
        <v>1.3210574884545541</v>
      </c>
      <c r="F61" s="439">
        <v>1.4885715234924577</v>
      </c>
      <c r="G61" s="439">
        <v>1.6755836083819515</v>
      </c>
      <c r="H61" s="456">
        <v>1.8834814984485464</v>
      </c>
      <c r="I61" s="180">
        <v>1.1079774249526186</v>
      </c>
      <c r="J61" s="180">
        <v>1.1079774249526191</v>
      </c>
      <c r="K61" s="180">
        <v>1.10797742495262</v>
      </c>
      <c r="L61" s="180">
        <v>1.1079774249526206</v>
      </c>
      <c r="M61" s="180">
        <v>1.1079774249526193</v>
      </c>
      <c r="N61" s="180">
        <v>1.1079774249526189</v>
      </c>
      <c r="O61" s="180">
        <v>-8.428976343989196E-3</v>
      </c>
      <c r="P61" s="180">
        <v>-8.428976343988882E-3</v>
      </c>
      <c r="Q61" s="180">
        <v>-8.4289763439889306E-3</v>
      </c>
      <c r="R61" s="180">
        <v>-8.4289763439889046E-3</v>
      </c>
      <c r="S61" s="180">
        <v>-8.4289763439890121E-3</v>
      </c>
      <c r="T61" s="180">
        <v>-8.4289763439892688E-3</v>
      </c>
      <c r="V61">
        <v>2030</v>
      </c>
      <c r="W61" s="180">
        <v>1.1282674031606018E-2</v>
      </c>
      <c r="X61" s="180">
        <v>0.11263963788214131</v>
      </c>
      <c r="Y61" s="180">
        <v>1.10797742495262</v>
      </c>
      <c r="Z61" s="180">
        <v>2.1763697029192772</v>
      </c>
      <c r="AA61" s="180">
        <v>4.205330031382438</v>
      </c>
      <c r="AB61" s="180">
        <v>-8.5092809751205831E-5</v>
      </c>
      <c r="AC61" s="180">
        <v>-8.5019433521577102E-4</v>
      </c>
      <c r="AD61" s="180">
        <v>-8.4289763439889306E-3</v>
      </c>
      <c r="AE61" s="180">
        <v>-1.6697513467747338E-2</v>
      </c>
      <c r="AF61" s="180">
        <v>-3.2763489361043688E-2</v>
      </c>
    </row>
    <row r="62" spans="2:32">
      <c r="B62">
        <v>2040</v>
      </c>
      <c r="C62" s="439">
        <v>-2.5421695313369908E-2</v>
      </c>
      <c r="D62" s="439">
        <v>-3.2492354239217036E-2</v>
      </c>
      <c r="E62" s="439">
        <v>-4.1437531327229049E-2</v>
      </c>
      <c r="F62" s="439">
        <v>-5.2612610747622579E-2</v>
      </c>
      <c r="G62" s="439">
        <v>-6.6662661061840378E-2</v>
      </c>
      <c r="H62" s="456">
        <v>-8.4231232709932158E-2</v>
      </c>
      <c r="I62" s="180">
        <v>-1.7465124478386961E-2</v>
      </c>
      <c r="J62" s="180">
        <v>-1.7465124478386666E-2</v>
      </c>
      <c r="K62" s="180">
        <v>-1.7465124478386884E-2</v>
      </c>
      <c r="L62" s="180">
        <v>-1.7465124478386544E-2</v>
      </c>
      <c r="M62" s="180">
        <v>-1.7465124478386579E-2</v>
      </c>
      <c r="N62" s="180">
        <v>-1.7465124478387158E-2</v>
      </c>
      <c r="O62" s="180">
        <v>-1.7465124478386961E-2</v>
      </c>
      <c r="P62" s="180">
        <v>-1.7465124478386666E-2</v>
      </c>
      <c r="Q62" s="180">
        <v>-1.7465124478386884E-2</v>
      </c>
      <c r="R62" s="180">
        <v>-1.7465124478386544E-2</v>
      </c>
      <c r="S62" s="180">
        <v>-1.7465124478386579E-2</v>
      </c>
      <c r="T62" s="180">
        <v>-1.7465124478387158E-2</v>
      </c>
      <c r="V62">
        <v>2040</v>
      </c>
      <c r="W62" s="180">
        <v>-1.7733812608521196E-4</v>
      </c>
      <c r="X62" s="180">
        <v>-1.7709199251834677E-3</v>
      </c>
      <c r="Y62" s="180">
        <v>-1.7465124478386884E-2</v>
      </c>
      <c r="Z62" s="180">
        <v>-3.4396444796806411E-2</v>
      </c>
      <c r="AA62" s="180">
        <v>-6.6708684115600062E-2</v>
      </c>
      <c r="AB62" s="180">
        <v>-1.7733812608521196E-4</v>
      </c>
      <c r="AC62" s="180">
        <v>-1.7709199251834677E-3</v>
      </c>
      <c r="AD62" s="180">
        <v>-1.7465124478386884E-2</v>
      </c>
      <c r="AE62" s="180">
        <v>-3.4396444796806411E-2</v>
      </c>
      <c r="AF62" s="180">
        <v>-6.6708684115600062E-2</v>
      </c>
    </row>
    <row r="63" spans="2:32">
      <c r="B63">
        <v>2050</v>
      </c>
      <c r="C63" s="439">
        <v>-3.9692165675463631E-2</v>
      </c>
      <c r="D63" s="439">
        <v>-5.7354804080878896E-2</v>
      </c>
      <c r="E63" s="439">
        <v>-8.2601672833102491E-2</v>
      </c>
      <c r="F63" s="439">
        <v>-0.11817695918246685</v>
      </c>
      <c r="G63" s="439">
        <v>-0.1685473778755977</v>
      </c>
      <c r="H63" s="456">
        <v>-0.23939097105037455</v>
      </c>
      <c r="I63" s="180">
        <v>-1.807152557230737E-2</v>
      </c>
      <c r="J63" s="180">
        <v>-1.807152557230754E-2</v>
      </c>
      <c r="K63" s="180">
        <v>-1.8071525572307311E-2</v>
      </c>
      <c r="L63" s="180">
        <v>-1.8071525572307515E-2</v>
      </c>
      <c r="M63" s="180">
        <v>-1.8071525572307411E-2</v>
      </c>
      <c r="N63" s="180">
        <v>-1.8071525572307075E-2</v>
      </c>
      <c r="O63" s="180">
        <v>-1.807152557230737E-2</v>
      </c>
      <c r="P63" s="180">
        <v>-1.807152557230754E-2</v>
      </c>
      <c r="Q63" s="180">
        <v>-1.8071525572307311E-2</v>
      </c>
      <c r="R63" s="180">
        <v>-1.8071525572307515E-2</v>
      </c>
      <c r="S63" s="180">
        <v>-1.8071525572307411E-2</v>
      </c>
      <c r="T63" s="180">
        <v>-1.8071525572307075E-2</v>
      </c>
      <c r="V63">
        <v>2050</v>
      </c>
      <c r="W63" s="180">
        <v>-1.8349542738507044E-4</v>
      </c>
      <c r="X63" s="180">
        <v>-1.8324074789197308E-3</v>
      </c>
      <c r="Y63" s="180">
        <v>-1.8071525572307311E-2</v>
      </c>
      <c r="Z63" s="180">
        <v>-3.5590712938300295E-2</v>
      </c>
      <c r="AA63" s="180">
        <v>-6.9024855355705864E-2</v>
      </c>
      <c r="AB63" s="180">
        <v>-1.8349542738507044E-4</v>
      </c>
      <c r="AC63" s="180">
        <v>-1.8324074789197308E-3</v>
      </c>
      <c r="AD63" s="180">
        <v>-1.8071525572307311E-2</v>
      </c>
      <c r="AE63" s="180">
        <v>-3.5590712938300295E-2</v>
      </c>
      <c r="AF63" s="180">
        <v>-6.9024855355705864E-2</v>
      </c>
    </row>
    <row r="64" spans="2:32">
      <c r="B64">
        <v>2060</v>
      </c>
      <c r="C64" s="439">
        <v>-6.0584419538523449E-2</v>
      </c>
      <c r="D64" s="439">
        <v>-9.897244324888721E-2</v>
      </c>
      <c r="E64" s="439">
        <v>-0.16096804923259711</v>
      </c>
      <c r="F64" s="439">
        <v>-0.25949658005202636</v>
      </c>
      <c r="G64" s="439">
        <v>-0.41659804222710051</v>
      </c>
      <c r="H64" s="456">
        <v>-0.66511730256627999</v>
      </c>
      <c r="I64" s="180">
        <v>-1.8563585441006111E-2</v>
      </c>
      <c r="J64" s="180">
        <v>-1.8563585441005989E-2</v>
      </c>
      <c r="K64" s="180">
        <v>-1.8563585441006298E-2</v>
      </c>
      <c r="L64" s="180">
        <v>-1.8563585441005982E-2</v>
      </c>
      <c r="M64" s="180">
        <v>-1.8563585441006294E-2</v>
      </c>
      <c r="N64" s="180">
        <v>-1.8563585441006475E-2</v>
      </c>
      <c r="O64" s="180">
        <v>-1.8563585441006111E-2</v>
      </c>
      <c r="P64" s="180">
        <v>-1.8563585441005989E-2</v>
      </c>
      <c r="Q64" s="180">
        <v>-1.8563585441006298E-2</v>
      </c>
      <c r="R64" s="180">
        <v>-1.8563585441005982E-2</v>
      </c>
      <c r="S64" s="180">
        <v>-1.8563585441006294E-2</v>
      </c>
      <c r="T64" s="180">
        <v>-1.8563585441006475E-2</v>
      </c>
      <c r="V64">
        <v>2060</v>
      </c>
      <c r="W64" s="180">
        <v>-1.8849172587378103E-4</v>
      </c>
      <c r="X64" s="180">
        <v>-1.8823011184949446E-3</v>
      </c>
      <c r="Y64" s="180">
        <v>-1.8563585441006298E-2</v>
      </c>
      <c r="Z64" s="180">
        <v>-3.6559793355182856E-2</v>
      </c>
      <c r="AA64" s="180">
        <v>-7.0904296088442106E-2</v>
      </c>
      <c r="AB64" s="180">
        <v>-1.8849172587378103E-4</v>
      </c>
      <c r="AC64" s="180">
        <v>-1.8823011184949446E-3</v>
      </c>
      <c r="AD64" s="180">
        <v>-1.8563585441006298E-2</v>
      </c>
      <c r="AE64" s="180">
        <v>-3.6559793355182856E-2</v>
      </c>
      <c r="AF64" s="180">
        <v>-7.0904296088442106E-2</v>
      </c>
    </row>
    <row r="65" spans="2:32">
      <c r="B65">
        <v>2070</v>
      </c>
      <c r="C65" s="439">
        <v>-8.9832982004893758E-2</v>
      </c>
      <c r="D65" s="439">
        <v>-0.16591188271041268</v>
      </c>
      <c r="E65" s="439">
        <v>-0.30472580173888808</v>
      </c>
      <c r="F65" s="439">
        <v>-0.55354021167287115</v>
      </c>
      <c r="G65" s="439">
        <v>-1.0003020483007177</v>
      </c>
      <c r="H65" s="456">
        <v>-1.7951776579893419</v>
      </c>
      <c r="I65" s="180">
        <v>-1.8980962688737384E-2</v>
      </c>
      <c r="J65" s="180">
        <v>-1.8980962688737252E-2</v>
      </c>
      <c r="K65" s="180">
        <v>-1.8980962688737224E-2</v>
      </c>
      <c r="L65" s="180">
        <v>-1.8980962688737193E-2</v>
      </c>
      <c r="M65" s="180">
        <v>-1.8980962688737228E-2</v>
      </c>
      <c r="N65" s="180">
        <v>-1.8980962688737234E-2</v>
      </c>
      <c r="O65" s="180">
        <v>-1.8980962688737384E-2</v>
      </c>
      <c r="P65" s="180">
        <v>-1.8980962688737252E-2</v>
      </c>
      <c r="Q65" s="180">
        <v>-1.8980962688737224E-2</v>
      </c>
      <c r="R65" s="180">
        <v>-1.8980962688737193E-2</v>
      </c>
      <c r="S65" s="180">
        <v>-1.8980962688737228E-2</v>
      </c>
      <c r="T65" s="180">
        <v>-1.8980962688737234E-2</v>
      </c>
      <c r="V65">
        <v>2070</v>
      </c>
      <c r="W65" s="180">
        <v>-1.9272970877920475E-4</v>
      </c>
      <c r="X65" s="180">
        <v>-1.9246221271564008E-3</v>
      </c>
      <c r="Y65" s="180">
        <v>-1.8980962688737224E-2</v>
      </c>
      <c r="Z65" s="180">
        <v>-3.738179113016539E-2</v>
      </c>
      <c r="AA65" s="180">
        <v>-7.2498483808683442E-2</v>
      </c>
      <c r="AB65" s="180">
        <v>-1.9272970877920475E-4</v>
      </c>
      <c r="AC65" s="180">
        <v>-1.9246221271564008E-3</v>
      </c>
      <c r="AD65" s="180">
        <v>-1.8980962688737224E-2</v>
      </c>
      <c r="AE65" s="180">
        <v>-3.738179113016539E-2</v>
      </c>
      <c r="AF65" s="180">
        <v>-7.2498483808683442E-2</v>
      </c>
    </row>
    <row r="66" spans="2:32">
      <c r="B66">
        <v>2080</v>
      </c>
      <c r="C66" s="439">
        <v>-0.1273977698846247</v>
      </c>
      <c r="D66" s="439">
        <v>-0.26600624705189979</v>
      </c>
      <c r="E66" s="439">
        <v>-0.55173421904746078</v>
      </c>
      <c r="F66" s="439">
        <v>-1.1293221770469088</v>
      </c>
      <c r="G66" s="439">
        <v>-2.2971863965665875</v>
      </c>
      <c r="H66" s="456">
        <v>-4.6341252495669494</v>
      </c>
      <c r="I66" s="180">
        <v>-1.934756567505537E-2</v>
      </c>
      <c r="J66" s="180">
        <v>-1.9347565675055297E-2</v>
      </c>
      <c r="K66" s="180">
        <v>-1.9347565675055443E-2</v>
      </c>
      <c r="L66" s="180">
        <v>-1.9347565675055429E-2</v>
      </c>
      <c r="M66" s="180">
        <v>-1.9347565675055512E-2</v>
      </c>
      <c r="N66" s="180">
        <v>-1.9347565675055231E-2</v>
      </c>
      <c r="O66" s="180">
        <v>-1.934756567505537E-2</v>
      </c>
      <c r="P66" s="180">
        <v>-1.9347565675055297E-2</v>
      </c>
      <c r="Q66" s="180">
        <v>-1.9347565675055443E-2</v>
      </c>
      <c r="R66" s="180">
        <v>-1.9347565675055429E-2</v>
      </c>
      <c r="S66" s="180">
        <v>-1.9347565675055512E-2</v>
      </c>
      <c r="T66" s="180">
        <v>-1.9347565675055231E-2</v>
      </c>
      <c r="V66">
        <v>2080</v>
      </c>
      <c r="W66" s="180">
        <v>-1.9645213782305127E-4</v>
      </c>
      <c r="X66" s="180">
        <v>-1.9617947527457331E-3</v>
      </c>
      <c r="Y66" s="180">
        <v>-1.9347565675055443E-2</v>
      </c>
      <c r="Z66" s="180">
        <v>-3.8103792247125082E-2</v>
      </c>
      <c r="AA66" s="180">
        <v>-7.3898737373460172E-2</v>
      </c>
      <c r="AB66" s="180">
        <v>-1.9645213782305127E-4</v>
      </c>
      <c r="AC66" s="180">
        <v>-1.9617947527457331E-3</v>
      </c>
      <c r="AD66" s="180">
        <v>-1.9347565675055443E-2</v>
      </c>
      <c r="AE66" s="180">
        <v>-3.8103792247125082E-2</v>
      </c>
      <c r="AF66" s="180">
        <v>-7.3898737373460172E-2</v>
      </c>
    </row>
    <row r="67" spans="2:32">
      <c r="B67">
        <v>2090</v>
      </c>
      <c r="C67" s="439">
        <v>-0.17509533186565385</v>
      </c>
      <c r="D67" s="439">
        <v>-0.41332617884872391</v>
      </c>
      <c r="E67" s="439">
        <v>-0.96813817340500918</v>
      </c>
      <c r="F67" s="439">
        <v>-2.2329205495725546</v>
      </c>
      <c r="G67" s="439">
        <v>-5.1126733474537218</v>
      </c>
      <c r="H67" s="456">
        <v>-11.5935071251007</v>
      </c>
      <c r="I67" s="180">
        <v>-1.9689350653183318E-2</v>
      </c>
      <c r="J67" s="180">
        <v>-1.9689350653183391E-2</v>
      </c>
      <c r="K67" s="180">
        <v>-1.9689350653183817E-2</v>
      </c>
      <c r="L67" s="180">
        <v>-1.9689350653183325E-2</v>
      </c>
      <c r="M67" s="180">
        <v>-1.9689350653183606E-2</v>
      </c>
      <c r="N67" s="180">
        <v>-1.9689350653183526E-2</v>
      </c>
      <c r="O67" s="180">
        <v>-1.9689350653183318E-2</v>
      </c>
      <c r="P67" s="180">
        <v>-1.9689350653183391E-2</v>
      </c>
      <c r="Q67" s="180">
        <v>-1.9689350653183817E-2</v>
      </c>
      <c r="R67" s="180">
        <v>-1.9689350653183325E-2</v>
      </c>
      <c r="S67" s="180">
        <v>-1.9689350653183606E-2</v>
      </c>
      <c r="T67" s="180">
        <v>-1.9689350653183526E-2</v>
      </c>
      <c r="V67">
        <v>2090</v>
      </c>
      <c r="W67" s="180">
        <v>-1.999225687160406E-4</v>
      </c>
      <c r="X67" s="180">
        <v>-1.9964508943978638E-3</v>
      </c>
      <c r="Y67" s="180">
        <v>-1.9689350653183817E-2</v>
      </c>
      <c r="Z67" s="180">
        <v>-3.8776915885442534E-2</v>
      </c>
      <c r="AA67" s="180">
        <v>-7.5204197644849743E-2</v>
      </c>
      <c r="AB67" s="180">
        <v>-1.999225687160406E-4</v>
      </c>
      <c r="AC67" s="180">
        <v>-1.9964508943978638E-3</v>
      </c>
      <c r="AD67" s="180">
        <v>-1.9689350653183817E-2</v>
      </c>
      <c r="AE67" s="180">
        <v>-3.8776915885442534E-2</v>
      </c>
      <c r="AF67" s="180">
        <v>-7.5204197644849743E-2</v>
      </c>
    </row>
    <row r="68" spans="2:32">
      <c r="B68">
        <v>2100</v>
      </c>
      <c r="C68" s="439">
        <v>-0.23687077653774935</v>
      </c>
      <c r="D68" s="439">
        <v>-0.63214712078152502</v>
      </c>
      <c r="E68" s="439">
        <v>-1.6721257815382131</v>
      </c>
      <c r="F68" s="439">
        <v>-4.3456311211415368</v>
      </c>
      <c r="G68" s="439">
        <v>-11.200154940807352</v>
      </c>
      <c r="H68" s="456">
        <v>-28.548682652291063</v>
      </c>
      <c r="I68" s="180">
        <v>-2.0008569942765769E-2</v>
      </c>
      <c r="J68" s="180">
        <v>-2.0008569942766112E-2</v>
      </c>
      <c r="K68" s="180">
        <v>-2.0008569942765637E-2</v>
      </c>
      <c r="L68" s="180">
        <v>-2.0008569942765782E-2</v>
      </c>
      <c r="M68" s="180">
        <v>-2.0008569942765626E-2</v>
      </c>
      <c r="N68" s="180">
        <v>-2.0008569942765491E-2</v>
      </c>
      <c r="O68" s="180">
        <v>-2.0008569942765769E-2</v>
      </c>
      <c r="P68" s="180">
        <v>-2.0008569942766112E-2</v>
      </c>
      <c r="Q68" s="180">
        <v>-2.0008569942765637E-2</v>
      </c>
      <c r="R68" s="180">
        <v>-2.0008569942765782E-2</v>
      </c>
      <c r="S68" s="180">
        <v>-2.0008569942765626E-2</v>
      </c>
      <c r="T68" s="180">
        <v>-2.0008569942765491E-2</v>
      </c>
      <c r="V68">
        <v>2100</v>
      </c>
      <c r="W68" s="180">
        <v>-2.0316387115872943E-4</v>
      </c>
      <c r="X68" s="180">
        <v>-2.0288189316896516E-3</v>
      </c>
      <c r="Y68" s="180">
        <v>-2.0008569942765637E-2</v>
      </c>
      <c r="Z68" s="180">
        <v>-3.9405597844496286E-2</v>
      </c>
      <c r="AA68" s="180">
        <v>-7.6423467440417947E-2</v>
      </c>
      <c r="AB68" s="180">
        <v>-2.0316387115872943E-4</v>
      </c>
      <c r="AC68" s="180">
        <v>-2.0288189316896516E-3</v>
      </c>
      <c r="AD68" s="180">
        <v>-2.0008569942765637E-2</v>
      </c>
      <c r="AE68" s="180">
        <v>-3.9405597844496286E-2</v>
      </c>
      <c r="AF68" s="180">
        <v>-7.6423467440417947E-2</v>
      </c>
    </row>
    <row r="69" spans="2:32">
      <c r="B69" t="s">
        <v>349</v>
      </c>
      <c r="C69" t="e">
        <f>SUM(#REF!)</f>
        <v>#REF!</v>
      </c>
      <c r="D69">
        <f>SUM(C51:C68)</f>
        <v>9.4881914601648685</v>
      </c>
      <c r="E69">
        <f>SUM(D51:D68)</f>
        <v>9.2620943431487817</v>
      </c>
      <c r="F69">
        <f>SUM(E51:E68)</f>
        <v>7.8879957587558511</v>
      </c>
      <c r="G69">
        <f>SUM(F51:F68)</f>
        <v>3.7725933956024882</v>
      </c>
      <c r="H69">
        <f>SUM(G51:G68)</f>
        <v>-6.9384555968230543</v>
      </c>
    </row>
    <row r="71" spans="2:32">
      <c r="B71" s="450"/>
      <c r="C71" s="574" t="s">
        <v>338</v>
      </c>
      <c r="D71" s="574"/>
      <c r="E71" s="574"/>
      <c r="F71" s="574"/>
      <c r="G71" s="574"/>
      <c r="H71" s="574"/>
      <c r="I71" s="574"/>
      <c r="J71" s="574"/>
      <c r="K71" s="574"/>
      <c r="L71" s="574"/>
      <c r="M71" s="574"/>
      <c r="N71" s="574"/>
      <c r="O71" s="574"/>
      <c r="P71" s="574"/>
      <c r="V71" s="321"/>
      <c r="W71" s="627" t="s">
        <v>339</v>
      </c>
      <c r="X71" s="627"/>
      <c r="Y71" s="627"/>
      <c r="Z71" s="627"/>
      <c r="AA71" s="627"/>
      <c r="AB71" s="627"/>
      <c r="AC71" s="627"/>
      <c r="AD71" s="627"/>
      <c r="AE71" s="627"/>
      <c r="AF71" s="627"/>
    </row>
    <row r="72" spans="2:32">
      <c r="B72" s="387" t="s">
        <v>204</v>
      </c>
      <c r="C72" s="486" t="s">
        <v>340</v>
      </c>
      <c r="D72" s="487"/>
      <c r="E72" s="487"/>
      <c r="F72" s="487"/>
      <c r="G72" s="487"/>
      <c r="H72" s="487"/>
      <c r="I72" s="487" t="s">
        <v>328</v>
      </c>
      <c r="J72" s="487"/>
      <c r="K72" s="487"/>
      <c r="L72" s="487"/>
      <c r="M72" s="487"/>
      <c r="N72" s="487"/>
      <c r="O72" s="488" t="s">
        <v>341</v>
      </c>
      <c r="P72" s="489"/>
      <c r="Q72" s="489"/>
      <c r="R72" s="489"/>
      <c r="S72" s="489"/>
      <c r="T72" s="489"/>
      <c r="U72" s="1"/>
      <c r="V72" s="497" t="s">
        <v>204</v>
      </c>
      <c r="W72" s="623" t="s">
        <v>328</v>
      </c>
      <c r="X72" s="624"/>
      <c r="Y72" s="624"/>
      <c r="Z72" s="624"/>
      <c r="AA72" s="625"/>
      <c r="AB72" s="623" t="s">
        <v>343</v>
      </c>
      <c r="AC72" s="624"/>
      <c r="AD72" s="624"/>
      <c r="AE72" s="624"/>
      <c r="AF72" s="625"/>
    </row>
    <row r="73" spans="2:32">
      <c r="B73" s="375" t="s">
        <v>87</v>
      </c>
      <c r="C73" s="478">
        <v>1.2500000000000001E-2</v>
      </c>
      <c r="D73" s="478">
        <v>2.5000000000000001E-2</v>
      </c>
      <c r="E73" s="478">
        <v>3.7499999999999999E-2</v>
      </c>
      <c r="F73" s="479">
        <v>0.05</v>
      </c>
      <c r="G73" s="478">
        <v>6.25E-2</v>
      </c>
      <c r="H73" s="478">
        <v>7.4999999999999997E-2</v>
      </c>
      <c r="I73" s="478">
        <v>1.2500000000000001E-2</v>
      </c>
      <c r="J73" s="478">
        <v>2.5000000000000001E-2</v>
      </c>
      <c r="K73" s="478">
        <v>3.7499999999999999E-2</v>
      </c>
      <c r="L73" s="479">
        <v>0.05</v>
      </c>
      <c r="M73" s="478">
        <v>6.25E-2</v>
      </c>
      <c r="N73" s="478">
        <v>7.4999999999999997E-2</v>
      </c>
      <c r="O73" s="478">
        <v>1.2500000000000001E-2</v>
      </c>
      <c r="P73" s="478">
        <v>2.5000000000000001E-2</v>
      </c>
      <c r="Q73" s="478">
        <v>3.7499999999999999E-2</v>
      </c>
      <c r="R73" s="479">
        <v>0.05</v>
      </c>
      <c r="S73" s="478">
        <v>6.25E-2</v>
      </c>
      <c r="T73" s="490">
        <v>7.4999999999999997E-2</v>
      </c>
      <c r="U73" s="491"/>
      <c r="V73" s="498" t="s">
        <v>87</v>
      </c>
      <c r="W73" s="493">
        <v>5.0000000000000002E-5</v>
      </c>
      <c r="X73" s="494">
        <v>5.0000000000000001E-4</v>
      </c>
      <c r="Y73" s="494">
        <v>5.0000000000000001E-3</v>
      </c>
      <c r="Z73" s="494">
        <v>0.01</v>
      </c>
      <c r="AA73" s="496">
        <v>0.02</v>
      </c>
      <c r="AB73" s="493">
        <v>5.0000000000000002E-5</v>
      </c>
      <c r="AC73" s="494">
        <v>5.0000000000000001E-4</v>
      </c>
      <c r="AD73" s="494">
        <v>5.0000000000000001E-3</v>
      </c>
      <c r="AE73" s="494">
        <v>0.01</v>
      </c>
      <c r="AF73" s="494">
        <v>0.02</v>
      </c>
    </row>
    <row r="74" spans="2:32">
      <c r="B74">
        <v>2020</v>
      </c>
      <c r="C74" s="439">
        <v>0.83325332336381885</v>
      </c>
      <c r="D74" s="439">
        <v>0.83325332336381885</v>
      </c>
      <c r="E74" s="439">
        <v>0.83325332336381885</v>
      </c>
      <c r="F74" s="439">
        <v>0.83325332336381885</v>
      </c>
      <c r="G74" s="439">
        <v>0.83325332336381885</v>
      </c>
      <c r="H74" s="456">
        <v>0.83325332336381885</v>
      </c>
      <c r="I74" s="180">
        <v>1.4193016678564021</v>
      </c>
      <c r="J74" s="180">
        <v>1.4193016678564021</v>
      </c>
      <c r="K74" s="180">
        <v>1.4193016678564021</v>
      </c>
      <c r="L74" s="180">
        <v>1.4193016678564021</v>
      </c>
      <c r="M74" s="180">
        <v>1.4193016678564021</v>
      </c>
      <c r="N74" s="180">
        <v>1.4193016678564021</v>
      </c>
      <c r="O74" s="180">
        <v>0</v>
      </c>
      <c r="P74" s="180">
        <v>0</v>
      </c>
      <c r="Q74" s="180">
        <v>0</v>
      </c>
      <c r="R74" s="180">
        <v>0</v>
      </c>
      <c r="S74" s="180">
        <v>0</v>
      </c>
      <c r="T74" s="180">
        <v>0</v>
      </c>
      <c r="V74">
        <v>2020</v>
      </c>
      <c r="W74" s="180">
        <v>1.4193016678563939E-2</v>
      </c>
      <c r="X74" s="180">
        <v>0.14193016678564013</v>
      </c>
      <c r="Y74" s="180">
        <v>1.4193016678564021</v>
      </c>
      <c r="Z74" s="180">
        <v>2.8386033357128033</v>
      </c>
      <c r="AA74" s="180">
        <v>5.6772066714256075</v>
      </c>
      <c r="AB74" s="180">
        <v>0</v>
      </c>
      <c r="AC74" s="180">
        <v>0</v>
      </c>
      <c r="AD74" s="180">
        <v>0</v>
      </c>
      <c r="AE74" s="180">
        <v>0</v>
      </c>
      <c r="AF74" s="180">
        <v>0</v>
      </c>
    </row>
    <row r="75" spans="2:32">
      <c r="B75">
        <v>2021</v>
      </c>
      <c r="C75" s="439">
        <v>0.84860554403694288</v>
      </c>
      <c r="D75" s="439">
        <v>0.85908215569172008</v>
      </c>
      <c r="E75" s="439">
        <v>0.86959159406301534</v>
      </c>
      <c r="F75" s="439">
        <v>0.88003537900127382</v>
      </c>
      <c r="G75" s="439">
        <v>0.89051199065605102</v>
      </c>
      <c r="H75" s="456">
        <v>0.90098860231082833</v>
      </c>
      <c r="I75" s="180">
        <v>1.3739092892507698</v>
      </c>
      <c r="J75" s="180">
        <v>1.37390928925077</v>
      </c>
      <c r="K75" s="180">
        <v>1.37390928925077</v>
      </c>
      <c r="L75" s="180">
        <v>1.3739092892507692</v>
      </c>
      <c r="M75" s="180">
        <v>1.3739092892507694</v>
      </c>
      <c r="N75" s="180">
        <v>1.37390928925077</v>
      </c>
      <c r="O75" s="180">
        <v>-2.0873440409501878E-3</v>
      </c>
      <c r="P75" s="180">
        <v>-2.087344040950098E-3</v>
      </c>
      <c r="Q75" s="180">
        <v>-2.0873440409499267E-3</v>
      </c>
      <c r="R75" s="180">
        <v>-2.0873440409502706E-3</v>
      </c>
      <c r="S75" s="180">
        <v>-2.0873440409503543E-3</v>
      </c>
      <c r="T75" s="180">
        <v>-2.087344040950098E-3</v>
      </c>
      <c r="V75">
        <v>2021</v>
      </c>
      <c r="W75" s="180">
        <v>1.2501184640340588E-2</v>
      </c>
      <c r="X75" s="180">
        <v>0.13648025776233788</v>
      </c>
      <c r="Y75" s="180">
        <v>1.37390928925077</v>
      </c>
      <c r="Z75" s="180">
        <v>2.7437981977812251</v>
      </c>
      <c r="AA75" s="180">
        <v>5.4677110999481</v>
      </c>
      <c r="AB75" s="180">
        <v>-1.2850237915730399E-3</v>
      </c>
      <c r="AC75" s="180">
        <v>-1.3579619960615288E-3</v>
      </c>
      <c r="AD75" s="180">
        <v>-2.0873440409499267E-3</v>
      </c>
      <c r="AE75" s="180">
        <v>-2.8977685352701149E-3</v>
      </c>
      <c r="AF75" s="180">
        <v>-4.518617523910317E-3</v>
      </c>
    </row>
    <row r="76" spans="2:32">
      <c r="B76">
        <v>2022</v>
      </c>
      <c r="C76" s="439">
        <v>0.86409158557005328</v>
      </c>
      <c r="D76" s="439">
        <v>0.88555888147737238</v>
      </c>
      <c r="E76" s="439">
        <v>0.90735808326661571</v>
      </c>
      <c r="F76" s="439">
        <v>0.92928368050332222</v>
      </c>
      <c r="G76" s="439">
        <v>0.95154118362195361</v>
      </c>
      <c r="H76" s="456">
        <v>0.97406208914435488</v>
      </c>
      <c r="I76" s="180">
        <v>1.3305617740286979</v>
      </c>
      <c r="J76" s="180">
        <v>1.3305617740286984</v>
      </c>
      <c r="K76" s="180">
        <v>1.3305617740286984</v>
      </c>
      <c r="L76" s="180">
        <v>1.3305617740286984</v>
      </c>
      <c r="M76" s="180">
        <v>1.3305617740286986</v>
      </c>
      <c r="N76" s="180">
        <v>1.3305617740286975</v>
      </c>
      <c r="O76" s="180">
        <v>-3.8623511980221837E-3</v>
      </c>
      <c r="P76" s="180">
        <v>-3.8623511980218758E-3</v>
      </c>
      <c r="Q76" s="180">
        <v>-3.862351198021995E-3</v>
      </c>
      <c r="R76" s="180">
        <v>-3.862351198021917E-3</v>
      </c>
      <c r="S76" s="180">
        <v>-3.8623511980217682E-3</v>
      </c>
      <c r="T76" s="180">
        <v>-3.8623511980224283E-3</v>
      </c>
      <c r="V76">
        <v>2022</v>
      </c>
      <c r="W76" s="180">
        <v>1.1139277512143971E-2</v>
      </c>
      <c r="X76" s="180">
        <v>0.1314996870050677</v>
      </c>
      <c r="Y76" s="180">
        <v>1.3305617740286984</v>
      </c>
      <c r="Z76" s="180">
        <v>2.6532049457885005</v>
      </c>
      <c r="AA76" s="180">
        <v>5.2682702058332476</v>
      </c>
      <c r="AB76" s="180">
        <v>-2.2554571869085084E-3</v>
      </c>
      <c r="AC76" s="180">
        <v>-2.4016786679542808E-3</v>
      </c>
      <c r="AD76" s="180">
        <v>-3.862351198021995E-3</v>
      </c>
      <c r="AE76" s="180">
        <v>-5.4820309531706151E-3</v>
      </c>
      <c r="AF76" s="180">
        <v>-8.7109957733206879E-3</v>
      </c>
    </row>
    <row r="77" spans="2:32">
      <c r="B77">
        <v>2023</v>
      </c>
      <c r="C77" s="439">
        <v>0.87975561045037931</v>
      </c>
      <c r="D77" s="439">
        <v>0.91274307293341084</v>
      </c>
      <c r="E77" s="439">
        <v>0.94665220290767171</v>
      </c>
      <c r="F77" s="439">
        <v>0.98117132350793745</v>
      </c>
      <c r="G77" s="439">
        <v>1.0166319765841165</v>
      </c>
      <c r="H77" s="456">
        <v>1.0529368915093613</v>
      </c>
      <c r="I77" s="180">
        <v>1.2891988452089087</v>
      </c>
      <c r="J77" s="180">
        <v>1.2891988452089094</v>
      </c>
      <c r="K77" s="180">
        <v>1.2891988452089091</v>
      </c>
      <c r="L77" s="180">
        <v>1.2891988452089091</v>
      </c>
      <c r="M77" s="180">
        <v>1.2891988452089094</v>
      </c>
      <c r="N77" s="180">
        <v>1.2891988452089091</v>
      </c>
      <c r="O77" s="180">
        <v>-5.3230761661451674E-3</v>
      </c>
      <c r="P77" s="180">
        <v>-5.3230761661449506E-3</v>
      </c>
      <c r="Q77" s="180">
        <v>-5.3230761661449419E-3</v>
      </c>
      <c r="R77" s="180">
        <v>-5.3230761661446843E-3</v>
      </c>
      <c r="S77" s="180">
        <v>-5.3230761661450538E-3</v>
      </c>
      <c r="T77" s="180">
        <v>-5.3230761661451284E-3</v>
      </c>
      <c r="V77">
        <v>2023</v>
      </c>
      <c r="W77" s="180">
        <v>1.0109614825063036E-2</v>
      </c>
      <c r="X77" s="180">
        <v>0.1269875692499591</v>
      </c>
      <c r="Y77" s="180">
        <v>1.2891988452089091</v>
      </c>
      <c r="Z77" s="180">
        <v>2.5666366751044887</v>
      </c>
      <c r="AA77" s="180">
        <v>5.0782442447484533</v>
      </c>
      <c r="AB77" s="180">
        <v>-2.9086616450611064E-3</v>
      </c>
      <c r="AC77" s="180">
        <v>-3.1285751419763198E-3</v>
      </c>
      <c r="AD77" s="180">
        <v>-5.3230761661449419E-3</v>
      </c>
      <c r="AE77" s="180">
        <v>-7.7515407241092122E-3</v>
      </c>
      <c r="AF77" s="180">
        <v>-1.2577371655642405E-2</v>
      </c>
    </row>
    <row r="78" spans="2:32">
      <c r="B78">
        <v>2024</v>
      </c>
      <c r="C78" s="439">
        <v>0.89561527494776816</v>
      </c>
      <c r="D78" s="439">
        <v>0.94066898705773339</v>
      </c>
      <c r="E78" s="439">
        <v>0.98755061759781149</v>
      </c>
      <c r="F78" s="439">
        <v>1.0358540316578797</v>
      </c>
      <c r="G78" s="439">
        <v>1.0860682538821091</v>
      </c>
      <c r="H78" s="456">
        <v>1.1380863681047217</v>
      </c>
      <c r="I78" s="180">
        <v>1.2497205677662064</v>
      </c>
      <c r="J78" s="180">
        <v>1.249720567766206</v>
      </c>
      <c r="K78" s="180">
        <v>1.2497205677662055</v>
      </c>
      <c r="L78" s="180">
        <v>1.2497205677662058</v>
      </c>
      <c r="M78" s="180">
        <v>1.2497205677662053</v>
      </c>
      <c r="N78" s="180">
        <v>1.249720567766206</v>
      </c>
      <c r="O78" s="180">
        <v>-6.5048157623931839E-3</v>
      </c>
      <c r="P78" s="180">
        <v>-6.5048157623936653E-3</v>
      </c>
      <c r="Q78" s="180">
        <v>-6.504815762393798E-3</v>
      </c>
      <c r="R78" s="180">
        <v>-6.5048157623937486E-3</v>
      </c>
      <c r="S78" s="180">
        <v>-6.5048157623939671E-3</v>
      </c>
      <c r="T78" s="180">
        <v>-6.5048157623936566E-3</v>
      </c>
      <c r="V78">
        <v>2024</v>
      </c>
      <c r="W78" s="180">
        <v>9.3770676379346541E-3</v>
      </c>
      <c r="X78" s="180">
        <v>0.12290473459499604</v>
      </c>
      <c r="Y78" s="180">
        <v>1.2497205677662055</v>
      </c>
      <c r="Z78" s="180">
        <v>2.4838785120661253</v>
      </c>
      <c r="AA78" s="180">
        <v>4.8970157541368096</v>
      </c>
      <c r="AB78" s="180">
        <v>-3.2793449651060719E-3</v>
      </c>
      <c r="AC78" s="180">
        <v>-3.5734136457022283E-3</v>
      </c>
      <c r="AD78" s="180">
        <v>-6.504815762393798E-3</v>
      </c>
      <c r="AE78" s="180">
        <v>-9.742182704678708E-3</v>
      </c>
      <c r="AF78" s="180">
        <v>-1.6154876656904151E-2</v>
      </c>
    </row>
    <row r="79" spans="2:32">
      <c r="B79">
        <v>2025</v>
      </c>
      <c r="C79" s="439">
        <v>0.91171294031567152</v>
      </c>
      <c r="D79" s="439">
        <v>0.96939837300838883</v>
      </c>
      <c r="E79" s="439">
        <v>1.0301618442088079</v>
      </c>
      <c r="F79" s="439">
        <v>1.0935268597946002</v>
      </c>
      <c r="G79" s="439">
        <v>1.1601860871496397</v>
      </c>
      <c r="H79" s="456">
        <v>1.2300571245443872</v>
      </c>
      <c r="I79" s="180">
        <v>1.2120650705890419</v>
      </c>
      <c r="J79" s="180">
        <v>1.2120650705890421</v>
      </c>
      <c r="K79" s="180">
        <v>1.2120650705890423</v>
      </c>
      <c r="L79" s="180">
        <v>1.212065070589043</v>
      </c>
      <c r="M79" s="180">
        <v>1.2120650705890421</v>
      </c>
      <c r="N79" s="180">
        <v>1.2120650705890428</v>
      </c>
      <c r="O79" s="180">
        <v>-7.403843989445171E-3</v>
      </c>
      <c r="P79" s="180">
        <v>-7.4038439894449802E-3</v>
      </c>
      <c r="Q79" s="180">
        <v>-7.4038439894449021E-3</v>
      </c>
      <c r="R79" s="180">
        <v>-7.4038439894448232E-3</v>
      </c>
      <c r="S79" s="180">
        <v>-7.403843989445027E-3</v>
      </c>
      <c r="T79" s="180">
        <v>-7.4038439894448154E-3</v>
      </c>
      <c r="V79">
        <v>2025</v>
      </c>
      <c r="W79" s="180">
        <v>8.945518598374877E-3</v>
      </c>
      <c r="X79" s="180">
        <v>0.11925049370725353</v>
      </c>
      <c r="Y79" s="180">
        <v>1.2120650705890423</v>
      </c>
      <c r="Z79" s="180">
        <v>2.4047632646803883</v>
      </c>
      <c r="AA79" s="180">
        <v>4.7240591790476234</v>
      </c>
      <c r="AB79" s="180">
        <v>-3.3631394022012478E-3</v>
      </c>
      <c r="AC79" s="180">
        <v>-3.7318858982031671E-3</v>
      </c>
      <c r="AD79" s="180">
        <v>-7.4038439894449021E-3</v>
      </c>
      <c r="AE79" s="180">
        <v>-1.1450866543077046E-2</v>
      </c>
      <c r="AF79" s="180">
        <v>-1.9441746362826917E-2</v>
      </c>
    </row>
    <row r="80" spans="2:32">
      <c r="B80">
        <v>2026</v>
      </c>
      <c r="C80" s="439">
        <v>0.92806350160461193</v>
      </c>
      <c r="D80" s="439">
        <v>0.99896597044445579</v>
      </c>
      <c r="E80" s="439">
        <v>1.0745694829725392</v>
      </c>
      <c r="F80" s="439">
        <v>1.1543653875248476</v>
      </c>
      <c r="G80" s="439">
        <v>1.2393133680724917</v>
      </c>
      <c r="H80" s="456">
        <v>1.3294079987277503</v>
      </c>
      <c r="I80" s="180">
        <v>1.1761344913402345</v>
      </c>
      <c r="J80" s="180">
        <v>1.1761344913402343</v>
      </c>
      <c r="K80" s="180">
        <v>1.1761344913402354</v>
      </c>
      <c r="L80" s="180">
        <v>1.1761344913402347</v>
      </c>
      <c r="M80" s="180">
        <v>1.1761344913402343</v>
      </c>
      <c r="N80" s="180">
        <v>1.1761344913402338</v>
      </c>
      <c r="O80" s="180">
        <v>-8.0525400114249447E-3</v>
      </c>
      <c r="P80" s="180">
        <v>-8.052540011425028E-3</v>
      </c>
      <c r="Q80" s="180">
        <v>-8.05254001142491E-3</v>
      </c>
      <c r="R80" s="180">
        <v>-8.052540011425342E-3</v>
      </c>
      <c r="S80" s="180">
        <v>-8.0525400114253385E-3</v>
      </c>
      <c r="T80" s="180">
        <v>-8.0525400114254339E-3</v>
      </c>
      <c r="V80">
        <v>2026</v>
      </c>
      <c r="W80" s="180">
        <v>8.7825525226006198E-3</v>
      </c>
      <c r="X80" s="180">
        <v>0.11598757264062867</v>
      </c>
      <c r="Y80" s="180">
        <v>1.1761344913402354</v>
      </c>
      <c r="Z80" s="180">
        <v>2.3290960950161148</v>
      </c>
      <c r="AA80" s="180">
        <v>4.5588607525346179</v>
      </c>
      <c r="AB80" s="180">
        <v>-3.1919378627857293E-3</v>
      </c>
      <c r="AC80" s="180">
        <v>-3.6359303058810079E-3</v>
      </c>
      <c r="AD80" s="180">
        <v>-8.05254001142491E-3</v>
      </c>
      <c r="AE80" s="180">
        <v>-1.291044603235332E-2</v>
      </c>
      <c r="AF80" s="180">
        <v>-2.2471827641034642E-2</v>
      </c>
    </row>
    <row r="81" spans="2:32">
      <c r="B81">
        <v>2027</v>
      </c>
      <c r="C81" s="439">
        <v>0.94470877641172535</v>
      </c>
      <c r="D81" s="439">
        <v>1.0294370259329937</v>
      </c>
      <c r="E81" s="439">
        <v>1.1208931824510149</v>
      </c>
      <c r="F81" s="439">
        <v>1.2185905903374881</v>
      </c>
      <c r="G81" s="439">
        <v>1.3238393861904254</v>
      </c>
      <c r="H81" s="456">
        <v>1.4367856326593615</v>
      </c>
      <c r="I81" s="180">
        <v>1.1418693833150861</v>
      </c>
      <c r="J81" s="180">
        <v>1.1418693833150857</v>
      </c>
      <c r="K81" s="180">
        <v>1.1418693833150859</v>
      </c>
      <c r="L81" s="180">
        <v>1.1418693833150864</v>
      </c>
      <c r="M81" s="180">
        <v>1.1418693833150853</v>
      </c>
      <c r="N81" s="180">
        <v>1.1418693833150857</v>
      </c>
      <c r="O81" s="180">
        <v>-8.4457622860251054E-3</v>
      </c>
      <c r="P81" s="180">
        <v>-8.445762286025232E-3</v>
      </c>
      <c r="Q81" s="180">
        <v>-8.4457622860254333E-3</v>
      </c>
      <c r="R81" s="180">
        <v>-8.445762286025003E-3</v>
      </c>
      <c r="S81" s="180">
        <v>-8.4457622860254506E-3</v>
      </c>
      <c r="T81" s="180">
        <v>-8.4457622860253014E-3</v>
      </c>
      <c r="V81">
        <v>2027</v>
      </c>
      <c r="W81" s="180">
        <v>8.8933727552908837E-3</v>
      </c>
      <c r="X81" s="180">
        <v>0.11311616343123686</v>
      </c>
      <c r="Y81" s="180">
        <v>1.1418693833150859</v>
      </c>
      <c r="Z81" s="180">
        <v>2.2567274991905784</v>
      </c>
      <c r="AA81" s="180">
        <v>4.4009861990059012</v>
      </c>
      <c r="AB81" s="180">
        <v>-2.7599963651939049E-3</v>
      </c>
      <c r="AC81" s="180">
        <v>-3.2798591927971654E-3</v>
      </c>
      <c r="AD81" s="180">
        <v>-8.4457622860254333E-3</v>
      </c>
      <c r="AE81" s="180">
        <v>-1.4116365877606391E-2</v>
      </c>
      <c r="AF81" s="180">
        <v>-2.5241765318908455E-2</v>
      </c>
    </row>
    <row r="82" spans="2:32">
      <c r="B82">
        <v>2028</v>
      </c>
      <c r="C82" s="439">
        <v>0.96166188423793098</v>
      </c>
      <c r="D82" s="439">
        <v>1.0608477779186569</v>
      </c>
      <c r="E82" s="439">
        <v>1.1692251512670631</v>
      </c>
      <c r="F82" s="439">
        <v>1.2864015078433391</v>
      </c>
      <c r="G82" s="439">
        <v>1.4141440731329231</v>
      </c>
      <c r="H82" s="456">
        <v>1.5528512711854427</v>
      </c>
      <c r="I82" s="180">
        <v>1.1091767224432576</v>
      </c>
      <c r="J82" s="180">
        <v>1.1091767224432578</v>
      </c>
      <c r="K82" s="180">
        <v>1.1091767224432587</v>
      </c>
      <c r="L82" s="180">
        <v>1.1091767224432589</v>
      </c>
      <c r="M82" s="180">
        <v>1.109176722443258</v>
      </c>
      <c r="N82" s="180">
        <v>1.1091767224432583</v>
      </c>
      <c r="O82" s="180">
        <v>-8.6134006828656479E-3</v>
      </c>
      <c r="P82" s="180">
        <v>-8.6134006828654137E-3</v>
      </c>
      <c r="Q82" s="180">
        <v>-8.6134006828655508E-3</v>
      </c>
      <c r="R82" s="180">
        <v>-8.613400682865242E-3</v>
      </c>
      <c r="S82" s="180">
        <v>-8.6134006828653999E-3</v>
      </c>
      <c r="T82" s="180">
        <v>-8.6134006828653392E-3</v>
      </c>
      <c r="V82">
        <v>2028</v>
      </c>
      <c r="W82" s="180">
        <v>9.2479410682564274E-3</v>
      </c>
      <c r="X82" s="180">
        <v>0.11060120530779539</v>
      </c>
      <c r="Y82" s="180">
        <v>1.1091767224432587</v>
      </c>
      <c r="Z82" s="180">
        <v>2.1874807285736542</v>
      </c>
      <c r="AA82" s="180">
        <v>4.2500044889419115</v>
      </c>
      <c r="AB82" s="180">
        <v>-2.0968073512616604E-3</v>
      </c>
      <c r="AC82" s="180">
        <v>-2.6932027657783461E-3</v>
      </c>
      <c r="AD82" s="180">
        <v>-8.6134006828655508E-3</v>
      </c>
      <c r="AE82" s="180">
        <v>-1.5098892969019602E-2</v>
      </c>
      <c r="AF82" s="180">
        <v>-2.7782602436646431E-2</v>
      </c>
    </row>
    <row r="83" spans="2:32">
      <c r="B83">
        <v>2029</v>
      </c>
      <c r="C83" s="439">
        <v>0.97896502517947548</v>
      </c>
      <c r="D83" s="439">
        <v>1.0932681042377859</v>
      </c>
      <c r="E83" s="439">
        <v>1.2196982213582557</v>
      </c>
      <c r="F83" s="439">
        <v>1.3580494406079571</v>
      </c>
      <c r="G83" s="439">
        <v>1.5106795069754415</v>
      </c>
      <c r="H83" s="456">
        <v>1.6783713892865482</v>
      </c>
      <c r="I83" s="180">
        <v>1.0780014869725982</v>
      </c>
      <c r="J83" s="180">
        <v>1.0780014869725985</v>
      </c>
      <c r="K83" s="180">
        <v>1.0780014869725987</v>
      </c>
      <c r="L83" s="180">
        <v>1.0780014869725987</v>
      </c>
      <c r="M83" s="180">
        <v>1.0780014869725989</v>
      </c>
      <c r="N83" s="180">
        <v>1.0780014869725982</v>
      </c>
      <c r="O83" s="180">
        <v>-8.549187275853621E-3</v>
      </c>
      <c r="P83" s="180">
        <v>-8.5491872758534371E-3</v>
      </c>
      <c r="Q83" s="180">
        <v>-8.5491872758535412E-3</v>
      </c>
      <c r="R83" s="180">
        <v>-8.5491872758538482E-3</v>
      </c>
      <c r="S83" s="180">
        <v>-8.5491872758536713E-3</v>
      </c>
      <c r="T83" s="180">
        <v>-8.5491872758535724E-3</v>
      </c>
      <c r="V83">
        <v>2029</v>
      </c>
      <c r="W83" s="180">
        <v>9.852556440979687E-3</v>
      </c>
      <c r="X83" s="180">
        <v>0.10844400700505422</v>
      </c>
      <c r="Y83" s="180">
        <v>1.0780014869725987</v>
      </c>
      <c r="Z83" s="180">
        <v>2.1212222705968027</v>
      </c>
      <c r="AA83" s="180">
        <v>4.1055536922596714</v>
      </c>
      <c r="AB83" s="180">
        <v>-1.1955301235416211E-3</v>
      </c>
      <c r="AC83" s="180">
        <v>-1.8691743039432414E-3</v>
      </c>
      <c r="AD83" s="180">
        <v>-8.5491872758535412E-3</v>
      </c>
      <c r="AE83" s="180">
        <v>-1.585230711442006E-2</v>
      </c>
      <c r="AF83" s="180">
        <v>-3.0089718161187367E-2</v>
      </c>
    </row>
    <row r="84" spans="2:32">
      <c r="B84">
        <v>2030</v>
      </c>
      <c r="C84" s="439">
        <v>0.9966302563829238</v>
      </c>
      <c r="D84" s="439">
        <v>1.1267366022778558</v>
      </c>
      <c r="E84" s="439">
        <v>1.2724149116907175</v>
      </c>
      <c r="F84" s="439">
        <v>1.4337609227178847</v>
      </c>
      <c r="G84" s="439">
        <v>1.6138870470988427</v>
      </c>
      <c r="H84" s="456">
        <v>1.8141299417053744</v>
      </c>
      <c r="I84" s="180">
        <v>1.0482567434724066</v>
      </c>
      <c r="J84" s="180">
        <v>1.0482567434724073</v>
      </c>
      <c r="K84" s="180">
        <v>1.0482567434724075</v>
      </c>
      <c r="L84" s="180">
        <v>1.0482567434724084</v>
      </c>
      <c r="M84" s="180">
        <v>1.0482567434724066</v>
      </c>
      <c r="N84" s="180">
        <v>1.0482567434724073</v>
      </c>
      <c r="O84" s="180">
        <v>-8.2808727873085082E-3</v>
      </c>
      <c r="P84" s="180">
        <v>-8.2808727873083902E-3</v>
      </c>
      <c r="Q84" s="180">
        <v>-8.2808727873086106E-3</v>
      </c>
      <c r="R84" s="180">
        <v>-8.2808727873083018E-3</v>
      </c>
      <c r="S84" s="180">
        <v>-8.2808727873087823E-3</v>
      </c>
      <c r="T84" s="180">
        <v>-8.2808727873083538E-3</v>
      </c>
      <c r="V84">
        <v>2030</v>
      </c>
      <c r="W84" s="180">
        <v>1.0679256803320738E-2</v>
      </c>
      <c r="X84" s="180">
        <v>0.10661174170841764</v>
      </c>
      <c r="Y84" s="180">
        <v>1.0482567434724075</v>
      </c>
      <c r="Z84" s="180">
        <v>2.0577917844147793</v>
      </c>
      <c r="AA84" s="180">
        <v>3.967268266100477</v>
      </c>
      <c r="AB84" s="180">
        <v>-8.3595458615515032E-5</v>
      </c>
      <c r="AC84" s="180">
        <v>-8.352355868005213E-4</v>
      </c>
      <c r="AD84" s="180">
        <v>-8.2808727873086106E-3</v>
      </c>
      <c r="AE84" s="180">
        <v>-1.640465135223753E-2</v>
      </c>
      <c r="AF84" s="180">
        <v>-3.2191744672464148E-2</v>
      </c>
    </row>
    <row r="85" spans="2:32">
      <c r="B85">
        <v>2040</v>
      </c>
      <c r="C85" s="439">
        <v>-2.7440601900878159E-2</v>
      </c>
      <c r="D85" s="439">
        <v>-3.5072789068939514E-2</v>
      </c>
      <c r="E85" s="439">
        <v>-4.4728362404202304E-2</v>
      </c>
      <c r="F85" s="439">
        <v>-5.6790929507054333E-2</v>
      </c>
      <c r="G85" s="439">
        <v>-7.1956788141076977E-2</v>
      </c>
      <c r="H85" s="456">
        <v>-9.0920597384307023E-2</v>
      </c>
      <c r="I85" s="180">
        <v>-1.6823434385449695E-2</v>
      </c>
      <c r="J85" s="180">
        <v>-1.6823434385449514E-2</v>
      </c>
      <c r="K85" s="180">
        <v>-1.6823434385449049E-2</v>
      </c>
      <c r="L85" s="180">
        <v>-1.6823434385449625E-2</v>
      </c>
      <c r="M85" s="180">
        <v>-1.6823434385449643E-2</v>
      </c>
      <c r="N85" s="180">
        <v>-1.6823434385449566E-2</v>
      </c>
      <c r="O85" s="180">
        <v>-1.6823434385449695E-2</v>
      </c>
      <c r="P85" s="180">
        <v>-1.6823434385449514E-2</v>
      </c>
      <c r="Q85" s="180">
        <v>-1.6823434385449049E-2</v>
      </c>
      <c r="R85" s="180">
        <v>-1.6823434385449625E-2</v>
      </c>
      <c r="S85" s="180">
        <v>-1.6823434385449643E-2</v>
      </c>
      <c r="T85" s="180">
        <v>-1.6823434385449566E-2</v>
      </c>
      <c r="V85">
        <v>2040</v>
      </c>
      <c r="W85" s="180">
        <v>-1.7081461162227074E-4</v>
      </c>
      <c r="X85" s="180">
        <v>-1.7057818481296056E-3</v>
      </c>
      <c r="Y85" s="180">
        <v>-1.6823434385449049E-2</v>
      </c>
      <c r="Z85" s="180">
        <v>-3.3134606498108635E-2</v>
      </c>
      <c r="AA85" s="180">
        <v>-6.4272870478812957E-2</v>
      </c>
      <c r="AB85" s="180">
        <v>-1.7081461162227074E-4</v>
      </c>
      <c r="AC85" s="180">
        <v>-1.7057818481296056E-3</v>
      </c>
      <c r="AD85" s="180">
        <v>-1.6823434385449049E-2</v>
      </c>
      <c r="AE85" s="180">
        <v>-3.3134606498108635E-2</v>
      </c>
      <c r="AF85" s="180">
        <v>-6.4272870478812957E-2</v>
      </c>
    </row>
    <row r="86" spans="2:32">
      <c r="B86">
        <v>2050</v>
      </c>
      <c r="C86" s="439">
        <v>-4.9954660963588804E-2</v>
      </c>
      <c r="D86" s="439">
        <v>-7.2184012732376956E-2</v>
      </c>
      <c r="E86" s="439">
        <v>-0.10395851400856149</v>
      </c>
      <c r="F86" s="439">
        <v>-0.14873186759162493</v>
      </c>
      <c r="G86" s="439">
        <v>-0.21212566698727997</v>
      </c>
      <c r="H86" s="456">
        <v>-0.30128602440955632</v>
      </c>
      <c r="I86" s="180">
        <v>-1.7000651209299174E-2</v>
      </c>
      <c r="J86" s="180">
        <v>-1.7000651209298844E-2</v>
      </c>
      <c r="K86" s="180">
        <v>-1.7000651209298747E-2</v>
      </c>
      <c r="L86" s="180">
        <v>-1.7000651209299004E-2</v>
      </c>
      <c r="M86" s="180">
        <v>-1.7000651209299146E-2</v>
      </c>
      <c r="N86" s="180">
        <v>-1.7000651209299066E-2</v>
      </c>
      <c r="O86" s="180">
        <v>-1.7000651209299174E-2</v>
      </c>
      <c r="P86" s="180">
        <v>-1.7000651209298844E-2</v>
      </c>
      <c r="Q86" s="180">
        <v>-1.7000651209298747E-2</v>
      </c>
      <c r="R86" s="180">
        <v>-1.7000651209299004E-2</v>
      </c>
      <c r="S86" s="180">
        <v>-1.7000651209299146E-2</v>
      </c>
      <c r="T86" s="180">
        <v>-1.7000651209299066E-2</v>
      </c>
      <c r="V86">
        <v>2050</v>
      </c>
      <c r="W86" s="180">
        <v>-1.7261396021225664E-4</v>
      </c>
      <c r="X86" s="180">
        <v>-1.7237504290020785E-3</v>
      </c>
      <c r="Y86" s="180">
        <v>-1.7000651209298747E-2</v>
      </c>
      <c r="Z86" s="180">
        <v>-3.3483644012600081E-2</v>
      </c>
      <c r="AA86" s="180">
        <v>-6.4949916182144601E-2</v>
      </c>
      <c r="AB86" s="180">
        <v>-1.7261396021225664E-4</v>
      </c>
      <c r="AC86" s="180">
        <v>-1.7237504290020785E-3</v>
      </c>
      <c r="AD86" s="180">
        <v>-1.7000651209298747E-2</v>
      </c>
      <c r="AE86" s="180">
        <v>-3.3483644012600081E-2</v>
      </c>
      <c r="AF86" s="180">
        <v>-6.4949916182144601E-2</v>
      </c>
    </row>
    <row r="87" spans="2:32">
      <c r="B87">
        <v>2060</v>
      </c>
      <c r="C87" s="439">
        <v>-9.4296021456321988E-2</v>
      </c>
      <c r="D87" s="439">
        <v>-0.15404468183849573</v>
      </c>
      <c r="E87" s="439">
        <v>-0.25053713050048643</v>
      </c>
      <c r="F87" s="439">
        <v>-0.40389088922225369</v>
      </c>
      <c r="G87" s="439">
        <v>-0.64840990848364299</v>
      </c>
      <c r="H87" s="456">
        <v>-1.0352152568512878</v>
      </c>
      <c r="I87" s="180">
        <v>-1.7010385808406303E-2</v>
      </c>
      <c r="J87" s="180">
        <v>-1.7010385808406386E-2</v>
      </c>
      <c r="K87" s="180">
        <v>-1.701038580840647E-2</v>
      </c>
      <c r="L87" s="180">
        <v>-1.7010385808406369E-2</v>
      </c>
      <c r="M87" s="180">
        <v>-1.7010385808406567E-2</v>
      </c>
      <c r="N87" s="180">
        <v>-1.7010385808406043E-2</v>
      </c>
      <c r="O87" s="180">
        <v>-1.7010385808406303E-2</v>
      </c>
      <c r="P87" s="180">
        <v>-1.7010385808406386E-2</v>
      </c>
      <c r="Q87" s="180">
        <v>-1.701038580840647E-2</v>
      </c>
      <c r="R87" s="180">
        <v>-1.7010385808406369E-2</v>
      </c>
      <c r="S87" s="180">
        <v>-1.7010385808406567E-2</v>
      </c>
      <c r="T87" s="180">
        <v>-1.7010385808406043E-2</v>
      </c>
      <c r="V87">
        <v>2060</v>
      </c>
      <c r="W87" s="180">
        <v>-1.7271279923281269E-4</v>
      </c>
      <c r="X87" s="180">
        <v>-1.7247374511570874E-3</v>
      </c>
      <c r="Y87" s="180">
        <v>-1.701038580840647E-2</v>
      </c>
      <c r="Z87" s="180">
        <v>-3.3502816798813298E-2</v>
      </c>
      <c r="AA87" s="180">
        <v>-6.498710660434133E-2</v>
      </c>
      <c r="AB87" s="180">
        <v>-1.7271279923281269E-4</v>
      </c>
      <c r="AC87" s="180">
        <v>-1.7247374511570874E-3</v>
      </c>
      <c r="AD87" s="180">
        <v>-1.701038580840647E-2</v>
      </c>
      <c r="AE87" s="180">
        <v>-3.3502816798813298E-2</v>
      </c>
      <c r="AF87" s="180">
        <v>-6.498710660434133E-2</v>
      </c>
    </row>
    <row r="88" spans="2:32">
      <c r="B88">
        <v>2070</v>
      </c>
      <c r="C88" s="439">
        <v>-0.18278068614125331</v>
      </c>
      <c r="D88" s="439">
        <v>-0.33757632312756769</v>
      </c>
      <c r="E88" s="439">
        <v>-0.62001716834630827</v>
      </c>
      <c r="F88" s="439">
        <v>-1.1262729727799723</v>
      </c>
      <c r="G88" s="439">
        <v>-2.0352869364499497</v>
      </c>
      <c r="H88" s="456">
        <v>-3.6525983747802968</v>
      </c>
      <c r="I88" s="180">
        <v>-1.6882929714925145E-2</v>
      </c>
      <c r="J88" s="180">
        <v>-1.6882929714925367E-2</v>
      </c>
      <c r="K88" s="180">
        <v>-1.6882929714925481E-2</v>
      </c>
      <c r="L88" s="180">
        <v>-1.6882929714924881E-2</v>
      </c>
      <c r="M88" s="180">
        <v>-1.6882929714924763E-2</v>
      </c>
      <c r="N88" s="180">
        <v>-1.6882929714925134E-2</v>
      </c>
      <c r="O88" s="180">
        <v>-1.6882929714925145E-2</v>
      </c>
      <c r="P88" s="180">
        <v>-1.6882929714925367E-2</v>
      </c>
      <c r="Q88" s="180">
        <v>-1.6882929714925481E-2</v>
      </c>
      <c r="R88" s="180">
        <v>-1.6882929714924881E-2</v>
      </c>
      <c r="S88" s="180">
        <v>-1.6882929714924763E-2</v>
      </c>
      <c r="T88" s="180">
        <v>-1.6882929714925134E-2</v>
      </c>
      <c r="V88">
        <v>2070</v>
      </c>
      <c r="W88" s="180">
        <v>-1.7141868992047031E-4</v>
      </c>
      <c r="X88" s="180">
        <v>-1.711814269973495E-3</v>
      </c>
      <c r="Y88" s="180">
        <v>-1.6882929714925481E-2</v>
      </c>
      <c r="Z88" s="180">
        <v>-3.3251785564255294E-2</v>
      </c>
      <c r="AA88" s="180">
        <v>-6.4500168634342867E-2</v>
      </c>
      <c r="AB88" s="180">
        <v>-1.7141868992047031E-4</v>
      </c>
      <c r="AC88" s="180">
        <v>-1.711814269973495E-3</v>
      </c>
      <c r="AD88" s="180">
        <v>-1.6882929714925481E-2</v>
      </c>
      <c r="AE88" s="180">
        <v>-3.3251785564255294E-2</v>
      </c>
      <c r="AF88" s="180">
        <v>-6.4500168634342867E-2</v>
      </c>
    </row>
    <row r="89" spans="2:32">
      <c r="B89">
        <v>2080</v>
      </c>
      <c r="C89" s="439">
        <v>-0.35417555537211953</v>
      </c>
      <c r="D89" s="439">
        <v>-0.7395177354154967</v>
      </c>
      <c r="E89" s="439">
        <v>-1.5338633763048506</v>
      </c>
      <c r="F89" s="439">
        <v>-3.1396021265668992</v>
      </c>
      <c r="G89" s="439">
        <v>-6.386354082446644</v>
      </c>
      <c r="H89" s="456">
        <v>-12.883223037701441</v>
      </c>
      <c r="I89" s="180">
        <v>-1.6621990840217371E-2</v>
      </c>
      <c r="J89" s="180">
        <v>-1.6621990840217721E-2</v>
      </c>
      <c r="K89" s="180">
        <v>-1.6621990840217586E-2</v>
      </c>
      <c r="L89" s="180">
        <v>-1.662199084021776E-2</v>
      </c>
      <c r="M89" s="180">
        <v>-1.6621990840217944E-2</v>
      </c>
      <c r="N89" s="180">
        <v>-1.6621990840217728E-2</v>
      </c>
      <c r="O89" s="180">
        <v>-1.6621990840217371E-2</v>
      </c>
      <c r="P89" s="180">
        <v>-1.6621990840217721E-2</v>
      </c>
      <c r="Q89" s="180">
        <v>-1.6621990840217586E-2</v>
      </c>
      <c r="R89" s="180">
        <v>-1.662199084021776E-2</v>
      </c>
      <c r="S89" s="180">
        <v>-1.6621990840217944E-2</v>
      </c>
      <c r="T89" s="180">
        <v>-1.6621990840217728E-2</v>
      </c>
      <c r="V89">
        <v>2080</v>
      </c>
      <c r="W89" s="180">
        <v>-1.6876928008373665E-4</v>
      </c>
      <c r="X89" s="180">
        <v>-1.6853568424498155E-3</v>
      </c>
      <c r="Y89" s="180">
        <v>-1.6621990840217586E-2</v>
      </c>
      <c r="Z89" s="180">
        <v>-3.2737853228240972E-2</v>
      </c>
      <c r="AA89" s="180">
        <v>-6.3503268113753203E-2</v>
      </c>
      <c r="AB89" s="180">
        <v>-1.6876928008373665E-4</v>
      </c>
      <c r="AC89" s="180">
        <v>-1.6853568424498155E-3</v>
      </c>
      <c r="AD89" s="180">
        <v>-1.6621990840217586E-2</v>
      </c>
      <c r="AE89" s="180">
        <v>-3.2737853228240972E-2</v>
      </c>
      <c r="AF89" s="180">
        <v>-6.3503268113753203E-2</v>
      </c>
    </row>
    <row r="90" spans="2:32">
      <c r="B90">
        <v>2090</v>
      </c>
      <c r="C90" s="439">
        <v>-0.65899102973984469</v>
      </c>
      <c r="D90" s="439">
        <v>-1.5555996914124108</v>
      </c>
      <c r="E90" s="439">
        <v>-3.6436972078280974</v>
      </c>
      <c r="F90" s="439">
        <v>-8.4038483300008124</v>
      </c>
      <c r="G90" s="439">
        <v>-19.242122779990268</v>
      </c>
      <c r="H90" s="456">
        <v>-43.633471648052819</v>
      </c>
      <c r="I90" s="180">
        <v>-1.6236147561375463E-2</v>
      </c>
      <c r="J90" s="180">
        <v>-1.6236147561376053E-2</v>
      </c>
      <c r="K90" s="180">
        <v>-1.6236147561375817E-2</v>
      </c>
      <c r="L90" s="180">
        <v>-1.6236147561375855E-2</v>
      </c>
      <c r="M90" s="180">
        <v>-1.6236147561376021E-2</v>
      </c>
      <c r="N90" s="180">
        <v>-1.6236147561375782E-2</v>
      </c>
      <c r="O90" s="180">
        <v>-1.6236147561375463E-2</v>
      </c>
      <c r="P90" s="180">
        <v>-1.6236147561376053E-2</v>
      </c>
      <c r="Q90" s="180">
        <v>-1.6236147561375817E-2</v>
      </c>
      <c r="R90" s="180">
        <v>-1.6236147561375855E-2</v>
      </c>
      <c r="S90" s="180">
        <v>-1.6236147561376021E-2</v>
      </c>
      <c r="T90" s="180">
        <v>-1.6236147561375782E-2</v>
      </c>
      <c r="V90">
        <v>2090</v>
      </c>
      <c r="W90" s="180">
        <v>-1.6485166918962709E-4</v>
      </c>
      <c r="X90" s="180">
        <v>-1.6462349576911789E-3</v>
      </c>
      <c r="Y90" s="180">
        <v>-1.6236147561375817E-2</v>
      </c>
      <c r="Z90" s="180">
        <v>-3.1977915339136506E-2</v>
      </c>
      <c r="AA90" s="180">
        <v>-6.2029178191449749E-2</v>
      </c>
      <c r="AB90" s="180">
        <v>-1.6485166918962709E-4</v>
      </c>
      <c r="AC90" s="180">
        <v>-1.6462349576911789E-3</v>
      </c>
      <c r="AD90" s="180">
        <v>-1.6236147561375817E-2</v>
      </c>
      <c r="AE90" s="180">
        <v>-3.1977915339136506E-2</v>
      </c>
      <c r="AF90" s="180">
        <v>-6.2029178191449749E-2</v>
      </c>
    </row>
    <row r="91" spans="2:32">
      <c r="B91">
        <v>2100</v>
      </c>
      <c r="C91" s="439">
        <v>-1.1459545544879717</v>
      </c>
      <c r="D91" s="439">
        <v>-3.0582576827520995</v>
      </c>
      <c r="E91" s="439">
        <v>-8.0895591386938008</v>
      </c>
      <c r="F91" s="439">
        <v>-21.023681554078166</v>
      </c>
      <c r="G91" s="439">
        <v>-54.185107816977506</v>
      </c>
      <c r="H91" s="456">
        <v>-138.11536141441684</v>
      </c>
      <c r="I91" s="180">
        <v>-1.5742331474274524E-2</v>
      </c>
      <c r="J91" s="180">
        <v>-1.5742331474274392E-2</v>
      </c>
      <c r="K91" s="180">
        <v>-1.5742331474274202E-2</v>
      </c>
      <c r="L91" s="180">
        <v>-1.574233147427466E-2</v>
      </c>
      <c r="M91" s="180">
        <v>-1.5742331474274406E-2</v>
      </c>
      <c r="N91" s="180">
        <v>-1.5742331474274368E-2</v>
      </c>
      <c r="O91" s="180">
        <v>-1.5742331474274524E-2</v>
      </c>
      <c r="P91" s="180">
        <v>-1.5742331474274392E-2</v>
      </c>
      <c r="Q91" s="180">
        <v>-1.5742331474274202E-2</v>
      </c>
      <c r="R91" s="180">
        <v>-1.574233147427466E-2</v>
      </c>
      <c r="S91" s="180">
        <v>-1.5742331474274406E-2</v>
      </c>
      <c r="T91" s="180">
        <v>-1.5742331474274368E-2</v>
      </c>
      <c r="V91">
        <v>2100</v>
      </c>
      <c r="W91" s="180">
        <v>-1.5983777005359085E-4</v>
      </c>
      <c r="X91" s="180">
        <v>-1.5961653643851354E-3</v>
      </c>
      <c r="Y91" s="180">
        <v>-1.5742331474274202E-2</v>
      </c>
      <c r="Z91" s="180">
        <v>-3.1005319532973856E-2</v>
      </c>
      <c r="AA91" s="180">
        <v>-6.0142584962062443E-2</v>
      </c>
      <c r="AB91" s="180">
        <v>-1.5983777005359085E-4</v>
      </c>
      <c r="AC91" s="180">
        <v>-1.5961653643851354E-3</v>
      </c>
      <c r="AD91" s="180">
        <v>-1.5742331474274202E-2</v>
      </c>
      <c r="AE91" s="180">
        <v>-3.1005319532973856E-2</v>
      </c>
      <c r="AF91" s="180">
        <v>-6.0142584962062443E-2</v>
      </c>
    </row>
    <row r="92" spans="2:32">
      <c r="B92" t="s">
        <v>349</v>
      </c>
      <c r="C92" t="e">
        <f>SUM(#REF!)</f>
        <v>#REF!</v>
      </c>
      <c r="D92" s="439">
        <f>SUM(C74:C91)</f>
        <v>7.5294706124393223</v>
      </c>
      <c r="E92">
        <f>SUM(D74:D91)</f>
        <v>4.7577073579968054</v>
      </c>
      <c r="F92">
        <f>SUM(E74:E91)</f>
        <v>-2.8549922829389764</v>
      </c>
      <c r="G92">
        <f>SUM(F74:F91)</f>
        <v>-22.098526222886434</v>
      </c>
      <c r="H92">
        <f>SUM(G74:G91)</f>
        <v>-69.741307782748549</v>
      </c>
      <c r="Z92" s="180"/>
      <c r="AA92" s="180"/>
    </row>
    <row r="93" spans="2:32">
      <c r="Z93" s="180"/>
      <c r="AA93" s="180"/>
    </row>
    <row r="94" spans="2:32">
      <c r="Z94" s="180"/>
      <c r="AA94" s="180"/>
    </row>
    <row r="95" spans="2:32">
      <c r="Z95" s="180"/>
      <c r="AA95" s="180"/>
    </row>
    <row r="96" spans="2:32">
      <c r="Z96" s="180"/>
      <c r="AA96" s="180"/>
    </row>
    <row r="97" spans="26:27">
      <c r="Z97" s="180"/>
      <c r="AA97" s="180"/>
    </row>
    <row r="98" spans="26:27">
      <c r="Z98" s="180"/>
      <c r="AA98" s="180"/>
    </row>
    <row r="99" spans="26:27">
      <c r="Z99" s="180"/>
      <c r="AA99" s="180"/>
    </row>
    <row r="100" spans="26:27">
      <c r="Z100" s="180"/>
      <c r="AA100" s="180"/>
    </row>
    <row r="101" spans="26:27">
      <c r="Z101" s="180"/>
      <c r="AA101" s="180"/>
    </row>
    <row r="102" spans="26:27">
      <c r="Z102" s="180"/>
      <c r="AA102" s="180"/>
    </row>
    <row r="103" spans="26:27">
      <c r="Z103" s="180"/>
      <c r="AA103" s="180"/>
    </row>
    <row r="104" spans="26:27">
      <c r="Z104" s="180"/>
      <c r="AA104" s="180"/>
    </row>
    <row r="105" spans="26:27">
      <c r="Z105" s="180"/>
      <c r="AA105" s="180"/>
    </row>
    <row r="106" spans="26:27">
      <c r="Z106" s="180"/>
      <c r="AA106" s="180"/>
    </row>
    <row r="107" spans="26:27">
      <c r="Z107" s="180"/>
      <c r="AA107" s="180"/>
    </row>
    <row r="108" spans="26:27">
      <c r="Z108" s="180"/>
      <c r="AA108" s="180"/>
    </row>
    <row r="109" spans="26:27">
      <c r="Z109" s="180"/>
      <c r="AA109" s="180"/>
    </row>
  </sheetData>
  <mergeCells count="16">
    <mergeCell ref="C48:P48"/>
    <mergeCell ref="C71:P71"/>
    <mergeCell ref="C2:P2"/>
    <mergeCell ref="C25:P25"/>
    <mergeCell ref="AB72:AF72"/>
    <mergeCell ref="AB26:AF26"/>
    <mergeCell ref="W26:AA26"/>
    <mergeCell ref="AB49:AF49"/>
    <mergeCell ref="W2:AF2"/>
    <mergeCell ref="W25:AF25"/>
    <mergeCell ref="W48:AF48"/>
    <mergeCell ref="W71:AF71"/>
    <mergeCell ref="AB3:AF3"/>
    <mergeCell ref="W3:AA3"/>
    <mergeCell ref="W49:AA49"/>
    <mergeCell ref="W72:AA72"/>
  </mergeCells>
  <conditionalFormatting sqref="C5:T22">
    <cfRule type="cellIs" dxfId="17" priority="19" operator="lessThan">
      <formula>0</formula>
    </cfRule>
    <cfRule type="cellIs" dxfId="16" priority="20" operator="greaterThanOrEqual">
      <formula>0</formula>
    </cfRule>
  </conditionalFormatting>
  <conditionalFormatting sqref="C28:T45">
    <cfRule type="cellIs" dxfId="15" priority="21" operator="lessThan">
      <formula>0</formula>
    </cfRule>
    <cfRule type="cellIs" dxfId="14" priority="22" operator="greaterThanOrEqual">
      <formula>0</formula>
    </cfRule>
  </conditionalFormatting>
  <conditionalFormatting sqref="C51:T68">
    <cfRule type="cellIs" dxfId="13" priority="25" operator="lessThan">
      <formula>0</formula>
    </cfRule>
    <cfRule type="cellIs" dxfId="12" priority="26" operator="greaterThanOrEqual">
      <formula>0</formula>
    </cfRule>
  </conditionalFormatting>
  <conditionalFormatting sqref="C74:T91">
    <cfRule type="cellIs" dxfId="11" priority="23" operator="lessThan">
      <formula>0</formula>
    </cfRule>
    <cfRule type="cellIs" dxfId="10" priority="24" operator="greaterThanOrEqual">
      <formula>0</formula>
    </cfRule>
  </conditionalFormatting>
  <conditionalFormatting sqref="W5:AF22">
    <cfRule type="cellIs" dxfId="9" priority="9" operator="lessThan">
      <formula>0</formula>
    </cfRule>
    <cfRule type="cellIs" dxfId="8" priority="10" operator="greaterThanOrEqual">
      <formula>0</formula>
    </cfRule>
  </conditionalFormatting>
  <conditionalFormatting sqref="W28:AF45">
    <cfRule type="cellIs" dxfId="7" priority="5" operator="lessThan">
      <formula>0</formula>
    </cfRule>
    <cfRule type="cellIs" dxfId="6" priority="6" operator="greaterThanOrEqual">
      <formula>0</formula>
    </cfRule>
  </conditionalFormatting>
  <conditionalFormatting sqref="W51:AF68">
    <cfRule type="cellIs" dxfId="5" priority="1" operator="lessThan">
      <formula>0</formula>
    </cfRule>
    <cfRule type="cellIs" dxfId="4" priority="2" operator="greaterThanOrEqual">
      <formula>0</formula>
    </cfRule>
  </conditionalFormatting>
  <conditionalFormatting sqref="W74:AF91">
    <cfRule type="cellIs" dxfId="3" priority="3" operator="lessThan">
      <formula>0</formula>
    </cfRule>
    <cfRule type="cellIs" dxfId="2" priority="4" operator="greaterThanOrEqual">
      <formula>0</formula>
    </cfRule>
  </conditionalFormatting>
  <conditionalFormatting sqref="Z92:AA109">
    <cfRule type="cellIs" dxfId="1" priority="11" operator="lessThan">
      <formula>0</formula>
    </cfRule>
    <cfRule type="cellIs" dxfId="0" priority="12" operator="greaterThan">
      <formula>0</formula>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FA650-7553-4014-9869-ED2D69C0C51A}">
  <sheetPr>
    <tabColor rgb="FF7030A0"/>
  </sheetPr>
  <dimension ref="A1:AK73"/>
  <sheetViews>
    <sheetView workbookViewId="0">
      <selection activeCell="G22" sqref="G22"/>
    </sheetView>
  </sheetViews>
  <sheetFormatPr defaultRowHeight="15"/>
  <sheetData>
    <row r="1" spans="1:37">
      <c r="A1" s="652" t="s">
        <v>350</v>
      </c>
      <c r="B1" s="652"/>
      <c r="C1" s="652"/>
      <c r="D1" s="652"/>
      <c r="E1" s="652"/>
      <c r="F1" s="652"/>
      <c r="G1" s="652"/>
      <c r="H1" s="652"/>
      <c r="I1" s="652"/>
      <c r="J1" s="652"/>
      <c r="K1" s="652"/>
      <c r="L1" s="652"/>
      <c r="M1" s="652"/>
      <c r="N1" s="652"/>
      <c r="O1" s="652"/>
      <c r="P1" s="652"/>
      <c r="Q1" s="652"/>
      <c r="R1" s="652"/>
      <c r="S1" s="652"/>
      <c r="T1" s="652"/>
      <c r="U1" s="652"/>
      <c r="V1" s="652"/>
      <c r="W1" s="652"/>
      <c r="X1" s="652"/>
      <c r="Y1" s="652"/>
      <c r="Z1" s="65"/>
      <c r="AA1" s="65"/>
      <c r="AB1" s="65"/>
      <c r="AC1" s="65"/>
      <c r="AD1" s="65"/>
      <c r="AE1" s="65"/>
      <c r="AF1" s="65"/>
      <c r="AG1" s="65"/>
      <c r="AH1" s="65"/>
      <c r="AI1" s="65"/>
      <c r="AJ1" s="65"/>
      <c r="AK1" s="65"/>
    </row>
    <row r="2" spans="1:37">
      <c r="A2" s="413" t="s">
        <v>333</v>
      </c>
      <c r="B2" s="653">
        <v>1.2500000000000001E-2</v>
      </c>
      <c r="C2" s="654"/>
      <c r="D2" s="654"/>
      <c r="E2" s="655"/>
      <c r="F2" s="656">
        <v>2.5000000000000001E-2</v>
      </c>
      <c r="G2" s="657"/>
      <c r="H2" s="657"/>
      <c r="I2" s="658"/>
      <c r="J2" s="656">
        <v>3.7499999999999999E-2</v>
      </c>
      <c r="K2" s="657"/>
      <c r="L2" s="657"/>
      <c r="M2" s="658"/>
      <c r="N2" s="659">
        <v>0.05</v>
      </c>
      <c r="O2" s="657"/>
      <c r="P2" s="657"/>
      <c r="Q2" s="658"/>
      <c r="R2" s="660">
        <v>6.25E-2</v>
      </c>
      <c r="S2" s="661"/>
      <c r="T2" s="661"/>
      <c r="U2" s="662"/>
      <c r="V2" s="660">
        <v>7.4999999999999997E-2</v>
      </c>
      <c r="W2" s="661"/>
      <c r="X2" s="661"/>
      <c r="Y2" s="662"/>
      <c r="Z2" s="65"/>
      <c r="AA2" s="65"/>
      <c r="AB2" s="65"/>
      <c r="AC2" s="65"/>
      <c r="AD2" s="65"/>
      <c r="AE2" s="65"/>
      <c r="AF2" s="65"/>
      <c r="AG2" s="65"/>
      <c r="AH2" s="65"/>
      <c r="AI2" s="65"/>
      <c r="AJ2" s="65"/>
      <c r="AK2" s="65"/>
    </row>
    <row r="3" spans="1:37">
      <c r="A3" s="482" t="s">
        <v>87</v>
      </c>
      <c r="B3" s="532" t="s">
        <v>318</v>
      </c>
      <c r="C3" s="532" t="s">
        <v>319</v>
      </c>
      <c r="D3" s="532" t="s">
        <v>320</v>
      </c>
      <c r="E3" s="532" t="s">
        <v>321</v>
      </c>
      <c r="F3" s="532" t="s">
        <v>318</v>
      </c>
      <c r="G3" s="532" t="s">
        <v>319</v>
      </c>
      <c r="H3" s="532" t="s">
        <v>320</v>
      </c>
      <c r="I3" s="532" t="s">
        <v>321</v>
      </c>
      <c r="J3" s="532" t="s">
        <v>318</v>
      </c>
      <c r="K3" s="532" t="s">
        <v>319</v>
      </c>
      <c r="L3" s="532" t="s">
        <v>320</v>
      </c>
      <c r="M3" s="532" t="s">
        <v>321</v>
      </c>
      <c r="N3" s="532" t="s">
        <v>318</v>
      </c>
      <c r="O3" s="532" t="s">
        <v>319</v>
      </c>
      <c r="P3" s="532" t="s">
        <v>320</v>
      </c>
      <c r="Q3" s="532" t="s">
        <v>321</v>
      </c>
      <c r="R3" s="533" t="s">
        <v>318</v>
      </c>
      <c r="S3" s="533" t="s">
        <v>319</v>
      </c>
      <c r="T3" s="533" t="s">
        <v>320</v>
      </c>
      <c r="U3" s="533" t="s">
        <v>321</v>
      </c>
      <c r="V3" s="533" t="s">
        <v>318</v>
      </c>
      <c r="W3" s="533" t="s">
        <v>319</v>
      </c>
      <c r="X3" s="533" t="s">
        <v>320</v>
      </c>
      <c r="Y3" s="533" t="s">
        <v>321</v>
      </c>
      <c r="Z3" s="65"/>
      <c r="AA3" s="65"/>
      <c r="AB3" s="65"/>
      <c r="AC3" s="65"/>
      <c r="AD3" s="65"/>
      <c r="AE3" s="65"/>
      <c r="AF3" s="65"/>
      <c r="AG3" s="65"/>
      <c r="AH3" s="65"/>
      <c r="AI3" s="65"/>
      <c r="AJ3" s="65"/>
      <c r="AK3" s="65"/>
    </row>
    <row r="4" spans="1:37">
      <c r="A4" s="65">
        <v>2020</v>
      </c>
      <c r="B4" s="534">
        <v>3.0000000000000001E-3</v>
      </c>
      <c r="C4" s="535">
        <v>3.0000000000000001E-3</v>
      </c>
      <c r="D4" s="535">
        <v>3.0000000000000001E-3</v>
      </c>
      <c r="E4" s="536">
        <v>3.0000000000000001E-3</v>
      </c>
      <c r="F4" s="537">
        <v>3.0000000000000001E-3</v>
      </c>
      <c r="G4" s="537">
        <v>3.0000000000000001E-3</v>
      </c>
      <c r="H4" s="537">
        <v>3.0000000000000001E-3</v>
      </c>
      <c r="I4" s="538">
        <v>3.0000000000000001E-3</v>
      </c>
      <c r="J4" s="539">
        <v>3.0000000000000001E-3</v>
      </c>
      <c r="K4" s="537">
        <v>3.0000000000000001E-3</v>
      </c>
      <c r="L4" s="537">
        <v>3.0000000000000001E-3</v>
      </c>
      <c r="M4" s="538">
        <v>3.0000000000000001E-3</v>
      </c>
      <c r="N4" s="539">
        <v>3.0000000000000001E-3</v>
      </c>
      <c r="O4" s="537">
        <v>3.0000000000000001E-3</v>
      </c>
      <c r="P4" s="537">
        <v>3.0000000000000001E-3</v>
      </c>
      <c r="Q4" s="538">
        <v>3.0000000000000001E-3</v>
      </c>
      <c r="R4" s="539">
        <v>3.0000000000000001E-3</v>
      </c>
      <c r="S4" s="537">
        <v>3.0000000000000001E-3</v>
      </c>
      <c r="T4" s="537">
        <v>3.0000000000000001E-3</v>
      </c>
      <c r="U4" s="538">
        <v>3.0000000000000001E-3</v>
      </c>
      <c r="V4" s="539">
        <v>3.0000000000000001E-3</v>
      </c>
      <c r="W4" s="537">
        <v>3.0000000000000001E-3</v>
      </c>
      <c r="X4" s="537">
        <v>3.0000000000000001E-3</v>
      </c>
      <c r="Y4" s="538">
        <v>3.0000000000000001E-3</v>
      </c>
      <c r="Z4" s="65"/>
      <c r="AA4" s="65"/>
      <c r="AB4" s="65"/>
      <c r="AC4" s="65"/>
      <c r="AD4" s="65"/>
      <c r="AE4" s="65"/>
      <c r="AF4" s="65"/>
      <c r="AG4" s="65"/>
      <c r="AH4" s="65"/>
      <c r="AI4" s="65"/>
      <c r="AJ4" s="65"/>
      <c r="AK4" s="65"/>
    </row>
    <row r="5" spans="1:37">
      <c r="A5" s="65">
        <v>2021</v>
      </c>
      <c r="B5" s="540">
        <v>2.8999999999999998E-3</v>
      </c>
      <c r="C5" s="541">
        <v>3.0000000000000001E-3</v>
      </c>
      <c r="D5" s="541">
        <v>3.0000000000000001E-3</v>
      </c>
      <c r="E5" s="542">
        <v>2.8999999999999998E-3</v>
      </c>
      <c r="F5" s="541">
        <v>3.0000000000000001E-3</v>
      </c>
      <c r="G5" s="541">
        <v>3.0000000000000001E-3</v>
      </c>
      <c r="H5" s="541">
        <v>3.0000000000000001E-3</v>
      </c>
      <c r="I5" s="543">
        <v>2.8999999999999998E-3</v>
      </c>
      <c r="J5" s="544">
        <v>3.0000000000000001E-3</v>
      </c>
      <c r="K5" s="541">
        <v>3.0000000000000001E-3</v>
      </c>
      <c r="L5" s="541">
        <v>3.0999999999999999E-3</v>
      </c>
      <c r="M5" s="543">
        <v>3.0000000000000001E-3</v>
      </c>
      <c r="N5" s="544">
        <v>3.0000000000000001E-3</v>
      </c>
      <c r="O5" s="541">
        <v>3.0999999999999999E-3</v>
      </c>
      <c r="P5" s="541">
        <v>3.0999999999999999E-3</v>
      </c>
      <c r="Q5" s="543">
        <v>3.0000000000000001E-3</v>
      </c>
      <c r="R5" s="544">
        <v>3.0999999999999999E-3</v>
      </c>
      <c r="S5" s="541">
        <v>3.0999999999999999E-3</v>
      </c>
      <c r="T5" s="541">
        <v>3.0999999999999999E-3</v>
      </c>
      <c r="U5" s="543">
        <v>3.0000000000000001E-3</v>
      </c>
      <c r="V5" s="544">
        <v>3.0999999999999999E-3</v>
      </c>
      <c r="W5" s="541">
        <v>3.0999999999999999E-3</v>
      </c>
      <c r="X5" s="541">
        <v>3.2000000000000002E-3</v>
      </c>
      <c r="Y5" s="543">
        <v>3.0999999999999999E-3</v>
      </c>
      <c r="Z5" s="65"/>
      <c r="AA5" s="65"/>
      <c r="AB5" s="65"/>
      <c r="AC5" s="65"/>
      <c r="AD5" s="65"/>
      <c r="AE5" s="65"/>
      <c r="AF5" s="65"/>
      <c r="AG5" s="65"/>
      <c r="AH5" s="65"/>
      <c r="AI5" s="65"/>
      <c r="AJ5" s="65"/>
      <c r="AK5" s="65"/>
    </row>
    <row r="6" spans="1:37">
      <c r="A6" s="65">
        <v>2022</v>
      </c>
      <c r="B6" s="540">
        <v>2.8E-3</v>
      </c>
      <c r="C6" s="541">
        <v>2.8999999999999998E-3</v>
      </c>
      <c r="D6" s="541">
        <v>3.0000000000000001E-3</v>
      </c>
      <c r="E6" s="542">
        <v>2.8E-3</v>
      </c>
      <c r="F6" s="541">
        <v>2.8999999999999998E-3</v>
      </c>
      <c r="G6" s="541">
        <v>3.0000000000000001E-3</v>
      </c>
      <c r="H6" s="541">
        <v>3.0000000000000001E-3</v>
      </c>
      <c r="I6" s="543">
        <v>2.8999999999999998E-3</v>
      </c>
      <c r="J6" s="544">
        <v>3.0000000000000001E-3</v>
      </c>
      <c r="K6" s="541">
        <v>3.0000000000000001E-3</v>
      </c>
      <c r="L6" s="541">
        <v>3.0999999999999999E-3</v>
      </c>
      <c r="M6" s="543">
        <v>2.8999999999999998E-3</v>
      </c>
      <c r="N6" s="544">
        <v>3.0000000000000001E-3</v>
      </c>
      <c r="O6" s="541">
        <v>3.0999999999999999E-3</v>
      </c>
      <c r="P6" s="541">
        <v>3.2000000000000002E-3</v>
      </c>
      <c r="Q6" s="543">
        <v>3.0000000000000001E-3</v>
      </c>
      <c r="R6" s="544">
        <v>3.0999999999999999E-3</v>
      </c>
      <c r="S6" s="541">
        <v>3.2000000000000002E-3</v>
      </c>
      <c r="T6" s="541">
        <v>3.3E-3</v>
      </c>
      <c r="U6" s="543">
        <v>3.0999999999999999E-3</v>
      </c>
      <c r="V6" s="544">
        <v>3.2000000000000002E-3</v>
      </c>
      <c r="W6" s="541">
        <v>3.3E-3</v>
      </c>
      <c r="X6" s="541">
        <v>3.3E-3</v>
      </c>
      <c r="Y6" s="543">
        <v>3.0999999999999999E-3</v>
      </c>
      <c r="Z6" s="65"/>
      <c r="AA6" s="65"/>
      <c r="AB6" s="65"/>
      <c r="AC6" s="65"/>
      <c r="AD6" s="65"/>
      <c r="AE6" s="65"/>
      <c r="AF6" s="65"/>
      <c r="AG6" s="65"/>
      <c r="AH6" s="65"/>
      <c r="AI6" s="65"/>
      <c r="AJ6" s="65"/>
      <c r="AK6" s="65"/>
    </row>
    <row r="7" spans="1:37">
      <c r="A7" s="65">
        <v>2023</v>
      </c>
      <c r="B7" s="540">
        <v>2.7000000000000001E-3</v>
      </c>
      <c r="C7" s="541">
        <v>2.8E-3</v>
      </c>
      <c r="D7" s="541">
        <v>2.8999999999999998E-3</v>
      </c>
      <c r="E7" s="542">
        <v>2.7000000000000001E-3</v>
      </c>
      <c r="F7" s="541">
        <v>2.8E-3</v>
      </c>
      <c r="G7" s="541">
        <v>3.0000000000000001E-3</v>
      </c>
      <c r="H7" s="541">
        <v>3.0000000000000001E-3</v>
      </c>
      <c r="I7" s="543">
        <v>2.8E-3</v>
      </c>
      <c r="J7" s="544">
        <v>2.8999999999999998E-3</v>
      </c>
      <c r="K7" s="541">
        <v>3.0999999999999999E-3</v>
      </c>
      <c r="L7" s="541">
        <v>3.2000000000000002E-3</v>
      </c>
      <c r="M7" s="543">
        <v>2.8999999999999998E-3</v>
      </c>
      <c r="N7" s="544">
        <v>3.0999999999999999E-3</v>
      </c>
      <c r="O7" s="541">
        <v>3.2000000000000002E-3</v>
      </c>
      <c r="P7" s="541">
        <v>3.3E-3</v>
      </c>
      <c r="Q7" s="543">
        <v>3.0000000000000001E-3</v>
      </c>
      <c r="R7" s="544">
        <v>3.2000000000000002E-3</v>
      </c>
      <c r="S7" s="541">
        <v>3.3E-3</v>
      </c>
      <c r="T7" s="541">
        <v>3.3999999999999998E-3</v>
      </c>
      <c r="U7" s="543">
        <v>3.0999999999999999E-3</v>
      </c>
      <c r="V7" s="544">
        <v>3.3E-3</v>
      </c>
      <c r="W7" s="541">
        <v>3.3999999999999998E-3</v>
      </c>
      <c r="X7" s="541">
        <v>3.5000000000000001E-3</v>
      </c>
      <c r="Y7" s="543">
        <v>3.2000000000000002E-3</v>
      </c>
      <c r="Z7" s="65"/>
      <c r="AA7" s="65"/>
      <c r="AB7" s="65"/>
      <c r="AC7" s="65"/>
      <c r="AD7" s="65"/>
      <c r="AE7" s="65"/>
      <c r="AF7" s="65"/>
      <c r="AG7" s="65"/>
      <c r="AH7" s="65"/>
      <c r="AI7" s="65"/>
      <c r="AJ7" s="65"/>
      <c r="AK7" s="65"/>
    </row>
    <row r="8" spans="1:37">
      <c r="A8" s="65">
        <v>2024</v>
      </c>
      <c r="B8" s="540">
        <v>2.7000000000000001E-3</v>
      </c>
      <c r="C8" s="541">
        <v>2.8E-3</v>
      </c>
      <c r="D8" s="541">
        <v>2.8999999999999998E-3</v>
      </c>
      <c r="E8" s="542">
        <v>2.5999999999999999E-3</v>
      </c>
      <c r="F8" s="541">
        <v>2.8E-3</v>
      </c>
      <c r="G8" s="541">
        <v>2.8999999999999998E-3</v>
      </c>
      <c r="H8" s="541">
        <v>3.0000000000000001E-3</v>
      </c>
      <c r="I8" s="543">
        <v>2.7000000000000001E-3</v>
      </c>
      <c r="J8" s="544">
        <v>2.8999999999999998E-3</v>
      </c>
      <c r="K8" s="541">
        <v>3.0999999999999999E-3</v>
      </c>
      <c r="L8" s="541">
        <v>3.2000000000000002E-3</v>
      </c>
      <c r="M8" s="543">
        <v>2.8999999999999998E-3</v>
      </c>
      <c r="N8" s="544">
        <v>3.0999999999999999E-3</v>
      </c>
      <c r="O8" s="541">
        <v>3.2000000000000002E-3</v>
      </c>
      <c r="P8" s="541">
        <v>3.3999999999999998E-3</v>
      </c>
      <c r="Q8" s="543">
        <v>3.0000000000000001E-3</v>
      </c>
      <c r="R8" s="544">
        <v>3.2000000000000002E-3</v>
      </c>
      <c r="S8" s="541">
        <v>3.3999999999999998E-3</v>
      </c>
      <c r="T8" s="541">
        <v>3.5000000000000001E-3</v>
      </c>
      <c r="U8" s="543">
        <v>3.2000000000000002E-3</v>
      </c>
      <c r="V8" s="544">
        <v>3.3999999999999998E-3</v>
      </c>
      <c r="W8" s="541">
        <v>3.5999999999999999E-3</v>
      </c>
      <c r="X8" s="541">
        <v>3.7000000000000002E-3</v>
      </c>
      <c r="Y8" s="543">
        <v>3.3E-3</v>
      </c>
      <c r="Z8" s="65"/>
      <c r="AA8" s="65"/>
      <c r="AB8" s="65"/>
      <c r="AC8" s="65"/>
      <c r="AD8" s="65"/>
      <c r="AE8" s="65"/>
      <c r="AF8" s="65"/>
      <c r="AG8" s="65"/>
      <c r="AH8" s="65"/>
      <c r="AI8" s="65"/>
      <c r="AJ8" s="65"/>
      <c r="AK8" s="65"/>
    </row>
    <row r="9" spans="1:37">
      <c r="A9" s="65">
        <v>2025</v>
      </c>
      <c r="B9" s="540">
        <v>2.5999999999999999E-3</v>
      </c>
      <c r="C9" s="541">
        <v>2.8E-3</v>
      </c>
      <c r="D9" s="541">
        <v>2.8999999999999998E-3</v>
      </c>
      <c r="E9" s="542">
        <v>2.5000000000000001E-3</v>
      </c>
      <c r="F9" s="541">
        <v>2.8E-3</v>
      </c>
      <c r="G9" s="541">
        <v>2.8999999999999998E-3</v>
      </c>
      <c r="H9" s="541">
        <v>3.0999999999999999E-3</v>
      </c>
      <c r="I9" s="543">
        <v>2.7000000000000001E-3</v>
      </c>
      <c r="J9" s="544">
        <v>2.8999999999999998E-3</v>
      </c>
      <c r="K9" s="541">
        <v>3.0999999999999999E-3</v>
      </c>
      <c r="L9" s="541">
        <v>3.3E-3</v>
      </c>
      <c r="M9" s="543">
        <v>2.8999999999999998E-3</v>
      </c>
      <c r="N9" s="544">
        <v>3.0999999999999999E-3</v>
      </c>
      <c r="O9" s="541">
        <v>3.3E-3</v>
      </c>
      <c r="P9" s="541">
        <v>3.5000000000000001E-3</v>
      </c>
      <c r="Q9" s="543">
        <v>3.0000000000000001E-3</v>
      </c>
      <c r="R9" s="544">
        <v>3.3E-3</v>
      </c>
      <c r="S9" s="541">
        <v>3.5000000000000001E-3</v>
      </c>
      <c r="T9" s="541">
        <v>3.7000000000000002E-3</v>
      </c>
      <c r="U9" s="543">
        <v>3.2000000000000002E-3</v>
      </c>
      <c r="V9" s="544">
        <v>3.5000000000000001E-3</v>
      </c>
      <c r="W9" s="541">
        <v>3.7000000000000002E-3</v>
      </c>
      <c r="X9" s="541">
        <v>3.8999999999999998E-3</v>
      </c>
      <c r="Y9" s="543">
        <v>3.3999999999999998E-3</v>
      </c>
      <c r="Z9" s="65"/>
      <c r="AA9" s="65"/>
      <c r="AB9" s="65"/>
      <c r="AC9" s="65"/>
      <c r="AD9" s="65"/>
      <c r="AE9" s="65"/>
      <c r="AF9" s="65"/>
      <c r="AG9" s="65"/>
      <c r="AH9" s="65"/>
      <c r="AI9" s="65"/>
      <c r="AJ9" s="65"/>
      <c r="AK9" s="65"/>
    </row>
    <row r="10" spans="1:37">
      <c r="A10" s="65">
        <v>2026</v>
      </c>
      <c r="B10" s="540">
        <v>2.5000000000000001E-3</v>
      </c>
      <c r="C10" s="541">
        <v>2.7000000000000001E-3</v>
      </c>
      <c r="D10" s="541">
        <v>2.8999999999999998E-3</v>
      </c>
      <c r="E10" s="542">
        <v>2.5000000000000001E-3</v>
      </c>
      <c r="F10" s="541">
        <v>2.7000000000000001E-3</v>
      </c>
      <c r="G10" s="541">
        <v>2.8999999999999998E-3</v>
      </c>
      <c r="H10" s="541">
        <v>3.0999999999999999E-3</v>
      </c>
      <c r="I10" s="543">
        <v>2.5999999999999999E-3</v>
      </c>
      <c r="J10" s="544">
        <v>2.8999999999999998E-3</v>
      </c>
      <c r="K10" s="541">
        <v>3.0999999999999999E-3</v>
      </c>
      <c r="L10" s="541">
        <v>3.3E-3</v>
      </c>
      <c r="M10" s="543">
        <v>2.8E-3</v>
      </c>
      <c r="N10" s="544">
        <v>3.0999999999999999E-3</v>
      </c>
      <c r="O10" s="541">
        <v>3.3999999999999998E-3</v>
      </c>
      <c r="P10" s="541">
        <v>3.5999999999999999E-3</v>
      </c>
      <c r="Q10" s="543">
        <v>3.0999999999999999E-3</v>
      </c>
      <c r="R10" s="544">
        <v>3.3999999999999998E-3</v>
      </c>
      <c r="S10" s="541">
        <v>3.5999999999999999E-3</v>
      </c>
      <c r="T10" s="541">
        <v>3.8E-3</v>
      </c>
      <c r="U10" s="543">
        <v>3.3E-3</v>
      </c>
      <c r="V10" s="544">
        <v>3.5999999999999999E-3</v>
      </c>
      <c r="W10" s="541">
        <v>3.8999999999999998E-3</v>
      </c>
      <c r="X10" s="541">
        <v>4.1000000000000003E-3</v>
      </c>
      <c r="Y10" s="543">
        <v>3.5000000000000001E-3</v>
      </c>
      <c r="Z10" s="65"/>
      <c r="AA10" s="65"/>
      <c r="AB10" s="65"/>
      <c r="AC10" s="65"/>
      <c r="AD10" s="65"/>
      <c r="AE10" s="65"/>
      <c r="AF10" s="65"/>
      <c r="AG10" s="65"/>
      <c r="AH10" s="65"/>
      <c r="AI10" s="65"/>
      <c r="AJ10" s="65"/>
      <c r="AK10" s="65"/>
    </row>
    <row r="11" spans="1:37">
      <c r="A11" s="65">
        <v>2027</v>
      </c>
      <c r="B11" s="540">
        <v>2.5000000000000001E-3</v>
      </c>
      <c r="C11" s="541">
        <v>2.7000000000000001E-3</v>
      </c>
      <c r="D11" s="541">
        <v>2.8E-3</v>
      </c>
      <c r="E11" s="542">
        <v>2.3999999999999998E-3</v>
      </c>
      <c r="F11" s="541">
        <v>2.7000000000000001E-3</v>
      </c>
      <c r="G11" s="541">
        <v>2.8999999999999998E-3</v>
      </c>
      <c r="H11" s="541">
        <v>3.0999999999999999E-3</v>
      </c>
      <c r="I11" s="543">
        <v>2.5999999999999999E-3</v>
      </c>
      <c r="J11" s="544">
        <v>2.8999999999999998E-3</v>
      </c>
      <c r="K11" s="541">
        <v>3.2000000000000002E-3</v>
      </c>
      <c r="L11" s="541">
        <v>3.3999999999999998E-3</v>
      </c>
      <c r="M11" s="543">
        <v>2.8E-3</v>
      </c>
      <c r="N11" s="544">
        <v>3.2000000000000002E-3</v>
      </c>
      <c r="O11" s="541">
        <v>3.3999999999999998E-3</v>
      </c>
      <c r="P11" s="541">
        <v>3.7000000000000002E-3</v>
      </c>
      <c r="Q11" s="543">
        <v>3.0999999999999999E-3</v>
      </c>
      <c r="R11" s="544">
        <v>3.5000000000000001E-3</v>
      </c>
      <c r="S11" s="541">
        <v>3.7000000000000002E-3</v>
      </c>
      <c r="T11" s="541">
        <v>4.0000000000000001E-3</v>
      </c>
      <c r="U11" s="543">
        <v>3.3999999999999998E-3</v>
      </c>
      <c r="V11" s="544">
        <v>3.8E-3</v>
      </c>
      <c r="W11" s="541">
        <v>4.1000000000000003E-3</v>
      </c>
      <c r="X11" s="541">
        <v>4.3E-3</v>
      </c>
      <c r="Y11" s="543">
        <v>3.5999999999999999E-3</v>
      </c>
      <c r="Z11" s="65"/>
      <c r="AA11" s="65"/>
      <c r="AB11" s="65"/>
      <c r="AC11" s="65"/>
      <c r="AD11" s="65"/>
      <c r="AE11" s="65"/>
      <c r="AF11" s="65"/>
      <c r="AG11" s="65"/>
      <c r="AH11" s="65"/>
      <c r="AI11" s="65"/>
      <c r="AJ11" s="65"/>
      <c r="AK11" s="65"/>
    </row>
    <row r="12" spans="1:37">
      <c r="A12" s="65">
        <v>2028</v>
      </c>
      <c r="B12" s="540">
        <v>2.3999999999999998E-3</v>
      </c>
      <c r="C12" s="541">
        <v>2.5999999999999999E-3</v>
      </c>
      <c r="D12" s="541">
        <v>2.8E-3</v>
      </c>
      <c r="E12" s="542">
        <v>2.3E-3</v>
      </c>
      <c r="F12" s="541">
        <v>2.7000000000000001E-3</v>
      </c>
      <c r="G12" s="541">
        <v>2.8999999999999998E-3</v>
      </c>
      <c r="H12" s="541">
        <v>3.0999999999999999E-3</v>
      </c>
      <c r="I12" s="543">
        <v>2.5999999999999999E-3</v>
      </c>
      <c r="J12" s="544">
        <v>2.8999999999999998E-3</v>
      </c>
      <c r="K12" s="541">
        <v>3.2000000000000002E-3</v>
      </c>
      <c r="L12" s="541">
        <v>3.3999999999999998E-3</v>
      </c>
      <c r="M12" s="543">
        <v>2.8E-3</v>
      </c>
      <c r="N12" s="544">
        <v>3.2000000000000002E-3</v>
      </c>
      <c r="O12" s="541">
        <v>3.5000000000000001E-3</v>
      </c>
      <c r="P12" s="541">
        <v>3.8E-3</v>
      </c>
      <c r="Q12" s="543">
        <v>3.0999999999999999E-3</v>
      </c>
      <c r="R12" s="544">
        <v>3.5999999999999999E-3</v>
      </c>
      <c r="S12" s="541">
        <v>3.8999999999999998E-3</v>
      </c>
      <c r="T12" s="541">
        <v>4.1999999999999997E-3</v>
      </c>
      <c r="U12" s="543">
        <v>3.3999999999999998E-3</v>
      </c>
      <c r="V12" s="544">
        <v>3.8999999999999998E-3</v>
      </c>
      <c r="W12" s="541">
        <v>4.3E-3</v>
      </c>
      <c r="X12" s="541">
        <v>4.5999999999999999E-3</v>
      </c>
      <c r="Y12" s="543">
        <v>3.8E-3</v>
      </c>
      <c r="Z12" s="65"/>
      <c r="AA12" s="65"/>
      <c r="AB12" s="65"/>
      <c r="AC12" s="65"/>
      <c r="AD12" s="65"/>
      <c r="AE12" s="65"/>
      <c r="AF12" s="65"/>
      <c r="AG12" s="65"/>
      <c r="AH12" s="65"/>
      <c r="AI12" s="65"/>
      <c r="AJ12" s="65"/>
      <c r="AK12" s="65"/>
    </row>
    <row r="13" spans="1:37">
      <c r="A13" s="65">
        <v>2029</v>
      </c>
      <c r="B13" s="540">
        <v>2.3999999999999998E-3</v>
      </c>
      <c r="C13" s="541">
        <v>2.5999999999999999E-3</v>
      </c>
      <c r="D13" s="541">
        <v>2.8E-3</v>
      </c>
      <c r="E13" s="542">
        <v>2.3E-3</v>
      </c>
      <c r="F13" s="541">
        <v>2.5999999999999999E-3</v>
      </c>
      <c r="G13" s="541">
        <v>2.8999999999999998E-3</v>
      </c>
      <c r="H13" s="541">
        <v>3.0999999999999999E-3</v>
      </c>
      <c r="I13" s="543">
        <v>2.5999999999999999E-3</v>
      </c>
      <c r="J13" s="544">
        <v>2.8999999999999998E-3</v>
      </c>
      <c r="K13" s="541">
        <v>3.2000000000000002E-3</v>
      </c>
      <c r="L13" s="541">
        <v>3.5000000000000001E-3</v>
      </c>
      <c r="M13" s="543">
        <v>2.8E-3</v>
      </c>
      <c r="N13" s="544">
        <v>3.3E-3</v>
      </c>
      <c r="O13" s="541">
        <v>3.5999999999999999E-3</v>
      </c>
      <c r="P13" s="541">
        <v>3.8999999999999998E-3</v>
      </c>
      <c r="Q13" s="543">
        <v>3.2000000000000002E-3</v>
      </c>
      <c r="R13" s="544">
        <v>3.7000000000000002E-3</v>
      </c>
      <c r="S13" s="541">
        <v>4.0000000000000001E-3</v>
      </c>
      <c r="T13" s="541">
        <v>4.3E-3</v>
      </c>
      <c r="U13" s="543">
        <v>3.5000000000000001E-3</v>
      </c>
      <c r="V13" s="544">
        <v>4.1000000000000003E-3</v>
      </c>
      <c r="W13" s="541">
        <v>4.4999999999999997E-3</v>
      </c>
      <c r="X13" s="541">
        <v>4.7999999999999996E-3</v>
      </c>
      <c r="Y13" s="543">
        <v>3.8999999999999998E-3</v>
      </c>
      <c r="Z13" s="65"/>
      <c r="AA13" s="65"/>
      <c r="AB13" s="65"/>
      <c r="AC13" s="65"/>
      <c r="AD13" s="65"/>
      <c r="AE13" s="65"/>
      <c r="AF13" s="65"/>
      <c r="AG13" s="65"/>
      <c r="AH13" s="65"/>
      <c r="AI13" s="65"/>
      <c r="AJ13" s="65"/>
      <c r="AK13" s="65"/>
    </row>
    <row r="14" spans="1:37">
      <c r="A14" s="65">
        <v>2030</v>
      </c>
      <c r="B14" s="540">
        <v>2.3E-3</v>
      </c>
      <c r="C14" s="541">
        <v>2.5999999999999999E-3</v>
      </c>
      <c r="D14" s="541">
        <v>2.8E-3</v>
      </c>
      <c r="E14" s="542">
        <v>2.2000000000000001E-3</v>
      </c>
      <c r="F14" s="541">
        <v>2.5999999999999999E-3</v>
      </c>
      <c r="G14" s="541">
        <v>2.8999999999999998E-3</v>
      </c>
      <c r="H14" s="541">
        <v>3.2000000000000002E-3</v>
      </c>
      <c r="I14" s="543">
        <v>2.5000000000000001E-3</v>
      </c>
      <c r="J14" s="544">
        <v>3.0000000000000001E-3</v>
      </c>
      <c r="K14" s="541">
        <v>3.3E-3</v>
      </c>
      <c r="L14" s="541">
        <v>3.5999999999999999E-3</v>
      </c>
      <c r="M14" s="543">
        <v>2.8999999999999998E-3</v>
      </c>
      <c r="N14" s="544">
        <v>3.3E-3</v>
      </c>
      <c r="O14" s="541">
        <v>3.7000000000000002E-3</v>
      </c>
      <c r="P14" s="541">
        <v>4.0000000000000001E-3</v>
      </c>
      <c r="Q14" s="543">
        <v>3.2000000000000002E-3</v>
      </c>
      <c r="R14" s="544">
        <v>3.8E-3</v>
      </c>
      <c r="S14" s="541">
        <v>4.1999999999999997E-3</v>
      </c>
      <c r="T14" s="541">
        <v>4.4999999999999997E-3</v>
      </c>
      <c r="U14" s="543">
        <v>3.5999999999999999E-3</v>
      </c>
      <c r="V14" s="544">
        <v>4.1999999999999997E-3</v>
      </c>
      <c r="W14" s="541">
        <v>4.7000000000000002E-3</v>
      </c>
      <c r="X14" s="541">
        <v>5.1000000000000004E-3</v>
      </c>
      <c r="Y14" s="543">
        <v>4.1000000000000003E-3</v>
      </c>
      <c r="Z14" s="65"/>
      <c r="AA14" s="65"/>
      <c r="AB14" s="65"/>
      <c r="AC14" s="65"/>
      <c r="AD14" s="65"/>
      <c r="AE14" s="65"/>
      <c r="AF14" s="65"/>
      <c r="AG14" s="65"/>
      <c r="AH14" s="65"/>
      <c r="AI14" s="65"/>
      <c r="AJ14" s="65"/>
      <c r="AK14" s="65"/>
    </row>
    <row r="15" spans="1:37">
      <c r="A15" s="65">
        <v>2040</v>
      </c>
      <c r="B15" s="540">
        <v>4.0000000000000002E-4</v>
      </c>
      <c r="C15" s="541">
        <v>5.0000000000000001E-4</v>
      </c>
      <c r="D15" s="541">
        <v>6.9999999999999999E-4</v>
      </c>
      <c r="E15" s="542">
        <v>5.0000000000000001E-4</v>
      </c>
      <c r="F15" s="541">
        <v>5.0000000000000001E-4</v>
      </c>
      <c r="G15" s="541">
        <v>6.9999999999999999E-4</v>
      </c>
      <c r="H15" s="541">
        <v>8.9999999999999998E-4</v>
      </c>
      <c r="I15" s="543">
        <v>5.9999999999999995E-4</v>
      </c>
      <c r="J15" s="544">
        <v>5.9999999999999995E-4</v>
      </c>
      <c r="K15" s="541">
        <v>8.0000000000000004E-4</v>
      </c>
      <c r="L15" s="541">
        <v>1.1000000000000001E-3</v>
      </c>
      <c r="M15" s="543">
        <v>8.0000000000000004E-4</v>
      </c>
      <c r="N15" s="544">
        <v>8.0000000000000004E-4</v>
      </c>
      <c r="O15" s="541">
        <v>1.1000000000000001E-3</v>
      </c>
      <c r="P15" s="541">
        <v>1.4E-3</v>
      </c>
      <c r="Q15" s="543">
        <v>1E-3</v>
      </c>
      <c r="R15" s="544">
        <v>1E-3</v>
      </c>
      <c r="S15" s="541">
        <v>1.2999999999999999E-3</v>
      </c>
      <c r="T15" s="541">
        <v>1.6999999999999999E-3</v>
      </c>
      <c r="U15" s="543">
        <v>1.1999999999999999E-3</v>
      </c>
      <c r="V15" s="544">
        <v>1.2999999999999999E-3</v>
      </c>
      <c r="W15" s="541">
        <v>1.6999999999999999E-3</v>
      </c>
      <c r="X15" s="541">
        <v>2.2000000000000001E-3</v>
      </c>
      <c r="Y15" s="543">
        <v>1.5E-3</v>
      </c>
      <c r="Z15" s="65"/>
      <c r="AA15" s="65"/>
      <c r="AB15" s="65"/>
      <c r="AC15" s="65"/>
      <c r="AD15" s="65"/>
      <c r="AE15" s="65"/>
      <c r="AF15" s="65"/>
      <c r="AG15" s="65"/>
      <c r="AH15" s="65"/>
      <c r="AI15" s="65"/>
      <c r="AJ15" s="65"/>
      <c r="AK15" s="65"/>
    </row>
    <row r="16" spans="1:37">
      <c r="A16" s="65">
        <v>2050</v>
      </c>
      <c r="B16" s="540">
        <v>4.0000000000000002E-4</v>
      </c>
      <c r="C16" s="541">
        <v>5.9999999999999995E-4</v>
      </c>
      <c r="D16" s="541">
        <v>8.9999999999999998E-4</v>
      </c>
      <c r="E16" s="542">
        <v>5.9999999999999995E-4</v>
      </c>
      <c r="F16" s="541">
        <v>5.0000000000000001E-4</v>
      </c>
      <c r="G16" s="541">
        <v>8.0000000000000004E-4</v>
      </c>
      <c r="H16" s="541">
        <v>1.2999999999999999E-3</v>
      </c>
      <c r="I16" s="543">
        <v>8.9999999999999998E-4</v>
      </c>
      <c r="J16" s="544">
        <v>6.9999999999999999E-4</v>
      </c>
      <c r="K16" s="541">
        <v>1.1999999999999999E-3</v>
      </c>
      <c r="L16" s="541">
        <v>1.9E-3</v>
      </c>
      <c r="M16" s="543">
        <v>1.1999999999999999E-3</v>
      </c>
      <c r="N16" s="544">
        <v>1.1000000000000001E-3</v>
      </c>
      <c r="O16" s="541">
        <v>1.6999999999999999E-3</v>
      </c>
      <c r="P16" s="541">
        <v>2.7000000000000001E-3</v>
      </c>
      <c r="Q16" s="543">
        <v>1.8E-3</v>
      </c>
      <c r="R16" s="544">
        <v>1.5E-3</v>
      </c>
      <c r="S16" s="541">
        <v>2.3999999999999998E-3</v>
      </c>
      <c r="T16" s="541">
        <v>3.8E-3</v>
      </c>
      <c r="U16" s="543">
        <v>2.5000000000000001E-3</v>
      </c>
      <c r="V16" s="544">
        <v>2.2000000000000001E-3</v>
      </c>
      <c r="W16" s="541">
        <v>3.3999999999999998E-3</v>
      </c>
      <c r="X16" s="541">
        <v>5.4000000000000003E-3</v>
      </c>
      <c r="Y16" s="543">
        <v>3.5999999999999999E-3</v>
      </c>
      <c r="Z16" s="65"/>
      <c r="AA16" s="65"/>
      <c r="AB16" s="65"/>
      <c r="AC16" s="65"/>
      <c r="AD16" s="65"/>
      <c r="AE16" s="65"/>
      <c r="AF16" s="65"/>
      <c r="AG16" s="65"/>
      <c r="AH16" s="65"/>
      <c r="AI16" s="65"/>
      <c r="AJ16" s="65"/>
      <c r="AK16" s="65"/>
    </row>
    <row r="17" spans="1:37">
      <c r="A17" s="65">
        <v>2060</v>
      </c>
      <c r="B17" s="540">
        <v>2.9999999999999997E-4</v>
      </c>
      <c r="C17" s="541">
        <v>5.9999999999999995E-4</v>
      </c>
      <c r="D17" s="541">
        <v>1.1999999999999999E-3</v>
      </c>
      <c r="E17" s="542">
        <v>8.9999999999999998E-4</v>
      </c>
      <c r="F17" s="541">
        <v>5.9999999999999995E-4</v>
      </c>
      <c r="G17" s="541">
        <v>1E-3</v>
      </c>
      <c r="H17" s="541">
        <v>2E-3</v>
      </c>
      <c r="I17" s="543">
        <v>1.4E-3</v>
      </c>
      <c r="J17" s="544">
        <v>8.9999999999999998E-4</v>
      </c>
      <c r="K17" s="541">
        <v>1.6000000000000001E-3</v>
      </c>
      <c r="L17" s="541">
        <v>3.2000000000000002E-3</v>
      </c>
      <c r="M17" s="543">
        <v>2.3E-3</v>
      </c>
      <c r="N17" s="544">
        <v>1.4E-3</v>
      </c>
      <c r="O17" s="541">
        <v>2.5999999999999999E-3</v>
      </c>
      <c r="P17" s="541">
        <v>5.1999999999999998E-3</v>
      </c>
      <c r="Q17" s="543">
        <v>3.5999999999999999E-3</v>
      </c>
      <c r="R17" s="544">
        <v>2.3E-3</v>
      </c>
      <c r="S17" s="541">
        <v>4.1000000000000003E-3</v>
      </c>
      <c r="T17" s="541">
        <v>8.3999999999999995E-3</v>
      </c>
      <c r="U17" s="543">
        <v>5.8999999999999999E-3</v>
      </c>
      <c r="V17" s="544">
        <v>3.7000000000000002E-3</v>
      </c>
      <c r="W17" s="541">
        <v>6.6E-3</v>
      </c>
      <c r="X17" s="541">
        <v>1.3299999999999999E-2</v>
      </c>
      <c r="Y17" s="543">
        <v>9.2999999999999992E-3</v>
      </c>
      <c r="Z17" s="65"/>
      <c r="AA17" s="65"/>
      <c r="AB17" s="65"/>
      <c r="AC17" s="65"/>
      <c r="AD17" s="65"/>
      <c r="AE17" s="65"/>
      <c r="AF17" s="65"/>
      <c r="AG17" s="65"/>
      <c r="AH17" s="65"/>
      <c r="AI17" s="65"/>
      <c r="AJ17" s="65"/>
      <c r="AK17" s="65"/>
    </row>
    <row r="18" spans="1:37">
      <c r="A18" s="65">
        <v>2070</v>
      </c>
      <c r="B18" s="540">
        <v>2.9999999999999997E-4</v>
      </c>
      <c r="C18" s="541">
        <v>5.9999999999999995E-4</v>
      </c>
      <c r="D18" s="541">
        <v>1.6000000000000001E-3</v>
      </c>
      <c r="E18" s="542">
        <v>1.2999999999999999E-3</v>
      </c>
      <c r="F18" s="541">
        <v>5.9999999999999995E-4</v>
      </c>
      <c r="G18" s="541">
        <v>1.1000000000000001E-3</v>
      </c>
      <c r="H18" s="541">
        <v>3.0000000000000001E-3</v>
      </c>
      <c r="I18" s="543">
        <v>2.3999999999999998E-3</v>
      </c>
      <c r="J18" s="544">
        <v>1.1000000000000001E-3</v>
      </c>
      <c r="K18" s="541">
        <v>2E-3</v>
      </c>
      <c r="L18" s="541">
        <v>5.4999999999999997E-3</v>
      </c>
      <c r="M18" s="543">
        <v>4.4999999999999997E-3</v>
      </c>
      <c r="N18" s="544">
        <v>1.9E-3</v>
      </c>
      <c r="O18" s="541">
        <v>3.7000000000000002E-3</v>
      </c>
      <c r="P18" s="541">
        <v>0.01</v>
      </c>
      <c r="Q18" s="543">
        <v>8.0999999999999996E-3</v>
      </c>
      <c r="R18" s="544">
        <v>3.5000000000000001E-3</v>
      </c>
      <c r="S18" s="541">
        <v>6.7000000000000002E-3</v>
      </c>
      <c r="T18" s="541">
        <v>1.7999999999999999E-2</v>
      </c>
      <c r="U18" s="543">
        <v>1.46E-2</v>
      </c>
      <c r="V18" s="544">
        <v>6.3E-3</v>
      </c>
      <c r="W18" s="541">
        <v>1.2E-2</v>
      </c>
      <c r="X18" s="541">
        <v>3.2300000000000002E-2</v>
      </c>
      <c r="Y18" s="543">
        <v>2.6200000000000001E-2</v>
      </c>
      <c r="Z18" s="65"/>
      <c r="AA18" s="65"/>
      <c r="AB18" s="65"/>
      <c r="AC18" s="65"/>
      <c r="AD18" s="65"/>
      <c r="AE18" s="65"/>
      <c r="AF18" s="65"/>
      <c r="AG18" s="65"/>
      <c r="AH18" s="65"/>
      <c r="AI18" s="65"/>
      <c r="AJ18" s="65"/>
      <c r="AK18" s="65"/>
    </row>
    <row r="19" spans="1:37">
      <c r="A19" s="65">
        <v>2080</v>
      </c>
      <c r="B19" s="540">
        <v>2.9999999999999997E-4</v>
      </c>
      <c r="C19" s="541">
        <v>5.9999999999999995E-4</v>
      </c>
      <c r="D19" s="541">
        <v>2.0999999999999999E-3</v>
      </c>
      <c r="E19" s="542">
        <v>2.0999999999999999E-3</v>
      </c>
      <c r="F19" s="541">
        <v>5.9999999999999995E-4</v>
      </c>
      <c r="G19" s="541">
        <v>1.1999999999999999E-3</v>
      </c>
      <c r="H19" s="541">
        <v>4.3E-3</v>
      </c>
      <c r="I19" s="543">
        <v>4.4000000000000003E-3</v>
      </c>
      <c r="J19" s="544">
        <v>1.2999999999999999E-3</v>
      </c>
      <c r="K19" s="541">
        <v>2.5000000000000001E-3</v>
      </c>
      <c r="L19" s="541">
        <v>8.9999999999999993E-3</v>
      </c>
      <c r="M19" s="543">
        <v>9.1999999999999998E-3</v>
      </c>
      <c r="N19" s="544">
        <v>2.5999999999999999E-3</v>
      </c>
      <c r="O19" s="541">
        <v>5.1000000000000004E-3</v>
      </c>
      <c r="P19" s="541">
        <v>1.83E-2</v>
      </c>
      <c r="Q19" s="543">
        <v>1.8800000000000001E-2</v>
      </c>
      <c r="R19" s="544">
        <v>5.1999999999999998E-3</v>
      </c>
      <c r="S19" s="541">
        <v>1.04E-2</v>
      </c>
      <c r="T19" s="541">
        <v>3.73E-2</v>
      </c>
      <c r="U19" s="543">
        <v>3.8199999999999998E-2</v>
      </c>
      <c r="V19" s="544">
        <v>1.06E-2</v>
      </c>
      <c r="W19" s="541">
        <v>2.1000000000000001E-2</v>
      </c>
      <c r="X19" s="541">
        <v>7.5300000000000006E-2</v>
      </c>
      <c r="Y19" s="543">
        <v>7.6999999999999999E-2</v>
      </c>
      <c r="Z19" s="65"/>
      <c r="AA19" s="65"/>
      <c r="AB19" s="65"/>
      <c r="AC19" s="65"/>
      <c r="AD19" s="65"/>
      <c r="AE19" s="65"/>
      <c r="AF19" s="65"/>
      <c r="AG19" s="65"/>
      <c r="AH19" s="65"/>
      <c r="AI19" s="65"/>
      <c r="AJ19" s="65"/>
      <c r="AK19" s="65"/>
    </row>
    <row r="20" spans="1:37">
      <c r="A20" s="65">
        <v>2090</v>
      </c>
      <c r="B20" s="540">
        <v>2.9999999999999997E-4</v>
      </c>
      <c r="C20" s="541">
        <v>5.0000000000000001E-4</v>
      </c>
      <c r="D20" s="541">
        <v>2.5999999999999999E-3</v>
      </c>
      <c r="E20" s="542">
        <v>3.3999999999999998E-3</v>
      </c>
      <c r="F20" s="541">
        <v>5.9999999999999995E-4</v>
      </c>
      <c r="G20" s="541">
        <v>1.2999999999999999E-3</v>
      </c>
      <c r="H20" s="541">
        <v>6.1000000000000004E-3</v>
      </c>
      <c r="I20" s="543">
        <v>8.0000000000000002E-3</v>
      </c>
      <c r="J20" s="544">
        <v>1.5E-3</v>
      </c>
      <c r="K20" s="541">
        <v>3.0000000000000001E-3</v>
      </c>
      <c r="L20" s="541">
        <v>1.4200000000000001E-2</v>
      </c>
      <c r="M20" s="543">
        <v>1.8700000000000001E-2</v>
      </c>
      <c r="N20" s="544">
        <v>3.3999999999999998E-3</v>
      </c>
      <c r="O20" s="541">
        <v>6.7999999999999996E-3</v>
      </c>
      <c r="P20" s="541">
        <v>3.2800000000000003E-2</v>
      </c>
      <c r="Q20" s="543">
        <v>4.3200000000000002E-2</v>
      </c>
      <c r="R20" s="544">
        <v>7.7000000000000002E-3</v>
      </c>
      <c r="S20" s="541">
        <v>1.5699999999999999E-2</v>
      </c>
      <c r="T20" s="541">
        <v>7.51E-2</v>
      </c>
      <c r="U20" s="543">
        <v>9.9000000000000005E-2</v>
      </c>
      <c r="V20" s="544">
        <v>1.7399999999999999E-2</v>
      </c>
      <c r="W20" s="541">
        <v>3.56E-2</v>
      </c>
      <c r="X20" s="545">
        <v>0.17030000000000001</v>
      </c>
      <c r="Y20" s="546">
        <v>0.22450000000000001</v>
      </c>
      <c r="Z20" s="65"/>
      <c r="AA20" s="65"/>
      <c r="AB20" s="65"/>
      <c r="AC20" s="65"/>
      <c r="AD20" s="65"/>
      <c r="AE20" s="65"/>
      <c r="AF20" s="65"/>
      <c r="AG20" s="65"/>
      <c r="AH20" s="65"/>
      <c r="AI20" s="65"/>
      <c r="AJ20" s="65"/>
      <c r="AK20" s="65"/>
    </row>
    <row r="21" spans="1:37">
      <c r="A21" s="65">
        <v>2100</v>
      </c>
      <c r="B21" s="547">
        <v>2.0000000000000001E-4</v>
      </c>
      <c r="C21" s="548">
        <v>5.0000000000000001E-4</v>
      </c>
      <c r="D21" s="548">
        <v>3.0999999999999999E-3</v>
      </c>
      <c r="E21" s="549">
        <v>5.1999999999999998E-3</v>
      </c>
      <c r="F21" s="550">
        <v>5.9999999999999995E-4</v>
      </c>
      <c r="G21" s="550">
        <v>1.2999999999999999E-3</v>
      </c>
      <c r="H21" s="550">
        <v>8.3999999999999995E-3</v>
      </c>
      <c r="I21" s="551">
        <v>1.3899999999999999E-2</v>
      </c>
      <c r="J21" s="552">
        <v>1.6999999999999999E-3</v>
      </c>
      <c r="K21" s="550">
        <v>3.5000000000000001E-3</v>
      </c>
      <c r="L21" s="550">
        <v>2.2200000000000001E-2</v>
      </c>
      <c r="M21" s="551">
        <v>3.6799999999999999E-2</v>
      </c>
      <c r="N21" s="552">
        <v>4.4000000000000003E-3</v>
      </c>
      <c r="O21" s="550">
        <v>8.9999999999999993E-3</v>
      </c>
      <c r="P21" s="550">
        <v>5.7599999999999998E-2</v>
      </c>
      <c r="Q21" s="551">
        <v>9.5699999999999993E-2</v>
      </c>
      <c r="R21" s="552">
        <v>1.14E-2</v>
      </c>
      <c r="S21" s="550">
        <v>2.3300000000000001E-2</v>
      </c>
      <c r="T21" s="553">
        <v>0.14849999999999999</v>
      </c>
      <c r="U21" s="554">
        <v>0.2465</v>
      </c>
      <c r="V21" s="552">
        <v>2.9100000000000001E-2</v>
      </c>
      <c r="W21" s="550">
        <v>5.9400000000000001E-2</v>
      </c>
      <c r="X21" s="553">
        <v>0.37840000000000001</v>
      </c>
      <c r="Y21" s="554">
        <v>0.62839999999999996</v>
      </c>
      <c r="Z21" s="65"/>
      <c r="AA21" s="65"/>
      <c r="AB21" s="65"/>
      <c r="AC21" s="65"/>
      <c r="AD21" s="65"/>
      <c r="AE21" s="65"/>
      <c r="AF21" s="65"/>
      <c r="AG21" s="65"/>
      <c r="AH21" s="65"/>
      <c r="AI21" s="65"/>
      <c r="AJ21" s="65"/>
      <c r="AK21" s="65"/>
    </row>
    <row r="22" spans="1:37">
      <c r="A22" s="65"/>
      <c r="B22" s="65"/>
      <c r="C22" s="65"/>
      <c r="D22" s="65"/>
      <c r="E22" s="65"/>
      <c r="F22" s="65"/>
      <c r="G22" s="65"/>
      <c r="H22" s="65"/>
      <c r="I22" s="65"/>
      <c r="J22" s="65"/>
      <c r="K22" s="65"/>
      <c r="L22" s="65"/>
      <c r="M22" s="65"/>
      <c r="N22" s="65"/>
      <c r="O22" s="65"/>
      <c r="P22" s="65"/>
      <c r="Q22" s="65"/>
      <c r="R22" s="65"/>
      <c r="S22" s="65"/>
      <c r="T22" s="65"/>
      <c r="U22" s="65"/>
      <c r="V22" s="65"/>
      <c r="W22" s="65"/>
      <c r="X22" s="65"/>
      <c r="Y22" s="65"/>
      <c r="Z22" s="65"/>
      <c r="AA22" s="65"/>
      <c r="AB22" s="65"/>
      <c r="AC22" s="65"/>
      <c r="AD22" s="65"/>
      <c r="AE22" s="65"/>
      <c r="AF22" s="65"/>
      <c r="AG22" s="65"/>
      <c r="AH22" s="65"/>
      <c r="AI22" s="65"/>
      <c r="AJ22" s="65"/>
      <c r="AK22" s="65"/>
    </row>
    <row r="23" spans="1:37">
      <c r="A23" s="65"/>
      <c r="B23" s="663" t="s">
        <v>318</v>
      </c>
      <c r="C23" s="664"/>
      <c r="D23" s="664"/>
      <c r="E23" s="664"/>
      <c r="F23" s="664"/>
      <c r="G23" s="664"/>
      <c r="H23" s="665" t="s">
        <v>319</v>
      </c>
      <c r="I23" s="666"/>
      <c r="J23" s="666"/>
      <c r="K23" s="666"/>
      <c r="L23" s="666"/>
      <c r="M23" s="667"/>
      <c r="N23" s="664" t="s">
        <v>320</v>
      </c>
      <c r="O23" s="664"/>
      <c r="P23" s="664"/>
      <c r="Q23" s="664"/>
      <c r="R23" s="664"/>
      <c r="S23" s="664"/>
      <c r="T23" s="665" t="s">
        <v>321</v>
      </c>
      <c r="U23" s="666"/>
      <c r="V23" s="666"/>
      <c r="W23" s="666"/>
      <c r="X23" s="666"/>
      <c r="Y23" s="667"/>
      <c r="Z23" s="65"/>
      <c r="AA23" s="65"/>
      <c r="AB23" s="65"/>
      <c r="AC23" s="65"/>
      <c r="AD23" s="65"/>
      <c r="AE23" s="65"/>
      <c r="AF23" s="65"/>
      <c r="AG23" s="65"/>
      <c r="AH23" s="65"/>
      <c r="AI23" s="65"/>
      <c r="AJ23" s="65"/>
      <c r="AK23" s="65"/>
    </row>
    <row r="24" spans="1:37">
      <c r="A24" s="555" t="s">
        <v>87</v>
      </c>
      <c r="B24" s="556">
        <v>1.2500000000000001E-2</v>
      </c>
      <c r="C24" s="556">
        <v>2.5000000000000001E-2</v>
      </c>
      <c r="D24" s="556">
        <v>3.7499999999999999E-2</v>
      </c>
      <c r="E24" s="557">
        <v>0.05</v>
      </c>
      <c r="F24" s="556">
        <v>6.25E-2</v>
      </c>
      <c r="G24" s="558">
        <v>7.4999999999999997E-2</v>
      </c>
      <c r="H24" s="559">
        <v>1.2500000000000001E-2</v>
      </c>
      <c r="I24" s="556">
        <v>2.5000000000000001E-2</v>
      </c>
      <c r="J24" s="556">
        <v>3.7499999999999999E-2</v>
      </c>
      <c r="K24" s="557">
        <v>0.05</v>
      </c>
      <c r="L24" s="556">
        <v>6.25E-2</v>
      </c>
      <c r="M24" s="560">
        <v>7.4999999999999997E-2</v>
      </c>
      <c r="N24" s="556">
        <v>1.2500000000000001E-2</v>
      </c>
      <c r="O24" s="556">
        <v>2.5000000000000001E-2</v>
      </c>
      <c r="P24" s="556">
        <v>3.7499999999999999E-2</v>
      </c>
      <c r="Q24" s="557">
        <v>0.05</v>
      </c>
      <c r="R24" s="556">
        <v>6.25E-2</v>
      </c>
      <c r="S24" s="560">
        <v>7.4999999999999997E-2</v>
      </c>
      <c r="T24" s="556">
        <v>1.2500000000000001E-2</v>
      </c>
      <c r="U24" s="556">
        <v>2.5000000000000001E-2</v>
      </c>
      <c r="V24" s="556">
        <v>3.7499999999999999E-2</v>
      </c>
      <c r="W24" s="557">
        <v>0.05</v>
      </c>
      <c r="X24" s="556">
        <v>6.25E-2</v>
      </c>
      <c r="Y24" s="560">
        <v>7.4999999999999997E-2</v>
      </c>
      <c r="Z24" s="65"/>
      <c r="AA24" s="65"/>
      <c r="AB24" s="65"/>
      <c r="AC24" s="65"/>
      <c r="AD24" s="65"/>
      <c r="AE24" s="65"/>
      <c r="AF24" s="65"/>
      <c r="AG24" s="65"/>
      <c r="AH24" s="65"/>
      <c r="AI24" s="65"/>
      <c r="AJ24" s="65"/>
      <c r="AK24" s="65"/>
    </row>
    <row r="25" spans="1:37">
      <c r="A25" s="65">
        <v>2020</v>
      </c>
      <c r="B25" s="534">
        <v>3.0000000000000001E-3</v>
      </c>
      <c r="C25" s="535">
        <v>3.0000000000000001E-3</v>
      </c>
      <c r="D25" s="535">
        <v>3.0000000000000001E-3</v>
      </c>
      <c r="E25" s="535">
        <v>3.0000000000000001E-3</v>
      </c>
      <c r="F25" s="535">
        <v>3.0000000000000001E-3</v>
      </c>
      <c r="G25" s="536">
        <v>3.0000000000000001E-3</v>
      </c>
      <c r="H25" s="534">
        <v>3.0000000000000001E-3</v>
      </c>
      <c r="I25" s="537">
        <v>3.0000000000000001E-3</v>
      </c>
      <c r="J25" s="537">
        <v>3.0000000000000001E-3</v>
      </c>
      <c r="K25" s="537">
        <v>3.0000000000000001E-3</v>
      </c>
      <c r="L25" s="537">
        <v>3.0000000000000001E-3</v>
      </c>
      <c r="M25" s="561">
        <v>3.0000000000000001E-3</v>
      </c>
      <c r="N25" s="534">
        <v>3.0000000000000001E-3</v>
      </c>
      <c r="O25" s="535">
        <v>3.0000000000000001E-3</v>
      </c>
      <c r="P25" s="535">
        <v>3.0000000000000001E-3</v>
      </c>
      <c r="Q25" s="535">
        <v>3.0000000000000001E-3</v>
      </c>
      <c r="R25" s="535">
        <v>3.0000000000000001E-3</v>
      </c>
      <c r="S25" s="535">
        <v>3.0000000000000001E-3</v>
      </c>
      <c r="T25" s="534">
        <v>3.0000000000000001E-3</v>
      </c>
      <c r="U25" s="535">
        <v>3.0000000000000001E-3</v>
      </c>
      <c r="V25" s="535">
        <v>3.0000000000000001E-3</v>
      </c>
      <c r="W25" s="535">
        <v>3.0000000000000001E-3</v>
      </c>
      <c r="X25" s="535">
        <v>3.0000000000000001E-3</v>
      </c>
      <c r="Y25" s="536">
        <v>3.0000000000000001E-3</v>
      </c>
      <c r="Z25" s="65"/>
      <c r="AA25" s="65"/>
      <c r="AB25" s="65"/>
      <c r="AC25" s="65"/>
      <c r="AD25" s="65"/>
      <c r="AE25" s="65"/>
      <c r="AF25" s="65"/>
      <c r="AG25" s="65"/>
      <c r="AH25" s="65"/>
      <c r="AI25" s="65"/>
      <c r="AJ25" s="65"/>
      <c r="AK25" s="65"/>
    </row>
    <row r="26" spans="1:37">
      <c r="A26" s="65">
        <v>2021</v>
      </c>
      <c r="B26" s="540">
        <v>2.8999999999999998E-3</v>
      </c>
      <c r="C26" s="541">
        <v>3.0000000000000001E-3</v>
      </c>
      <c r="D26" s="541">
        <v>3.0000000000000001E-3</v>
      </c>
      <c r="E26" s="541">
        <v>3.0000000000000001E-3</v>
      </c>
      <c r="F26" s="541">
        <v>3.0999999999999999E-3</v>
      </c>
      <c r="G26" s="542">
        <v>3.0999999999999999E-3</v>
      </c>
      <c r="H26" s="540">
        <v>3.0000000000000001E-3</v>
      </c>
      <c r="I26" s="541">
        <v>3.0000000000000001E-3</v>
      </c>
      <c r="J26" s="541">
        <v>3.0000000000000001E-3</v>
      </c>
      <c r="K26" s="541">
        <v>3.0999999999999999E-3</v>
      </c>
      <c r="L26" s="541">
        <v>3.0999999999999999E-3</v>
      </c>
      <c r="M26" s="542">
        <v>3.0999999999999999E-3</v>
      </c>
      <c r="N26" s="540">
        <v>3.0000000000000001E-3</v>
      </c>
      <c r="O26" s="541">
        <v>3.0000000000000001E-3</v>
      </c>
      <c r="P26" s="541">
        <v>3.0999999999999999E-3</v>
      </c>
      <c r="Q26" s="541">
        <v>3.0999999999999999E-3</v>
      </c>
      <c r="R26" s="541">
        <v>3.0999999999999999E-3</v>
      </c>
      <c r="S26" s="541">
        <v>3.2000000000000002E-3</v>
      </c>
      <c r="T26" s="540">
        <v>2.8999999999999998E-3</v>
      </c>
      <c r="U26" s="541">
        <v>2.8999999999999998E-3</v>
      </c>
      <c r="V26" s="541">
        <v>3.0000000000000001E-3</v>
      </c>
      <c r="W26" s="541">
        <v>3.0000000000000001E-3</v>
      </c>
      <c r="X26" s="541">
        <v>3.0000000000000001E-3</v>
      </c>
      <c r="Y26" s="542">
        <v>3.0999999999999999E-3</v>
      </c>
      <c r="Z26" s="65"/>
      <c r="AA26" s="65"/>
      <c r="AB26" s="65"/>
      <c r="AC26" s="65"/>
      <c r="AD26" s="65"/>
      <c r="AE26" s="65"/>
      <c r="AF26" s="65"/>
      <c r="AG26" s="65"/>
      <c r="AH26" s="65"/>
      <c r="AI26" s="65"/>
      <c r="AJ26" s="65"/>
      <c r="AK26" s="65"/>
    </row>
    <row r="27" spans="1:37">
      <c r="A27" s="65">
        <v>2022</v>
      </c>
      <c r="B27" s="540">
        <v>2.8E-3</v>
      </c>
      <c r="C27" s="541">
        <v>2.8999999999999998E-3</v>
      </c>
      <c r="D27" s="541">
        <v>3.0000000000000001E-3</v>
      </c>
      <c r="E27" s="541">
        <v>3.0000000000000001E-3</v>
      </c>
      <c r="F27" s="541">
        <v>3.0999999999999999E-3</v>
      </c>
      <c r="G27" s="542">
        <v>3.2000000000000002E-3</v>
      </c>
      <c r="H27" s="540">
        <v>2.8999999999999998E-3</v>
      </c>
      <c r="I27" s="541">
        <v>3.0000000000000001E-3</v>
      </c>
      <c r="J27" s="541">
        <v>3.0000000000000001E-3</v>
      </c>
      <c r="K27" s="541">
        <v>3.0999999999999999E-3</v>
      </c>
      <c r="L27" s="541">
        <v>3.2000000000000002E-3</v>
      </c>
      <c r="M27" s="542">
        <v>3.3E-3</v>
      </c>
      <c r="N27" s="540">
        <v>3.0000000000000001E-3</v>
      </c>
      <c r="O27" s="541">
        <v>3.0000000000000001E-3</v>
      </c>
      <c r="P27" s="541">
        <v>3.0999999999999999E-3</v>
      </c>
      <c r="Q27" s="541">
        <v>3.2000000000000002E-3</v>
      </c>
      <c r="R27" s="541">
        <v>3.3E-3</v>
      </c>
      <c r="S27" s="541">
        <v>3.3E-3</v>
      </c>
      <c r="T27" s="540">
        <v>2.8E-3</v>
      </c>
      <c r="U27" s="541">
        <v>2.8999999999999998E-3</v>
      </c>
      <c r="V27" s="541">
        <v>2.8999999999999998E-3</v>
      </c>
      <c r="W27" s="541">
        <v>3.0000000000000001E-3</v>
      </c>
      <c r="X27" s="541">
        <v>3.0999999999999999E-3</v>
      </c>
      <c r="Y27" s="542">
        <v>3.0999999999999999E-3</v>
      </c>
      <c r="Z27" s="65"/>
      <c r="AA27" s="65"/>
      <c r="AB27" s="65"/>
      <c r="AC27" s="65"/>
      <c r="AD27" s="65"/>
      <c r="AE27" s="65"/>
      <c r="AF27" s="65"/>
      <c r="AG27" s="65"/>
      <c r="AH27" s="65"/>
      <c r="AI27" s="65"/>
      <c r="AJ27" s="65"/>
      <c r="AK27" s="65"/>
    </row>
    <row r="28" spans="1:37">
      <c r="A28" s="65">
        <v>2023</v>
      </c>
      <c r="B28" s="540">
        <v>2.7000000000000001E-3</v>
      </c>
      <c r="C28" s="541">
        <v>2.8E-3</v>
      </c>
      <c r="D28" s="541">
        <v>2.8999999999999998E-3</v>
      </c>
      <c r="E28" s="541">
        <v>3.0999999999999999E-3</v>
      </c>
      <c r="F28" s="541">
        <v>3.2000000000000002E-3</v>
      </c>
      <c r="G28" s="542">
        <v>3.3E-3</v>
      </c>
      <c r="H28" s="540">
        <v>2.8E-3</v>
      </c>
      <c r="I28" s="541">
        <v>3.0000000000000001E-3</v>
      </c>
      <c r="J28" s="541">
        <v>3.0999999999999999E-3</v>
      </c>
      <c r="K28" s="541">
        <v>3.2000000000000002E-3</v>
      </c>
      <c r="L28" s="541">
        <v>3.3E-3</v>
      </c>
      <c r="M28" s="542">
        <v>3.3999999999999998E-3</v>
      </c>
      <c r="N28" s="540">
        <v>2.8999999999999998E-3</v>
      </c>
      <c r="O28" s="541">
        <v>3.0000000000000001E-3</v>
      </c>
      <c r="P28" s="541">
        <v>3.2000000000000002E-3</v>
      </c>
      <c r="Q28" s="541">
        <v>3.3E-3</v>
      </c>
      <c r="R28" s="541">
        <v>3.3999999999999998E-3</v>
      </c>
      <c r="S28" s="541">
        <v>3.5000000000000001E-3</v>
      </c>
      <c r="T28" s="540">
        <v>2.7000000000000001E-3</v>
      </c>
      <c r="U28" s="541">
        <v>2.8E-3</v>
      </c>
      <c r="V28" s="541">
        <v>2.8999999999999998E-3</v>
      </c>
      <c r="W28" s="541">
        <v>3.0000000000000001E-3</v>
      </c>
      <c r="X28" s="541">
        <v>3.0999999999999999E-3</v>
      </c>
      <c r="Y28" s="542">
        <v>3.2000000000000002E-3</v>
      </c>
      <c r="Z28" s="65"/>
      <c r="AA28" s="65"/>
      <c r="AB28" s="65"/>
      <c r="AC28" s="65"/>
      <c r="AD28" s="65"/>
      <c r="AE28" s="65"/>
      <c r="AF28" s="65"/>
      <c r="AG28" s="65"/>
      <c r="AH28" s="65"/>
      <c r="AI28" s="65"/>
      <c r="AJ28" s="65"/>
      <c r="AK28" s="65"/>
    </row>
    <row r="29" spans="1:37">
      <c r="A29" s="65">
        <v>2024</v>
      </c>
      <c r="B29" s="540">
        <v>2.7000000000000001E-3</v>
      </c>
      <c r="C29" s="541">
        <v>2.8E-3</v>
      </c>
      <c r="D29" s="541">
        <v>2.8999999999999998E-3</v>
      </c>
      <c r="E29" s="541">
        <v>3.0999999999999999E-3</v>
      </c>
      <c r="F29" s="541">
        <v>3.2000000000000002E-3</v>
      </c>
      <c r="G29" s="542">
        <v>3.3999999999999998E-3</v>
      </c>
      <c r="H29" s="540">
        <v>2.8E-3</v>
      </c>
      <c r="I29" s="541">
        <v>2.8999999999999998E-3</v>
      </c>
      <c r="J29" s="541">
        <v>3.0999999999999999E-3</v>
      </c>
      <c r="K29" s="541">
        <v>3.2000000000000002E-3</v>
      </c>
      <c r="L29" s="541">
        <v>3.3999999999999998E-3</v>
      </c>
      <c r="M29" s="542">
        <v>3.5999999999999999E-3</v>
      </c>
      <c r="N29" s="540">
        <v>2.8999999999999998E-3</v>
      </c>
      <c r="O29" s="541">
        <v>3.0000000000000001E-3</v>
      </c>
      <c r="P29" s="541">
        <v>3.2000000000000002E-3</v>
      </c>
      <c r="Q29" s="541">
        <v>3.3999999999999998E-3</v>
      </c>
      <c r="R29" s="541">
        <v>3.5000000000000001E-3</v>
      </c>
      <c r="S29" s="541">
        <v>3.7000000000000002E-3</v>
      </c>
      <c r="T29" s="540">
        <v>2.5999999999999999E-3</v>
      </c>
      <c r="U29" s="541">
        <v>2.7000000000000001E-3</v>
      </c>
      <c r="V29" s="541">
        <v>2.8999999999999998E-3</v>
      </c>
      <c r="W29" s="541">
        <v>3.0000000000000001E-3</v>
      </c>
      <c r="X29" s="541">
        <v>3.2000000000000002E-3</v>
      </c>
      <c r="Y29" s="542">
        <v>3.3E-3</v>
      </c>
      <c r="Z29" s="65"/>
      <c r="AA29" s="65"/>
      <c r="AB29" s="65"/>
      <c r="AC29" s="65"/>
      <c r="AD29" s="65"/>
      <c r="AE29" s="65"/>
      <c r="AF29" s="65"/>
      <c r="AG29" s="65"/>
      <c r="AH29" s="65"/>
      <c r="AI29" s="65"/>
      <c r="AJ29" s="65"/>
      <c r="AK29" s="65"/>
    </row>
    <row r="30" spans="1:37">
      <c r="A30" s="65">
        <v>2025</v>
      </c>
      <c r="B30" s="540">
        <v>2.5999999999999999E-3</v>
      </c>
      <c r="C30" s="541">
        <v>2.8E-3</v>
      </c>
      <c r="D30" s="541">
        <v>2.8999999999999998E-3</v>
      </c>
      <c r="E30" s="541">
        <v>3.0999999999999999E-3</v>
      </c>
      <c r="F30" s="541">
        <v>3.3E-3</v>
      </c>
      <c r="G30" s="542">
        <v>3.5000000000000001E-3</v>
      </c>
      <c r="H30" s="540">
        <v>2.8E-3</v>
      </c>
      <c r="I30" s="541">
        <v>2.8999999999999998E-3</v>
      </c>
      <c r="J30" s="541">
        <v>3.0999999999999999E-3</v>
      </c>
      <c r="K30" s="541">
        <v>3.3E-3</v>
      </c>
      <c r="L30" s="541">
        <v>3.5000000000000001E-3</v>
      </c>
      <c r="M30" s="542">
        <v>3.7000000000000002E-3</v>
      </c>
      <c r="N30" s="540">
        <v>2.8999999999999998E-3</v>
      </c>
      <c r="O30" s="541">
        <v>3.0999999999999999E-3</v>
      </c>
      <c r="P30" s="541">
        <v>3.3E-3</v>
      </c>
      <c r="Q30" s="541">
        <v>3.5000000000000001E-3</v>
      </c>
      <c r="R30" s="541">
        <v>3.7000000000000002E-3</v>
      </c>
      <c r="S30" s="541">
        <v>3.8999999999999998E-3</v>
      </c>
      <c r="T30" s="540">
        <v>2.5000000000000001E-3</v>
      </c>
      <c r="U30" s="541">
        <v>2.7000000000000001E-3</v>
      </c>
      <c r="V30" s="541">
        <v>2.8999999999999998E-3</v>
      </c>
      <c r="W30" s="541">
        <v>3.0000000000000001E-3</v>
      </c>
      <c r="X30" s="541">
        <v>3.2000000000000002E-3</v>
      </c>
      <c r="Y30" s="542">
        <v>3.3999999999999998E-3</v>
      </c>
      <c r="Z30" s="65"/>
      <c r="AA30" s="65"/>
      <c r="AB30" s="65"/>
      <c r="AC30" s="65"/>
      <c r="AD30" s="65"/>
      <c r="AE30" s="65"/>
      <c r="AF30" s="65"/>
      <c r="AG30" s="65"/>
      <c r="AH30" s="65"/>
      <c r="AI30" s="65"/>
      <c r="AJ30" s="65"/>
      <c r="AK30" s="65"/>
    </row>
    <row r="31" spans="1:37">
      <c r="A31" s="65">
        <v>2026</v>
      </c>
      <c r="B31" s="540">
        <v>2.5000000000000001E-3</v>
      </c>
      <c r="C31" s="541">
        <v>2.7000000000000001E-3</v>
      </c>
      <c r="D31" s="541">
        <v>2.8999999999999998E-3</v>
      </c>
      <c r="E31" s="541">
        <v>3.0999999999999999E-3</v>
      </c>
      <c r="F31" s="541">
        <v>3.3999999999999998E-3</v>
      </c>
      <c r="G31" s="542">
        <v>3.5999999999999999E-3</v>
      </c>
      <c r="H31" s="540">
        <v>2.7000000000000001E-3</v>
      </c>
      <c r="I31" s="541">
        <v>2.8999999999999998E-3</v>
      </c>
      <c r="J31" s="541">
        <v>3.0999999999999999E-3</v>
      </c>
      <c r="K31" s="541">
        <v>3.3999999999999998E-3</v>
      </c>
      <c r="L31" s="541">
        <v>3.5999999999999999E-3</v>
      </c>
      <c r="M31" s="542">
        <v>3.8999999999999998E-3</v>
      </c>
      <c r="N31" s="540">
        <v>2.8999999999999998E-3</v>
      </c>
      <c r="O31" s="541">
        <v>3.0999999999999999E-3</v>
      </c>
      <c r="P31" s="541">
        <v>3.3E-3</v>
      </c>
      <c r="Q31" s="541">
        <v>3.5999999999999999E-3</v>
      </c>
      <c r="R31" s="541">
        <v>3.8E-3</v>
      </c>
      <c r="S31" s="541">
        <v>4.1000000000000003E-3</v>
      </c>
      <c r="T31" s="540">
        <v>2.5000000000000001E-3</v>
      </c>
      <c r="U31" s="541">
        <v>2.5999999999999999E-3</v>
      </c>
      <c r="V31" s="541">
        <v>2.8E-3</v>
      </c>
      <c r="W31" s="541">
        <v>3.0999999999999999E-3</v>
      </c>
      <c r="X31" s="541">
        <v>3.3E-3</v>
      </c>
      <c r="Y31" s="542">
        <v>3.5000000000000001E-3</v>
      </c>
      <c r="Z31" s="65"/>
      <c r="AA31" s="65"/>
      <c r="AB31" s="65"/>
      <c r="AC31" s="65"/>
      <c r="AD31" s="65"/>
      <c r="AE31" s="65"/>
      <c r="AF31" s="65"/>
      <c r="AG31" s="65"/>
      <c r="AH31" s="65"/>
      <c r="AI31" s="65"/>
      <c r="AJ31" s="65"/>
      <c r="AK31" s="65"/>
    </row>
    <row r="32" spans="1:37">
      <c r="A32" s="65">
        <v>2027</v>
      </c>
      <c r="B32" s="540">
        <v>2.5000000000000001E-3</v>
      </c>
      <c r="C32" s="541">
        <v>2.7000000000000001E-3</v>
      </c>
      <c r="D32" s="541">
        <v>2.8999999999999998E-3</v>
      </c>
      <c r="E32" s="541">
        <v>3.2000000000000002E-3</v>
      </c>
      <c r="F32" s="541">
        <v>3.5000000000000001E-3</v>
      </c>
      <c r="G32" s="542">
        <v>3.8E-3</v>
      </c>
      <c r="H32" s="540">
        <v>2.7000000000000001E-3</v>
      </c>
      <c r="I32" s="541">
        <v>2.8999999999999998E-3</v>
      </c>
      <c r="J32" s="541">
        <v>3.2000000000000002E-3</v>
      </c>
      <c r="K32" s="541">
        <v>3.3999999999999998E-3</v>
      </c>
      <c r="L32" s="541">
        <v>3.7000000000000002E-3</v>
      </c>
      <c r="M32" s="542">
        <v>4.1000000000000003E-3</v>
      </c>
      <c r="N32" s="540">
        <v>2.8E-3</v>
      </c>
      <c r="O32" s="541">
        <v>3.0999999999999999E-3</v>
      </c>
      <c r="P32" s="541">
        <v>3.3999999999999998E-3</v>
      </c>
      <c r="Q32" s="541">
        <v>3.7000000000000002E-3</v>
      </c>
      <c r="R32" s="541">
        <v>4.0000000000000001E-3</v>
      </c>
      <c r="S32" s="541">
        <v>4.3E-3</v>
      </c>
      <c r="T32" s="540">
        <v>2.3999999999999998E-3</v>
      </c>
      <c r="U32" s="541">
        <v>2.5999999999999999E-3</v>
      </c>
      <c r="V32" s="541">
        <v>2.8E-3</v>
      </c>
      <c r="W32" s="541">
        <v>3.0999999999999999E-3</v>
      </c>
      <c r="X32" s="541">
        <v>3.3999999999999998E-3</v>
      </c>
      <c r="Y32" s="542">
        <v>3.5999999999999999E-3</v>
      </c>
      <c r="Z32" s="65"/>
      <c r="AA32" s="65"/>
      <c r="AB32" s="65"/>
      <c r="AC32" s="65"/>
      <c r="AD32" s="65"/>
      <c r="AE32" s="65"/>
      <c r="AF32" s="65"/>
      <c r="AG32" s="65"/>
      <c r="AH32" s="65"/>
      <c r="AI32" s="65"/>
      <c r="AJ32" s="65"/>
      <c r="AK32" s="65"/>
    </row>
    <row r="33" spans="1:37">
      <c r="A33" s="65">
        <v>2028</v>
      </c>
      <c r="B33" s="540">
        <v>2.3999999999999998E-3</v>
      </c>
      <c r="C33" s="541">
        <v>2.7000000000000001E-3</v>
      </c>
      <c r="D33" s="541">
        <v>2.8999999999999998E-3</v>
      </c>
      <c r="E33" s="541">
        <v>3.2000000000000002E-3</v>
      </c>
      <c r="F33" s="541">
        <v>3.5999999999999999E-3</v>
      </c>
      <c r="G33" s="542">
        <v>3.8999999999999998E-3</v>
      </c>
      <c r="H33" s="540">
        <v>2.5999999999999999E-3</v>
      </c>
      <c r="I33" s="541">
        <v>2.8999999999999998E-3</v>
      </c>
      <c r="J33" s="541">
        <v>3.2000000000000002E-3</v>
      </c>
      <c r="K33" s="541">
        <v>3.5000000000000001E-3</v>
      </c>
      <c r="L33" s="541">
        <v>3.8999999999999998E-3</v>
      </c>
      <c r="M33" s="542">
        <v>4.3E-3</v>
      </c>
      <c r="N33" s="540">
        <v>2.8E-3</v>
      </c>
      <c r="O33" s="541">
        <v>3.0999999999999999E-3</v>
      </c>
      <c r="P33" s="541">
        <v>3.3999999999999998E-3</v>
      </c>
      <c r="Q33" s="541">
        <v>3.8E-3</v>
      </c>
      <c r="R33" s="541">
        <v>4.1999999999999997E-3</v>
      </c>
      <c r="S33" s="541">
        <v>4.5999999999999999E-3</v>
      </c>
      <c r="T33" s="540">
        <v>2.3E-3</v>
      </c>
      <c r="U33" s="541">
        <v>2.5999999999999999E-3</v>
      </c>
      <c r="V33" s="541">
        <v>2.8E-3</v>
      </c>
      <c r="W33" s="541">
        <v>3.0999999999999999E-3</v>
      </c>
      <c r="X33" s="541">
        <v>3.3999999999999998E-3</v>
      </c>
      <c r="Y33" s="542">
        <v>3.8E-3</v>
      </c>
      <c r="Z33" s="65"/>
      <c r="AA33" s="65"/>
      <c r="AB33" s="65"/>
      <c r="AC33" s="65"/>
      <c r="AD33" s="65"/>
      <c r="AE33" s="65"/>
      <c r="AF33" s="65"/>
      <c r="AG33" s="65"/>
      <c r="AH33" s="65"/>
      <c r="AI33" s="65"/>
      <c r="AJ33" s="65"/>
      <c r="AK33" s="65"/>
    </row>
    <row r="34" spans="1:37">
      <c r="A34" s="65">
        <v>2029</v>
      </c>
      <c r="B34" s="540">
        <v>2.3999999999999998E-3</v>
      </c>
      <c r="C34" s="541">
        <v>2.5999999999999999E-3</v>
      </c>
      <c r="D34" s="541">
        <v>2.8999999999999998E-3</v>
      </c>
      <c r="E34" s="541">
        <v>3.3E-3</v>
      </c>
      <c r="F34" s="541">
        <v>3.7000000000000002E-3</v>
      </c>
      <c r="G34" s="542">
        <v>4.1000000000000003E-3</v>
      </c>
      <c r="H34" s="540">
        <v>2.5999999999999999E-3</v>
      </c>
      <c r="I34" s="541">
        <v>2.8999999999999998E-3</v>
      </c>
      <c r="J34" s="541">
        <v>3.2000000000000002E-3</v>
      </c>
      <c r="K34" s="541">
        <v>3.5999999999999999E-3</v>
      </c>
      <c r="L34" s="541">
        <v>4.0000000000000001E-3</v>
      </c>
      <c r="M34" s="542">
        <v>4.4999999999999997E-3</v>
      </c>
      <c r="N34" s="540">
        <v>2.8E-3</v>
      </c>
      <c r="O34" s="541">
        <v>3.0999999999999999E-3</v>
      </c>
      <c r="P34" s="541">
        <v>3.5000000000000001E-3</v>
      </c>
      <c r="Q34" s="541">
        <v>3.8999999999999998E-3</v>
      </c>
      <c r="R34" s="541">
        <v>4.3E-3</v>
      </c>
      <c r="S34" s="541">
        <v>4.7999999999999996E-3</v>
      </c>
      <c r="T34" s="540">
        <v>2.3E-3</v>
      </c>
      <c r="U34" s="541">
        <v>2.5999999999999999E-3</v>
      </c>
      <c r="V34" s="541">
        <v>2.8E-3</v>
      </c>
      <c r="W34" s="541">
        <v>3.2000000000000002E-3</v>
      </c>
      <c r="X34" s="541">
        <v>3.5000000000000001E-3</v>
      </c>
      <c r="Y34" s="542">
        <v>3.8999999999999998E-3</v>
      </c>
      <c r="Z34" s="65"/>
      <c r="AA34" s="65"/>
      <c r="AB34" s="65"/>
      <c r="AC34" s="65"/>
      <c r="AD34" s="65"/>
      <c r="AE34" s="65"/>
      <c r="AF34" s="65"/>
      <c r="AG34" s="65"/>
      <c r="AH34" s="65"/>
      <c r="AI34" s="65"/>
      <c r="AJ34" s="65"/>
      <c r="AK34" s="65"/>
    </row>
    <row r="35" spans="1:37">
      <c r="A35" s="65">
        <v>2030</v>
      </c>
      <c r="B35" s="540">
        <v>2.3E-3</v>
      </c>
      <c r="C35" s="541">
        <v>2.5999999999999999E-3</v>
      </c>
      <c r="D35" s="541">
        <v>3.0000000000000001E-3</v>
      </c>
      <c r="E35" s="541">
        <v>3.3E-3</v>
      </c>
      <c r="F35" s="541">
        <v>3.8E-3</v>
      </c>
      <c r="G35" s="542">
        <v>4.1999999999999997E-3</v>
      </c>
      <c r="H35" s="540">
        <v>2.5999999999999999E-3</v>
      </c>
      <c r="I35" s="541">
        <v>2.8999999999999998E-3</v>
      </c>
      <c r="J35" s="541">
        <v>3.3E-3</v>
      </c>
      <c r="K35" s="541">
        <v>3.7000000000000002E-3</v>
      </c>
      <c r="L35" s="541">
        <v>4.1999999999999997E-3</v>
      </c>
      <c r="M35" s="542">
        <v>4.7000000000000002E-3</v>
      </c>
      <c r="N35" s="540">
        <v>2.8E-3</v>
      </c>
      <c r="O35" s="541">
        <v>3.2000000000000002E-3</v>
      </c>
      <c r="P35" s="541">
        <v>3.5999999999999999E-3</v>
      </c>
      <c r="Q35" s="541">
        <v>4.0000000000000001E-3</v>
      </c>
      <c r="R35" s="541">
        <v>4.4999999999999997E-3</v>
      </c>
      <c r="S35" s="541">
        <v>5.1000000000000004E-3</v>
      </c>
      <c r="T35" s="540">
        <v>2.2000000000000001E-3</v>
      </c>
      <c r="U35" s="541">
        <v>2.5000000000000001E-3</v>
      </c>
      <c r="V35" s="541">
        <v>2.8999999999999998E-3</v>
      </c>
      <c r="W35" s="541">
        <v>3.2000000000000002E-3</v>
      </c>
      <c r="X35" s="541">
        <v>3.5999999999999999E-3</v>
      </c>
      <c r="Y35" s="542">
        <v>4.1000000000000003E-3</v>
      </c>
      <c r="Z35" s="65"/>
      <c r="AA35" s="65"/>
      <c r="AB35" s="65"/>
      <c r="AC35" s="65"/>
      <c r="AD35" s="65"/>
      <c r="AE35" s="65"/>
      <c r="AF35" s="65"/>
      <c r="AG35" s="65"/>
      <c r="AH35" s="65"/>
      <c r="AI35" s="65"/>
      <c r="AJ35" s="65"/>
      <c r="AK35" s="65"/>
    </row>
    <row r="36" spans="1:37">
      <c r="A36" s="65">
        <v>2040</v>
      </c>
      <c r="B36" s="540">
        <v>4.0000000000000002E-4</v>
      </c>
      <c r="C36" s="541">
        <v>5.0000000000000001E-4</v>
      </c>
      <c r="D36" s="541">
        <v>5.9999999999999995E-4</v>
      </c>
      <c r="E36" s="541">
        <v>8.0000000000000004E-4</v>
      </c>
      <c r="F36" s="541">
        <v>1E-3</v>
      </c>
      <c r="G36" s="542">
        <v>1.2999999999999999E-3</v>
      </c>
      <c r="H36" s="540">
        <v>5.0000000000000001E-4</v>
      </c>
      <c r="I36" s="541">
        <v>6.9999999999999999E-4</v>
      </c>
      <c r="J36" s="541">
        <v>8.0000000000000004E-4</v>
      </c>
      <c r="K36" s="541">
        <v>1.1000000000000001E-3</v>
      </c>
      <c r="L36" s="541">
        <v>1.2999999999999999E-3</v>
      </c>
      <c r="M36" s="542">
        <v>1.6999999999999999E-3</v>
      </c>
      <c r="N36" s="540">
        <v>6.9999999999999999E-4</v>
      </c>
      <c r="O36" s="541">
        <v>8.9999999999999998E-4</v>
      </c>
      <c r="P36" s="541">
        <v>1.1000000000000001E-3</v>
      </c>
      <c r="Q36" s="541">
        <v>1.4E-3</v>
      </c>
      <c r="R36" s="541">
        <v>1.6999999999999999E-3</v>
      </c>
      <c r="S36" s="541">
        <v>2.2000000000000001E-3</v>
      </c>
      <c r="T36" s="540">
        <v>5.0000000000000001E-4</v>
      </c>
      <c r="U36" s="541">
        <v>5.9999999999999995E-4</v>
      </c>
      <c r="V36" s="541">
        <v>8.0000000000000004E-4</v>
      </c>
      <c r="W36" s="541">
        <v>1E-3</v>
      </c>
      <c r="X36" s="541">
        <v>1.1999999999999999E-3</v>
      </c>
      <c r="Y36" s="542">
        <v>1.5E-3</v>
      </c>
      <c r="Z36" s="65"/>
      <c r="AA36" s="65"/>
      <c r="AB36" s="65"/>
      <c r="AC36" s="65"/>
      <c r="AD36" s="65"/>
      <c r="AE36" s="65"/>
      <c r="AF36" s="65"/>
      <c r="AG36" s="65"/>
      <c r="AH36" s="65"/>
      <c r="AI36" s="65"/>
      <c r="AJ36" s="65"/>
      <c r="AK36" s="65"/>
    </row>
    <row r="37" spans="1:37">
      <c r="A37" s="65">
        <v>2050</v>
      </c>
      <c r="B37" s="540">
        <v>4.0000000000000002E-4</v>
      </c>
      <c r="C37" s="541">
        <v>5.0000000000000001E-4</v>
      </c>
      <c r="D37" s="541">
        <v>6.9999999999999999E-4</v>
      </c>
      <c r="E37" s="541">
        <v>1.1000000000000001E-3</v>
      </c>
      <c r="F37" s="541">
        <v>1.5E-3</v>
      </c>
      <c r="G37" s="542">
        <v>2.2000000000000001E-3</v>
      </c>
      <c r="H37" s="540">
        <v>5.9999999999999995E-4</v>
      </c>
      <c r="I37" s="541">
        <v>8.0000000000000004E-4</v>
      </c>
      <c r="J37" s="541">
        <v>1.1999999999999999E-3</v>
      </c>
      <c r="K37" s="541">
        <v>1.6999999999999999E-3</v>
      </c>
      <c r="L37" s="541">
        <v>2.3999999999999998E-3</v>
      </c>
      <c r="M37" s="542">
        <v>3.3999999999999998E-3</v>
      </c>
      <c r="N37" s="540">
        <v>8.9999999999999998E-4</v>
      </c>
      <c r="O37" s="541">
        <v>1.2999999999999999E-3</v>
      </c>
      <c r="P37" s="541">
        <v>1.9E-3</v>
      </c>
      <c r="Q37" s="541">
        <v>2.7000000000000001E-3</v>
      </c>
      <c r="R37" s="541">
        <v>3.8E-3</v>
      </c>
      <c r="S37" s="541">
        <v>5.4000000000000003E-3</v>
      </c>
      <c r="T37" s="540">
        <v>5.9999999999999995E-4</v>
      </c>
      <c r="U37" s="541">
        <v>8.9999999999999998E-4</v>
      </c>
      <c r="V37" s="541">
        <v>1.1999999999999999E-3</v>
      </c>
      <c r="W37" s="541">
        <v>1.8E-3</v>
      </c>
      <c r="X37" s="541">
        <v>2.5000000000000001E-3</v>
      </c>
      <c r="Y37" s="542">
        <v>3.5999999999999999E-3</v>
      </c>
      <c r="Z37" s="65"/>
      <c r="AA37" s="65"/>
      <c r="AB37" s="65"/>
      <c r="AC37" s="65"/>
      <c r="AD37" s="65"/>
      <c r="AE37" s="65"/>
      <c r="AF37" s="65"/>
      <c r="AG37" s="65"/>
      <c r="AH37" s="65"/>
      <c r="AI37" s="65"/>
      <c r="AJ37" s="65"/>
      <c r="AK37" s="65"/>
    </row>
    <row r="38" spans="1:37">
      <c r="A38" s="65">
        <v>2060</v>
      </c>
      <c r="B38" s="540">
        <v>2.9999999999999997E-4</v>
      </c>
      <c r="C38" s="541">
        <v>5.9999999999999995E-4</v>
      </c>
      <c r="D38" s="541">
        <v>8.9999999999999998E-4</v>
      </c>
      <c r="E38" s="541">
        <v>1.4E-3</v>
      </c>
      <c r="F38" s="541">
        <v>2.3E-3</v>
      </c>
      <c r="G38" s="542">
        <v>3.7000000000000002E-3</v>
      </c>
      <c r="H38" s="540">
        <v>5.9999999999999995E-4</v>
      </c>
      <c r="I38" s="541">
        <v>1E-3</v>
      </c>
      <c r="J38" s="541">
        <v>1.6000000000000001E-3</v>
      </c>
      <c r="K38" s="541">
        <v>2.5999999999999999E-3</v>
      </c>
      <c r="L38" s="541">
        <v>4.1000000000000003E-3</v>
      </c>
      <c r="M38" s="542">
        <v>6.6E-3</v>
      </c>
      <c r="N38" s="540">
        <v>1.1999999999999999E-3</v>
      </c>
      <c r="O38" s="541">
        <v>2E-3</v>
      </c>
      <c r="P38" s="541">
        <v>3.2000000000000002E-3</v>
      </c>
      <c r="Q38" s="541">
        <v>5.1999999999999998E-3</v>
      </c>
      <c r="R38" s="541">
        <v>8.3999999999999995E-3</v>
      </c>
      <c r="S38" s="541">
        <v>1.3299999999999999E-2</v>
      </c>
      <c r="T38" s="540">
        <v>8.9999999999999998E-4</v>
      </c>
      <c r="U38" s="541">
        <v>1.4E-3</v>
      </c>
      <c r="V38" s="541">
        <v>2.3E-3</v>
      </c>
      <c r="W38" s="541">
        <v>3.5999999999999999E-3</v>
      </c>
      <c r="X38" s="541">
        <v>5.8999999999999999E-3</v>
      </c>
      <c r="Y38" s="542">
        <v>9.2999999999999992E-3</v>
      </c>
      <c r="Z38" s="65"/>
      <c r="AA38" s="65"/>
      <c r="AB38" s="65"/>
      <c r="AC38" s="65"/>
      <c r="AD38" s="65"/>
      <c r="AE38" s="65"/>
      <c r="AF38" s="65"/>
      <c r="AG38" s="65"/>
      <c r="AH38" s="65"/>
      <c r="AI38" s="65"/>
      <c r="AJ38" s="65"/>
      <c r="AK38" s="65"/>
    </row>
    <row r="39" spans="1:37">
      <c r="A39" s="65">
        <v>2070</v>
      </c>
      <c r="B39" s="540">
        <v>2.9999999999999997E-4</v>
      </c>
      <c r="C39" s="541">
        <v>5.9999999999999995E-4</v>
      </c>
      <c r="D39" s="541">
        <v>1.1000000000000001E-3</v>
      </c>
      <c r="E39" s="541">
        <v>1.9E-3</v>
      </c>
      <c r="F39" s="541">
        <v>3.5000000000000001E-3</v>
      </c>
      <c r="G39" s="542">
        <v>6.3E-3</v>
      </c>
      <c r="H39" s="540">
        <v>5.9999999999999995E-4</v>
      </c>
      <c r="I39" s="541">
        <v>1.1000000000000001E-3</v>
      </c>
      <c r="J39" s="541">
        <v>2E-3</v>
      </c>
      <c r="K39" s="541">
        <v>3.7000000000000002E-3</v>
      </c>
      <c r="L39" s="541">
        <v>6.7000000000000002E-3</v>
      </c>
      <c r="M39" s="542">
        <v>1.2E-2</v>
      </c>
      <c r="N39" s="540">
        <v>1.6000000000000001E-3</v>
      </c>
      <c r="O39" s="541">
        <v>3.0000000000000001E-3</v>
      </c>
      <c r="P39" s="541">
        <v>5.4999999999999997E-3</v>
      </c>
      <c r="Q39" s="541">
        <v>0.01</v>
      </c>
      <c r="R39" s="541">
        <v>1.7999999999999999E-2</v>
      </c>
      <c r="S39" s="541">
        <v>3.2300000000000002E-2</v>
      </c>
      <c r="T39" s="540">
        <v>1.2999999999999999E-3</v>
      </c>
      <c r="U39" s="541">
        <v>2.3999999999999998E-3</v>
      </c>
      <c r="V39" s="541">
        <v>4.4999999999999997E-3</v>
      </c>
      <c r="W39" s="541">
        <v>8.0999999999999996E-3</v>
      </c>
      <c r="X39" s="541">
        <v>1.46E-2</v>
      </c>
      <c r="Y39" s="542">
        <v>2.6200000000000001E-2</v>
      </c>
      <c r="Z39" s="65"/>
      <c r="AA39" s="65"/>
      <c r="AB39" s="65"/>
      <c r="AC39" s="65"/>
      <c r="AD39" s="65"/>
      <c r="AE39" s="65"/>
      <c r="AF39" s="65"/>
      <c r="AG39" s="65"/>
      <c r="AH39" s="65"/>
      <c r="AI39" s="65"/>
      <c r="AJ39" s="65"/>
      <c r="AK39" s="65"/>
    </row>
    <row r="40" spans="1:37">
      <c r="A40" s="65">
        <v>2080</v>
      </c>
      <c r="B40" s="540">
        <v>2.9999999999999997E-4</v>
      </c>
      <c r="C40" s="541">
        <v>5.9999999999999995E-4</v>
      </c>
      <c r="D40" s="541">
        <v>1.2999999999999999E-3</v>
      </c>
      <c r="E40" s="541">
        <v>2.5999999999999999E-3</v>
      </c>
      <c r="F40" s="541">
        <v>5.1999999999999998E-3</v>
      </c>
      <c r="G40" s="542">
        <v>1.06E-2</v>
      </c>
      <c r="H40" s="540">
        <v>5.9999999999999995E-4</v>
      </c>
      <c r="I40" s="541">
        <v>1.1999999999999999E-3</v>
      </c>
      <c r="J40" s="541">
        <v>2.5000000000000001E-3</v>
      </c>
      <c r="K40" s="541">
        <v>5.1000000000000004E-3</v>
      </c>
      <c r="L40" s="541">
        <v>1.04E-2</v>
      </c>
      <c r="M40" s="542">
        <v>2.1000000000000001E-2</v>
      </c>
      <c r="N40" s="540">
        <v>2.0999999999999999E-3</v>
      </c>
      <c r="O40" s="541">
        <v>4.3E-3</v>
      </c>
      <c r="P40" s="541">
        <v>8.9999999999999993E-3</v>
      </c>
      <c r="Q40" s="541">
        <v>1.83E-2</v>
      </c>
      <c r="R40" s="541">
        <v>3.73E-2</v>
      </c>
      <c r="S40" s="541">
        <v>7.5300000000000006E-2</v>
      </c>
      <c r="T40" s="540">
        <v>2.0999999999999999E-3</v>
      </c>
      <c r="U40" s="541">
        <v>4.4000000000000003E-3</v>
      </c>
      <c r="V40" s="541">
        <v>9.1999999999999998E-3</v>
      </c>
      <c r="W40" s="541">
        <v>1.8800000000000001E-2</v>
      </c>
      <c r="X40" s="541">
        <v>3.8199999999999998E-2</v>
      </c>
      <c r="Y40" s="542">
        <v>7.6999999999999999E-2</v>
      </c>
      <c r="Z40" s="65"/>
      <c r="AA40" s="65"/>
      <c r="AB40" s="65"/>
      <c r="AC40" s="65"/>
      <c r="AD40" s="65"/>
      <c r="AE40" s="65"/>
      <c r="AF40" s="65"/>
      <c r="AG40" s="65"/>
      <c r="AH40" s="65"/>
      <c r="AI40" s="65"/>
      <c r="AJ40" s="65"/>
      <c r="AK40" s="65"/>
    </row>
    <row r="41" spans="1:37">
      <c r="A41" s="65">
        <v>2090</v>
      </c>
      <c r="B41" s="540">
        <v>2.9999999999999997E-4</v>
      </c>
      <c r="C41" s="541">
        <v>5.9999999999999995E-4</v>
      </c>
      <c r="D41" s="541">
        <v>1.5E-3</v>
      </c>
      <c r="E41" s="541">
        <v>3.3999999999999998E-3</v>
      </c>
      <c r="F41" s="541">
        <v>7.7000000000000002E-3</v>
      </c>
      <c r="G41" s="542">
        <v>1.7399999999999999E-2</v>
      </c>
      <c r="H41" s="540">
        <v>5.0000000000000001E-4</v>
      </c>
      <c r="I41" s="541">
        <v>1.2999999999999999E-3</v>
      </c>
      <c r="J41" s="541">
        <v>3.0000000000000001E-3</v>
      </c>
      <c r="K41" s="541">
        <v>6.7999999999999996E-3</v>
      </c>
      <c r="L41" s="541">
        <v>1.5699999999999999E-2</v>
      </c>
      <c r="M41" s="542">
        <v>3.56E-2</v>
      </c>
      <c r="N41" s="540">
        <v>2.5999999999999999E-3</v>
      </c>
      <c r="O41" s="541">
        <v>6.1000000000000004E-3</v>
      </c>
      <c r="P41" s="541">
        <v>1.4200000000000001E-2</v>
      </c>
      <c r="Q41" s="541">
        <v>3.2800000000000003E-2</v>
      </c>
      <c r="R41" s="541">
        <v>7.51E-2</v>
      </c>
      <c r="S41" s="545">
        <v>0.17030000000000001</v>
      </c>
      <c r="T41" s="540">
        <v>3.3999999999999998E-3</v>
      </c>
      <c r="U41" s="541">
        <v>8.0000000000000002E-3</v>
      </c>
      <c r="V41" s="541">
        <v>1.8700000000000001E-2</v>
      </c>
      <c r="W41" s="541">
        <v>4.3200000000000002E-2</v>
      </c>
      <c r="X41" s="541">
        <v>9.9000000000000005E-2</v>
      </c>
      <c r="Y41" s="562">
        <v>0.22450000000000001</v>
      </c>
      <c r="Z41" s="65"/>
      <c r="AA41" s="65"/>
      <c r="AB41" s="65"/>
      <c r="AC41" s="65"/>
      <c r="AD41" s="65"/>
      <c r="AE41" s="65"/>
      <c r="AF41" s="65"/>
      <c r="AG41" s="65"/>
      <c r="AH41" s="65"/>
      <c r="AI41" s="65"/>
      <c r="AJ41" s="65"/>
      <c r="AK41" s="65"/>
    </row>
    <row r="42" spans="1:37">
      <c r="A42" s="65">
        <v>2100</v>
      </c>
      <c r="B42" s="547">
        <v>2.0000000000000001E-4</v>
      </c>
      <c r="C42" s="548">
        <v>5.9999999999999995E-4</v>
      </c>
      <c r="D42" s="548">
        <v>1.6999999999999999E-3</v>
      </c>
      <c r="E42" s="548">
        <v>4.4000000000000003E-3</v>
      </c>
      <c r="F42" s="548">
        <v>1.14E-2</v>
      </c>
      <c r="G42" s="549">
        <v>2.9100000000000001E-2</v>
      </c>
      <c r="H42" s="547">
        <v>5.0000000000000001E-4</v>
      </c>
      <c r="I42" s="548">
        <v>1.2999999999999999E-3</v>
      </c>
      <c r="J42" s="548">
        <v>3.5000000000000001E-3</v>
      </c>
      <c r="K42" s="548">
        <v>8.9999999999999993E-3</v>
      </c>
      <c r="L42" s="548">
        <v>2.3300000000000001E-2</v>
      </c>
      <c r="M42" s="549">
        <v>5.9400000000000001E-2</v>
      </c>
      <c r="N42" s="547">
        <v>3.0999999999999999E-3</v>
      </c>
      <c r="O42" s="548">
        <v>8.3999999999999995E-3</v>
      </c>
      <c r="P42" s="548">
        <v>2.2200000000000001E-2</v>
      </c>
      <c r="Q42" s="548">
        <v>5.7599999999999998E-2</v>
      </c>
      <c r="R42" s="563">
        <v>0.14849999999999999</v>
      </c>
      <c r="S42" s="563">
        <v>0.37840000000000001</v>
      </c>
      <c r="T42" s="547">
        <v>5.1999999999999998E-3</v>
      </c>
      <c r="U42" s="548">
        <v>1.3899999999999999E-2</v>
      </c>
      <c r="V42" s="548">
        <v>3.6799999999999999E-2</v>
      </c>
      <c r="W42" s="548">
        <v>9.5699999999999993E-2</v>
      </c>
      <c r="X42" s="563">
        <v>0.2465</v>
      </c>
      <c r="Y42" s="564">
        <v>0.62839999999999996</v>
      </c>
      <c r="Z42" s="65"/>
      <c r="AA42" s="65"/>
      <c r="AB42" s="65"/>
      <c r="AC42" s="65"/>
      <c r="AD42" s="65"/>
      <c r="AE42" s="65"/>
      <c r="AF42" s="65"/>
      <c r="AG42" s="65"/>
      <c r="AH42" s="65"/>
      <c r="AI42" s="65"/>
      <c r="AJ42" s="65"/>
      <c r="AK42" s="65"/>
    </row>
    <row r="43" spans="1:37">
      <c r="A43" s="65"/>
      <c r="B43" s="65"/>
      <c r="C43" s="65"/>
      <c r="D43" s="65"/>
      <c r="E43" s="65"/>
      <c r="F43" s="65"/>
      <c r="G43" s="65"/>
      <c r="H43" s="65"/>
      <c r="I43" s="65"/>
      <c r="J43" s="65"/>
      <c r="K43" s="65"/>
      <c r="L43" s="65"/>
      <c r="M43" s="65"/>
      <c r="N43" s="65"/>
      <c r="O43" s="65"/>
      <c r="P43" s="65"/>
      <c r="Q43" s="65"/>
      <c r="R43" s="65"/>
      <c r="S43" s="65"/>
      <c r="T43" s="65"/>
      <c r="U43" s="65"/>
      <c r="V43" s="65"/>
      <c r="W43" s="65"/>
      <c r="X43" s="65"/>
      <c r="Y43" s="65"/>
      <c r="Z43" s="65"/>
      <c r="AA43" s="65"/>
      <c r="AB43" s="65"/>
      <c r="AC43" s="65"/>
      <c r="AD43" s="65"/>
      <c r="AE43" s="65"/>
      <c r="AF43" s="65"/>
      <c r="AG43" s="65"/>
      <c r="AH43" s="65"/>
      <c r="AI43" s="65"/>
      <c r="AJ43" s="65"/>
      <c r="AK43" s="65"/>
    </row>
    <row r="44" spans="1:37">
      <c r="A44" s="65"/>
      <c r="B44" s="65"/>
      <c r="C44" s="65"/>
      <c r="D44" s="65"/>
      <c r="E44" s="65"/>
      <c r="F44" s="65"/>
      <c r="G44" s="65"/>
      <c r="H44" s="65"/>
      <c r="I44" s="65"/>
      <c r="J44" s="65"/>
      <c r="K44" s="65"/>
      <c r="L44" s="65"/>
      <c r="M44" s="65"/>
      <c r="N44" s="65"/>
      <c r="O44" s="65"/>
      <c r="P44" s="65"/>
      <c r="Q44" s="65"/>
      <c r="R44" s="65"/>
      <c r="S44" s="65"/>
      <c r="T44" s="65"/>
      <c r="U44" s="65"/>
      <c r="V44" s="65"/>
      <c r="W44" s="65"/>
      <c r="X44" s="65"/>
      <c r="Y44" s="65"/>
      <c r="Z44" s="65"/>
      <c r="AA44" s="65"/>
      <c r="AB44" s="65"/>
      <c r="AC44" s="65"/>
      <c r="AD44" s="65"/>
      <c r="AE44" s="65"/>
      <c r="AF44" s="65"/>
      <c r="AG44" s="65"/>
      <c r="AH44" s="65"/>
      <c r="AI44" s="65"/>
      <c r="AJ44" s="65"/>
      <c r="AK44" s="65"/>
    </row>
    <row r="45" spans="1:37">
      <c r="A45" s="65"/>
      <c r="B45" s="65"/>
      <c r="C45" s="65"/>
      <c r="D45" s="65"/>
      <c r="E45" s="65"/>
      <c r="F45" s="65"/>
      <c r="G45" s="65"/>
      <c r="H45" s="65"/>
      <c r="I45" s="65"/>
      <c r="J45" s="65"/>
      <c r="K45" s="65"/>
      <c r="L45" s="65"/>
      <c r="M45" s="65"/>
      <c r="N45" s="65"/>
      <c r="O45" s="65"/>
      <c r="P45" s="65"/>
      <c r="Q45" s="65"/>
      <c r="R45" s="65"/>
      <c r="S45" s="65"/>
      <c r="T45" s="65"/>
      <c r="U45" s="65"/>
      <c r="V45" s="65"/>
      <c r="W45" s="65"/>
      <c r="X45" s="65"/>
      <c r="Y45" s="65"/>
      <c r="Z45" s="65"/>
      <c r="AA45" s="65"/>
      <c r="AB45" s="65"/>
      <c r="AC45" s="65"/>
      <c r="AD45" s="65"/>
      <c r="AE45" s="65"/>
      <c r="AF45" s="65"/>
      <c r="AG45" s="65"/>
      <c r="AH45" s="65"/>
      <c r="AI45" s="65"/>
      <c r="AJ45" s="65"/>
      <c r="AK45" s="65"/>
    </row>
    <row r="46" spans="1:37">
      <c r="A46" s="65"/>
      <c r="B46" s="65"/>
      <c r="C46" s="65"/>
      <c r="D46" s="65"/>
      <c r="E46" s="65"/>
      <c r="F46" s="65"/>
      <c r="G46" s="65"/>
      <c r="H46" s="65"/>
      <c r="I46" s="65"/>
      <c r="J46" s="65"/>
      <c r="K46" s="65"/>
      <c r="L46" s="65"/>
      <c r="M46" s="65"/>
      <c r="N46" s="65"/>
      <c r="O46" s="65"/>
      <c r="P46" s="65"/>
      <c r="Q46" s="65"/>
      <c r="R46" s="65"/>
      <c r="S46" s="65"/>
      <c r="T46" s="65"/>
      <c r="U46" s="65"/>
      <c r="V46" s="65"/>
      <c r="W46" s="65"/>
      <c r="X46" s="65"/>
      <c r="Y46" s="65"/>
      <c r="Z46" s="65"/>
      <c r="AA46" s="65"/>
      <c r="AB46" s="65"/>
      <c r="AC46" s="65"/>
      <c r="AD46" s="65"/>
      <c r="AE46" s="65"/>
      <c r="AF46" s="65"/>
      <c r="AG46" s="65"/>
      <c r="AH46" s="65"/>
      <c r="AI46" s="65"/>
      <c r="AJ46" s="65"/>
      <c r="AK46" s="65"/>
    </row>
    <row r="47" spans="1:37">
      <c r="A47" s="65"/>
      <c r="B47" s="65"/>
      <c r="C47" s="65"/>
      <c r="D47" s="65"/>
      <c r="E47" s="65"/>
      <c r="F47" s="65"/>
      <c r="G47" s="65"/>
      <c r="H47" s="65"/>
      <c r="I47" s="65"/>
      <c r="J47" s="65"/>
      <c r="K47" s="65"/>
      <c r="L47" s="65"/>
      <c r="M47" s="65"/>
      <c r="N47" s="65"/>
      <c r="O47" s="65"/>
      <c r="P47" s="65"/>
      <c r="Q47" s="65"/>
      <c r="R47" s="65"/>
      <c r="S47" s="65"/>
      <c r="T47" s="65"/>
      <c r="U47" s="65"/>
      <c r="V47" s="65"/>
      <c r="W47" s="65"/>
      <c r="X47" s="65"/>
      <c r="Y47" s="65"/>
      <c r="Z47" s="65"/>
      <c r="AA47" s="65"/>
      <c r="AB47" s="65"/>
      <c r="AC47" s="65"/>
      <c r="AD47" s="65"/>
      <c r="AE47" s="65"/>
      <c r="AF47" s="65"/>
      <c r="AG47" s="65"/>
      <c r="AH47" s="65"/>
      <c r="AI47" s="65"/>
      <c r="AJ47" s="65"/>
      <c r="AK47" s="65"/>
    </row>
    <row r="48" spans="1:37">
      <c r="A48" s="65"/>
      <c r="B48" s="65"/>
      <c r="C48" s="65"/>
      <c r="D48" s="65"/>
      <c r="E48" s="65"/>
      <c r="F48" s="65"/>
      <c r="G48" s="65"/>
      <c r="H48" s="65"/>
      <c r="I48" s="65"/>
      <c r="J48" s="65"/>
      <c r="K48" s="65"/>
      <c r="L48" s="65"/>
      <c r="M48" s="65"/>
      <c r="N48" s="65"/>
      <c r="O48" s="65"/>
      <c r="P48" s="65"/>
      <c r="Q48" s="65"/>
      <c r="R48" s="65"/>
      <c r="S48" s="65"/>
      <c r="T48" s="65"/>
      <c r="U48" s="65"/>
      <c r="V48" s="65"/>
      <c r="W48" s="65"/>
      <c r="X48" s="65"/>
      <c r="Y48" s="65"/>
      <c r="Z48" s="65"/>
      <c r="AA48" s="65"/>
      <c r="AB48" s="65"/>
      <c r="AC48" s="65"/>
      <c r="AD48" s="65"/>
      <c r="AE48" s="65"/>
      <c r="AF48" s="65"/>
      <c r="AG48" s="65"/>
      <c r="AH48" s="65"/>
      <c r="AI48" s="65"/>
      <c r="AJ48" s="65"/>
      <c r="AK48" s="65"/>
    </row>
    <row r="49" spans="1:37">
      <c r="A49" s="65"/>
      <c r="B49" s="65"/>
      <c r="C49" s="65"/>
      <c r="D49" s="65"/>
      <c r="E49" s="65"/>
      <c r="F49" s="65"/>
      <c r="G49" s="65"/>
      <c r="H49" s="65"/>
      <c r="I49" s="65"/>
      <c r="J49" s="65"/>
      <c r="K49" s="65"/>
      <c r="L49" s="65"/>
      <c r="M49" s="65"/>
      <c r="N49" s="65"/>
      <c r="O49" s="65"/>
      <c r="P49" s="65"/>
      <c r="Q49" s="65"/>
      <c r="R49" s="65"/>
      <c r="S49" s="65"/>
      <c r="T49" s="65"/>
      <c r="U49" s="65"/>
      <c r="V49" s="65"/>
      <c r="W49" s="65"/>
      <c r="X49" s="65"/>
      <c r="Y49" s="65"/>
      <c r="Z49" s="65"/>
      <c r="AA49" s="65"/>
      <c r="AB49" s="65"/>
      <c r="AC49" s="65"/>
      <c r="AD49" s="65"/>
      <c r="AE49" s="65"/>
      <c r="AF49" s="65"/>
      <c r="AG49" s="65"/>
      <c r="AH49" s="65"/>
      <c r="AI49" s="65"/>
      <c r="AJ49" s="65"/>
      <c r="AK49" s="65"/>
    </row>
    <row r="50" spans="1:37">
      <c r="A50" s="65"/>
      <c r="B50" s="65"/>
      <c r="C50" s="65"/>
      <c r="D50" s="65"/>
      <c r="E50" s="65"/>
      <c r="F50" s="65"/>
      <c r="G50" s="65"/>
      <c r="H50" s="65"/>
      <c r="I50" s="65"/>
      <c r="J50" s="65"/>
      <c r="K50" s="65"/>
      <c r="L50" s="65"/>
      <c r="M50" s="65"/>
      <c r="N50" s="65"/>
      <c r="O50" s="65"/>
      <c r="P50" s="65"/>
      <c r="Q50" s="65"/>
      <c r="R50" s="65"/>
      <c r="S50" s="65"/>
      <c r="T50" s="65"/>
      <c r="U50" s="65"/>
      <c r="V50" s="65"/>
      <c r="W50" s="65"/>
      <c r="X50" s="65"/>
      <c r="Y50" s="65"/>
      <c r="Z50" s="65"/>
      <c r="AA50" s="65"/>
      <c r="AB50" s="65"/>
      <c r="AC50" s="65"/>
      <c r="AD50" s="65"/>
      <c r="AE50" s="65"/>
      <c r="AF50" s="65"/>
      <c r="AG50" s="65"/>
      <c r="AH50" s="65"/>
      <c r="AI50" s="65"/>
      <c r="AJ50" s="65"/>
      <c r="AK50" s="65"/>
    </row>
    <row r="51" spans="1:37">
      <c r="A51" s="65"/>
      <c r="B51" s="65"/>
      <c r="C51" s="65"/>
      <c r="D51" s="65"/>
      <c r="E51" s="65"/>
      <c r="F51" s="65"/>
      <c r="G51" s="65"/>
      <c r="H51" s="65"/>
      <c r="I51" s="65"/>
      <c r="J51" s="65"/>
      <c r="K51" s="65"/>
      <c r="L51" s="65"/>
      <c r="M51" s="65"/>
      <c r="N51" s="65"/>
      <c r="O51" s="65"/>
      <c r="P51" s="65"/>
      <c r="Q51" s="65"/>
      <c r="R51" s="65"/>
      <c r="S51" s="65"/>
      <c r="T51" s="65"/>
      <c r="U51" s="65"/>
      <c r="V51" s="65"/>
      <c r="W51" s="65"/>
      <c r="X51" s="65"/>
      <c r="Y51" s="65"/>
      <c r="Z51" s="65"/>
      <c r="AA51" s="65"/>
      <c r="AB51" s="65"/>
      <c r="AC51" s="65"/>
      <c r="AD51" s="65"/>
      <c r="AE51" s="65"/>
      <c r="AF51" s="65"/>
      <c r="AG51" s="65"/>
      <c r="AH51" s="65"/>
      <c r="AI51" s="65"/>
      <c r="AJ51" s="65"/>
      <c r="AK51" s="65"/>
    </row>
    <row r="52" spans="1:37">
      <c r="A52" s="65"/>
      <c r="B52" s="65"/>
      <c r="C52" s="65"/>
      <c r="D52" s="65"/>
      <c r="E52" s="65"/>
      <c r="F52" s="65"/>
      <c r="G52" s="65"/>
      <c r="H52" s="65"/>
      <c r="I52" s="65"/>
      <c r="J52" s="65"/>
      <c r="K52" s="65"/>
      <c r="L52" s="65"/>
      <c r="M52" s="65"/>
      <c r="N52" s="65"/>
      <c r="O52" s="65"/>
      <c r="P52" s="65"/>
      <c r="Q52" s="65"/>
      <c r="R52" s="65"/>
      <c r="S52" s="65"/>
      <c r="T52" s="65"/>
      <c r="U52" s="65"/>
      <c r="V52" s="65"/>
      <c r="W52" s="65"/>
      <c r="X52" s="65"/>
      <c r="Y52" s="65"/>
      <c r="Z52" s="65"/>
      <c r="AA52" s="65"/>
      <c r="AB52" s="65"/>
      <c r="AC52" s="65"/>
      <c r="AD52" s="65"/>
      <c r="AE52" s="65"/>
      <c r="AF52" s="65"/>
      <c r="AG52" s="65"/>
      <c r="AH52" s="65"/>
      <c r="AI52" s="65"/>
      <c r="AJ52" s="65"/>
      <c r="AK52" s="65"/>
    </row>
    <row r="53" spans="1:37">
      <c r="A53" s="65"/>
      <c r="B53" s="65"/>
      <c r="C53" s="65"/>
      <c r="D53" s="65"/>
      <c r="E53" s="65"/>
      <c r="F53" s="65"/>
      <c r="G53" s="65"/>
      <c r="H53" s="65"/>
      <c r="I53" s="65"/>
      <c r="J53" s="65"/>
      <c r="K53" s="65"/>
      <c r="L53" s="65"/>
      <c r="M53" s="65"/>
      <c r="N53" s="65"/>
      <c r="O53" s="65"/>
      <c r="P53" s="65"/>
      <c r="Q53" s="65"/>
      <c r="R53" s="65"/>
      <c r="S53" s="65"/>
      <c r="T53" s="65"/>
      <c r="U53" s="65"/>
      <c r="V53" s="65"/>
      <c r="W53" s="65"/>
      <c r="X53" s="65"/>
      <c r="Y53" s="65"/>
      <c r="Z53" s="65"/>
      <c r="AA53" s="65"/>
      <c r="AB53" s="65"/>
      <c r="AC53" s="65"/>
      <c r="AD53" s="65"/>
      <c r="AE53" s="65"/>
      <c r="AF53" s="65"/>
      <c r="AG53" s="65"/>
      <c r="AH53" s="65"/>
      <c r="AI53" s="65"/>
      <c r="AJ53" s="65"/>
      <c r="AK53" s="65"/>
    </row>
    <row r="54" spans="1:37">
      <c r="A54" s="65"/>
      <c r="B54" s="65"/>
      <c r="C54" s="65"/>
      <c r="D54" s="65"/>
      <c r="E54" s="65"/>
      <c r="F54" s="65"/>
      <c r="G54" s="65"/>
      <c r="H54" s="65"/>
      <c r="I54" s="65"/>
      <c r="J54" s="65"/>
      <c r="K54" s="65"/>
      <c r="L54" s="65"/>
      <c r="M54" s="65"/>
      <c r="N54" s="65"/>
      <c r="O54" s="65"/>
      <c r="P54" s="65"/>
      <c r="Q54" s="65"/>
      <c r="R54" s="65"/>
      <c r="S54" s="65"/>
      <c r="T54" s="65"/>
      <c r="U54" s="65"/>
      <c r="V54" s="65"/>
      <c r="W54" s="65"/>
      <c r="X54" s="65"/>
      <c r="Y54" s="65"/>
      <c r="Z54" s="65"/>
      <c r="AA54" s="65"/>
      <c r="AB54" s="65"/>
      <c r="AC54" s="65"/>
      <c r="AD54" s="65"/>
      <c r="AE54" s="65"/>
      <c r="AF54" s="65"/>
      <c r="AG54" s="65"/>
      <c r="AH54" s="65"/>
      <c r="AI54" s="65"/>
      <c r="AJ54" s="65"/>
      <c r="AK54" s="65"/>
    </row>
    <row r="55" spans="1:37">
      <c r="A55" s="65"/>
      <c r="B55" s="65"/>
      <c r="C55" s="65"/>
      <c r="D55" s="65"/>
      <c r="E55" s="65"/>
      <c r="F55" s="65"/>
      <c r="G55" s="65"/>
      <c r="H55" s="65"/>
      <c r="I55" s="65"/>
      <c r="J55" s="65"/>
      <c r="K55" s="65"/>
      <c r="L55" s="65"/>
      <c r="M55" s="65"/>
      <c r="N55" s="65"/>
      <c r="O55" s="65"/>
      <c r="P55" s="65"/>
      <c r="Q55" s="65"/>
      <c r="R55" s="65"/>
      <c r="S55" s="65"/>
      <c r="T55" s="65"/>
      <c r="U55" s="65"/>
      <c r="V55" s="65"/>
      <c r="W55" s="65"/>
      <c r="X55" s="65"/>
      <c r="Y55" s="65"/>
      <c r="Z55" s="65"/>
      <c r="AA55" s="65"/>
      <c r="AB55" s="65"/>
      <c r="AC55" s="65"/>
      <c r="AD55" s="65"/>
      <c r="AE55" s="65"/>
      <c r="AF55" s="65"/>
      <c r="AG55" s="65"/>
      <c r="AH55" s="65"/>
      <c r="AI55" s="65"/>
      <c r="AJ55" s="65"/>
      <c r="AK55" s="65"/>
    </row>
    <row r="56" spans="1:37">
      <c r="A56" s="65"/>
      <c r="B56" s="65"/>
      <c r="C56" s="65"/>
      <c r="D56" s="65"/>
      <c r="E56" s="65"/>
      <c r="F56" s="65"/>
      <c r="G56" s="65"/>
      <c r="H56" s="65"/>
      <c r="I56" s="65"/>
      <c r="J56" s="65"/>
      <c r="K56" s="65"/>
      <c r="L56" s="65"/>
      <c r="M56" s="65"/>
      <c r="N56" s="65"/>
      <c r="O56" s="65"/>
      <c r="P56" s="65"/>
      <c r="Q56" s="65"/>
      <c r="R56" s="65"/>
      <c r="S56" s="65"/>
      <c r="T56" s="65"/>
      <c r="U56" s="65"/>
      <c r="V56" s="65"/>
      <c r="W56" s="65"/>
      <c r="X56" s="65"/>
      <c r="Y56" s="65"/>
      <c r="Z56" s="65"/>
      <c r="AA56" s="65"/>
      <c r="AB56" s="65"/>
      <c r="AC56" s="65"/>
      <c r="AD56" s="65"/>
      <c r="AE56" s="65"/>
      <c r="AF56" s="65"/>
      <c r="AG56" s="65"/>
      <c r="AH56" s="65"/>
      <c r="AI56" s="65"/>
      <c r="AJ56" s="65"/>
      <c r="AK56" s="65"/>
    </row>
    <row r="57" spans="1:37">
      <c r="A57" s="65"/>
      <c r="B57" s="65"/>
      <c r="C57" s="65"/>
      <c r="D57" s="65"/>
      <c r="E57" s="65"/>
      <c r="F57" s="65"/>
      <c r="G57" s="65"/>
      <c r="H57" s="65"/>
      <c r="I57" s="65"/>
      <c r="J57" s="65"/>
      <c r="K57" s="65"/>
      <c r="L57" s="65"/>
      <c r="M57" s="65"/>
      <c r="N57" s="65"/>
      <c r="O57" s="65"/>
      <c r="P57" s="65"/>
      <c r="Q57" s="65"/>
      <c r="R57" s="65"/>
      <c r="S57" s="65"/>
      <c r="T57" s="65"/>
      <c r="U57" s="65"/>
      <c r="V57" s="65"/>
      <c r="W57" s="65"/>
      <c r="X57" s="65"/>
      <c r="Y57" s="65"/>
      <c r="Z57" s="65"/>
      <c r="AA57" s="65"/>
      <c r="AB57" s="65"/>
      <c r="AC57" s="65"/>
      <c r="AD57" s="65"/>
      <c r="AE57" s="65"/>
      <c r="AF57" s="65"/>
      <c r="AG57" s="65"/>
      <c r="AH57" s="65"/>
      <c r="AI57" s="65"/>
      <c r="AJ57" s="65"/>
      <c r="AK57" s="65"/>
    </row>
    <row r="58" spans="1:37">
      <c r="A58" s="65"/>
      <c r="B58" s="65"/>
      <c r="C58" s="65"/>
      <c r="D58" s="65"/>
      <c r="E58" s="65"/>
      <c r="F58" s="65"/>
      <c r="G58" s="65"/>
      <c r="H58" s="65"/>
      <c r="I58" s="65"/>
      <c r="J58" s="65"/>
      <c r="K58" s="65"/>
      <c r="L58" s="65"/>
      <c r="M58" s="65"/>
      <c r="N58" s="65"/>
      <c r="O58" s="65"/>
      <c r="P58" s="65"/>
      <c r="Q58" s="65"/>
      <c r="R58" s="65"/>
      <c r="S58" s="65"/>
      <c r="T58" s="65"/>
      <c r="U58" s="65"/>
      <c r="V58" s="65"/>
      <c r="W58" s="65"/>
      <c r="X58" s="65"/>
      <c r="Y58" s="65"/>
      <c r="Z58" s="65"/>
      <c r="AA58" s="65"/>
      <c r="AB58" s="65"/>
      <c r="AC58" s="65"/>
      <c r="AD58" s="65"/>
      <c r="AE58" s="65"/>
      <c r="AF58" s="65"/>
      <c r="AG58" s="65"/>
      <c r="AH58" s="65"/>
      <c r="AI58" s="65"/>
      <c r="AJ58" s="65"/>
      <c r="AK58" s="65"/>
    </row>
    <row r="59" spans="1:37">
      <c r="A59" s="65"/>
      <c r="B59" s="65"/>
      <c r="C59" s="65"/>
      <c r="D59" s="65"/>
      <c r="E59" s="65"/>
      <c r="F59" s="65"/>
      <c r="G59" s="65"/>
      <c r="H59" s="65"/>
      <c r="I59" s="65"/>
      <c r="J59" s="65"/>
      <c r="K59" s="65"/>
      <c r="L59" s="65"/>
      <c r="M59" s="65"/>
      <c r="N59" s="65"/>
      <c r="O59" s="65"/>
      <c r="P59" s="65"/>
      <c r="Q59" s="65"/>
      <c r="R59" s="65"/>
      <c r="S59" s="65"/>
      <c r="T59" s="65"/>
      <c r="U59" s="65"/>
      <c r="V59" s="65"/>
      <c r="W59" s="65"/>
      <c r="X59" s="65"/>
      <c r="Y59" s="65"/>
      <c r="Z59" s="65"/>
      <c r="AA59" s="65"/>
      <c r="AB59" s="65"/>
      <c r="AC59" s="65"/>
      <c r="AD59" s="65"/>
      <c r="AE59" s="65"/>
      <c r="AF59" s="65"/>
      <c r="AG59" s="65"/>
      <c r="AH59" s="65"/>
      <c r="AI59" s="65"/>
      <c r="AJ59" s="65"/>
      <c r="AK59" s="65"/>
    </row>
    <row r="60" spans="1:37">
      <c r="A60" s="65"/>
      <c r="B60" s="65"/>
      <c r="C60" s="65"/>
      <c r="D60" s="65"/>
      <c r="E60" s="65"/>
      <c r="F60" s="65"/>
      <c r="G60" s="65"/>
      <c r="H60" s="65"/>
      <c r="I60" s="65"/>
      <c r="J60" s="65"/>
      <c r="K60" s="65"/>
      <c r="L60" s="65"/>
      <c r="M60" s="65"/>
      <c r="N60" s="65"/>
      <c r="O60" s="65"/>
      <c r="P60" s="65"/>
      <c r="Q60" s="65"/>
      <c r="R60" s="65"/>
      <c r="S60" s="65"/>
      <c r="T60" s="65"/>
      <c r="U60" s="65"/>
      <c r="V60" s="65"/>
      <c r="W60" s="65"/>
      <c r="X60" s="65"/>
      <c r="Y60" s="65"/>
      <c r="Z60" s="65"/>
      <c r="AA60" s="65"/>
      <c r="AB60" s="65"/>
      <c r="AC60" s="65"/>
      <c r="AD60" s="65"/>
      <c r="AE60" s="65"/>
      <c r="AF60" s="65"/>
      <c r="AG60" s="65"/>
      <c r="AH60" s="65"/>
      <c r="AI60" s="65"/>
      <c r="AJ60" s="65"/>
      <c r="AK60" s="65"/>
    </row>
    <row r="61" spans="1:37">
      <c r="A61" s="65"/>
      <c r="B61" s="65"/>
      <c r="C61" s="65"/>
      <c r="D61" s="65"/>
      <c r="E61" s="65"/>
      <c r="F61" s="65"/>
      <c r="G61" s="65"/>
      <c r="H61" s="65"/>
      <c r="I61" s="65"/>
      <c r="J61" s="65"/>
      <c r="K61" s="65"/>
      <c r="L61" s="65"/>
      <c r="M61" s="65"/>
      <c r="N61" s="65"/>
      <c r="O61" s="65"/>
      <c r="P61" s="65"/>
      <c r="Q61" s="65"/>
      <c r="R61" s="65"/>
      <c r="S61" s="65"/>
      <c r="T61" s="65"/>
      <c r="U61" s="65"/>
      <c r="V61" s="65"/>
      <c r="W61" s="65"/>
      <c r="X61" s="65"/>
      <c r="Y61" s="65"/>
      <c r="Z61" s="65"/>
      <c r="AA61" s="65"/>
      <c r="AB61" s="65"/>
      <c r="AC61" s="65"/>
      <c r="AD61" s="65"/>
      <c r="AE61" s="65"/>
      <c r="AF61" s="65"/>
      <c r="AG61" s="65"/>
      <c r="AH61" s="65"/>
      <c r="AI61" s="65"/>
      <c r="AJ61" s="65"/>
      <c r="AK61" s="65"/>
    </row>
    <row r="62" spans="1:37">
      <c r="A62" s="65"/>
      <c r="B62" s="65"/>
      <c r="C62" s="65"/>
      <c r="D62" s="65"/>
      <c r="E62" s="65"/>
      <c r="F62" s="65"/>
      <c r="G62" s="65"/>
      <c r="H62" s="65"/>
      <c r="I62" s="65"/>
      <c r="J62" s="65"/>
      <c r="K62" s="65"/>
      <c r="L62" s="65"/>
      <c r="M62" s="65"/>
      <c r="N62" s="65"/>
      <c r="O62" s="65"/>
      <c r="P62" s="65"/>
      <c r="Q62" s="65"/>
      <c r="R62" s="65"/>
      <c r="S62" s="65"/>
      <c r="T62" s="65"/>
      <c r="U62" s="65"/>
      <c r="V62" s="65"/>
      <c r="W62" s="65"/>
      <c r="X62" s="65"/>
      <c r="Y62" s="65"/>
      <c r="Z62" s="65"/>
      <c r="AA62" s="65"/>
      <c r="AB62" s="65"/>
      <c r="AC62" s="65"/>
      <c r="AD62" s="65"/>
      <c r="AE62" s="65"/>
      <c r="AF62" s="65"/>
      <c r="AG62" s="65"/>
      <c r="AH62" s="65"/>
      <c r="AI62" s="65"/>
      <c r="AJ62" s="65"/>
      <c r="AK62" s="65"/>
    </row>
    <row r="63" spans="1:37">
      <c r="A63" s="65"/>
      <c r="B63" s="65"/>
      <c r="C63" s="65"/>
      <c r="D63" s="65"/>
      <c r="E63" s="65"/>
      <c r="F63" s="65"/>
      <c r="G63" s="65"/>
      <c r="H63" s="65"/>
      <c r="I63" s="65"/>
      <c r="J63" s="65"/>
      <c r="K63" s="65"/>
      <c r="L63" s="65"/>
      <c r="M63" s="65"/>
      <c r="N63" s="65"/>
      <c r="O63" s="65"/>
      <c r="P63" s="65"/>
      <c r="Q63" s="65"/>
      <c r="R63" s="65"/>
      <c r="S63" s="65"/>
      <c r="T63" s="65"/>
      <c r="U63" s="65"/>
      <c r="V63" s="65"/>
      <c r="W63" s="65"/>
      <c r="X63" s="65"/>
      <c r="Y63" s="65"/>
      <c r="Z63" s="65"/>
      <c r="AA63" s="65"/>
      <c r="AB63" s="65"/>
      <c r="AC63" s="65"/>
      <c r="AD63" s="65"/>
      <c r="AE63" s="65"/>
      <c r="AF63" s="65"/>
      <c r="AG63" s="65"/>
      <c r="AH63" s="65"/>
      <c r="AI63" s="65"/>
      <c r="AJ63" s="65"/>
      <c r="AK63" s="65"/>
    </row>
    <row r="64" spans="1:37">
      <c r="A64" s="65"/>
      <c r="B64" s="65"/>
      <c r="C64" s="65"/>
      <c r="D64" s="65"/>
      <c r="E64" s="65"/>
      <c r="F64" s="65"/>
      <c r="G64" s="65"/>
      <c r="H64" s="65"/>
      <c r="I64" s="65"/>
      <c r="J64" s="65"/>
      <c r="K64" s="65"/>
      <c r="L64" s="65"/>
      <c r="M64" s="65"/>
      <c r="N64" s="65"/>
      <c r="O64" s="65"/>
      <c r="P64" s="65"/>
      <c r="Q64" s="65"/>
      <c r="R64" s="65"/>
      <c r="S64" s="65"/>
      <c r="T64" s="65"/>
      <c r="U64" s="65"/>
      <c r="V64" s="65"/>
      <c r="W64" s="65"/>
      <c r="X64" s="65"/>
      <c r="Y64" s="65"/>
      <c r="Z64" s="65"/>
      <c r="AA64" s="65"/>
      <c r="AB64" s="65"/>
      <c r="AC64" s="65"/>
      <c r="AD64" s="65"/>
      <c r="AE64" s="65"/>
      <c r="AF64" s="65"/>
      <c r="AG64" s="65"/>
      <c r="AH64" s="65"/>
      <c r="AI64" s="65"/>
      <c r="AJ64" s="65"/>
      <c r="AK64" s="65"/>
    </row>
    <row r="65" spans="1:37">
      <c r="A65" s="65"/>
      <c r="B65" s="65"/>
      <c r="C65" s="65"/>
      <c r="D65" s="65"/>
      <c r="E65" s="65"/>
      <c r="F65" s="65"/>
      <c r="G65" s="65"/>
      <c r="H65" s="65"/>
      <c r="I65" s="65"/>
      <c r="J65" s="65"/>
      <c r="K65" s="65"/>
      <c r="L65" s="65"/>
      <c r="M65" s="65"/>
      <c r="N65" s="65"/>
      <c r="O65" s="65"/>
      <c r="P65" s="65"/>
      <c r="Q65" s="65"/>
      <c r="R65" s="65"/>
      <c r="S65" s="65"/>
      <c r="T65" s="65"/>
      <c r="U65" s="65"/>
      <c r="V65" s="65"/>
      <c r="W65" s="65"/>
      <c r="X65" s="65"/>
      <c r="Y65" s="65"/>
      <c r="Z65" s="65"/>
      <c r="AA65" s="65"/>
      <c r="AB65" s="65"/>
      <c r="AC65" s="65"/>
      <c r="AD65" s="65"/>
      <c r="AE65" s="65"/>
      <c r="AF65" s="65"/>
      <c r="AG65" s="65"/>
      <c r="AH65" s="65"/>
      <c r="AI65" s="65"/>
      <c r="AJ65" s="65"/>
      <c r="AK65" s="65"/>
    </row>
    <row r="66" spans="1:37">
      <c r="A66" s="65"/>
      <c r="B66" s="65"/>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c r="AF66" s="65"/>
      <c r="AG66" s="65"/>
      <c r="AH66" s="65"/>
      <c r="AI66" s="65"/>
      <c r="AJ66" s="65"/>
      <c r="AK66" s="65"/>
    </row>
    <row r="67" spans="1:37">
      <c r="A67" s="65"/>
      <c r="B67" s="65"/>
      <c r="C67" s="65"/>
      <c r="D67" s="65"/>
      <c r="E67" s="65"/>
      <c r="F67" s="65"/>
      <c r="G67" s="65"/>
      <c r="H67" s="65"/>
      <c r="I67" s="65"/>
      <c r="J67" s="65"/>
      <c r="K67" s="65"/>
      <c r="L67" s="65"/>
      <c r="M67" s="65"/>
      <c r="N67" s="65"/>
      <c r="O67" s="65"/>
      <c r="P67" s="65"/>
      <c r="Q67" s="65"/>
      <c r="R67" s="65"/>
      <c r="S67" s="65"/>
      <c r="T67" s="65"/>
      <c r="U67" s="65"/>
      <c r="V67" s="65"/>
      <c r="W67" s="65"/>
      <c r="X67" s="65"/>
      <c r="Y67" s="65"/>
      <c r="Z67" s="65"/>
      <c r="AA67" s="65"/>
      <c r="AB67" s="65"/>
      <c r="AC67" s="65"/>
      <c r="AD67" s="65"/>
      <c r="AE67" s="65"/>
      <c r="AF67" s="65"/>
      <c r="AG67" s="65"/>
      <c r="AH67" s="65"/>
      <c r="AI67" s="65"/>
      <c r="AJ67" s="65"/>
      <c r="AK67" s="65"/>
    </row>
    <row r="68" spans="1:37">
      <c r="A68" s="65"/>
      <c r="B68" s="65"/>
      <c r="C68" s="65"/>
      <c r="D68" s="65"/>
      <c r="E68" s="65"/>
      <c r="F68" s="65"/>
      <c r="G68" s="65"/>
      <c r="H68" s="65"/>
      <c r="I68" s="65"/>
      <c r="J68" s="65"/>
      <c r="K68" s="65"/>
      <c r="L68" s="65"/>
      <c r="M68" s="65"/>
      <c r="N68" s="65"/>
      <c r="O68" s="65"/>
      <c r="P68" s="65"/>
      <c r="Q68" s="65"/>
      <c r="R68" s="65"/>
      <c r="S68" s="65"/>
      <c r="T68" s="65"/>
      <c r="U68" s="65"/>
      <c r="V68" s="65"/>
      <c r="W68" s="65"/>
      <c r="X68" s="65"/>
      <c r="Y68" s="65"/>
      <c r="Z68" s="65"/>
      <c r="AA68" s="65"/>
      <c r="AB68" s="65"/>
      <c r="AC68" s="65"/>
      <c r="AD68" s="65"/>
      <c r="AE68" s="65"/>
      <c r="AF68" s="65"/>
      <c r="AG68" s="65"/>
      <c r="AH68" s="65"/>
      <c r="AI68" s="65"/>
      <c r="AJ68" s="65"/>
      <c r="AK68" s="65"/>
    </row>
    <row r="69" spans="1:37">
      <c r="A69" s="65"/>
      <c r="B69" s="65"/>
      <c r="C69" s="65"/>
      <c r="D69" s="65"/>
      <c r="E69" s="65"/>
      <c r="F69" s="65"/>
      <c r="G69" s="65"/>
      <c r="H69" s="65"/>
      <c r="I69" s="65"/>
      <c r="J69" s="65"/>
      <c r="K69" s="65"/>
      <c r="L69" s="65"/>
      <c r="M69" s="65"/>
      <c r="N69" s="65"/>
      <c r="O69" s="65"/>
      <c r="P69" s="65"/>
      <c r="Q69" s="65"/>
      <c r="R69" s="65"/>
      <c r="S69" s="65"/>
      <c r="T69" s="65"/>
      <c r="U69" s="65"/>
      <c r="V69" s="65"/>
      <c r="W69" s="65"/>
      <c r="X69" s="65"/>
      <c r="Y69" s="65"/>
      <c r="Z69" s="65"/>
      <c r="AA69" s="65"/>
      <c r="AB69" s="65"/>
      <c r="AC69" s="65"/>
      <c r="AD69" s="65"/>
      <c r="AE69" s="65"/>
      <c r="AF69" s="65"/>
      <c r="AG69" s="65"/>
      <c r="AH69" s="65"/>
      <c r="AI69" s="65"/>
      <c r="AJ69" s="65"/>
      <c r="AK69" s="65"/>
    </row>
    <row r="70" spans="1:37">
      <c r="A70" s="65"/>
      <c r="B70" s="65"/>
      <c r="C70" s="65"/>
      <c r="D70" s="65"/>
      <c r="E70" s="65"/>
      <c r="F70" s="65"/>
      <c r="G70" s="65"/>
      <c r="H70" s="65"/>
      <c r="I70" s="65"/>
      <c r="J70" s="65"/>
      <c r="K70" s="65"/>
      <c r="L70" s="65"/>
      <c r="M70" s="65"/>
      <c r="N70" s="65"/>
      <c r="O70" s="65"/>
      <c r="P70" s="65"/>
      <c r="Q70" s="65"/>
      <c r="R70" s="65"/>
      <c r="S70" s="65"/>
      <c r="T70" s="65"/>
      <c r="U70" s="65"/>
      <c r="V70" s="65"/>
      <c r="W70" s="65"/>
      <c r="X70" s="65"/>
      <c r="Y70" s="65"/>
      <c r="Z70" s="65"/>
      <c r="AA70" s="65"/>
      <c r="AB70" s="65"/>
      <c r="AC70" s="65"/>
      <c r="AD70" s="65"/>
      <c r="AE70" s="65"/>
      <c r="AF70" s="65"/>
      <c r="AG70" s="65"/>
      <c r="AH70" s="65"/>
      <c r="AI70" s="65"/>
      <c r="AJ70" s="65"/>
      <c r="AK70" s="65"/>
    </row>
    <row r="71" spans="1:37">
      <c r="A71" s="65"/>
      <c r="B71" s="65"/>
      <c r="C71" s="65"/>
      <c r="D71" s="65"/>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row>
    <row r="72" spans="1:37">
      <c r="A72" s="65"/>
      <c r="B72" s="65"/>
      <c r="C72" s="65"/>
      <c r="D72" s="65"/>
      <c r="E72" s="65"/>
      <c r="F72" s="65"/>
      <c r="G72" s="65"/>
      <c r="H72" s="65"/>
      <c r="I72" s="65"/>
      <c r="J72" s="65"/>
      <c r="K72" s="65"/>
      <c r="L72" s="65"/>
      <c r="M72" s="65"/>
      <c r="N72" s="65"/>
      <c r="O72" s="65"/>
      <c r="P72" s="65"/>
      <c r="Q72" s="65"/>
      <c r="R72" s="65"/>
      <c r="S72" s="65"/>
      <c r="T72" s="65"/>
      <c r="U72" s="65"/>
      <c r="V72" s="65"/>
      <c r="W72" s="65"/>
      <c r="X72" s="65"/>
      <c r="Y72" s="65"/>
      <c r="Z72" s="65"/>
      <c r="AA72" s="65"/>
      <c r="AB72" s="65"/>
      <c r="AC72" s="65"/>
      <c r="AD72" s="65"/>
      <c r="AE72" s="65"/>
      <c r="AF72" s="65"/>
      <c r="AG72" s="65"/>
      <c r="AH72" s="65"/>
      <c r="AI72" s="65"/>
      <c r="AJ72" s="65"/>
      <c r="AK72" s="65"/>
    </row>
    <row r="73" spans="1:37">
      <c r="A73" s="65"/>
      <c r="B73" s="65"/>
      <c r="C73" s="65"/>
      <c r="D73" s="65"/>
      <c r="E73" s="65"/>
      <c r="F73" s="65"/>
      <c r="G73" s="65"/>
      <c r="H73" s="65"/>
      <c r="I73" s="65"/>
      <c r="J73" s="65"/>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row>
  </sheetData>
  <mergeCells count="11">
    <mergeCell ref="A1:Y1"/>
    <mergeCell ref="R2:U2"/>
    <mergeCell ref="V2:Y2"/>
    <mergeCell ref="B23:G23"/>
    <mergeCell ref="H23:M23"/>
    <mergeCell ref="N23:S23"/>
    <mergeCell ref="T23:Y23"/>
    <mergeCell ref="B2:E2"/>
    <mergeCell ref="F2:I2"/>
    <mergeCell ref="J2:M2"/>
    <mergeCell ref="N2:Q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9870F-4999-4247-913F-7F1E2B2F9C3F}">
  <sheetPr>
    <tabColor theme="9" tint="0.79998168889431442"/>
  </sheetPr>
  <dimension ref="B1:AQ421"/>
  <sheetViews>
    <sheetView zoomScale="90" zoomScaleNormal="90" workbookViewId="0">
      <pane ySplit="11" topLeftCell="A12" activePane="bottomLeft" state="frozen"/>
      <selection pane="bottomLeft" activeCell="H29" sqref="H29"/>
      <selection activeCell="B1" sqref="B1"/>
    </sheetView>
  </sheetViews>
  <sheetFormatPr defaultColWidth="8.7109375" defaultRowHeight="15"/>
  <cols>
    <col min="1" max="1" width="1.7109375" customWidth="1"/>
    <col min="2" max="2" width="43.7109375" bestFit="1" customWidth="1"/>
    <col min="4" max="4" width="3.7109375" customWidth="1"/>
    <col min="5" max="5" width="5.42578125" bestFit="1" customWidth="1"/>
    <col min="6" max="11" width="19.7109375" customWidth="1"/>
    <col min="12" max="12" width="9.7109375" bestFit="1" customWidth="1"/>
    <col min="13" max="13" width="9.42578125" customWidth="1"/>
    <col min="14" max="14" width="5.42578125" bestFit="1" customWidth="1"/>
    <col min="15" max="20" width="19.7109375" customWidth="1"/>
    <col min="21" max="21" width="12.140625" bestFit="1" customWidth="1"/>
    <col min="23" max="23" width="5.42578125" bestFit="1" customWidth="1"/>
    <col min="24" max="25" width="15.7109375" customWidth="1"/>
    <col min="26" max="26" width="17.7109375" bestFit="1" customWidth="1"/>
    <col min="27" max="29" width="15.7109375" customWidth="1"/>
    <col min="30" max="30" width="12.140625" bestFit="1" customWidth="1"/>
    <col min="34" max="39" width="15.7109375" customWidth="1"/>
    <col min="40" max="40" width="12.140625" bestFit="1" customWidth="1"/>
  </cols>
  <sheetData>
    <row r="1" spans="2:39" ht="7.35" customHeight="1"/>
    <row r="2" spans="2:39">
      <c r="B2" s="582" t="s">
        <v>228</v>
      </c>
      <c r="C2" s="582"/>
      <c r="D2" s="321"/>
      <c r="F2" s="582" t="s">
        <v>201</v>
      </c>
      <c r="G2" s="582"/>
      <c r="H2" s="582"/>
      <c r="I2" s="582"/>
      <c r="J2" s="582"/>
      <c r="K2" s="582"/>
      <c r="O2" s="582" t="s">
        <v>202</v>
      </c>
      <c r="P2" s="582"/>
      <c r="Q2" s="582"/>
      <c r="R2" s="582"/>
      <c r="S2" s="582"/>
      <c r="T2" s="582"/>
      <c r="X2" s="582" t="s">
        <v>203</v>
      </c>
      <c r="Y2" s="582"/>
      <c r="Z2" s="582"/>
      <c r="AA2" s="582"/>
      <c r="AB2" s="582"/>
      <c r="AC2" s="582"/>
      <c r="AH2" s="582" t="s">
        <v>204</v>
      </c>
      <c r="AI2" s="582"/>
      <c r="AJ2" s="582"/>
      <c r="AK2" s="582"/>
      <c r="AL2" s="582"/>
      <c r="AM2" s="582"/>
    </row>
    <row r="3" spans="2:39">
      <c r="B3" t="s">
        <v>300</v>
      </c>
      <c r="C3" s="195">
        <v>5.0000000000000001E-3</v>
      </c>
      <c r="F3" s="1" t="s">
        <v>230</v>
      </c>
      <c r="G3" s="1" t="s">
        <v>3</v>
      </c>
      <c r="H3" s="1" t="s">
        <v>231</v>
      </c>
      <c r="I3" s="1" t="s">
        <v>5</v>
      </c>
      <c r="J3" s="1" t="s">
        <v>232</v>
      </c>
      <c r="K3" s="1" t="s">
        <v>233</v>
      </c>
      <c r="O3" t="s">
        <v>230</v>
      </c>
      <c r="P3" t="s">
        <v>3</v>
      </c>
      <c r="Q3" t="s">
        <v>231</v>
      </c>
      <c r="R3" t="s">
        <v>5</v>
      </c>
      <c r="S3" t="s">
        <v>232</v>
      </c>
      <c r="T3" t="s">
        <v>233</v>
      </c>
      <c r="X3" t="s">
        <v>230</v>
      </c>
      <c r="Y3" t="s">
        <v>3</v>
      </c>
      <c r="Z3" t="s">
        <v>231</v>
      </c>
      <c r="AA3" t="s">
        <v>5</v>
      </c>
      <c r="AB3" t="s">
        <v>232</v>
      </c>
      <c r="AC3" t="s">
        <v>233</v>
      </c>
      <c r="AH3" t="s">
        <v>230</v>
      </c>
      <c r="AI3" t="s">
        <v>3</v>
      </c>
      <c r="AJ3" t="s">
        <v>231</v>
      </c>
      <c r="AK3" t="s">
        <v>5</v>
      </c>
      <c r="AL3" t="s">
        <v>232</v>
      </c>
      <c r="AM3" t="s">
        <v>233</v>
      </c>
    </row>
    <row r="4" spans="2:39">
      <c r="B4" t="s">
        <v>301</v>
      </c>
      <c r="C4" s="195">
        <f>C3/2</f>
        <v>2.5000000000000001E-3</v>
      </c>
      <c r="F4" s="581" t="s">
        <v>235</v>
      </c>
      <c r="G4" s="581"/>
      <c r="H4" s="581"/>
      <c r="I4" s="581"/>
      <c r="J4" s="581"/>
      <c r="K4" s="581"/>
      <c r="O4" s="581" t="s">
        <v>235</v>
      </c>
      <c r="P4" s="581"/>
      <c r="Q4" s="581"/>
      <c r="R4" s="581"/>
      <c r="S4" s="581"/>
      <c r="T4" s="581"/>
      <c r="X4" s="581" t="s">
        <v>235</v>
      </c>
      <c r="Y4" s="581"/>
      <c r="Z4" s="581"/>
      <c r="AA4" s="581"/>
      <c r="AB4" s="581"/>
      <c r="AC4" s="581"/>
      <c r="AH4" s="581" t="s">
        <v>235</v>
      </c>
      <c r="AI4" s="581"/>
      <c r="AJ4" s="581"/>
      <c r="AK4" s="581"/>
      <c r="AL4" s="581"/>
      <c r="AM4" s="581"/>
    </row>
    <row r="5" spans="2:39">
      <c r="B5" t="s">
        <v>276</v>
      </c>
      <c r="C5" s="59">
        <v>0.2</v>
      </c>
      <c r="E5">
        <v>2020</v>
      </c>
      <c r="F5" s="61">
        <f>'Demographic-Economic'!C10</f>
        <v>6306408</v>
      </c>
      <c r="G5" s="61">
        <f>'Demographic-Economic'!D10</f>
        <v>4212348</v>
      </c>
      <c r="H5" s="61">
        <f>'Demographic-Economic'!E10</f>
        <v>4993764</v>
      </c>
      <c r="I5" s="61">
        <f>'Demographic-Economic'!F10</f>
        <v>1010676</v>
      </c>
      <c r="J5" s="61">
        <f>'Demographic-Economic'!G10</f>
        <v>1266672</v>
      </c>
      <c r="K5" s="61">
        <f>'Demographic-Economic'!H10</f>
        <v>307884</v>
      </c>
      <c r="N5">
        <v>2020</v>
      </c>
      <c r="O5" s="61">
        <f>'Demographic-Economic'!C10</f>
        <v>6306408</v>
      </c>
      <c r="P5" s="61">
        <f>'Demographic-Economic'!D10</f>
        <v>4212348</v>
      </c>
      <c r="Q5" s="61">
        <f>'Demographic-Economic'!E10</f>
        <v>4993764</v>
      </c>
      <c r="R5" s="61">
        <f>'Demographic-Economic'!F10</f>
        <v>1010676</v>
      </c>
      <c r="S5" s="61">
        <f>'Demographic-Economic'!G10</f>
        <v>1266672</v>
      </c>
      <c r="T5" s="61">
        <f>'Demographic-Economic'!H10</f>
        <v>307884</v>
      </c>
      <c r="W5">
        <v>2020</v>
      </c>
      <c r="X5" s="61">
        <f>'Demographic-Economic'!C10</f>
        <v>6306408</v>
      </c>
      <c r="Y5" s="61">
        <f>'Demographic-Economic'!D10</f>
        <v>4212348</v>
      </c>
      <c r="Z5" s="61">
        <f>'Demographic-Economic'!E10</f>
        <v>4993764</v>
      </c>
      <c r="AA5" s="61">
        <f>'Demographic-Economic'!F10</f>
        <v>1010676</v>
      </c>
      <c r="AB5" s="61">
        <f>'Demographic-Economic'!G10</f>
        <v>1266672</v>
      </c>
      <c r="AC5" s="61">
        <f>'Demographic-Economic'!H10</f>
        <v>307884</v>
      </c>
      <c r="AG5">
        <v>2020</v>
      </c>
      <c r="AH5" s="61">
        <f>'Demographic-Economic'!C10</f>
        <v>6306408</v>
      </c>
      <c r="AI5" s="61">
        <f>'Demographic-Economic'!D10</f>
        <v>4212348</v>
      </c>
      <c r="AJ5" s="61">
        <f>'Demographic-Economic'!E10</f>
        <v>4993764</v>
      </c>
      <c r="AK5" s="61">
        <f>'Demographic-Economic'!F10</f>
        <v>1010676</v>
      </c>
      <c r="AL5" s="61">
        <f>'Demographic-Economic'!G10</f>
        <v>1266672</v>
      </c>
      <c r="AM5" s="61">
        <f>'Demographic-Economic'!H10</f>
        <v>307884</v>
      </c>
    </row>
    <row r="6" spans="2:39">
      <c r="B6" t="s">
        <v>237</v>
      </c>
      <c r="C6" s="180">
        <f>'Inflation-Interest'!$C$70</f>
        <v>3.7539166666666658E-2</v>
      </c>
      <c r="E6">
        <v>2021</v>
      </c>
      <c r="F6" s="61">
        <f>(F5+0.5*F119)*('Economic Projections'!$B4/'Economic Projections'!$B3)</f>
        <v>6338410.1086701853</v>
      </c>
      <c r="G6" s="61">
        <f>(G5+0.5*G119)*('Economic Projections'!$B4/'Economic Projections'!$B3)</f>
        <v>4228424.9429604225</v>
      </c>
      <c r="H6" s="61">
        <f>(H5+0.5*H119)*('Economic Projections'!$B4/'Economic Projections'!$B3)</f>
        <v>5035144.8928728383</v>
      </c>
      <c r="I6" s="61">
        <f>(I5+0.5*I119)*('Economic Projections'!$B4/'Economic Projections'!$B3)</f>
        <v>1021796.1881853121</v>
      </c>
      <c r="J6" s="61">
        <f>(J5+0.5*J119)*('Economic Projections'!$B4/'Economic Projections'!$B3)</f>
        <v>1277758.2979495313</v>
      </c>
      <c r="K6" s="61">
        <f>(K5+0.5*K119)*('Economic Projections'!$B4/'Economic Projections'!$B3)</f>
        <v>310820.74825353286</v>
      </c>
      <c r="N6">
        <v>2021</v>
      </c>
      <c r="O6" s="61">
        <f>(O5+0.5*O119)*'Economic Projections'!$C4/'Economic Projections'!$C3</f>
        <v>6352323.1666557165</v>
      </c>
      <c r="P6" s="61">
        <f>(P5+0.5*P119)*'Economic Projections'!$C4/'Economic Projections'!$C3</f>
        <v>4237706.5010183966</v>
      </c>
      <c r="Q6" s="61">
        <f>(Q5+0.5*Q119)*'Economic Projections'!$C4/'Economic Projections'!$C3</f>
        <v>5046197.232759187</v>
      </c>
      <c r="R6" s="61">
        <f>(R5+0.5*R119)*'Economic Projections'!$C4/'Economic Projections'!$C3</f>
        <v>1024039.0707649941</v>
      </c>
      <c r="S6" s="61">
        <f>(S5+0.5*S119)*'Economic Projections'!$C4/'Economic Projections'!$C3</f>
        <v>1280563.0273668575</v>
      </c>
      <c r="T6" s="61">
        <f>(T5+0.5*T119)*'Economic Projections'!$C4/'Economic Projections'!$C3</f>
        <v>311503.01194733242</v>
      </c>
      <c r="W6">
        <v>2021</v>
      </c>
      <c r="X6" s="61">
        <f>(X5+0.5*X119)*'Economic Projections'!$D4/'Economic Projections'!$D3</f>
        <v>6364782.2009337666</v>
      </c>
      <c r="Y6" s="61">
        <f>(Y5+0.5*Y119)*'Economic Projections'!$D4/'Economic Projections'!$D3</f>
        <v>4246018.0634454545</v>
      </c>
      <c r="Z6" s="61">
        <f>(Z5+0.5*Z119)*'Economic Projections'!$D4/'Economic Projections'!$D3</f>
        <v>5056094.5164217632</v>
      </c>
      <c r="AA6" s="61">
        <f>(AA5+0.5*AA119)*'Economic Projections'!$D4/'Economic Projections'!$D3</f>
        <v>1026047.5545196771</v>
      </c>
      <c r="AB6" s="61">
        <f>(AB5+0.5*AB119)*'Economic Projections'!$D4/'Economic Projections'!$D3</f>
        <v>1283074.6405569604</v>
      </c>
      <c r="AC6" s="61">
        <f>(AC5+0.5*AC119)*'Economic Projections'!$D4/'Economic Projections'!$D3</f>
        <v>312113.97373276862</v>
      </c>
      <c r="AG6">
        <v>2021</v>
      </c>
      <c r="AH6" s="61">
        <f>(AH5+0.5*AH119)*'Economic Projections'!$E4/'Economic Projections'!$E3</f>
        <v>6340237.0760264909</v>
      </c>
      <c r="AI6" s="61">
        <f>(AI5+0.5*AI119)*'Economic Projections'!$E4/'Economic Projections'!$E3</f>
        <v>4229643.7335099336</v>
      </c>
      <c r="AJ6" s="61">
        <f>(AJ5+0.5*AJ119)*'Economic Projections'!$E4/'Economic Projections'!$E3</f>
        <v>5036596.2103476981</v>
      </c>
      <c r="AK6" s="61">
        <f>(AK5+0.5*AK119)*'Economic Projections'!$E4/'Economic Projections'!$E3</f>
        <v>1022090.7081435675</v>
      </c>
      <c r="AL6" s="61">
        <f>(AL5+0.5*AL119)*'Economic Projections'!$E4/'Economic Projections'!$E3</f>
        <v>1278126.5957812555</v>
      </c>
      <c r="AM6" s="61">
        <f>(AM5+0.5*AM119)*'Economic Projections'!$E4/'Economic Projections'!$E3</f>
        <v>310910.33844271058</v>
      </c>
    </row>
    <row r="7" spans="2:39">
      <c r="B7" t="s">
        <v>277</v>
      </c>
      <c r="C7" s="417">
        <v>0.1</v>
      </c>
      <c r="E7">
        <v>2022</v>
      </c>
      <c r="F7" s="61">
        <f>(F6+0.5*F120)*('Economic Projections'!$B5/'Economic Projections'!$B4)</f>
        <v>6370322.3583061956</v>
      </c>
      <c r="G7" s="61">
        <f>(G6+0.5*G120)*('Economic Projections'!$B5/'Economic Projections'!$B4)</f>
        <v>4244395.1740310425</v>
      </c>
      <c r="H7" s="61">
        <f>(H6+0.5*H120)*('Economic Projections'!$B5/'Economic Projections'!$B4)</f>
        <v>5077194.3132385723</v>
      </c>
      <c r="I7" s="61">
        <f>(I6+0.5*I120)*('Economic Projections'!$B5/'Economic Projections'!$B4)</f>
        <v>1032549.0737663142</v>
      </c>
      <c r="J7" s="61">
        <f>(J6+0.5*J120)*('Economic Projections'!$B5/'Economic Projections'!$B4)</f>
        <v>1288723.1944521328</v>
      </c>
      <c r="K7" s="61">
        <f>(K6+0.5*K120)*('Economic Projections'!$B5/'Economic Projections'!$B4)</f>
        <v>313774.24398938793</v>
      </c>
      <c r="N7">
        <v>2022</v>
      </c>
      <c r="O7" s="61">
        <f>(O6+0.5*O120)*'Economic Projections'!$C5/'Economic Projections'!$C4</f>
        <v>6398113.6916322932</v>
      </c>
      <c r="P7" s="61">
        <f>(P6+0.5*P120)*'Economic Projections'!$C5/'Economic Projections'!$C4</f>
        <v>4262911.8823567014</v>
      </c>
      <c r="Q7" s="61">
        <f>(Q6+0.5*Q120)*'Economic Projections'!$C5/'Economic Projections'!$C4</f>
        <v>5099308.6911082612</v>
      </c>
      <c r="R7" s="61">
        <f>(R6+0.5*R120)*'Economic Projections'!$C5/'Economic Projections'!$C4</f>
        <v>1037087.0616690813</v>
      </c>
      <c r="S7" s="61">
        <f>(S6+0.5*S120)*'Economic Projections'!$C5/'Economic Projections'!$C4</f>
        <v>1294342.3786048125</v>
      </c>
      <c r="T7" s="61">
        <f>(T6+0.5*T120)*'Economic Projections'!$C5/'Economic Projections'!$C4</f>
        <v>315148.31565381843</v>
      </c>
      <c r="W7">
        <v>2022</v>
      </c>
      <c r="X7" s="61">
        <f>(X6+0.5*X120)*'Economic Projections'!$D5/'Economic Projections'!$D4</f>
        <v>6423000.6126026968</v>
      </c>
      <c r="Y7" s="61">
        <f>(Y6+0.5*Y120)*'Economic Projections'!$D5/'Economic Projections'!$D4</f>
        <v>4279493.4493986815</v>
      </c>
      <c r="Z7" s="61">
        <f>(Z6+0.5*Z120)*'Economic Projections'!$D5/'Economic Projections'!$D4</f>
        <v>5119110.5765183847</v>
      </c>
      <c r="AA7" s="61">
        <f>(AA6+0.5*AA120)*'Economic Projections'!$D5/'Economic Projections'!$D4</f>
        <v>1041152.0776659516</v>
      </c>
      <c r="AB7" s="61">
        <f>(AB6+0.5*AB120)*'Economic Projections'!$D5/'Economic Projections'!$D4</f>
        <v>1299374.1972526126</v>
      </c>
      <c r="AC7" s="61">
        <f>(AC6+0.5*AC120)*'Economic Projections'!$D5/'Economic Projections'!$D4</f>
        <v>316378.98578244977</v>
      </c>
      <c r="AG7">
        <v>2022</v>
      </c>
      <c r="AH7" s="61">
        <f>(AH6+0.5*AH120)*'Economic Projections'!$E5/'Economic Projections'!$E4</f>
        <v>6373971.725600414</v>
      </c>
      <c r="AI7" s="61">
        <f>(AI6+0.5*AI120)*'Economic Projections'!$E5/'Economic Projections'!$E4</f>
        <v>4246826.6611773167</v>
      </c>
      <c r="AJ7" s="61">
        <f>(AJ6+0.5*AJ120)*'Economic Projections'!$E5/'Economic Projections'!$E4</f>
        <v>5080098.3106432902</v>
      </c>
      <c r="AK7" s="61">
        <f>(AK6+0.5*AK120)*'Economic Projections'!$E5/'Economic Projections'!$E4</f>
        <v>1033144.8876553202</v>
      </c>
      <c r="AL7" s="61">
        <f>(AL6+0.5*AL120)*'Economic Projections'!$E5/'Economic Projections'!$E4</f>
        <v>1289461.0747742001</v>
      </c>
      <c r="AM7" s="61">
        <f>(AM6+0.5*AM120)*'Economic Projections'!$E5/'Economic Projections'!$E4</f>
        <v>313954.66465276695</v>
      </c>
    </row>
    <row r="8" spans="2:39">
      <c r="B8" s="432" t="s">
        <v>278</v>
      </c>
      <c r="C8" s="417">
        <v>0</v>
      </c>
      <c r="E8">
        <v>2023</v>
      </c>
      <c r="F8" s="61">
        <f>(F7+0.5*F121)*('Economic Projections'!$B6/'Economic Projections'!$B5)</f>
        <v>6402144.9235523185</v>
      </c>
      <c r="G8" s="61">
        <f>(G7+0.5*G121)*('Economic Projections'!$B6/'Economic Projections'!$B5)</f>
        <v>4260259.1262904154</v>
      </c>
      <c r="H8" s="61">
        <f>(H7+0.5*H121)*('Economic Projections'!$B6/'Economic Projections'!$B5)</f>
        <v>5119863.5089486204</v>
      </c>
      <c r="I8" s="61">
        <f>(I7+0.5*I121)*('Economic Projections'!$B6/'Economic Projections'!$B5)</f>
        <v>1042971.00600192</v>
      </c>
      <c r="J8" s="61">
        <f>(J7+0.5*J121)*('Economic Projections'!$B6/'Economic Projections'!$B5)</f>
        <v>1299579.2320587563</v>
      </c>
      <c r="K8" s="61">
        <f>(K7+0.5*K121)*('Economic Projections'!$B6/'Economic Projections'!$B5)</f>
        <v>316743.73982343136</v>
      </c>
      <c r="N8">
        <v>2023</v>
      </c>
      <c r="O8" s="61">
        <f>(O7+0.5*O121)*'Economic Projections'!$C6/'Economic Projections'!$C5</f>
        <v>6443779.8147914791</v>
      </c>
      <c r="P8" s="61">
        <f>(P7+0.5*P121)*'Economic Projections'!$C6/'Economic Projections'!$C5</f>
        <v>4287964.7511226833</v>
      </c>
      <c r="Q8" s="61">
        <f>(Q7+0.5*Q121)*'Economic Projections'!$C6/'Economic Projections'!$C5</f>
        <v>5153073.1877313079</v>
      </c>
      <c r="R8" s="61">
        <f>(R7+0.5*R121)*'Economic Projections'!$C6/'Economic Projections'!$C5</f>
        <v>1049838.2695428936</v>
      </c>
      <c r="S8" s="61">
        <f>(S7+0.5*S121)*'Economic Projections'!$C6/'Economic Projections'!$C5</f>
        <v>1308016.9948806257</v>
      </c>
      <c r="T8" s="61">
        <f>(T7+0.5*T121)*'Economic Projections'!$C6/'Economic Projections'!$C5</f>
        <v>318819.01346845936</v>
      </c>
      <c r="W8">
        <v>2023</v>
      </c>
      <c r="X8" s="61">
        <f>(X7+0.5*X121)*'Economic Projections'!$D6/'Economic Projections'!$D5</f>
        <v>6481063.5332702678</v>
      </c>
      <c r="Y8" s="61">
        <f>(Y7+0.5*Y121)*'Economic Projections'!$D6/'Economic Projections'!$D5</f>
        <v>4312774.9208092466</v>
      </c>
      <c r="Z8" s="61">
        <f>(Z7+0.5*Z121)*'Economic Projections'!$D6/'Economic Projections'!$D5</f>
        <v>5182807.0838979911</v>
      </c>
      <c r="AA8" s="61">
        <f>(AA7+0.5*AA121)*'Economic Projections'!$D6/'Economic Projections'!$D5</f>
        <v>1055992.9087791531</v>
      </c>
      <c r="AB8" s="61">
        <f>(AB7+0.5*AB121)*'Economic Projections'!$D6/'Economic Projections'!$D5</f>
        <v>1315572.0480083907</v>
      </c>
      <c r="AC8" s="61">
        <f>(AC7+0.5*AC121)*'Economic Projections'!$D6/'Economic Projections'!$D5</f>
        <v>320678.35406611883</v>
      </c>
      <c r="AG8">
        <v>2023</v>
      </c>
      <c r="AH8" s="61">
        <f>(AH7+0.5*AH121)*'Economic Projections'!$E6/'Economic Projections'!$E5</f>
        <v>6407612.1319299722</v>
      </c>
      <c r="AI8" s="61">
        <f>(AI7+0.5*AI121)*'Economic Projections'!$E6/'Economic Projections'!$E5</f>
        <v>4263897.2389330287</v>
      </c>
      <c r="AJ8" s="61">
        <f>(AJ7+0.5*AJ121)*'Economic Projections'!$E6/'Economic Projections'!$E5</f>
        <v>5124224.7021967117</v>
      </c>
      <c r="AK8" s="61">
        <f>(AK7+0.5*AK121)*'Economic Projections'!$E6/'Economic Projections'!$E5</f>
        <v>1043872.4454322809</v>
      </c>
      <c r="AL8" s="61">
        <f>(AL7+0.5*AL121)*'Economic Projections'!$E6/'Economic Projections'!$E5</f>
        <v>1300687.278174514</v>
      </c>
      <c r="AM8" s="61">
        <f>(AM7+0.5*AM121)*'Economic Projections'!$E6/'Economic Projections'!$E5</f>
        <v>317016.19008845597</v>
      </c>
    </row>
    <row r="9" spans="2:39">
      <c r="B9" s="432" t="s">
        <v>279</v>
      </c>
      <c r="C9" s="180">
        <v>0</v>
      </c>
      <c r="E9">
        <v>2024</v>
      </c>
      <c r="F9" s="61">
        <f>(F8+0.5*F122)*('Economic Projections'!$B7/'Economic Projections'!$B6)</f>
        <v>6433877.9787566429</v>
      </c>
      <c r="G9" s="61">
        <f>(G8+0.5*G122)*('Economic Projections'!$B7/'Economic Projections'!$B6)</f>
        <v>4276017.2313186545</v>
      </c>
      <c r="H9" s="61">
        <f>(H8+0.5*H122)*('Economic Projections'!$B7/'Economic Projections'!$B6)</f>
        <v>5163109.6541965809</v>
      </c>
      <c r="I9" s="61">
        <f>(I8+0.5*I122)*('Economic Projections'!$B7/'Economic Projections'!$B6)</f>
        <v>1053093.8703669731</v>
      </c>
      <c r="J9" s="61">
        <f>(J8+0.5*J122)*('Economic Projections'!$B7/'Economic Projections'!$B6)</f>
        <v>1310337.40423835</v>
      </c>
      <c r="K9" s="61">
        <f>(K8+0.5*K122)*('Economic Projections'!$B7/'Economic Projections'!$B6)</f>
        <v>319728.5766900825</v>
      </c>
      <c r="N9">
        <v>2024</v>
      </c>
      <c r="O9" s="61">
        <f>(O8+0.5*O122)*'Economic Projections'!$C7/'Economic Projections'!$C6</f>
        <v>6489321.7755901255</v>
      </c>
      <c r="P9" s="61">
        <f>(P8+0.5*P122)*'Economic Projections'!$C7/'Economic Projections'!$C6</f>
        <v>4312865.7123455713</v>
      </c>
      <c r="Q9" s="61">
        <f>(Q8+0.5*Q122)*'Economic Projections'!$C7/'Economic Projections'!$C6</f>
        <v>5207466.5543226153</v>
      </c>
      <c r="R9" s="61">
        <f>(R8+0.5*R122)*'Economic Projections'!$C7/'Economic Projections'!$C6</f>
        <v>1062310.21717248</v>
      </c>
      <c r="S9" s="61">
        <f>(S8+0.5*S122)*'Economic Projections'!$C7/'Economic Projections'!$C6</f>
        <v>1321593.5273818269</v>
      </c>
      <c r="T9" s="61">
        <f>(T8+0.5*T122)*'Economic Projections'!$C7/'Economic Projections'!$C6</f>
        <v>322514.25523731502</v>
      </c>
      <c r="W9">
        <v>2024</v>
      </c>
      <c r="X9" s="61">
        <f>(X8+0.5*X122)*'Economic Projections'!$D7/'Economic Projections'!$D6</f>
        <v>6538971.2606977113</v>
      </c>
      <c r="Y9" s="61">
        <f>(Y8+0.5*Y122)*'Economic Projections'!$D7/'Economic Projections'!$D6</f>
        <v>4345863.2380286995</v>
      </c>
      <c r="Z9" s="61">
        <f>(Z8+0.5*Z122)*'Economic Projections'!$D7/'Economic Projections'!$D6</f>
        <v>5247177.3092370499</v>
      </c>
      <c r="AA9" s="61">
        <f>(AA8+0.5*AA122)*'Economic Projections'!$D7/'Economic Projections'!$D6</f>
        <v>1070574.5486571689</v>
      </c>
      <c r="AB9" s="61">
        <f>(AB8+0.5*AB122)*'Economic Projections'!$D7/'Economic Projections'!$D6</f>
        <v>1331670.0826711624</v>
      </c>
      <c r="AC9" s="61">
        <f>(AC8+0.5*AC122)*'Economic Projections'!$D7/'Economic Projections'!$D6</f>
        <v>325011.35914976377</v>
      </c>
      <c r="AG9">
        <v>2024</v>
      </c>
      <c r="AH9" s="61">
        <f>(AH8+0.5*AH122)*'Economic Projections'!$E7/'Economic Projections'!$E6</f>
        <v>6441158.4779128842</v>
      </c>
      <c r="AI9" s="61">
        <f>(AI8+0.5*AI122)*'Economic Projections'!$E7/'Economic Projections'!$E6</f>
        <v>4280855.921133331</v>
      </c>
      <c r="AJ9" s="61">
        <f>(AJ8+0.5*AJ122)*'Economic Projections'!$E7/'Economic Projections'!$E6</f>
        <v>5168934.9569130382</v>
      </c>
      <c r="AK9" s="61">
        <f>(AK8+0.5*AK122)*'Economic Projections'!$E7/'Economic Projections'!$E6</f>
        <v>1054303.3984759464</v>
      </c>
      <c r="AL9" s="61">
        <f>(AL8+0.5*AL122)*'Economic Projections'!$E7/'Economic Projections'!$E6</f>
        <v>1311815.6808210651</v>
      </c>
      <c r="AM9" s="61">
        <f>(AM8+0.5*AM122)*'Economic Projections'!$E7/'Economic Projections'!$E6</f>
        <v>320094.21375035454</v>
      </c>
    </row>
    <row r="10" spans="2:39">
      <c r="B10" s="60" t="s">
        <v>351</v>
      </c>
      <c r="C10" s="433">
        <v>0</v>
      </c>
      <c r="E10">
        <v>2025</v>
      </c>
      <c r="F10" s="61">
        <f>(F9+0.5*F123)*('Economic Projections'!$B8/'Economic Projections'!$B7)</f>
        <v>6465521.6979715144</v>
      </c>
      <c r="G10" s="61">
        <f>(G9+0.5*G123)*('Economic Projections'!$B8/'Economic Projections'!$B7)</f>
        <v>4291669.9192022132</v>
      </c>
      <c r="H10" s="61">
        <f>(H9+0.5*H123)*('Economic Projections'!$B8/'Economic Projections'!$B7)</f>
        <v>5206894.9781836271</v>
      </c>
      <c r="I10" s="61">
        <f>(I9+0.5*I123)*('Economic Projections'!$B8/'Economic Projections'!$B7)</f>
        <v>1062945.7449061794</v>
      </c>
      <c r="J10" s="61">
        <f>(J9+0.5*J123)*('Economic Projections'!$B8/'Economic Projections'!$B7)</f>
        <v>1321007.3831980384</v>
      </c>
      <c r="K10" s="61">
        <f>(K9+0.5*K123)*('Economic Projections'!$B8/'Economic Projections'!$B7)</f>
        <v>322728.17099753488</v>
      </c>
      <c r="N10">
        <v>2025</v>
      </c>
      <c r="O10" s="61">
        <f>(O9+0.5*O123)*'Economic Projections'!$C8/'Economic Projections'!$C7</f>
        <v>6534739.8130808137</v>
      </c>
      <c r="P10" s="61">
        <f>(P9+0.5*P123)*'Economic Projections'!$C8/'Economic Projections'!$C7</f>
        <v>4337615.3689826494</v>
      </c>
      <c r="Q10" s="61">
        <f>(Q9+0.5*Q123)*'Economic Projections'!$C8/'Economic Projections'!$C7</f>
        <v>5262465.6790257795</v>
      </c>
      <c r="R10" s="61">
        <f>(R9+0.5*R123)*'Economic Projections'!$C8/'Economic Projections'!$C7</f>
        <v>1074519.6275496806</v>
      </c>
      <c r="S10" s="61">
        <f>(S9+0.5*S123)*'Economic Projections'!$C8/'Economic Projections'!$C7</f>
        <v>1335078.3260936127</v>
      </c>
      <c r="T10" s="61">
        <f>(T9+0.5*T123)*'Economic Projections'!$C8/'Economic Projections'!$C7</f>
        <v>326233.23782987928</v>
      </c>
      <c r="W10">
        <v>2025</v>
      </c>
      <c r="X10" s="61">
        <f>(X9+0.5*X123)*'Economic Projections'!$D8/'Economic Projections'!$D7</f>
        <v>6596724.0921448162</v>
      </c>
      <c r="Y10" s="61">
        <f>(Y9+0.5*Y123)*'Economic Projections'!$D8/'Economic Projections'!$D7</f>
        <v>4378759.1588187991</v>
      </c>
      <c r="Z10" s="61">
        <f>(Z9+0.5*Z123)*'Economic Projections'!$D8/'Economic Projections'!$D7</f>
        <v>5312213.0937521122</v>
      </c>
      <c r="AA10" s="61">
        <f>(AA9+0.5*AA123)*'Economic Projections'!$D8/'Economic Projections'!$D7</f>
        <v>1084902.5122166961</v>
      </c>
      <c r="AB10" s="61">
        <f>(AB9+0.5*AB123)*'Economic Projections'!$D8/'Economic Projections'!$D7</f>
        <v>1347670.6376052704</v>
      </c>
      <c r="AC10" s="61">
        <f>(AC9+0.5*AC123)*'Economic Projections'!$D8/'Economic Projections'!$D7</f>
        <v>329377.25351424899</v>
      </c>
      <c r="AG10">
        <v>2025</v>
      </c>
      <c r="AH10" s="61">
        <f>(AH9+0.5*AH123)*'Economic Projections'!$E8/'Economic Projections'!$E7</f>
        <v>6474610.9461368835</v>
      </c>
      <c r="AI10" s="61">
        <f>(AI9+0.5*AI123)*'Economic Projections'!$E8/'Economic Projections'!$E7</f>
        <v>4297703.1605648883</v>
      </c>
      <c r="AJ10" s="61">
        <f>(AJ9+0.5*AJ123)*'Economic Projections'!$E8/'Economic Projections'!$E7</f>
        <v>5214193.1155351773</v>
      </c>
      <c r="AK10" s="61">
        <f>(AK9+0.5*AK123)*'Economic Projections'!$E8/'Economic Projections'!$E7</f>
        <v>1064464.4019642235</v>
      </c>
      <c r="AL10" s="61">
        <f>(AL9+0.5*AL123)*'Economic Projections'!$E8/'Economic Projections'!$E7</f>
        <v>1322855.5766585241</v>
      </c>
      <c r="AM10" s="61">
        <f>(AM9+0.5*AM123)*'Economic Projections'!$E8/'Economic Projections'!$E7</f>
        <v>323188.11039857886</v>
      </c>
    </row>
    <row r="11" spans="2:39">
      <c r="B11" s="60" t="s">
        <v>352</v>
      </c>
      <c r="C11" s="433">
        <v>0</v>
      </c>
      <c r="E11">
        <v>2026</v>
      </c>
      <c r="F11" s="61">
        <f>(F10+0.5*F124)*('Economic Projections'!$B9/'Economic Projections'!$B8)</f>
        <v>6497076.2549540065</v>
      </c>
      <c r="G11" s="61">
        <f>(G10+0.5*G124)*('Economic Projections'!$B9/'Economic Projections'!$B8)</f>
        <v>4307217.6185386581</v>
      </c>
      <c r="H11" s="61">
        <f>(H10+0.5*H124)*('Economic Projections'!$B9/'Economic Projections'!$B8)</f>
        <v>5251186.0422354201</v>
      </c>
      <c r="I11" s="61">
        <f>(I10+0.5*I124)*('Economic Projections'!$B9/'Economic Projections'!$B8)</f>
        <v>1072551.444793385</v>
      </c>
      <c r="J11" s="61">
        <f>(J10+0.5*J124)*('Economic Projections'!$B9/'Economic Projections'!$B8)</f>
        <v>1331597.7088879927</v>
      </c>
      <c r="K11" s="61">
        <f>(K10+0.5*K124)*('Economic Projections'!$B9/'Economic Projections'!$B8)</f>
        <v>325742.00394146587</v>
      </c>
      <c r="N11">
        <v>2026</v>
      </c>
      <c r="O11" s="61">
        <f>(O10+0.5*O124)*'Economic Projections'!$C9/'Economic Projections'!$C8</f>
        <v>6580034.1659125015</v>
      </c>
      <c r="P11" s="61">
        <f>(P10+0.5*P124)*'Economic Projections'!$C9/'Economic Projections'!$C8</f>
        <v>4362214.3219258403</v>
      </c>
      <c r="Q11" s="61">
        <f>(Q10+0.5*Q124)*'Economic Projections'!$C9/'Economic Projections'!$C8</f>
        <v>5318048.5253749657</v>
      </c>
      <c r="R11" s="61">
        <f>(R10+0.5*R124)*'Economic Projections'!$C9/'Economic Projections'!$C8</f>
        <v>1086482.4117090444</v>
      </c>
      <c r="S11" s="61">
        <f>(S10+0.5*S124)*'Economic Projections'!$C9/'Economic Projections'!$C8</f>
        <v>1348477.4339539248</v>
      </c>
      <c r="T11" s="61">
        <f>(T10+0.5*T124)*'Economic Projections'!$C9/'Economic Projections'!$C8</f>
        <v>329975.2041986222</v>
      </c>
      <c r="W11">
        <v>2026</v>
      </c>
      <c r="X11" s="61">
        <f>(X10+0.5*X124)*'Economic Projections'!$D9/'Economic Projections'!$D8</f>
        <v>6654322.3243707092</v>
      </c>
      <c r="Y11" s="61">
        <f>(Y10+0.5*Y124)*'Economic Projections'!$D9/'Economic Projections'!$D8</f>
        <v>4411463.4383597113</v>
      </c>
      <c r="Z11" s="61">
        <f>(Z10+0.5*Z124)*'Economic Projections'!$D9/'Economic Projections'!$D8</f>
        <v>5377905.051392585</v>
      </c>
      <c r="AA11" s="61">
        <f>(AA10+0.5*AA124)*'Economic Projections'!$D9/'Economic Projections'!$D8</f>
        <v>1098983.1823822032</v>
      </c>
      <c r="AB11" s="61">
        <f>(AB10+0.5*AB124)*'Economic Projections'!$D9/'Economic Projections'!$D8</f>
        <v>1363576.4308936642</v>
      </c>
      <c r="AC11" s="61">
        <f>(AC10+0.5*AC124)*'Economic Projections'!$D9/'Economic Projections'!$D8</f>
        <v>333775.27026346058</v>
      </c>
      <c r="AG11">
        <v>2026</v>
      </c>
      <c r="AH11" s="61">
        <f>(AH10+0.5*AH124)*'Economic Projections'!$E9/'Economic Projections'!$E8</f>
        <v>6507969.7188801998</v>
      </c>
      <c r="AI11" s="61">
        <f>(AI10+0.5*AI124)*'Economic Projections'!$E9/'Economic Projections'!$E8</f>
        <v>4314439.4084497793</v>
      </c>
      <c r="AJ11" s="61">
        <f>(AJ10+0.5*AJ124)*'Economic Projections'!$E9/'Economic Projections'!$E8</f>
        <v>5259967.0953283682</v>
      </c>
      <c r="AK11" s="61">
        <f>(AK10+0.5*AK124)*'Economic Projections'!$E9/'Economic Projections'!$E8</f>
        <v>1074379.1949889401</v>
      </c>
      <c r="AL11" s="61">
        <f>(AL10+0.5*AL124)*'Economic Projections'!$E9/'Economic Projections'!$E8</f>
        <v>1333815.2352800667</v>
      </c>
      <c r="AM11" s="61">
        <f>(AM10+0.5*AM124)*'Economic Projections'!$E9/'Economic Projections'!$E8</f>
        <v>326297.320582574</v>
      </c>
    </row>
    <row r="12" spans="2:39">
      <c r="E12">
        <v>2027</v>
      </c>
      <c r="F12" s="61">
        <f>(F11+0.5*F125)*('Economic Projections'!$B10/'Economic Projections'!$B9)</f>
        <v>6528541.823166389</v>
      </c>
      <c r="G12" s="61">
        <f>(G11+0.5*G125)*('Economic Projections'!$B10/'Economic Projections'!$B9)</f>
        <v>4322660.7564414255</v>
      </c>
      <c r="H12" s="61">
        <f>(H11+0.5*H125)*('Economic Projections'!$B10/'Economic Projections'!$B9)</f>
        <v>5295953.1367806215</v>
      </c>
      <c r="I12" s="61">
        <f>(I11+0.5*I125)*('Economic Projections'!$B10/'Economic Projections'!$B9)</f>
        <v>1081932.97661969</v>
      </c>
      <c r="J12" s="61">
        <f>(J11+0.5*J125)*('Economic Projections'!$B10/'Economic Projections'!$B9)</f>
        <v>1342115.94666727</v>
      </c>
      <c r="K12" s="61">
        <f>(K11+0.5*K125)*('Economic Projections'!$B10/'Economic Projections'!$B9)</f>
        <v>328769.61256735382</v>
      </c>
      <c r="N12">
        <v>2027</v>
      </c>
      <c r="O12" s="61">
        <f>(O11+0.5*O125)*'Economic Projections'!$C10/'Economic Projections'!$C9</f>
        <v>6625205.072331151</v>
      </c>
      <c r="P12" s="61">
        <f>(P11+0.5*P125)*'Economic Projections'!$C10/'Economic Projections'!$C9</f>
        <v>4386663.170008258</v>
      </c>
      <c r="Q12" s="61">
        <f>(Q11+0.5*Q125)*'Economic Projections'!$C10/'Economic Projections'!$C9</f>
        <v>5374194.1359103769</v>
      </c>
      <c r="R12" s="61">
        <f>(R11+0.5*R125)*'Economic Projections'!$C10/'Economic Projections'!$C9</f>
        <v>1098213.667793398</v>
      </c>
      <c r="S12" s="61">
        <f>(S11+0.5*S125)*'Economic Projections'!$C10/'Economic Projections'!$C9</f>
        <v>1361796.5854699761</v>
      </c>
      <c r="T12" s="61">
        <f>(T11+0.5*T125)*'Economic Projections'!$C10/'Economic Projections'!$C9</f>
        <v>333739.44207421865</v>
      </c>
      <c r="W12">
        <v>2027</v>
      </c>
      <c r="X12" s="61">
        <f>(X11+0.5*X125)*'Economic Projections'!$D10/'Economic Projections'!$D9</f>
        <v>6711766.2536346419</v>
      </c>
      <c r="Y12" s="61">
        <f>(Y11+0.5*Y125)*'Economic Projections'!$D10/'Economic Projections'!$D9</f>
        <v>4443976.8292581765</v>
      </c>
      <c r="Z12" s="61">
        <f>(Z11+0.5*Z125)*'Economic Projections'!$D10/'Economic Projections'!$D9</f>
        <v>5444242.765843221</v>
      </c>
      <c r="AA12" s="61">
        <f>(AA11+0.5*AA125)*'Economic Projections'!$D10/'Economic Projections'!$D9</f>
        <v>1112823.6679932282</v>
      </c>
      <c r="AB12" s="61">
        <f>(AB11+0.5*AB125)*'Economic Projections'!$D10/'Economic Projections'!$D9</f>
        <v>1379390.4993781284</v>
      </c>
      <c r="AC12" s="61">
        <f>(AC11+0.5*AC125)*'Economic Projections'!$D10/'Economic Projections'!$D9</f>
        <v>338204.63116532419</v>
      </c>
      <c r="AG12">
        <v>2027</v>
      </c>
      <c r="AH12" s="61">
        <f>(AH11+0.5*AH125)*'Economic Projections'!$E10/'Economic Projections'!$E9</f>
        <v>6541234.978112055</v>
      </c>
      <c r="AI12" s="61">
        <f>(AI11+0.5*AI125)*'Economic Projections'!$E10/'Economic Projections'!$E9</f>
        <v>4331065.1144504929</v>
      </c>
      <c r="AJ12" s="61">
        <f>(AJ11+0.5*AJ125)*'Economic Projections'!$E10/'Economic Projections'!$E9</f>
        <v>5306228.1880318942</v>
      </c>
      <c r="AK12" s="61">
        <f>(AK11+0.5*AK125)*'Economic Projections'!$E10/'Economic Projections'!$E9</f>
        <v>1084068.9783789953</v>
      </c>
      <c r="AL12" s="61">
        <f>(AL11+0.5*AL125)*'Economic Projections'!$E10/'Economic Projections'!$E9</f>
        <v>1344702.0346172969</v>
      </c>
      <c r="AM12" s="61">
        <f>(AM11+0.5*AM125)*'Economic Projections'!$E10/'Economic Projections'!$E9</f>
        <v>329421.34217084775</v>
      </c>
    </row>
    <row r="13" spans="2:39">
      <c r="E13">
        <v>2028</v>
      </c>
      <c r="F13" s="61">
        <f>(F12+0.5*F126)*('Economic Projections'!$B11/'Economic Projections'!$B10)</f>
        <v>6559918.5757765919</v>
      </c>
      <c r="G13" s="61">
        <f>(G12+0.5*G126)*('Economic Projections'!$B11/'Economic Projections'!$B10)</f>
        <v>4337999.7585445633</v>
      </c>
      <c r="H13" s="61">
        <f>(H12+0.5*H126)*('Economic Projections'!$B11/'Economic Projections'!$B10)</f>
        <v>5341169.775712138</v>
      </c>
      <c r="I13" s="61">
        <f>(I12+0.5*I126)*('Economic Projections'!$B11/'Economic Projections'!$B10)</f>
        <v>1091109.9193346987</v>
      </c>
      <c r="J13" s="61">
        <f>(J12+0.5*J126)*('Economic Projections'!$B11/'Economic Projections'!$B10)</f>
        <v>1352568.8195086136</v>
      </c>
      <c r="K13" s="61">
        <f>(K12+0.5*K126)*('Economic Projections'!$B11/'Economic Projections'!$B10)</f>
        <v>331810.5822579657</v>
      </c>
      <c r="N13">
        <v>2028</v>
      </c>
      <c r="O13" s="61">
        <f>(O12+0.5*O126)*'Economic Projections'!$C11/'Economic Projections'!$C10</f>
        <v>6670252.7701803707</v>
      </c>
      <c r="P13" s="61">
        <f>(P12+0.5*P126)*'Economic Projections'!$C11/'Economic Projections'!$C10</f>
        <v>4410962.5100107528</v>
      </c>
      <c r="Q13" s="61">
        <f>(Q12+0.5*Q126)*'Economic Projections'!$C11/'Economic Projections'!$C10</f>
        <v>5430882.6233051866</v>
      </c>
      <c r="R13" s="61">
        <f>(R12+0.5*R126)*'Economic Projections'!$C11/'Economic Projections'!$C10</f>
        <v>1109727.6892425471</v>
      </c>
      <c r="S13" s="61">
        <f>(S12+0.5*S126)*'Economic Projections'!$C11/'Economic Projections'!$C10</f>
        <v>1375041.2089755733</v>
      </c>
      <c r="T13" s="61">
        <f>(T12+0.5*T126)*'Economic Projections'!$C11/'Economic Projections'!$C10</f>
        <v>337525.28238543216</v>
      </c>
      <c r="W13">
        <v>2028</v>
      </c>
      <c r="X13" s="61">
        <f>(X12+0.5*X126)*'Economic Projections'!$D11/'Economic Projections'!$D10</f>
        <v>6769056.1756967846</v>
      </c>
      <c r="Y13" s="61">
        <f>(Y12+0.5*Y126)*'Economic Projections'!$D11/'Economic Projections'!$D10</f>
        <v>4476300.081555659</v>
      </c>
      <c r="Z13" s="61">
        <f>(Z12+0.5*Z126)*'Economic Projections'!$D11/'Economic Projections'!$D10</f>
        <v>5511214.9790920634</v>
      </c>
      <c r="AA13" s="61">
        <f>(AA12+0.5*AA126)*'Economic Projections'!$D11/'Economic Projections'!$D10</f>
        <v>1126431.6680362823</v>
      </c>
      <c r="AB13" s="61">
        <f>(AB12+0.5*AB126)*'Economic Projections'!$D11/'Economic Projections'!$D10</f>
        <v>1395116.1385532175</v>
      </c>
      <c r="AC13" s="61">
        <f>(AC12+0.5*AC126)*'Economic Projections'!$D11/'Economic Projections'!$D10</f>
        <v>342664.55394910311</v>
      </c>
      <c r="AG13">
        <v>2028</v>
      </c>
      <c r="AH13" s="61">
        <f>(AH12+0.5*AH126)*'Economic Projections'!$E11/'Economic Projections'!$E10</f>
        <v>6574406.9054931458</v>
      </c>
      <c r="AI13" s="61">
        <f>(AI12+0.5*AI126)*'Economic Projections'!$E11/'Economic Projections'!$E10</f>
        <v>4347580.7266749013</v>
      </c>
      <c r="AJ13" s="61">
        <f>(AJ12+0.5*AJ126)*'Economic Projections'!$E11/'Economic Projections'!$E10</f>
        <v>5352950.6326154973</v>
      </c>
      <c r="AK13" s="61">
        <f>(AK12+0.5*AK126)*'Economic Projections'!$E11/'Economic Projections'!$E10</f>
        <v>1093552.7362386817</v>
      </c>
      <c r="AL13" s="61">
        <f>(AL12+0.5*AL126)*'Economic Projections'!$E11/'Economic Projections'!$E10</f>
        <v>1355522.5738634195</v>
      </c>
      <c r="AM13" s="61">
        <f>(AM12+0.5*AM126)*'Economic Projections'!$E11/'Economic Projections'!$E10</f>
        <v>332559.72312759428</v>
      </c>
    </row>
    <row r="14" spans="2:39">
      <c r="E14">
        <v>2029</v>
      </c>
      <c r="F14" s="61">
        <f>(F13+0.5*F127)*('Economic Projections'!$B12/'Economic Projections'!$B11)</f>
        <v>6591206.68565867</v>
      </c>
      <c r="G14" s="61">
        <f>(G13+0.5*G127)*('Economic Projections'!$B12/'Economic Projections'!$B11)</f>
        <v>4353235.0490074577</v>
      </c>
      <c r="H14" s="61">
        <f>(H13+0.5*H127)*('Economic Projections'!$B12/'Economic Projections'!$B11)</f>
        <v>5386812.270333779</v>
      </c>
      <c r="I14" s="61">
        <f>(I13+0.5*I127)*('Economic Projections'!$B12/'Economic Projections'!$B11)</f>
        <v>1100099.7452415819</v>
      </c>
      <c r="J14" s="61">
        <f>(J13+0.5*J127)*('Economic Projections'!$B12/'Economic Projections'!$B11)</f>
        <v>1362962.3193958511</v>
      </c>
      <c r="K14" s="61">
        <f>(K13+0.5*K127)*('Economic Projections'!$B12/'Economic Projections'!$B11)</f>
        <v>334864.5403890498</v>
      </c>
      <c r="N14">
        <v>2029</v>
      </c>
      <c r="O14" s="61">
        <f>(O13+0.5*O127)*'Economic Projections'!$C12/'Economic Projections'!$C11</f>
        <v>6715177.4969020411</v>
      </c>
      <c r="P14" s="61">
        <f>(P13+0.5*P127)*'Economic Projections'!$C12/'Economic Projections'!$C11</f>
        <v>4435112.9366684221</v>
      </c>
      <c r="Q14" s="61">
        <f>(Q13+0.5*Q127)*'Economic Projections'!$C12/'Economic Projections'!$C11</f>
        <v>5488095.1515051574</v>
      </c>
      <c r="R14" s="61">
        <f>(R13+0.5*R127)*'Economic Projections'!$C12/'Economic Projections'!$C11</f>
        <v>1121037.9802518671</v>
      </c>
      <c r="S14" s="61">
        <f>(S13+0.5*S127)*'Economic Projections'!$C12/'Economic Projections'!$C11</f>
        <v>1388216.4318051215</v>
      </c>
      <c r="T14" s="61">
        <f>(T13+0.5*T127)*'Economic Projections'!$C12/'Economic Projections'!$C11</f>
        <v>341332.09747973375</v>
      </c>
      <c r="W14">
        <v>2029</v>
      </c>
      <c r="X14" s="61">
        <f>(X13+0.5*X127)*'Economic Projections'!$D12/'Economic Projections'!$D11</f>
        <v>6826192.3858189993</v>
      </c>
      <c r="Y14" s="61">
        <f>(Y13+0.5*Y127)*'Economic Projections'!$D12/'Economic Projections'!$D11</f>
        <v>4508433.942736472</v>
      </c>
      <c r="Z14" s="61">
        <f>(Z13+0.5*Z127)*'Economic Projections'!$D12/'Economic Projections'!$D11</f>
        <v>5578809.7690012464</v>
      </c>
      <c r="AA14" s="61">
        <f>(AA13+0.5*AA127)*'Economic Projections'!$D12/'Economic Projections'!$D11</f>
        <v>1139815.3440143247</v>
      </c>
      <c r="AB14" s="61">
        <f>(AB13+0.5*AB127)*'Economic Projections'!$D12/'Economic Projections'!$D11</f>
        <v>1410756.8461095293</v>
      </c>
      <c r="AC14" s="61">
        <f>(AC13+0.5*AC127)*'Economic Projections'!$D12/'Economic Projections'!$D11</f>
        <v>347154.25881292654</v>
      </c>
      <c r="AG14">
        <v>2029</v>
      </c>
      <c r="AH14" s="61">
        <f>(AH13+0.5*AH127)*'Economic Projections'!$E12/'Economic Projections'!$E11</f>
        <v>6607485.6823761305</v>
      </c>
      <c r="AI14" s="61">
        <f>(AI13+0.5*AI127)*'Economic Projections'!$E12/'Economic Projections'!$E11</f>
        <v>4363986.6916812221</v>
      </c>
      <c r="AJ14" s="61">
        <f>(AJ13+0.5*AJ127)*'Economic Projections'!$E12/'Economic Projections'!$E11</f>
        <v>5400111.2503059842</v>
      </c>
      <c r="AK14" s="61">
        <f>(AK13+0.5*AK127)*'Economic Projections'!$E12/'Economic Projections'!$E11</f>
        <v>1102847.5106293752</v>
      </c>
      <c r="AL14" s="61">
        <f>(AL13+0.5*AL127)*'Economic Projections'!$E12/'Economic Projections'!$E11</f>
        <v>1366282.7699418622</v>
      </c>
      <c r="AM14" s="61">
        <f>(AM13+0.5*AM127)*'Economic Projections'!$E12/'Economic Projections'!$E11</f>
        <v>335712.05533032247</v>
      </c>
    </row>
    <row r="15" spans="2:39">
      <c r="E15">
        <v>2030</v>
      </c>
      <c r="F15" s="61">
        <f>(F14+0.5*F128)*('Economic Projections'!$B13/'Economic Projections'!$B12)</f>
        <v>6622406.3253932698</v>
      </c>
      <c r="G15" s="61">
        <f>(G14+0.5*G128)*('Economic Projections'!$B13/'Economic Projections'!$B12)</f>
        <v>4368367.0505195474</v>
      </c>
      <c r="H15" s="61">
        <f>(H14+0.5*H128)*('Economic Projections'!$B13/'Economic Projections'!$B12)</f>
        <v>5432859.3687088974</v>
      </c>
      <c r="I15" s="61">
        <f>(I14+0.5*I128)*('Economic Projections'!$B13/'Economic Projections'!$B12)</f>
        <v>1108918.0917263031</v>
      </c>
      <c r="J15" s="61">
        <f>(J14+0.5*J128)*('Economic Projections'!$B13/'Economic Projections'!$B12)</f>
        <v>1373301.8016224266</v>
      </c>
      <c r="K15" s="61">
        <f>(K14+0.5*K128)*('Economic Projections'!$B13/'Economic Projections'!$B12)</f>
        <v>337931.15094776958</v>
      </c>
      <c r="N15">
        <v>2030</v>
      </c>
      <c r="O15" s="61">
        <f>(O14+0.5*O128)*'Economic Projections'!$C13/'Economic Projections'!$C12</f>
        <v>6759979.4895369578</v>
      </c>
      <c r="P15" s="61">
        <f>(P14+0.5*P128)*'Economic Projections'!$C13/'Economic Projections'!$C12</f>
        <v>4459115.0426771175</v>
      </c>
      <c r="Q15" s="61">
        <f>(Q14+0.5*Q128)*'Economic Projections'!$C13/'Economic Projections'!$C12</f>
        <v>5545813.9090571469</v>
      </c>
      <c r="R15" s="61">
        <f>(R14+0.5*R128)*'Economic Projections'!$C13/'Economic Projections'!$C12</f>
        <v>1132157.2768910192</v>
      </c>
      <c r="S15" s="61">
        <f>(S14+0.5*S128)*'Economic Projections'!$C13/'Economic Projections'!$C12</f>
        <v>1401327.0877538021</v>
      </c>
      <c r="T15" s="61">
        <f>(T14+0.5*T128)*'Economic Projections'!$C13/'Economic Projections'!$C12</f>
        <v>345159.29920879228</v>
      </c>
      <c r="W15">
        <v>2030</v>
      </c>
      <c r="X15" s="61">
        <f>(X14+0.5*X128)*'Economic Projections'!$D13/'Economic Projections'!$D12</f>
        <v>6883175.1787656369</v>
      </c>
      <c r="Y15" s="61">
        <f>(Y14+0.5*Y128)*'Economic Projections'!$D13/'Economic Projections'!$D12</f>
        <v>4540379.157735873</v>
      </c>
      <c r="Z15" s="61">
        <f>(Z14+0.5*Z128)*'Economic Projections'!$D13/'Economic Projections'!$D12</f>
        <v>5647014.7139816144</v>
      </c>
      <c r="AA15" s="61">
        <f>(AA14+0.5*AA128)*'Economic Projections'!$D13/'Economic Projections'!$D12</f>
        <v>1152983.2017881002</v>
      </c>
      <c r="AB15" s="61">
        <f>(AB14+0.5*AB128)*'Economic Projections'!$D13/'Economic Projections'!$D12</f>
        <v>1426316.269709795</v>
      </c>
      <c r="AC15" s="61">
        <f>(AC14+0.5*AC128)*'Economic Projections'!$D13/'Economic Projections'!$D12</f>
        <v>351672.97412287461</v>
      </c>
      <c r="AG15">
        <v>2030</v>
      </c>
      <c r="AH15" s="61">
        <f>(AH14+0.5*AH128)*'Economic Projections'!$E13/'Economic Projections'!$E12</f>
        <v>6640471.4898061184</v>
      </c>
      <c r="AI15" s="61">
        <f>(AI14+0.5*AI128)*'Economic Projections'!$E13/'Economic Projections'!$E12</f>
        <v>4380283.4544829698</v>
      </c>
      <c r="AJ15" s="61">
        <f>(AJ14+0.5*AJ128)*'Economic Projections'!$E13/'Economic Projections'!$E12</f>
        <v>5447689.1316723572</v>
      </c>
      <c r="AK15" s="61">
        <f>(AK14+0.5*AK128)*'Economic Projections'!$E13/'Economic Projections'!$E12</f>
        <v>1111968.6370762566</v>
      </c>
      <c r="AL15" s="61">
        <f>(AL14+0.5*AL128)*'Economic Projections'!$E13/'Economic Projections'!$E12</f>
        <v>1376987.9402186838</v>
      </c>
      <c r="AM15" s="61">
        <f>(AM14+0.5*AM128)*'Economic Projections'!$E13/'Economic Projections'!$E12</f>
        <v>338877.9692601696</v>
      </c>
    </row>
    <row r="16" spans="2:39">
      <c r="B16" s="180"/>
      <c r="E16">
        <v>2040</v>
      </c>
      <c r="F16" s="61">
        <f>(F15+5*F129)*('Economic Projections'!$B14/'Economic Projections'!$B13)</f>
        <v>6807377.6931357216</v>
      </c>
      <c r="G16" s="61">
        <f>(G15+5*G129)*('Economic Projections'!$B14/'Economic Projections'!$B13)</f>
        <v>4433540.2686119759</v>
      </c>
      <c r="H16" s="61">
        <f>(H15+5*H129)*('Economic Projections'!$B14/'Economic Projections'!$B13)</f>
        <v>5800973.789866806</v>
      </c>
      <c r="I16" s="61">
        <f>(I15+5*I129)*('Economic Projections'!$B14/'Economic Projections'!$B13)</f>
        <v>1175605.0708126798</v>
      </c>
      <c r="J16" s="61">
        <f>(J15+5*J129)*('Economic Projections'!$B14/'Economic Projections'!$B13)</f>
        <v>1451381.1999381683</v>
      </c>
      <c r="K16" s="61">
        <f>(K15+5*K129)*('Economic Projections'!$B14/'Economic Projections'!$B13)</f>
        <v>362802.62143412902</v>
      </c>
      <c r="N16">
        <v>2040</v>
      </c>
      <c r="O16" s="61">
        <f>(O15+5*O129)*('Economic Projections'!$C14/'Economic Projections'!$C13)</f>
        <v>7103809.5601231214</v>
      </c>
      <c r="P16" s="61">
        <f>(P15+5*P129)*('Economic Projections'!$C14/'Economic Projections'!$C13)</f>
        <v>4626601.7789955884</v>
      </c>
      <c r="Q16" s="61">
        <f>(Q15+5*Q129)*('Economic Projections'!$C14/'Economic Projections'!$C13)</f>
        <v>6055463.2550545894</v>
      </c>
      <c r="R16" s="61">
        <f>(R15+5*R129)*('Economic Projections'!$C14/'Economic Projections'!$C13)</f>
        <v>1226246.8977387561</v>
      </c>
      <c r="S16" s="61">
        <f>(S15+5*S129)*('Economic Projections'!$C14/'Economic Projections'!$C13)</f>
        <v>1512605.3117318219</v>
      </c>
      <c r="T16" s="61">
        <f>(T15+5*T129)*('Economic Projections'!$C14/'Economic Projections'!$C13)</f>
        <v>379246.92565966846</v>
      </c>
      <c r="W16">
        <v>2040</v>
      </c>
      <c r="X16" s="61">
        <f>(X15+5*X129)*('Economic Projections'!$D14/'Economic Projections'!$D13)</f>
        <v>7396177.9821889158</v>
      </c>
      <c r="Y16" s="61">
        <f>(Y15+5*Y129)*('Economic Projections'!$D14/'Economic Projections'!$D13)</f>
        <v>4817016.830272425</v>
      </c>
      <c r="Z16" s="61">
        <f>(Z15+5*Z129)*('Economic Projections'!$D14/'Economic Projections'!$D13)</f>
        <v>6306945.5424010037</v>
      </c>
      <c r="AA16" s="61">
        <f>(AA15+5*AA129)*('Economic Projections'!$D14/'Economic Projections'!$D13)</f>
        <v>1276008.7658002232</v>
      </c>
      <c r="AB16" s="61">
        <f>(AB15+5*AB129)*('Economic Projections'!$D14/'Economic Projections'!$D13)</f>
        <v>1572563.05359984</v>
      </c>
      <c r="AC16" s="61">
        <f>(AC15+5*AC129)*('Economic Projections'!$D14/'Economic Projections'!$D13)</f>
        <v>395597.37378953933</v>
      </c>
      <c r="AG16">
        <v>2040</v>
      </c>
      <c r="AH16" s="61">
        <f>(AH15+5*AH129)*('Economic Projections'!$E14/'Economic Projections'!$E13)</f>
        <v>6842572.7960176086</v>
      </c>
      <c r="AI16" s="61">
        <f>(AI15+5*AI129)*('Economic Projections'!$E14/'Economic Projections'!$E13)</f>
        <v>4456462.2971696304</v>
      </c>
      <c r="AJ16" s="61">
        <f>(AJ15+5*AJ129)*('Economic Projections'!$E14/'Economic Projections'!$E13)</f>
        <v>5831178.6637859372</v>
      </c>
      <c r="AK16" s="61">
        <f>(AK15+5*AK129)*('Economic Projections'!$E14/'Economic Projections'!$E13)</f>
        <v>1181622.8155634506</v>
      </c>
      <c r="AL16" s="61">
        <f>(AL15+5*AL129)*('Economic Projections'!$E14/'Economic Projections'!$E13)</f>
        <v>1458657.7118567992</v>
      </c>
      <c r="AM16" s="61">
        <f>(AM15+5*AM129)*('Economic Projections'!$E14/'Economic Projections'!$E13)</f>
        <v>364752.97388471867</v>
      </c>
    </row>
    <row r="17" spans="5:39">
      <c r="E17">
        <v>2050</v>
      </c>
      <c r="F17" s="61">
        <f>(F16+5*F130)*('Economic Projections'!$B15/'Economic Projections'!$B14)</f>
        <v>6920969.2160247546</v>
      </c>
      <c r="G17" s="61">
        <f>(G16+5*G130)*('Economic Projections'!$B15/'Economic Projections'!$B14)</f>
        <v>4507520.6783385156</v>
      </c>
      <c r="H17" s="61">
        <f>(H16+5*H130)*('Economic Projections'!$B15/'Economic Projections'!$B14)</f>
        <v>5897771.9222364537</v>
      </c>
      <c r="I17" s="61">
        <f>(I16+5*I130)*('Economic Projections'!$B15/'Economic Projections'!$B14)</f>
        <v>1195221.8419585407</v>
      </c>
      <c r="J17" s="61">
        <f>(J16+5*J130)*('Economic Projections'!$B15/'Economic Projections'!$B14)</f>
        <v>1475599.7181731313</v>
      </c>
      <c r="K17" s="61">
        <f>(K16+5*K130)*('Economic Projections'!$B15/'Economic Projections'!$B14)</f>
        <v>368856.5388358903</v>
      </c>
      <c r="N17">
        <v>2050</v>
      </c>
      <c r="O17" s="61">
        <f>(O16+5*O130)*('Economic Projections'!$C15/'Economic Projections'!$C14)</f>
        <v>7410913.9552137684</v>
      </c>
      <c r="P17" s="61">
        <f>(P16+5*P130)*('Economic Projections'!$C15/'Economic Projections'!$C14)</f>
        <v>4826614.1425926676</v>
      </c>
      <c r="Q17" s="61">
        <f>(Q16+5*Q130)*('Economic Projections'!$C15/'Economic Projections'!$C14)</f>
        <v>6317246.6494710566</v>
      </c>
      <c r="R17" s="61">
        <f>(R16+5*R130)*('Economic Projections'!$C15/'Economic Projections'!$C14)</f>
        <v>1279258.7090175648</v>
      </c>
      <c r="S17" s="61">
        <f>(S16+5*S130)*('Economic Projections'!$C15/'Economic Projections'!$C14)</f>
        <v>1577996.6676428677</v>
      </c>
      <c r="T17" s="61">
        <f>(T16+5*T130)*('Economic Projections'!$C15/'Economic Projections'!$C14)</f>
        <v>395642.12836167915</v>
      </c>
      <c r="W17">
        <v>2050</v>
      </c>
      <c r="X17" s="61">
        <f>(X16+5*X130)*('Economic Projections'!$D15/'Economic Projections'!$D14)</f>
        <v>7955284.3091362426</v>
      </c>
      <c r="Y17" s="61">
        <f>(Y16+5*Y130)*('Economic Projections'!$D15/'Economic Projections'!$D14)</f>
        <v>5181154.1716537103</v>
      </c>
      <c r="Z17" s="61">
        <f>(Z16+5*Z130)*('Economic Projections'!$D15/'Economic Projections'!$D14)</f>
        <v>6783712.4840511885</v>
      </c>
      <c r="AA17" s="61">
        <f>(AA16+5*AA130)*('Economic Projections'!$D15/'Economic Projections'!$D14)</f>
        <v>1372467.3118110395</v>
      </c>
      <c r="AB17" s="61">
        <f>(AB16+5*AB130)*('Economic Projections'!$D15/'Economic Projections'!$D14)</f>
        <v>1691439.3103514479</v>
      </c>
      <c r="AC17" s="61">
        <f>(AC16+5*AC130)*('Economic Projections'!$D15/'Economic Projections'!$D14)</f>
        <v>425502.1428665024</v>
      </c>
      <c r="AG17">
        <v>2050</v>
      </c>
      <c r="AH17" s="61">
        <f>(AH16+5*AH130)*('Economic Projections'!$E15/'Economic Projections'!$E14)</f>
        <v>6989199.3559322711</v>
      </c>
      <c r="AI17" s="61">
        <f>(AI16+5*AI130)*('Economic Projections'!$E15/'Economic Projections'!$E14)</f>
        <v>4551957.9178232653</v>
      </c>
      <c r="AJ17" s="61">
        <f>(AJ16+5*AJ130)*('Economic Projections'!$E15/'Economic Projections'!$E14)</f>
        <v>5956132.4922956359</v>
      </c>
      <c r="AK17" s="61">
        <f>(AK16+5*AK130)*('Economic Projections'!$E15/'Economic Projections'!$E14)</f>
        <v>1206943.3044683815</v>
      </c>
      <c r="AL17" s="61">
        <f>(AL16+5*AL130)*('Economic Projections'!$E15/'Economic Projections'!$E14)</f>
        <v>1489914.662825159</v>
      </c>
      <c r="AM17" s="61">
        <f>(AM16+5*AM130)*('Economic Projections'!$E15/'Economic Projections'!$E14)</f>
        <v>372569.10903939116</v>
      </c>
    </row>
    <row r="18" spans="5:39">
      <c r="E18">
        <v>2060</v>
      </c>
      <c r="F18" s="61">
        <f>(F17+5*F131)*('Economic Projections'!$B16/'Economic Projections'!$B15)</f>
        <v>6888514.4951993171</v>
      </c>
      <c r="G18" s="61">
        <f>(G17+5*G131)*('Economic Projections'!$B16/'Economic Projections'!$B15)</f>
        <v>4486383.4184166472</v>
      </c>
      <c r="H18" s="61">
        <f>(H17+5*H131)*('Economic Projections'!$B16/'Economic Projections'!$B15)</f>
        <v>5870115.3129879842</v>
      </c>
      <c r="I18" s="61">
        <f>(I17+5*I131)*('Economic Projections'!$B16/'Economic Projections'!$B15)</f>
        <v>1189617.0502025806</v>
      </c>
      <c r="J18" s="61">
        <f>(J17+5*J131)*('Economic Projections'!$B16/'Economic Projections'!$B15)</f>
        <v>1468680.1415345706</v>
      </c>
      <c r="K18" s="61">
        <f>(K17+5*K131)*('Economic Projections'!$B16/'Economic Projections'!$B15)</f>
        <v>367126.84814967285</v>
      </c>
      <c r="N18">
        <v>2060</v>
      </c>
      <c r="O18" s="61">
        <f>(O17+5*O131)*('Economic Projections'!$C16/'Economic Projections'!$C15)</f>
        <v>7580629.5419743899</v>
      </c>
      <c r="P18" s="61">
        <f>(P17+5*P131)*('Economic Projections'!$C16/'Economic Projections'!$C15)</f>
        <v>4937147.290896317</v>
      </c>
      <c r="Q18" s="61">
        <f>(Q17+5*Q131)*('Economic Projections'!$C16/'Economic Projections'!$C15)</f>
        <v>6461916.4200696312</v>
      </c>
      <c r="R18" s="61">
        <f>(R17+5*R131)*('Economic Projections'!$C16/'Economic Projections'!$C15)</f>
        <v>1308554.7099874329</v>
      </c>
      <c r="S18" s="61">
        <f>(S17+5*S131)*('Economic Projections'!$C16/'Economic Projections'!$C15)</f>
        <v>1614133.9959094985</v>
      </c>
      <c r="T18" s="61">
        <f>(T17+5*T131)*('Economic Projections'!$C16/'Economic Projections'!$C15)</f>
        <v>404702.63511805353</v>
      </c>
      <c r="W18">
        <v>2060</v>
      </c>
      <c r="X18" s="61">
        <f>(X17+5*X131)*('Economic Projections'!$D16/'Economic Projections'!$D15)</f>
        <v>8442505.5369046275</v>
      </c>
      <c r="Y18" s="61">
        <f>(Y17+5*Y131)*('Economic Projections'!$D16/'Economic Projections'!$D15)</f>
        <v>5498473.8548574019</v>
      </c>
      <c r="Z18" s="61">
        <f>(Z17+5*Z131)*('Economic Projections'!$D16/'Economic Projections'!$D15)</f>
        <v>7199180.8189177783</v>
      </c>
      <c r="AA18" s="61">
        <f>(AA17+5*AA131)*('Economic Projections'!$D16/'Economic Projections'!$D15)</f>
        <v>1456524.0447633222</v>
      </c>
      <c r="AB18" s="61">
        <f>(AB17+5*AB131)*('Economic Projections'!$D16/'Economic Projections'!$D15)</f>
        <v>1795031.4769492778</v>
      </c>
      <c r="AC18" s="61">
        <f>(AC17+5*AC131)*('Economic Projections'!$D16/'Economic Projections'!$D15)</f>
        <v>451562.01306214166</v>
      </c>
      <c r="AG18">
        <v>2060</v>
      </c>
      <c r="AH18" s="61">
        <f>(AH17+5*AH131)*('Economic Projections'!$E16/'Economic Projections'!$E15)</f>
        <v>6997345.2759275306</v>
      </c>
      <c r="AI18" s="61">
        <f>(AI17+5*AI131)*('Economic Projections'!$E16/'Economic Projections'!$E15)</f>
        <v>4557263.2300818004</v>
      </c>
      <c r="AJ18" s="61">
        <f>(AJ17+5*AJ131)*('Economic Projections'!$E16/'Economic Projections'!$E15)</f>
        <v>5963074.3716572858</v>
      </c>
      <c r="AK18" s="61">
        <f>(AK17+5*AK131)*('Economic Projections'!$E16/'Economic Projections'!$E15)</f>
        <v>1208349.9982964331</v>
      </c>
      <c r="AL18" s="61">
        <f>(AL17+5*AL131)*('Economic Projections'!$E16/'Economic Projections'!$E15)</f>
        <v>1491651.160101179</v>
      </c>
      <c r="AM18" s="61">
        <f>(AM17+5*AM131)*('Economic Projections'!$E16/'Economic Projections'!$E15)</f>
        <v>373003.33877020632</v>
      </c>
    </row>
    <row r="19" spans="5:39">
      <c r="E19">
        <v>2070</v>
      </c>
      <c r="F19" s="61">
        <f>(F18+5*F132)*('Economic Projections'!$B17/'Economic Projections'!$B16)</f>
        <v>6734354.5712784845</v>
      </c>
      <c r="G19" s="61">
        <f>(G18+5*G132)*('Economic Projections'!$B17/'Economic Projections'!$B16)</f>
        <v>4385981.4337877706</v>
      </c>
      <c r="H19" s="61">
        <f>(H18+5*H132)*('Economic Projections'!$B17/'Economic Projections'!$B16)</f>
        <v>5738746.4190577473</v>
      </c>
      <c r="I19" s="61">
        <f>(I18+5*I132)*('Economic Projections'!$B17/'Economic Projections'!$B16)</f>
        <v>1162994.2893617691</v>
      </c>
      <c r="J19" s="61">
        <f>(J18+5*J132)*('Economic Projections'!$B17/'Economic Projections'!$B16)</f>
        <v>1435812.1525014059</v>
      </c>
      <c r="K19" s="61">
        <f>(K18+5*K132)*('Economic Projections'!$B17/'Economic Projections'!$B16)</f>
        <v>358910.81739013956</v>
      </c>
      <c r="N19">
        <v>2070</v>
      </c>
      <c r="O19" s="61">
        <f>(O18+5*O132)*('Economic Projections'!$C17/'Economic Projections'!$C16)</f>
        <v>7645283.0988355791</v>
      </c>
      <c r="P19" s="61">
        <f>(P18+5*P132)*('Economic Projections'!$C17/'Economic Projections'!$C16)</f>
        <v>4979255.1569167543</v>
      </c>
      <c r="Q19" s="61">
        <f>(Q18+5*Q132)*('Economic Projections'!$C17/'Economic Projections'!$C16)</f>
        <v>6517028.7136309929</v>
      </c>
      <c r="R19" s="61">
        <f>(R18+5*R132)*('Economic Projections'!$C17/'Economic Projections'!$C16)</f>
        <v>1319715.0913092874</v>
      </c>
      <c r="S19" s="61">
        <f>(S18+5*S132)*('Economic Projections'!$C17/'Economic Projections'!$C16)</f>
        <v>1627900.5971539293</v>
      </c>
      <c r="T19" s="61">
        <f>(T18+5*T132)*('Economic Projections'!$C17/'Economic Projections'!$C16)</f>
        <v>408154.25673952949</v>
      </c>
      <c r="W19">
        <v>2070</v>
      </c>
      <c r="X19" s="61">
        <f>(X18+5*X132)*('Economic Projections'!$D17/'Economic Projections'!$D16)</f>
        <v>8881803.3652203828</v>
      </c>
      <c r="Y19" s="61">
        <f>(Y18+5*Y132)*('Economic Projections'!$D17/'Economic Projections'!$D16)</f>
        <v>5784581.7659426965</v>
      </c>
      <c r="Z19" s="61">
        <f>(Z18+5*Z132)*('Economic Projections'!$D17/'Economic Projections'!$D16)</f>
        <v>7573783.4159286357</v>
      </c>
      <c r="AA19" s="61">
        <f>(AA18+5*AA132)*('Economic Projections'!$D17/'Economic Projections'!$D16)</f>
        <v>1532312.9023432489</v>
      </c>
      <c r="AB19" s="61">
        <f>(AB18+5*AB132)*('Economic Projections'!$D17/'Economic Projections'!$D16)</f>
        <v>1888434.2501112551</v>
      </c>
      <c r="AC19" s="61">
        <f>(AC18+5*AC132)*('Economic Projections'!$D17/'Economic Projections'!$D16)</f>
        <v>475058.61733689829</v>
      </c>
      <c r="AG19">
        <v>2070</v>
      </c>
      <c r="AH19" s="61">
        <f>(AH18+5*AH132)*('Economic Projections'!$E17/'Economic Projections'!$E16)</f>
        <v>6891448.3159891637</v>
      </c>
      <c r="AI19" s="61">
        <f>(AI18+5*AI132)*('Economic Projections'!$E17/'Economic Projections'!$E16)</f>
        <v>4488294.1707208427</v>
      </c>
      <c r="AJ19" s="61">
        <f>(AJ18+5*AJ132)*('Economic Projections'!$E17/'Economic Projections'!$E16)</f>
        <v>5872829.939955838</v>
      </c>
      <c r="AK19" s="61">
        <f>(AK18+5*AK132)*('Economic Projections'!$E17/'Economic Projections'!$E16)</f>
        <v>1190062.9785317609</v>
      </c>
      <c r="AL19" s="61">
        <f>(AL18+5*AL132)*('Economic Projections'!$E17/'Economic Projections'!$E16)</f>
        <v>1469076.6955129192</v>
      </c>
      <c r="AM19" s="61">
        <f>(AM18+5*AM132)*('Economic Projections'!$E17/'Economic Projections'!$E16)</f>
        <v>367358.35226960958</v>
      </c>
    </row>
    <row r="20" spans="5:39">
      <c r="E20">
        <v>2080</v>
      </c>
      <c r="F20" s="61">
        <f>(F19+5*F133)*('Economic Projections'!$B18/'Economic Projections'!$B17)</f>
        <v>6466603.1244686162</v>
      </c>
      <c r="G20" s="61">
        <f>(G19+5*G133)*('Economic Projections'!$B18/'Economic Projections'!$B17)</f>
        <v>4211599.0394323524</v>
      </c>
      <c r="H20" s="61">
        <f>(H19+5*H133)*('Economic Projections'!$B18/'Economic Projections'!$B17)</f>
        <v>5510579.39275786</v>
      </c>
      <c r="I20" s="61">
        <f>(I19+5*I133)*('Economic Projections'!$B18/'Economic Projections'!$B17)</f>
        <v>1116754.7573750962</v>
      </c>
      <c r="J20" s="61">
        <f>(J19+5*J133)*('Economic Projections'!$B18/'Economic Projections'!$B17)</f>
        <v>1378725.6452332775</v>
      </c>
      <c r="K20" s="61">
        <f>(K19+5*K133)*('Economic Projections'!$B18/'Economic Projections'!$B17)</f>
        <v>344640.86922884482</v>
      </c>
      <c r="N20">
        <v>2080</v>
      </c>
      <c r="O20" s="61">
        <f>(O19+5*O133)*('Economic Projections'!$C18/'Economic Projections'!$C17)</f>
        <v>7604874.6257973369</v>
      </c>
      <c r="P20" s="61">
        <f>(P19+5*P133)*('Economic Projections'!$C18/'Economic Projections'!$C17)</f>
        <v>4952937.7406539815</v>
      </c>
      <c r="Q20" s="61">
        <f>(Q19+5*Q133)*('Economic Projections'!$C18/'Economic Projections'!$C17)</f>
        <v>6482583.5301551428</v>
      </c>
      <c r="R20" s="61">
        <f>(R19+5*R133)*('Economic Projections'!$C18/'Economic Projections'!$C17)</f>
        <v>1312739.8529831285</v>
      </c>
      <c r="S20" s="61">
        <f>(S19+5*S133)*('Economic Projections'!$C18/'Economic Projections'!$C17)</f>
        <v>1619296.4713761602</v>
      </c>
      <c r="T20" s="61">
        <f>(T19+5*T133)*('Economic Projections'!$C18/'Economic Projections'!$C17)</f>
        <v>405996.99322610704</v>
      </c>
      <c r="W20">
        <v>2080</v>
      </c>
      <c r="X20" s="61">
        <f>(X19+5*X133)*('Economic Projections'!$D18/'Economic Projections'!$D17)</f>
        <v>9289152.260567721</v>
      </c>
      <c r="Y20" s="61">
        <f>(Y19+5*Y133)*('Economic Projections'!$D18/'Economic Projections'!$D17)</f>
        <v>6049881.8289490612</v>
      </c>
      <c r="Z20" s="61">
        <f>(Z19+5*Z133)*('Economic Projections'!$D18/'Economic Projections'!$D17)</f>
        <v>7921142.1877023419</v>
      </c>
      <c r="AA20" s="61">
        <f>(AA19+5*AA133)*('Economic Projections'!$D18/'Economic Projections'!$D17)</f>
        <v>1602589.8430082721</v>
      </c>
      <c r="AB20" s="61">
        <f>(AB19+5*AB133)*('Economic Projections'!$D18/'Economic Projections'!$D17)</f>
        <v>1975044.094315998</v>
      </c>
      <c r="AC20" s="61">
        <f>(AC19+5*AC133)*('Economic Projections'!$D18/'Economic Projections'!$D17)</f>
        <v>496846.37766439992</v>
      </c>
      <c r="AG20">
        <v>2080</v>
      </c>
      <c r="AH20" s="61">
        <f>(AH19+5*AH133)*('Economic Projections'!$E18/'Economic Projections'!$E17)</f>
        <v>6679654.3961124271</v>
      </c>
      <c r="AI20" s="61">
        <f>(AI19+5*AI133)*('Economic Projections'!$E18/'Economic Projections'!$E17)</f>
        <v>4350356.0519989245</v>
      </c>
      <c r="AJ20" s="61">
        <f>(AJ19+5*AJ133)*('Economic Projections'!$E18/'Economic Projections'!$E17)</f>
        <v>5692341.0765529387</v>
      </c>
      <c r="AK20" s="61">
        <f>(AK19+5*AK133)*('Economic Projections'!$E18/'Economic Projections'!$E17)</f>
        <v>1153488.9390024159</v>
      </c>
      <c r="AL20" s="61">
        <f>(AL19+5*AL133)*('Economic Projections'!$E18/'Economic Projections'!$E17)</f>
        <v>1423927.7663363991</v>
      </c>
      <c r="AM20" s="61">
        <f>(AM19+5*AM133)*('Economic Projections'!$E18/'Economic Projections'!$E17)</f>
        <v>356068.37926841585</v>
      </c>
    </row>
    <row r="21" spans="5:39">
      <c r="E21">
        <v>2090</v>
      </c>
      <c r="F21" s="61">
        <f>(F20+5*F134)*('Economic Projections'!$B19/'Economic Projections'!$B18)</f>
        <v>6093373.8349760734</v>
      </c>
      <c r="G21" s="61">
        <f>(G20+5*G134)*('Economic Projections'!$B19/'Economic Projections'!$B18)</f>
        <v>3968520.5503308615</v>
      </c>
      <c r="H21" s="61">
        <f>(H20+5*H134)*('Economic Projections'!$B19/'Economic Projections'!$B18)</f>
        <v>5192528.3864004426</v>
      </c>
      <c r="I21" s="61">
        <f>(I20+5*I134)*('Economic Projections'!$B19/'Economic Projections'!$B18)</f>
        <v>1052299.6521815523</v>
      </c>
      <c r="J21" s="61">
        <f>(J20+5*J134)*('Economic Projections'!$B19/'Economic Projections'!$B18)</f>
        <v>1299150.5138898261</v>
      </c>
      <c r="K21" s="61">
        <f>(K20+5*K134)*('Economic Projections'!$B19/'Economic Projections'!$B18)</f>
        <v>324749.42633734312</v>
      </c>
      <c r="N21">
        <v>2090</v>
      </c>
      <c r="O21" s="61">
        <f>(O20+5*O134)*('Economic Projections'!$C19/'Economic Projections'!$C18)</f>
        <v>7475567.5120749604</v>
      </c>
      <c r="P21" s="61">
        <f>(P20+5*P134)*('Economic Projections'!$C19/'Economic Projections'!$C18)</f>
        <v>4868722.0086131068</v>
      </c>
      <c r="Q21" s="61">
        <f>(Q20+5*Q134)*('Economic Projections'!$C19/'Economic Projections'!$C18)</f>
        <v>6372358.9430324202</v>
      </c>
      <c r="R21" s="61">
        <f>(R20+5*R134)*('Economic Projections'!$C19/'Economic Projections'!$C18)</f>
        <v>1290419.0903394197</v>
      </c>
      <c r="S21" s="61">
        <f>(S20+5*S134)*('Economic Projections'!$C19/'Economic Projections'!$C18)</f>
        <v>1591763.2688872989</v>
      </c>
      <c r="T21" s="61">
        <f>(T20+5*T134)*('Economic Projections'!$C19/'Economic Projections'!$C18)</f>
        <v>399093.74998315523</v>
      </c>
      <c r="W21">
        <v>2090</v>
      </c>
      <c r="X21" s="61">
        <f>(X20+5*X134)*('Economic Projections'!$D19/'Economic Projections'!$D18)</f>
        <v>9688513.9226729553</v>
      </c>
      <c r="Y21" s="61">
        <f>(Y20+5*Y134)*('Economic Projections'!$D19/'Economic Projections'!$D18)</f>
        <v>6309979.9299356947</v>
      </c>
      <c r="Z21" s="61">
        <f>(Z20+5*Z134)*('Economic Projections'!$D19/'Economic Projections'!$D18)</f>
        <v>8261690.0031667603</v>
      </c>
      <c r="AA21" s="61">
        <f>(AA20+5*AA134)*('Economic Projections'!$D19/'Economic Projections'!$D18)</f>
        <v>1671488.8044445696</v>
      </c>
      <c r="AB21" s="61">
        <f>(AB20+5*AB134)*('Economic Projections'!$D19/'Economic Projections'!$D18)</f>
        <v>2059955.7062814324</v>
      </c>
      <c r="AC21" s="61">
        <f>(AC20+5*AC134)*('Economic Projections'!$D19/'Economic Projections'!$D18)</f>
        <v>518206.92700508784</v>
      </c>
      <c r="AG21">
        <v>2090</v>
      </c>
      <c r="AH21" s="61">
        <f>(AH20+5*AH134)*('Economic Projections'!$E19/'Economic Projections'!$E18)</f>
        <v>6378255.3562878426</v>
      </c>
      <c r="AI21" s="61">
        <f>(AI20+5*AI134)*('Economic Projections'!$E19/'Economic Projections'!$E18)</f>
        <v>4154059.4984331196</v>
      </c>
      <c r="AJ21" s="61">
        <f>(AJ20+5*AJ134)*('Economic Projections'!$E19/'Economic Projections'!$E18)</f>
        <v>5435491.5401718915</v>
      </c>
      <c r="AK21" s="61">
        <f>(AK20+5*AK134)*('Economic Projections'!$E19/'Economic Projections'!$E18)</f>
        <v>1101441.267364502</v>
      </c>
      <c r="AL21" s="61">
        <f>(AL20+5*AL134)*('Economic Projections'!$E19/'Economic Projections'!$E18)</f>
        <v>1359677.3671236592</v>
      </c>
      <c r="AM21" s="61">
        <f>(AM20+5*AM134)*('Economic Projections'!$E19/'Economic Projections'!$E18)</f>
        <v>340001.87922825565</v>
      </c>
    </row>
    <row r="22" spans="5:39">
      <c r="E22">
        <v>2100</v>
      </c>
      <c r="F22" s="61">
        <f>(F21+5*F135)*('Economic Projections'!$B20/'Economic Projections'!$B19)</f>
        <v>5647121.4236262944</v>
      </c>
      <c r="G22" s="61">
        <f>(G21+5*G135)*('Economic Projections'!$B20/'Economic Projections'!$B19)</f>
        <v>3677883.2264051661</v>
      </c>
      <c r="H22" s="61">
        <f>(H21+5*H135)*('Economic Projections'!$B20/'Economic Projections'!$B19)</f>
        <v>4812250.0092339655</v>
      </c>
      <c r="I22" s="61">
        <f>(I21+5*I135)*('Economic Projections'!$B20/'Economic Projections'!$B19)</f>
        <v>975233.7655370977</v>
      </c>
      <c r="J22" s="61">
        <f>(J21+5*J135)*('Economic Projections'!$B20/'Economic Projections'!$B19)</f>
        <v>1204006.3351096124</v>
      </c>
      <c r="K22" s="61">
        <f>(K21+5*K135)*('Economic Projections'!$B20/'Economic Projections'!$B19)</f>
        <v>300966.17940185196</v>
      </c>
      <c r="N22">
        <v>2100</v>
      </c>
      <c r="O22" s="61">
        <f>(O21+5*O135)*('Economic Projections'!$C20/'Economic Projections'!$C19)</f>
        <v>7297770.2307066908</v>
      </c>
      <c r="P22" s="61">
        <f>(P21+5*P135)*('Economic Projections'!$C20/'Economic Projections'!$C19)</f>
        <v>4752925.3770569023</v>
      </c>
      <c r="Q22" s="61">
        <f>(Q21+5*Q135)*('Economic Projections'!$C20/'Economic Projections'!$C19)</f>
        <v>6220800.1357386755</v>
      </c>
      <c r="R22" s="61">
        <f>(R21+5*R135)*('Economic Projections'!$C20/'Economic Projections'!$C19)</f>
        <v>1259728.0417043199</v>
      </c>
      <c r="S22" s="61">
        <f>(S21+5*S135)*('Economic Projections'!$C20/'Economic Projections'!$C19)</f>
        <v>1553905.1154651144</v>
      </c>
      <c r="T22" s="61">
        <f>(T21+5*T135)*('Economic Projections'!$C20/'Economic Projections'!$C19)</f>
        <v>389601.79052409634</v>
      </c>
      <c r="W22">
        <v>2100</v>
      </c>
      <c r="X22" s="61">
        <f>(X21+5*X135)*('Economic Projections'!$D20/'Economic Projections'!$D19)</f>
        <v>10079888.35153608</v>
      </c>
      <c r="Y22" s="61">
        <f>(Y21+5*Y135)*('Economic Projections'!$D20/'Economic Projections'!$D19)</f>
        <v>6564876.0689025922</v>
      </c>
      <c r="Z22" s="61">
        <f>(Z21+5*Z135)*('Economic Projections'!$D20/'Economic Projections'!$D19)</f>
        <v>8595426.8623218872</v>
      </c>
      <c r="AA22" s="61">
        <f>(AA21+5*AA135)*('Economic Projections'!$D20/'Economic Projections'!$D19)</f>
        <v>1739009.7866521403</v>
      </c>
      <c r="AB22" s="61">
        <f>(AB21+5*AB135)*('Economic Projections'!$D20/'Economic Projections'!$D19)</f>
        <v>2143169.0860075573</v>
      </c>
      <c r="AC22" s="61">
        <f>(AC21+5*AC135)*('Economic Projections'!$D20/'Economic Projections'!$D19)</f>
        <v>539140.26535896177</v>
      </c>
      <c r="AG22">
        <v>2100</v>
      </c>
      <c r="AH22" s="61">
        <f>(AH21+5*AH135)*('Economic Projections'!$E20/'Economic Projections'!$E19)</f>
        <v>6011688.956501185</v>
      </c>
      <c r="AI22" s="61">
        <f>(AI21+5*AI135)*('Economic Projections'!$E20/'Economic Projections'!$E19)</f>
        <v>3915320.4467990319</v>
      </c>
      <c r="AJ22" s="61">
        <f>(AJ21+5*AJ135)*('Economic Projections'!$E20/'Economic Projections'!$E19)</f>
        <v>5123106.9688976444</v>
      </c>
      <c r="AK22" s="61">
        <f>(AK21+5*AK135)*('Economic Projections'!$E20/'Economic Projections'!$E19)</f>
        <v>1038140.0451021742</v>
      </c>
      <c r="AL22" s="61">
        <f>(AL21+5*AL135)*('Economic Projections'!$E20/'Economic Projections'!$E19)</f>
        <v>1281534.9897027593</v>
      </c>
      <c r="AM22" s="61">
        <f>(AM21+5*AM135)*('Economic Projections'!$E20/'Economic Projections'!$E19)</f>
        <v>320461.54134157428</v>
      </c>
    </row>
    <row r="23" spans="5:39">
      <c r="F23" s="581" t="s">
        <v>282</v>
      </c>
      <c r="G23" s="581"/>
      <c r="H23" s="581"/>
      <c r="I23" s="581"/>
      <c r="J23" s="581"/>
      <c r="K23" s="581"/>
      <c r="O23" s="581" t="s">
        <v>282</v>
      </c>
      <c r="P23" s="581"/>
      <c r="Q23" s="581"/>
      <c r="R23" s="581"/>
      <c r="S23" s="581"/>
      <c r="T23" s="581"/>
      <c r="X23" s="581" t="s">
        <v>282</v>
      </c>
      <c r="Y23" s="581"/>
      <c r="Z23" s="581"/>
      <c r="AA23" s="581"/>
      <c r="AB23" s="581"/>
      <c r="AC23" s="581"/>
      <c r="AH23" s="581" t="s">
        <v>282</v>
      </c>
      <c r="AI23" s="581"/>
      <c r="AJ23" s="581"/>
      <c r="AK23" s="581"/>
      <c r="AL23" s="581"/>
      <c r="AM23" s="581"/>
    </row>
    <row r="24" spans="5:39">
      <c r="E24">
        <v>2020</v>
      </c>
      <c r="F24" s="61">
        <f>F5*('Demographic-Economic'!$C$12)</f>
        <v>4868546.9759999998</v>
      </c>
      <c r="G24" s="61">
        <f>G5*('Demographic-Economic'!$D$12)</f>
        <v>3483611.7959999996</v>
      </c>
      <c r="H24" s="61">
        <f>H5*('Demographic-Economic'!$E$12)</f>
        <v>3920104.74</v>
      </c>
      <c r="I24" s="61">
        <f>I5*('Demographic-Economic'!$F$12)</f>
        <v>789337.95600000001</v>
      </c>
      <c r="J24" s="61">
        <f>J5*('Demographic-Economic'!$G$12)</f>
        <v>962670.72</v>
      </c>
      <c r="K24" s="61">
        <f>K5*('Demographic-Economic'!$H$12)</f>
        <v>254620.068</v>
      </c>
      <c r="N24">
        <v>2020</v>
      </c>
      <c r="O24" s="61">
        <f>O5*('Demographic-Economic'!$C$12)</f>
        <v>4868546.9759999998</v>
      </c>
      <c r="P24" s="61">
        <f>P5*('Demographic-Economic'!$D$12)</f>
        <v>3483611.7959999996</v>
      </c>
      <c r="Q24" s="61">
        <f>Q5*('Demographic-Economic'!$E$12)</f>
        <v>3920104.74</v>
      </c>
      <c r="R24" s="61">
        <f>R5*('Demographic-Economic'!$F$12)</f>
        <v>789337.95600000001</v>
      </c>
      <c r="S24" s="61">
        <f>S5*('Demographic-Economic'!$G$12)</f>
        <v>962670.72</v>
      </c>
      <c r="T24" s="61">
        <f>T5*('Demographic-Economic'!$H$12)</f>
        <v>254620.068</v>
      </c>
      <c r="W24">
        <v>2020</v>
      </c>
      <c r="X24" s="61">
        <f>X5*('Demographic-Economic'!C$12)</f>
        <v>4868546.9759999998</v>
      </c>
      <c r="Y24" s="61">
        <f>Y5*('Demographic-Economic'!D$12)</f>
        <v>3483611.7959999996</v>
      </c>
      <c r="Z24" s="61">
        <f>Z5*('Demographic-Economic'!E$12)</f>
        <v>3920104.74</v>
      </c>
      <c r="AA24" s="61">
        <f>AA5*('Demographic-Economic'!F$12)</f>
        <v>789337.95600000001</v>
      </c>
      <c r="AB24" s="61">
        <f>AB5*('Demographic-Economic'!G$12)</f>
        <v>962670.72</v>
      </c>
      <c r="AC24" s="61">
        <f>AC5*('Demographic-Economic'!H$12)</f>
        <v>254620.068</v>
      </c>
      <c r="AG24">
        <v>2020</v>
      </c>
      <c r="AH24" s="61">
        <f>AH5*('Demographic-Economic'!C$12)</f>
        <v>4868546.9759999998</v>
      </c>
      <c r="AI24" s="61">
        <f>AI5*('Demographic-Economic'!D$12)</f>
        <v>3483611.7959999996</v>
      </c>
      <c r="AJ24" s="61">
        <f>AJ5*('Demographic-Economic'!E$12)</f>
        <v>3920104.74</v>
      </c>
      <c r="AK24" s="61">
        <f>AK5*('Demographic-Economic'!F$12)</f>
        <v>789337.95600000001</v>
      </c>
      <c r="AL24" s="61">
        <f>AL5*('Demographic-Economic'!G$12)</f>
        <v>962670.72</v>
      </c>
      <c r="AM24" s="61">
        <f>AM5*('Demographic-Economic'!H$12)</f>
        <v>254620.068</v>
      </c>
    </row>
    <row r="25" spans="5:39">
      <c r="E25">
        <v>2021</v>
      </c>
      <c r="F25" s="61">
        <f>F6*('Demographic-Economic'!$C$12)</f>
        <v>4893252.6038933834</v>
      </c>
      <c r="G25" s="61">
        <f>G6*('Demographic-Economic'!$D$12)</f>
        <v>3496907.4278282691</v>
      </c>
      <c r="H25" s="61">
        <f>H6*('Demographic-Economic'!$E$12)</f>
        <v>3952588.7409051782</v>
      </c>
      <c r="I25" s="61">
        <f>I6*('Demographic-Economic'!$F$12)</f>
        <v>798022.82297272875</v>
      </c>
      <c r="J25" s="61">
        <f>J6*('Demographic-Economic'!$G$12)</f>
        <v>971096.30644164386</v>
      </c>
      <c r="K25" s="61">
        <f>K6*('Demographic-Economic'!$H$12)</f>
        <v>257048.75880567165</v>
      </c>
      <c r="N25">
        <v>2021</v>
      </c>
      <c r="O25" s="61">
        <f>O6*('Demographic-Economic'!$C$12)</f>
        <v>4903993.4846582133</v>
      </c>
      <c r="P25" s="61">
        <f>P6*('Demographic-Economic'!$D$12)</f>
        <v>3504583.2763422136</v>
      </c>
      <c r="Q25" s="61">
        <f>Q6*('Demographic-Economic'!$E$12)</f>
        <v>3961264.8277159617</v>
      </c>
      <c r="R25" s="61">
        <f>R6*('Demographic-Economic'!$F$12)</f>
        <v>799774.51426746044</v>
      </c>
      <c r="S25" s="61">
        <f>S6*('Demographic-Economic'!$G$12)</f>
        <v>973227.90079881169</v>
      </c>
      <c r="T25" s="61">
        <f>T6*('Demographic-Economic'!$H$12)</f>
        <v>257612.99088044389</v>
      </c>
      <c r="W25">
        <v>2021</v>
      </c>
      <c r="X25" s="61">
        <f>X6*('Demographic-Economic'!C$12)</f>
        <v>4913611.8591208681</v>
      </c>
      <c r="Y25" s="61">
        <f>Y6*('Demographic-Economic'!D$12)</f>
        <v>3511456.9384693909</v>
      </c>
      <c r="Z25" s="61">
        <f>Z6*('Demographic-Economic'!E$12)</f>
        <v>3969034.1953910841</v>
      </c>
      <c r="AA25" s="61">
        <f>AA6*('Demographic-Economic'!F$12)</f>
        <v>801343.14007986779</v>
      </c>
      <c r="AB25" s="61">
        <f>AB6*('Demographic-Economic'!G$12)</f>
        <v>975136.72682328988</v>
      </c>
      <c r="AC25" s="61">
        <f>AC6*('Demographic-Economic'!H$12)</f>
        <v>258118.25627699963</v>
      </c>
      <c r="AG25">
        <v>2021</v>
      </c>
      <c r="AH25" s="61">
        <f>AH6*('Demographic-Economic'!C$12)</f>
        <v>4894663.0226924513</v>
      </c>
      <c r="AI25" s="61">
        <f>AI6*('Demographic-Economic'!D$12)</f>
        <v>3497915.3676127149</v>
      </c>
      <c r="AJ25" s="61">
        <f>AJ6*('Demographic-Economic'!E$12)</f>
        <v>3953728.0251229433</v>
      </c>
      <c r="AK25" s="61">
        <f>AK6*('Demographic-Economic'!F$12)</f>
        <v>798252.8430601263</v>
      </c>
      <c r="AL25" s="61">
        <f>AL6*('Demographic-Economic'!G$12)</f>
        <v>971376.21279375418</v>
      </c>
      <c r="AM25" s="61">
        <f>AM6*('Demographic-Economic'!H$12)</f>
        <v>257122.84989212162</v>
      </c>
    </row>
    <row r="26" spans="5:39">
      <c r="E26">
        <v>2022</v>
      </c>
      <c r="F26" s="61">
        <f>F7*('Demographic-Economic'!$C$12)</f>
        <v>4917888.8606123831</v>
      </c>
      <c r="G26" s="61">
        <f>G7*('Demographic-Economic'!$D$12)</f>
        <v>3510114.808923672</v>
      </c>
      <c r="H26" s="61">
        <f>H7*('Demographic-Economic'!$E$12)</f>
        <v>3985597.5358922794</v>
      </c>
      <c r="I26" s="61">
        <f>I7*('Demographic-Economic'!$F$12)</f>
        <v>806420.82661149139</v>
      </c>
      <c r="J26" s="61">
        <f>J7*('Demographic-Economic'!$G$12)</f>
        <v>979429.62778362096</v>
      </c>
      <c r="K26" s="61">
        <f>K7*('Demographic-Economic'!$H$12)</f>
        <v>259491.2997792238</v>
      </c>
      <c r="N26">
        <v>2022</v>
      </c>
      <c r="O26" s="61">
        <f>O7*('Demographic-Economic'!$C$12)</f>
        <v>4939343.7699401304</v>
      </c>
      <c r="P26" s="61">
        <f>P7*('Demographic-Economic'!$D$12)</f>
        <v>3525428.1267089918</v>
      </c>
      <c r="Q26" s="61">
        <f>Q7*('Demographic-Economic'!$E$12)</f>
        <v>4002957.322519985</v>
      </c>
      <c r="R26" s="61">
        <f>R7*('Demographic-Economic'!$F$12)</f>
        <v>809964.99516355258</v>
      </c>
      <c r="S26" s="61">
        <f>S7*('Demographic-Economic'!$G$12)</f>
        <v>983700.20773965749</v>
      </c>
      <c r="T26" s="61">
        <f>T7*('Demographic-Economic'!$H$12)</f>
        <v>260627.65704570783</v>
      </c>
      <c r="W26">
        <v>2022</v>
      </c>
      <c r="X26" s="61">
        <f>X7*('Demographic-Economic'!C$12)</f>
        <v>4958556.4729292821</v>
      </c>
      <c r="Y26" s="61">
        <f>Y7*('Demographic-Economic'!D$12)</f>
        <v>3539141.0826527094</v>
      </c>
      <c r="Z26" s="61">
        <f>Z7*('Demographic-Economic'!E$12)</f>
        <v>4018501.802566932</v>
      </c>
      <c r="AA26" s="61">
        <f>AA7*('Demographic-Economic'!F$12)</f>
        <v>813139.77265710826</v>
      </c>
      <c r="AB26" s="61">
        <f>AB7*('Demographic-Economic'!G$12)</f>
        <v>987524.38991198561</v>
      </c>
      <c r="AC26" s="61">
        <f>AC7*('Demographic-Economic'!H$12)</f>
        <v>261645.42124208595</v>
      </c>
      <c r="AG26">
        <v>2022</v>
      </c>
      <c r="AH26" s="61">
        <f>AH7*('Demographic-Economic'!C$12)</f>
        <v>4920706.17216352</v>
      </c>
      <c r="AI26" s="61">
        <f>AI7*('Demographic-Economic'!D$12)</f>
        <v>3512125.6487936405</v>
      </c>
      <c r="AJ26" s="61">
        <f>AJ7*('Demographic-Economic'!E$12)</f>
        <v>3987877.1738549829</v>
      </c>
      <c r="AK26" s="61">
        <f>AK7*('Demographic-Economic'!F$12)</f>
        <v>806886.15725880512</v>
      </c>
      <c r="AL26" s="61">
        <f>AL7*('Demographic-Economic'!G$12)</f>
        <v>979990.41682839207</v>
      </c>
      <c r="AM26" s="61">
        <f>AM7*('Demographic-Economic'!H$12)</f>
        <v>259640.50766783825</v>
      </c>
    </row>
    <row r="27" spans="5:39">
      <c r="E27">
        <v>2023</v>
      </c>
      <c r="F27" s="61">
        <f>F8*('Demographic-Economic'!$C$12)</f>
        <v>4942455.8809823897</v>
      </c>
      <c r="G27" s="61">
        <f>G8*('Demographic-Economic'!$D$12)</f>
        <v>3523234.2974421736</v>
      </c>
      <c r="H27" s="61">
        <f>H8*('Demographic-Economic'!$E$12)</f>
        <v>4019092.8545246674</v>
      </c>
      <c r="I27" s="61">
        <f>I8*('Demographic-Economic'!$F$12)</f>
        <v>814560.35568749951</v>
      </c>
      <c r="J27" s="61">
        <f>J8*('Demographic-Economic'!$G$12)</f>
        <v>987680.21636465483</v>
      </c>
      <c r="K27" s="61">
        <f>K8*('Demographic-Economic'!$H$12)</f>
        <v>261947.07283397773</v>
      </c>
      <c r="N27">
        <v>2023</v>
      </c>
      <c r="O27" s="61">
        <f>O8*('Demographic-Economic'!$C$12)</f>
        <v>4974598.0170190223</v>
      </c>
      <c r="P27" s="61">
        <f>P8*('Demographic-Economic'!$D$12)</f>
        <v>3546146.849178459</v>
      </c>
      <c r="Q27" s="61">
        <f>Q8*('Demographic-Economic'!$E$12)</f>
        <v>4045162.4523690767</v>
      </c>
      <c r="R27" s="61">
        <f>R8*('Demographic-Economic'!$F$12)</f>
        <v>819923.68851299991</v>
      </c>
      <c r="S27" s="61">
        <f>S8*('Demographic-Economic'!$G$12)</f>
        <v>994092.91610927554</v>
      </c>
      <c r="T27" s="61">
        <f>T8*('Demographic-Economic'!$H$12)</f>
        <v>263663.32413841586</v>
      </c>
      <c r="W27">
        <v>2023</v>
      </c>
      <c r="X27" s="61">
        <f>X8*('Demographic-Economic'!C$12)</f>
        <v>5003381.0476846471</v>
      </c>
      <c r="Y27" s="61">
        <f>Y8*('Demographic-Economic'!D$12)</f>
        <v>3566664.8595092469</v>
      </c>
      <c r="Z27" s="61">
        <f>Z8*('Demographic-Economic'!E$12)</f>
        <v>4068503.5608599233</v>
      </c>
      <c r="AA27" s="61">
        <f>AA8*('Demographic-Economic'!F$12)</f>
        <v>824730.46175651858</v>
      </c>
      <c r="AB27" s="61">
        <f>AB8*('Demographic-Economic'!G$12)</f>
        <v>999834.75648637698</v>
      </c>
      <c r="AC27" s="61">
        <f>AC8*('Demographic-Economic'!H$12)</f>
        <v>265200.99881268025</v>
      </c>
      <c r="AG27">
        <v>2023</v>
      </c>
      <c r="AH27" s="61">
        <f>AH8*('Demographic-Economic'!C$12)</f>
        <v>4946676.5658499384</v>
      </c>
      <c r="AI27" s="61">
        <f>AI8*('Demographic-Economic'!D$12)</f>
        <v>3526243.0165976146</v>
      </c>
      <c r="AJ27" s="61">
        <f>AJ8*('Demographic-Economic'!E$12)</f>
        <v>4022516.3912244188</v>
      </c>
      <c r="AK27" s="61">
        <f>AK8*('Demographic-Economic'!F$12)</f>
        <v>815264.37988261145</v>
      </c>
      <c r="AL27" s="61">
        <f>AL8*('Demographic-Economic'!G$12)</f>
        <v>988522.33141263062</v>
      </c>
      <c r="AM27" s="61">
        <f>AM8*('Demographic-Economic'!H$12)</f>
        <v>262172.38920315308</v>
      </c>
    </row>
    <row r="28" spans="5:39">
      <c r="E28">
        <v>2024</v>
      </c>
      <c r="F28" s="61">
        <f>F9*('Demographic-Economic'!$C$12)</f>
        <v>4966953.7996001281</v>
      </c>
      <c r="G28" s="61">
        <f>G9*('Demographic-Economic'!$D$12)</f>
        <v>3536266.2503005271</v>
      </c>
      <c r="H28" s="61">
        <f>H9*('Demographic-Economic'!$E$12)</f>
        <v>4053041.0785443163</v>
      </c>
      <c r="I28" s="61">
        <f>I9*('Demographic-Economic'!$F$12)</f>
        <v>822466.31275660603</v>
      </c>
      <c r="J28" s="61">
        <f>J9*('Demographic-Economic'!$G$12)</f>
        <v>995856.42722114595</v>
      </c>
      <c r="K28" s="61">
        <f>K9*('Demographic-Economic'!$H$12)</f>
        <v>264415.53292269818</v>
      </c>
      <c r="N28">
        <v>2024</v>
      </c>
      <c r="O28" s="61">
        <f>O9*('Demographic-Economic'!$C$12)</f>
        <v>5009756.4107555766</v>
      </c>
      <c r="P28" s="61">
        <f>P9*('Demographic-Economic'!$D$12)</f>
        <v>3566739.9441097872</v>
      </c>
      <c r="Q28" s="61">
        <f>Q9*('Demographic-Economic'!$E$12)</f>
        <v>4087861.2451432534</v>
      </c>
      <c r="R28" s="61">
        <f>R9*('Demographic-Economic'!$F$12)</f>
        <v>829664.27961170685</v>
      </c>
      <c r="S28" s="61">
        <f>S9*('Demographic-Economic'!$G$12)</f>
        <v>1004411.0808101884</v>
      </c>
      <c r="T28" s="61">
        <f>T9*('Demographic-Economic'!$H$12)</f>
        <v>266719.28908125951</v>
      </c>
      <c r="W28">
        <v>2024</v>
      </c>
      <c r="X28" s="61">
        <f>X9*('Demographic-Economic'!C$12)</f>
        <v>5048085.813258633</v>
      </c>
      <c r="Y28" s="61">
        <f>Y9*('Demographic-Economic'!D$12)</f>
        <v>3594028.8978497344</v>
      </c>
      <c r="Z28" s="61">
        <f>Z9*('Demographic-Economic'!E$12)</f>
        <v>4119034.1877510841</v>
      </c>
      <c r="AA28" s="61">
        <f>AA9*('Demographic-Economic'!F$12)</f>
        <v>836118.72250124894</v>
      </c>
      <c r="AB28" s="61">
        <f>AB9*('Demographic-Economic'!G$12)</f>
        <v>1012069.2628300835</v>
      </c>
      <c r="AC28" s="61">
        <f>AC9*('Demographic-Economic'!H$12)</f>
        <v>268784.39401685464</v>
      </c>
      <c r="AG28">
        <v>2024</v>
      </c>
      <c r="AH28" s="61">
        <f>AH9*('Demographic-Economic'!C$12)</f>
        <v>4972574.3449487472</v>
      </c>
      <c r="AI28" s="61">
        <f>AI9*('Demographic-Economic'!D$12)</f>
        <v>3540267.8467772645</v>
      </c>
      <c r="AJ28" s="61">
        <f>AJ9*('Demographic-Economic'!E$12)</f>
        <v>4057613.9411767353</v>
      </c>
      <c r="AK28" s="61">
        <f>AK9*('Demographic-Economic'!F$12)</f>
        <v>823410.9542097142</v>
      </c>
      <c r="AL28" s="61">
        <f>AL9*('Demographic-Economic'!G$12)</f>
        <v>996979.91742400953</v>
      </c>
      <c r="AM28" s="61">
        <f>AM9*('Demographic-Economic'!H$12)</f>
        <v>264717.91477154318</v>
      </c>
    </row>
    <row r="29" spans="5:39">
      <c r="E29">
        <v>2025</v>
      </c>
      <c r="F29" s="61">
        <f>F10*('Demographic-Economic'!$C$12)</f>
        <v>4991382.7508340096</v>
      </c>
      <c r="G29" s="61">
        <f>G10*('Demographic-Economic'!$D$12)</f>
        <v>3549211.0231802301</v>
      </c>
      <c r="H29" s="61">
        <f>H10*('Demographic-Economic'!$E$12)</f>
        <v>4087412.5578741473</v>
      </c>
      <c r="I29" s="61">
        <f>I10*('Demographic-Economic'!$F$12)</f>
        <v>830160.62677172606</v>
      </c>
      <c r="J29" s="61">
        <f>J10*('Demographic-Economic'!$G$12)</f>
        <v>1003965.6112305092</v>
      </c>
      <c r="K29" s="61">
        <f>K10*('Demographic-Economic'!$H$12)</f>
        <v>266896.19741496135</v>
      </c>
      <c r="N29">
        <v>2025</v>
      </c>
      <c r="O29" s="61">
        <f>O10*('Demographic-Economic'!$C$12)</f>
        <v>5044819.1356983883</v>
      </c>
      <c r="P29" s="61">
        <f>P10*('Demographic-Economic'!$D$12)</f>
        <v>3587207.9101486509</v>
      </c>
      <c r="Q29" s="61">
        <f>Q10*('Demographic-Economic'!$E$12)</f>
        <v>4131035.5580352372</v>
      </c>
      <c r="R29" s="61">
        <f>R10*('Demographic-Economic'!$F$12)</f>
        <v>839199.82911630056</v>
      </c>
      <c r="S29" s="61">
        <f>S10*('Demographic-Economic'!$G$12)</f>
        <v>1014659.5278311457</v>
      </c>
      <c r="T29" s="61">
        <f>T10*('Demographic-Economic'!$H$12)</f>
        <v>269794.88768531015</v>
      </c>
      <c r="W29">
        <v>2025</v>
      </c>
      <c r="X29" s="61">
        <f>X10*('Demographic-Economic'!C$12)</f>
        <v>5092670.9991357978</v>
      </c>
      <c r="Y29" s="61">
        <f>Y10*('Demographic-Economic'!D$12)</f>
        <v>3621233.8243431468</v>
      </c>
      <c r="Z29" s="61">
        <f>Z10*('Demographic-Economic'!E$12)</f>
        <v>4170087.2785954084</v>
      </c>
      <c r="AA29" s="61">
        <f>AA10*('Demographic-Economic'!F$12)</f>
        <v>847308.86204123963</v>
      </c>
      <c r="AB29" s="61">
        <f>AB10*('Demographic-Economic'!G$12)</f>
        <v>1024229.6845800055</v>
      </c>
      <c r="AC29" s="61">
        <f>AC10*('Demographic-Economic'!H$12)</f>
        <v>272394.98865628388</v>
      </c>
      <c r="AG29">
        <v>2025</v>
      </c>
      <c r="AH29" s="61">
        <f>AH10*('Demographic-Economic'!C$12)</f>
        <v>4998399.6504176743</v>
      </c>
      <c r="AI29" s="61">
        <f>AI10*('Demographic-Economic'!D$12)</f>
        <v>3554200.5137871625</v>
      </c>
      <c r="AJ29" s="61">
        <f>AJ10*('Demographic-Economic'!E$12)</f>
        <v>4093141.5956951142</v>
      </c>
      <c r="AK29" s="61">
        <f>AK10*('Demographic-Economic'!F$12)</f>
        <v>831346.69793405861</v>
      </c>
      <c r="AL29" s="61">
        <f>AL10*('Demographic-Economic'!G$12)</f>
        <v>1005370.2382604784</v>
      </c>
      <c r="AM29" s="61">
        <f>AM10*('Demographic-Economic'!H$12)</f>
        <v>267276.56729962473</v>
      </c>
    </row>
    <row r="30" spans="5:39">
      <c r="E30">
        <v>2026</v>
      </c>
      <c r="F30" s="61">
        <f>F11*('Demographic-Economic'!$C$12)</f>
        <v>5015742.8688244931</v>
      </c>
      <c r="G30" s="61">
        <f>G11*('Demographic-Economic'!$D$12)</f>
        <v>3562068.9705314701</v>
      </c>
      <c r="H30" s="61">
        <f>H11*('Demographic-Economic'!$E$12)</f>
        <v>4122181.043154805</v>
      </c>
      <c r="I30" s="61">
        <f>I11*('Demographic-Economic'!$F$12)</f>
        <v>837662.67838363373</v>
      </c>
      <c r="J30" s="61">
        <f>J11*('Demographic-Economic'!$G$12)</f>
        <v>1012014.2587548745</v>
      </c>
      <c r="K30" s="61">
        <f>K11*('Demographic-Economic'!$H$12)</f>
        <v>269388.63725959224</v>
      </c>
      <c r="N30">
        <v>2026</v>
      </c>
      <c r="O30" s="61">
        <f>O11*('Demographic-Economic'!$C$12)</f>
        <v>5079786.3760844516</v>
      </c>
      <c r="P30" s="61">
        <f>P11*('Demographic-Economic'!$D$12)</f>
        <v>3607551.2442326699</v>
      </c>
      <c r="Q30" s="61">
        <f>Q11*('Demographic-Economic'!$E$12)</f>
        <v>4174668.0924193482</v>
      </c>
      <c r="R30" s="61">
        <f>R11*('Demographic-Economic'!$F$12)</f>
        <v>848542.76354476367</v>
      </c>
      <c r="S30" s="61">
        <f>S11*('Demographic-Economic'!$G$12)</f>
        <v>1024842.8498049829</v>
      </c>
      <c r="T30" s="61">
        <f>T11*('Demographic-Economic'!$H$12)</f>
        <v>272889.49387226056</v>
      </c>
      <c r="W30">
        <v>2026</v>
      </c>
      <c r="X30" s="61">
        <f>X11*('Demographic-Economic'!C$12)</f>
        <v>5137136.8344141878</v>
      </c>
      <c r="Y30" s="61">
        <f>Y11*('Demographic-Economic'!D$12)</f>
        <v>3648280.2635234809</v>
      </c>
      <c r="Z30" s="61">
        <f>Z11*('Demographic-Economic'!E$12)</f>
        <v>4221655.4653431792</v>
      </c>
      <c r="AA30" s="61">
        <f>AA11*('Demographic-Economic'!F$12)</f>
        <v>858305.86544050067</v>
      </c>
      <c r="AB30" s="61">
        <f>AB11*('Demographic-Economic'!G$12)</f>
        <v>1036318.0874791848</v>
      </c>
      <c r="AC30" s="61">
        <f>AC11*('Demographic-Economic'!H$12)</f>
        <v>276032.14850788191</v>
      </c>
      <c r="AG30">
        <v>2026</v>
      </c>
      <c r="AH30" s="61">
        <f>AH11*('Demographic-Economic'!C$12)</f>
        <v>5024152.6229755143</v>
      </c>
      <c r="AI30" s="61">
        <f>AI11*('Demographic-Economic'!D$12)</f>
        <v>3568041.3907879675</v>
      </c>
      <c r="AJ30" s="61">
        <f>AJ11*('Demographic-Economic'!E$12)</f>
        <v>4129074.1698327693</v>
      </c>
      <c r="AK30" s="61">
        <f>AK11*('Demographic-Economic'!F$12)</f>
        <v>839090.15128636232</v>
      </c>
      <c r="AL30" s="61">
        <f>AL11*('Demographic-Economic'!G$12)</f>
        <v>1013699.5788128508</v>
      </c>
      <c r="AM30" s="61">
        <f>AM11*('Demographic-Economic'!H$12)</f>
        <v>269847.88412178867</v>
      </c>
    </row>
    <row r="31" spans="5:39">
      <c r="E31">
        <v>2027</v>
      </c>
      <c r="F31" s="61">
        <f>F12*('Demographic-Economic'!$C$12)</f>
        <v>5040034.2874844521</v>
      </c>
      <c r="G31" s="61">
        <f>G12*('Demographic-Economic'!$D$12)</f>
        <v>3574840.4455770589</v>
      </c>
      <c r="H31" s="61">
        <f>H12*('Demographic-Economic'!$E$12)</f>
        <v>4157323.2123727882</v>
      </c>
      <c r="I31" s="61">
        <f>I12*('Demographic-Economic'!$F$12)</f>
        <v>844989.65473997791</v>
      </c>
      <c r="J31" s="61">
        <f>J12*('Demographic-Economic'!$G$12)</f>
        <v>1020008.1194671253</v>
      </c>
      <c r="K31" s="61">
        <f>K12*('Demographic-Economic'!$H$12)</f>
        <v>271892.46959320159</v>
      </c>
      <c r="N31">
        <v>2027</v>
      </c>
      <c r="O31" s="61">
        <f>O12*('Demographic-Economic'!$C$12)</f>
        <v>5114658.3158396482</v>
      </c>
      <c r="P31" s="61">
        <f>P12*('Demographic-Economic'!$D$12)</f>
        <v>3627770.4415968293</v>
      </c>
      <c r="Q31" s="61">
        <f>Q12*('Demographic-Economic'!$E$12)</f>
        <v>4218742.3966896459</v>
      </c>
      <c r="R31" s="61">
        <f>R12*('Demographic-Economic'!$F$12)</f>
        <v>857704.87454664393</v>
      </c>
      <c r="S31" s="61">
        <f>S12*('Demographic-Economic'!$G$12)</f>
        <v>1034965.4049571818</v>
      </c>
      <c r="T31" s="61">
        <f>T12*('Demographic-Economic'!$H$12)</f>
        <v>276002.51859537879</v>
      </c>
      <c r="W31">
        <v>2027</v>
      </c>
      <c r="X31" s="61">
        <f>X12*('Demographic-Economic'!C$12)</f>
        <v>5181483.5478059435</v>
      </c>
      <c r="Y31" s="61">
        <f>Y12*('Demographic-Economic'!D$12)</f>
        <v>3675168.8377965116</v>
      </c>
      <c r="Z31" s="61">
        <f>Z12*('Demographic-Economic'!E$12)</f>
        <v>4273730.571186929</v>
      </c>
      <c r="AA31" s="61">
        <f>AA12*('Demographic-Economic'!F$12)</f>
        <v>869115.28470271127</v>
      </c>
      <c r="AB31" s="61">
        <f>AB12*('Demographic-Economic'!G$12)</f>
        <v>1048336.7795273777</v>
      </c>
      <c r="AC31" s="61">
        <f>AC12*('Demographic-Economic'!H$12)</f>
        <v>279695.22997372306</v>
      </c>
      <c r="AG31">
        <v>2027</v>
      </c>
      <c r="AH31" s="61">
        <f>AH12*('Demographic-Economic'!C$12)</f>
        <v>5049833.4031025069</v>
      </c>
      <c r="AI31" s="61">
        <f>AI12*('Demographic-Economic'!D$12)</f>
        <v>3581790.8496505576</v>
      </c>
      <c r="AJ31" s="61">
        <f>AJ12*('Demographic-Economic'!E$12)</f>
        <v>4165389.1276050373</v>
      </c>
      <c r="AK31" s="61">
        <f>AK12*('Demographic-Economic'!F$12)</f>
        <v>846657.87211399537</v>
      </c>
      <c r="AL31" s="61">
        <f>AL12*('Demographic-Economic'!G$12)</f>
        <v>1021973.5463091456</v>
      </c>
      <c r="AM31" s="61">
        <f>AM12*('Demographic-Economic'!H$12)</f>
        <v>272431.44997529109</v>
      </c>
    </row>
    <row r="32" spans="5:39">
      <c r="E32">
        <v>2028</v>
      </c>
      <c r="F32" s="61">
        <f>F13*('Demographic-Economic'!$C$12)</f>
        <v>5064257.1404995294</v>
      </c>
      <c r="G32" s="61">
        <f>G13*('Demographic-Economic'!$D$12)</f>
        <v>3587525.8003163538</v>
      </c>
      <c r="H32" s="61">
        <f>H13*('Demographic-Economic'!$E$12)</f>
        <v>4192818.2739340286</v>
      </c>
      <c r="I32" s="61">
        <f>I13*('Demographic-Economic'!$F$12)</f>
        <v>852156.84700039972</v>
      </c>
      <c r="J32" s="61">
        <f>J13*('Demographic-Economic'!$G$12)</f>
        <v>1027952.3028265464</v>
      </c>
      <c r="K32" s="61">
        <f>K13*('Demographic-Economic'!$H$12)</f>
        <v>274407.35152733763</v>
      </c>
      <c r="N32">
        <v>2028</v>
      </c>
      <c r="O32" s="61">
        <f>O13*('Demographic-Economic'!$C$12)</f>
        <v>5149435.1385792466</v>
      </c>
      <c r="P32" s="61">
        <f>P13*('Demographic-Economic'!$D$12)</f>
        <v>3647865.9957788922</v>
      </c>
      <c r="Q32" s="61">
        <f>Q13*('Demographic-Economic'!$E$12)</f>
        <v>4263242.8592945719</v>
      </c>
      <c r="R32" s="61">
        <f>R13*('Demographic-Economic'!$F$12)</f>
        <v>866697.32529842935</v>
      </c>
      <c r="S32" s="61">
        <f>S13*('Demographic-Economic'!$G$12)</f>
        <v>1045031.3188214357</v>
      </c>
      <c r="T32" s="61">
        <f>T13*('Demographic-Economic'!$H$12)</f>
        <v>279133.40853275236</v>
      </c>
      <c r="W32">
        <v>2028</v>
      </c>
      <c r="X32" s="61">
        <f>X13*('Demographic-Economic'!C$12)</f>
        <v>5225711.3676379183</v>
      </c>
      <c r="Y32" s="61">
        <f>Y13*('Demographic-Economic'!D$12)</f>
        <v>3701900.16744653</v>
      </c>
      <c r="Z32" s="61">
        <f>Z13*('Demographic-Economic'!E$12)</f>
        <v>4326303.75858727</v>
      </c>
      <c r="AA32" s="61">
        <f>AA13*('Demographic-Economic'!F$12)</f>
        <v>879743.13273633656</v>
      </c>
      <c r="AB32" s="61">
        <f>AB13*('Demographic-Economic'!G$12)</f>
        <v>1060288.2653004453</v>
      </c>
      <c r="AC32" s="61">
        <f>AC13*('Demographic-Economic'!H$12)</f>
        <v>283383.58611590829</v>
      </c>
      <c r="AG32">
        <v>2028</v>
      </c>
      <c r="AH32" s="61">
        <f>AH13*('Demographic-Economic'!C$12)</f>
        <v>5075442.1310407091</v>
      </c>
      <c r="AI32" s="61">
        <f>AI13*('Demographic-Economic'!D$12)</f>
        <v>3595449.2609601431</v>
      </c>
      <c r="AJ32" s="61">
        <f>AJ13*('Demographic-Economic'!E$12)</f>
        <v>4202066.2466031658</v>
      </c>
      <c r="AK32" s="61">
        <f>AK13*('Demographic-Economic'!F$12)</f>
        <v>854064.68700241041</v>
      </c>
      <c r="AL32" s="61">
        <f>AL13*('Demographic-Economic'!G$12)</f>
        <v>1030197.1561361988</v>
      </c>
      <c r="AM32" s="61">
        <f>AM13*('Demographic-Economic'!H$12)</f>
        <v>275026.89102652046</v>
      </c>
    </row>
    <row r="33" spans="5:39">
      <c r="E33">
        <v>2029</v>
      </c>
      <c r="F33" s="61">
        <f>F14*('Demographic-Economic'!$C$12)</f>
        <v>5088411.5613284931</v>
      </c>
      <c r="G33" s="61">
        <f>G14*('Demographic-Economic'!$D$12)</f>
        <v>3600125.3855291675</v>
      </c>
      <c r="H33" s="61">
        <f>H14*('Demographic-Economic'!$E$12)</f>
        <v>4228647.6322120167</v>
      </c>
      <c r="I33" s="61">
        <f>I14*('Demographic-Economic'!$F$12)</f>
        <v>859177.90103367553</v>
      </c>
      <c r="J33" s="61">
        <f>J14*('Demographic-Economic'!$G$12)</f>
        <v>1035851.3627408468</v>
      </c>
      <c r="K33" s="61">
        <f>K14*('Demographic-Economic'!$H$12)</f>
        <v>276932.97490174416</v>
      </c>
      <c r="N33">
        <v>2029</v>
      </c>
      <c r="O33" s="61">
        <f>O14*('Demographic-Economic'!$C$12)</f>
        <v>5184117.027608376</v>
      </c>
      <c r="P33" s="61">
        <f>P14*('Demographic-Economic'!$D$12)</f>
        <v>3667838.3986247848</v>
      </c>
      <c r="Q33" s="61">
        <f>Q14*('Demographic-Economic'!$E$12)</f>
        <v>4308154.6939315489</v>
      </c>
      <c r="R33" s="61">
        <f>R14*('Demographic-Economic'!$F$12)</f>
        <v>875530.66257670824</v>
      </c>
      <c r="S33" s="61">
        <f>S14*('Demographic-Economic'!$G$12)</f>
        <v>1055044.4881718922</v>
      </c>
      <c r="T33" s="61">
        <f>T14*('Demographic-Economic'!$H$12)</f>
        <v>282281.64461573982</v>
      </c>
      <c r="W33">
        <v>2029</v>
      </c>
      <c r="X33" s="61">
        <f>X14*('Demographic-Economic'!C$12)</f>
        <v>5269820.5218522679</v>
      </c>
      <c r="Y33" s="61">
        <f>Y14*('Demographic-Economic'!D$12)</f>
        <v>3728474.8706430621</v>
      </c>
      <c r="Z33" s="61">
        <f>Z14*('Demographic-Economic'!E$12)</f>
        <v>4379365.6686659791</v>
      </c>
      <c r="AA33" s="61">
        <f>AA14*('Demographic-Economic'!F$12)</f>
        <v>890195.78367518762</v>
      </c>
      <c r="AB33" s="61">
        <f>AB14*('Demographic-Economic'!G$12)</f>
        <v>1072175.2030432422</v>
      </c>
      <c r="AC33" s="61">
        <f>AC14*('Demographic-Economic'!H$12)</f>
        <v>287096.57203829021</v>
      </c>
      <c r="AG33">
        <v>2029</v>
      </c>
      <c r="AH33" s="61">
        <f>AH14*('Demographic-Economic'!C$12)</f>
        <v>5100978.946794373</v>
      </c>
      <c r="AI33" s="61">
        <f>AI14*('Demographic-Economic'!D$12)</f>
        <v>3609016.9940203703</v>
      </c>
      <c r="AJ33" s="61">
        <f>AJ14*('Demographic-Economic'!E$12)</f>
        <v>4239087.3314901982</v>
      </c>
      <c r="AK33" s="61">
        <f>AK14*('Demographic-Economic'!F$12)</f>
        <v>861323.9058015421</v>
      </c>
      <c r="AL33" s="61">
        <f>AL14*('Demographic-Economic'!G$12)</f>
        <v>1038374.9051558153</v>
      </c>
      <c r="AM33" s="61">
        <f>AM14*('Demographic-Economic'!H$12)</f>
        <v>277633.86975817668</v>
      </c>
    </row>
    <row r="34" spans="5:39">
      <c r="E34">
        <v>2030</v>
      </c>
      <c r="F34" s="61">
        <f>F15*('Demographic-Economic'!$C$12)</f>
        <v>5112497.6832036041</v>
      </c>
      <c r="G34" s="61">
        <f>G15*('Demographic-Economic'!$D$12)</f>
        <v>3612639.5507796654</v>
      </c>
      <c r="H34" s="61">
        <f>H15*('Demographic-Economic'!$E$12)</f>
        <v>4264794.6044364842</v>
      </c>
      <c r="I34" s="61">
        <f>I15*('Demographic-Economic'!$F$12)</f>
        <v>866065.02963824279</v>
      </c>
      <c r="J34" s="61">
        <f>J15*('Demographic-Economic'!$G$12)</f>
        <v>1043709.3692330442</v>
      </c>
      <c r="K34" s="61">
        <f>K15*('Demographic-Economic'!$H$12)</f>
        <v>279469.0618338054</v>
      </c>
      <c r="N34">
        <v>2030</v>
      </c>
      <c r="O34" s="61">
        <f>O15*('Demographic-Economic'!$C$12)</f>
        <v>5218704.1659225319</v>
      </c>
      <c r="P34" s="61">
        <f>P15*('Demographic-Economic'!$D$12)</f>
        <v>3687688.1402939758</v>
      </c>
      <c r="Q34" s="61">
        <f>Q15*('Demographic-Economic'!$E$12)</f>
        <v>4353463.9186098604</v>
      </c>
      <c r="R34" s="61">
        <f>R15*('Demographic-Economic'!$F$12)</f>
        <v>884214.83325188607</v>
      </c>
      <c r="S34" s="61">
        <f>S15*('Demographic-Economic'!$G$12)</f>
        <v>1065008.5866928897</v>
      </c>
      <c r="T34" s="61">
        <f>T15*('Demographic-Economic'!$H$12)</f>
        <v>285446.7404456712</v>
      </c>
      <c r="W34">
        <v>2030</v>
      </c>
      <c r="X34" s="61">
        <f>X15*('Demographic-Economic'!C$12)</f>
        <v>5313811.2380070714</v>
      </c>
      <c r="Y34" s="61">
        <f>Y15*('Demographic-Economic'!D$12)</f>
        <v>3754893.5634475667</v>
      </c>
      <c r="Z34" s="61">
        <f>Z15*('Demographic-Economic'!E$12)</f>
        <v>4432906.5504755676</v>
      </c>
      <c r="AA34" s="61">
        <f>AA15*('Demographic-Economic'!F$12)</f>
        <v>900479.88059650629</v>
      </c>
      <c r="AB34" s="61">
        <f>AB15*('Demographic-Economic'!G$12)</f>
        <v>1084000.3649794443</v>
      </c>
      <c r="AC34" s="61">
        <f>AC15*('Demographic-Economic'!H$12)</f>
        <v>290833.54959961731</v>
      </c>
      <c r="AG34">
        <v>2030</v>
      </c>
      <c r="AH34" s="61">
        <f>AH15*('Demographic-Economic'!C$12)</f>
        <v>5126443.9901303239</v>
      </c>
      <c r="AI34" s="61">
        <f>AI15*('Demographic-Economic'!D$12)</f>
        <v>3622494.4168574158</v>
      </c>
      <c r="AJ34" s="61">
        <f>AJ15*('Demographic-Economic'!E$12)</f>
        <v>4276435.9683628008</v>
      </c>
      <c r="AK34" s="61">
        <f>AK15*('Demographic-Economic'!F$12)</f>
        <v>868447.5055565564</v>
      </c>
      <c r="AL34" s="61">
        <f>AL15*('Demographic-Economic'!G$12)</f>
        <v>1046510.8345661997</v>
      </c>
      <c r="AM34" s="61">
        <f>AM15*('Demographic-Economic'!H$12)</f>
        <v>280252.08057816024</v>
      </c>
    </row>
    <row r="35" spans="5:39">
      <c r="E35">
        <v>2040</v>
      </c>
      <c r="F35" s="61">
        <f>F16*('Demographic-Economic'!$C$12)</f>
        <v>5255295.5791007774</v>
      </c>
      <c r="G35" s="61">
        <f>G16*('Demographic-Economic'!$D$12)</f>
        <v>3666537.8021421041</v>
      </c>
      <c r="H35" s="61">
        <f>H16*('Demographic-Economic'!$E$12)</f>
        <v>4553764.4250454428</v>
      </c>
      <c r="I35" s="61">
        <f>I16*('Demographic-Economic'!$F$12)</f>
        <v>918147.56030470296</v>
      </c>
      <c r="J35" s="61">
        <f>J16*('Demographic-Economic'!$G$12)</f>
        <v>1103049.7119530078</v>
      </c>
      <c r="K35" s="61">
        <f>K16*('Demographic-Economic'!$H$12)</f>
        <v>300037.76792602468</v>
      </c>
      <c r="N35">
        <v>2040</v>
      </c>
      <c r="O35" s="61">
        <f>O16*('Demographic-Economic'!$C$12)</f>
        <v>5484140.9804150499</v>
      </c>
      <c r="P35" s="61">
        <f>P16*('Demographic-Economic'!$D$12)</f>
        <v>3826199.6712293513</v>
      </c>
      <c r="Q35" s="61">
        <f>Q16*('Demographic-Economic'!$E$12)</f>
        <v>4753538.6552178524</v>
      </c>
      <c r="R35" s="61">
        <f>R16*('Demographic-Economic'!$F$12)</f>
        <v>957698.82713396859</v>
      </c>
      <c r="S35" s="61">
        <f>S16*('Demographic-Economic'!$G$12)</f>
        <v>1149580.0369161847</v>
      </c>
      <c r="T35" s="61">
        <f>T16*('Demographic-Economic'!$H$12)</f>
        <v>313637.20752054581</v>
      </c>
      <c r="W35">
        <v>2040</v>
      </c>
      <c r="X35" s="61">
        <f>X16*('Demographic-Economic'!C$12)</f>
        <v>5709849.4022498429</v>
      </c>
      <c r="Y35" s="61">
        <f>Y16*('Demographic-Economic'!D$12)</f>
        <v>3983672.9186352952</v>
      </c>
      <c r="Z35" s="61">
        <f>Z16*('Demographic-Economic'!E$12)</f>
        <v>4950952.2507847883</v>
      </c>
      <c r="AA35" s="61">
        <f>AA16*('Demographic-Economic'!F$12)</f>
        <v>996562.84608997439</v>
      </c>
      <c r="AB35" s="61">
        <f>AB16*('Demographic-Economic'!G$12)</f>
        <v>1195147.9207358784</v>
      </c>
      <c r="AC35" s="61">
        <f>AC16*('Demographic-Economic'!H$12)</f>
        <v>327159.02812394901</v>
      </c>
      <c r="AG35">
        <v>2040</v>
      </c>
      <c r="AH35" s="61">
        <f>AH16*('Demographic-Economic'!C$12)</f>
        <v>5282466.1985255936</v>
      </c>
      <c r="AI35" s="61">
        <f>AI16*('Demographic-Economic'!D$12)</f>
        <v>3685494.3197592841</v>
      </c>
      <c r="AJ35" s="61">
        <f>AJ16*('Demographic-Economic'!E$12)</f>
        <v>4577475.2510719607</v>
      </c>
      <c r="AK35" s="61">
        <f>AK16*('Demographic-Economic'!F$12)</f>
        <v>922847.41895505495</v>
      </c>
      <c r="AL35" s="61">
        <f>AL16*('Demographic-Economic'!G$12)</f>
        <v>1108579.8610111673</v>
      </c>
      <c r="AM35" s="61">
        <f>AM16*('Demographic-Economic'!H$12)</f>
        <v>301650.70940266229</v>
      </c>
    </row>
    <row r="36" spans="5:39">
      <c r="E36">
        <v>2050</v>
      </c>
      <c r="F36" s="61">
        <f>F17*('Demographic-Economic'!$C$12)</f>
        <v>5342988.234771111</v>
      </c>
      <c r="G36" s="61">
        <f>G17*('Demographic-Economic'!$D$12)</f>
        <v>3727719.6009859522</v>
      </c>
      <c r="H36" s="61">
        <f>H17*('Demographic-Economic'!$E$12)</f>
        <v>4629750.9589556167</v>
      </c>
      <c r="I36" s="61">
        <f>I17*('Demographic-Economic'!$F$12)</f>
        <v>933468.25856962032</v>
      </c>
      <c r="J36" s="61">
        <f>J17*('Demographic-Economic'!$G$12)</f>
        <v>1121455.7858115798</v>
      </c>
      <c r="K36" s="61">
        <f>K17*('Demographic-Economic'!$H$12)</f>
        <v>305044.35761728126</v>
      </c>
      <c r="N36">
        <v>2050</v>
      </c>
      <c r="O36" s="61">
        <f>O17*('Demographic-Economic'!$C$12)</f>
        <v>5721225.5734250294</v>
      </c>
      <c r="P36" s="61">
        <f>P17*('Demographic-Economic'!$D$12)</f>
        <v>3991609.895924136</v>
      </c>
      <c r="Q36" s="61">
        <f>Q17*('Demographic-Economic'!$E$12)</f>
        <v>4959038.6198347798</v>
      </c>
      <c r="R36" s="61">
        <f>R17*('Demographic-Economic'!$F$12)</f>
        <v>999101.05174271809</v>
      </c>
      <c r="S36" s="61">
        <f>S17*('Demographic-Economic'!$G$12)</f>
        <v>1199277.4674085795</v>
      </c>
      <c r="T36" s="61">
        <f>T17*('Demographic-Economic'!$H$12)</f>
        <v>327196.04015510861</v>
      </c>
      <c r="W36">
        <v>2050</v>
      </c>
      <c r="X36" s="61">
        <f>X17*('Demographic-Economic'!C$12)</f>
        <v>6141479.4866531799</v>
      </c>
      <c r="Y36" s="61">
        <f>Y17*('Demographic-Economic'!D$12)</f>
        <v>4284814.4999576183</v>
      </c>
      <c r="Z36" s="61">
        <f>Z17*('Demographic-Economic'!E$12)</f>
        <v>5325214.2999801831</v>
      </c>
      <c r="AA36" s="61">
        <f>AA17*('Demographic-Economic'!F$12)</f>
        <v>1071896.9705244219</v>
      </c>
      <c r="AB36" s="61">
        <f>AB17*('Demographic-Economic'!G$12)</f>
        <v>1285493.8758671004</v>
      </c>
      <c r="AC36" s="61">
        <f>AC17*('Demographic-Economic'!H$12)</f>
        <v>351890.27215059748</v>
      </c>
      <c r="AG36">
        <v>2050</v>
      </c>
      <c r="AH36" s="61">
        <f>AH17*('Demographic-Economic'!C$12)</f>
        <v>5395661.9027797133</v>
      </c>
      <c r="AI36" s="61">
        <f>AI17*('Demographic-Economic'!D$12)</f>
        <v>3764469.1980398404</v>
      </c>
      <c r="AJ36" s="61">
        <f>AJ17*('Demographic-Economic'!E$12)</f>
        <v>4675564.0064520743</v>
      </c>
      <c r="AK36" s="61">
        <f>AK17*('Demographic-Economic'!F$12)</f>
        <v>942622.72078980599</v>
      </c>
      <c r="AL36" s="61">
        <f>AL17*('Demographic-Economic'!G$12)</f>
        <v>1132335.1437471209</v>
      </c>
      <c r="AM36" s="61">
        <f>AM17*('Demographic-Economic'!H$12)</f>
        <v>308114.65317557647</v>
      </c>
    </row>
    <row r="37" spans="5:39">
      <c r="E37">
        <v>2060</v>
      </c>
      <c r="F37" s="61">
        <f>F18*('Demographic-Economic'!$C$12)</f>
        <v>5317933.1902938727</v>
      </c>
      <c r="G37" s="61">
        <f>G18*('Demographic-Economic'!$D$12)</f>
        <v>3710239.0870305672</v>
      </c>
      <c r="H37" s="61">
        <f>H18*('Demographic-Economic'!$E$12)</f>
        <v>4608040.5206955681</v>
      </c>
      <c r="I37" s="61">
        <f>I18*('Demographic-Economic'!$F$12)</f>
        <v>929090.91620821552</v>
      </c>
      <c r="J37" s="61">
        <f>J18*('Demographic-Economic'!$G$12)</f>
        <v>1116196.9075662736</v>
      </c>
      <c r="K37" s="61">
        <f>K18*('Demographic-Economic'!$H$12)</f>
        <v>303613.90341977944</v>
      </c>
      <c r="N37">
        <v>2060</v>
      </c>
      <c r="O37" s="61">
        <f>O18*('Demographic-Economic'!$C$12)</f>
        <v>5852246.0064042294</v>
      </c>
      <c r="P37" s="61">
        <f>P18*('Demographic-Economic'!$D$12)</f>
        <v>4083020.8095712541</v>
      </c>
      <c r="Q37" s="61">
        <f>Q18*('Demographic-Economic'!$E$12)</f>
        <v>5072604.3897546604</v>
      </c>
      <c r="R37" s="61">
        <f>R18*('Demographic-Economic'!$F$12)</f>
        <v>1021981.2285001852</v>
      </c>
      <c r="S37" s="61">
        <f>S18*('Demographic-Economic'!$G$12)</f>
        <v>1226741.836891219</v>
      </c>
      <c r="T37" s="61">
        <f>T18*('Demographic-Economic'!$H$12)</f>
        <v>334689.07924263022</v>
      </c>
      <c r="W37">
        <v>2060</v>
      </c>
      <c r="X37" s="61">
        <f>X18*('Demographic-Economic'!C$12)</f>
        <v>6517614.2744903723</v>
      </c>
      <c r="Y37" s="61">
        <f>Y18*('Demographic-Economic'!D$12)</f>
        <v>4547237.8779670708</v>
      </c>
      <c r="Z37" s="61">
        <f>Z18*('Demographic-Economic'!E$12)</f>
        <v>5651356.9428504566</v>
      </c>
      <c r="AA37" s="61">
        <f>AA18*('Demographic-Economic'!F$12)</f>
        <v>1137545.2789601546</v>
      </c>
      <c r="AB37" s="61">
        <f>AB18*('Demographic-Economic'!G$12)</f>
        <v>1364223.9224814512</v>
      </c>
      <c r="AC37" s="61">
        <f>AC18*('Demographic-Economic'!H$12)</f>
        <v>373441.78480239114</v>
      </c>
      <c r="AG37">
        <v>2060</v>
      </c>
      <c r="AH37" s="61">
        <f>AH18*('Demographic-Economic'!C$12)</f>
        <v>5401950.5530160535</v>
      </c>
      <c r="AI37" s="61">
        <f>AI18*('Demographic-Economic'!D$12)</f>
        <v>3768856.6912776488</v>
      </c>
      <c r="AJ37" s="61">
        <f>AJ18*('Demographic-Economic'!E$12)</f>
        <v>4681013.3817509692</v>
      </c>
      <c r="AK37" s="61">
        <f>AK18*('Demographic-Economic'!F$12)</f>
        <v>943721.34866951429</v>
      </c>
      <c r="AL37" s="61">
        <f>AL18*('Demographic-Economic'!G$12)</f>
        <v>1133654.881676896</v>
      </c>
      <c r="AM37" s="61">
        <f>AM18*('Demographic-Economic'!H$12)</f>
        <v>308473.76116296061</v>
      </c>
    </row>
    <row r="38" spans="5:39">
      <c r="E38">
        <v>2070</v>
      </c>
      <c r="F38" s="61">
        <f>F19*('Demographic-Economic'!$C$12)</f>
        <v>5198921.72902699</v>
      </c>
      <c r="G38" s="61">
        <f>G19*('Demographic-Economic'!$D$12)</f>
        <v>3627206.6457424862</v>
      </c>
      <c r="H38" s="61">
        <f>H19*('Demographic-Economic'!$E$12)</f>
        <v>4504915.9389603315</v>
      </c>
      <c r="I38" s="61">
        <f>I19*('Demographic-Economic'!$F$12)</f>
        <v>908298.53999154165</v>
      </c>
      <c r="J38" s="61">
        <f>J19*('Demographic-Economic'!$G$12)</f>
        <v>1091217.2359010684</v>
      </c>
      <c r="K38" s="61">
        <f>K19*('Demographic-Economic'!$H$12)</f>
        <v>296819.24598164542</v>
      </c>
      <c r="N38">
        <v>2070</v>
      </c>
      <c r="O38" s="61">
        <f>O19*('Demographic-Economic'!$C$12)</f>
        <v>5902158.5523010669</v>
      </c>
      <c r="P38" s="61">
        <f>P19*('Demographic-Economic'!$D$12)</f>
        <v>4117844.0147701558</v>
      </c>
      <c r="Q38" s="61">
        <f>Q19*('Demographic-Economic'!$E$12)</f>
        <v>5115867.5402003294</v>
      </c>
      <c r="R38" s="61">
        <f>R19*('Demographic-Economic'!$F$12)</f>
        <v>1030697.4863125534</v>
      </c>
      <c r="S38" s="61">
        <f>S19*('Demographic-Economic'!$G$12)</f>
        <v>1237204.4538369863</v>
      </c>
      <c r="T38" s="61">
        <f>T19*('Demographic-Economic'!$H$12)</f>
        <v>337543.57032359089</v>
      </c>
      <c r="W38">
        <v>2070</v>
      </c>
      <c r="X38" s="61">
        <f>X19*('Demographic-Economic'!C$12)</f>
        <v>6856752.1979501359</v>
      </c>
      <c r="Y38" s="61">
        <f>Y19*('Demographic-Economic'!D$12)</f>
        <v>4783849.1204346102</v>
      </c>
      <c r="Z38" s="61">
        <f>Z19*('Demographic-Economic'!E$12)</f>
        <v>5945419.9815039793</v>
      </c>
      <c r="AA38" s="61">
        <f>AA19*('Demographic-Economic'!F$12)</f>
        <v>1196736.3767300774</v>
      </c>
      <c r="AB38" s="61">
        <f>AB19*('Demographic-Economic'!G$12)</f>
        <v>1435210.0300845539</v>
      </c>
      <c r="AC38" s="61">
        <f>AC19*('Demographic-Economic'!H$12)</f>
        <v>392873.47653761489</v>
      </c>
      <c r="AG38">
        <v>2070</v>
      </c>
      <c r="AH38" s="61">
        <f>AH19*('Demographic-Economic'!C$12)</f>
        <v>5320198.0999436341</v>
      </c>
      <c r="AI38" s="61">
        <f>AI19*('Demographic-Economic'!D$12)</f>
        <v>3711819.2791861366</v>
      </c>
      <c r="AJ38" s="61">
        <f>AJ19*('Demographic-Economic'!E$12)</f>
        <v>4610171.5028653331</v>
      </c>
      <c r="AK38" s="61">
        <f>AK19*('Demographic-Economic'!F$12)</f>
        <v>929439.18623330526</v>
      </c>
      <c r="AL38" s="61">
        <f>AL19*('Demographic-Economic'!G$12)</f>
        <v>1116498.2885898186</v>
      </c>
      <c r="AM38" s="61">
        <f>AM19*('Demographic-Economic'!H$12)</f>
        <v>303805.35732696712</v>
      </c>
    </row>
    <row r="39" spans="5:39">
      <c r="E39">
        <v>2080</v>
      </c>
      <c r="F39" s="61">
        <f>F20*('Demographic-Economic'!$C$12)</f>
        <v>4992217.6120897718</v>
      </c>
      <c r="G39" s="61">
        <f>G20*('Demographic-Economic'!$D$12)</f>
        <v>3482992.4056105553</v>
      </c>
      <c r="H39" s="61">
        <f>H20*('Demographic-Economic'!$E$12)</f>
        <v>4325804.8233149201</v>
      </c>
      <c r="I39" s="61">
        <f>I20*('Demographic-Economic'!$F$12)</f>
        <v>872185.46550995018</v>
      </c>
      <c r="J39" s="61">
        <f>J20*('Demographic-Economic'!$G$12)</f>
        <v>1047831.4903772909</v>
      </c>
      <c r="K39" s="61">
        <f>K20*('Demographic-Economic'!$H$12)</f>
        <v>285017.99885225465</v>
      </c>
      <c r="N39">
        <v>2080</v>
      </c>
      <c r="O39" s="61">
        <f>O20*('Demographic-Economic'!$C$12)</f>
        <v>5870963.2111155447</v>
      </c>
      <c r="P39" s="61">
        <f>P20*('Demographic-Economic'!$D$12)</f>
        <v>4096079.5115208426</v>
      </c>
      <c r="Q39" s="61">
        <f>Q20*('Demographic-Economic'!$E$12)</f>
        <v>5088828.0711717876</v>
      </c>
      <c r="R39" s="61">
        <f>R20*('Demographic-Economic'!$F$12)</f>
        <v>1025249.8251798234</v>
      </c>
      <c r="S39" s="61">
        <f>S20*('Demographic-Economic'!$G$12)</f>
        <v>1230665.3182458817</v>
      </c>
      <c r="T39" s="61">
        <f>T20*('Demographic-Economic'!$H$12)</f>
        <v>335759.51339799049</v>
      </c>
      <c r="W39">
        <v>2080</v>
      </c>
      <c r="X39" s="61">
        <f>X20*('Demographic-Economic'!C$12)</f>
        <v>7171225.545158281</v>
      </c>
      <c r="Y39" s="61">
        <f>Y20*('Demographic-Economic'!D$12)</f>
        <v>5003252.2725408729</v>
      </c>
      <c r="Z39" s="61">
        <f>Z20*('Demographic-Economic'!E$12)</f>
        <v>6218096.6173463389</v>
      </c>
      <c r="AA39" s="61">
        <f>AA20*('Demographic-Economic'!F$12)</f>
        <v>1251622.6673894606</v>
      </c>
      <c r="AB39" s="61">
        <f>AB20*('Demographic-Economic'!G$12)</f>
        <v>1501033.5116801586</v>
      </c>
      <c r="AC39" s="61">
        <f>AC20*('Demographic-Economic'!H$12)</f>
        <v>410891.9543284587</v>
      </c>
      <c r="AG39">
        <v>2080</v>
      </c>
      <c r="AH39" s="61">
        <f>AH20*('Demographic-Economic'!C$12)</f>
        <v>5156693.1937987935</v>
      </c>
      <c r="AI39" s="61">
        <f>AI20*('Demographic-Economic'!D$12)</f>
        <v>3597744.4550031102</v>
      </c>
      <c r="AJ39" s="61">
        <f>AJ20*('Demographic-Economic'!E$12)</f>
        <v>4468487.7450940572</v>
      </c>
      <c r="AK39" s="61">
        <f>AK20*('Demographic-Economic'!F$12)</f>
        <v>900874.86136088683</v>
      </c>
      <c r="AL39" s="61">
        <f>AL20*('Demographic-Economic'!G$12)</f>
        <v>1082185.1024156634</v>
      </c>
      <c r="AM39" s="61">
        <f>AM20*('Demographic-Economic'!H$12)</f>
        <v>294468.5496549799</v>
      </c>
    </row>
    <row r="40" spans="5:39">
      <c r="E40">
        <v>2090</v>
      </c>
      <c r="F40" s="61">
        <f>F21*('Demographic-Economic'!$C$12)</f>
        <v>4704084.6006015288</v>
      </c>
      <c r="G40" s="61">
        <f>G21*('Demographic-Economic'!$D$12)</f>
        <v>3281966.4951236225</v>
      </c>
      <c r="H40" s="61">
        <f>H21*('Demographic-Economic'!$E$12)</f>
        <v>4076134.7833243478</v>
      </c>
      <c r="I40" s="61">
        <f>I21*('Demographic-Economic'!$F$12)</f>
        <v>821846.02835379238</v>
      </c>
      <c r="J40" s="61">
        <f>J21*('Demographic-Economic'!$G$12)</f>
        <v>987354.39055626793</v>
      </c>
      <c r="K40" s="61">
        <f>K21*('Demographic-Economic'!$H$12)</f>
        <v>268567.77558098274</v>
      </c>
      <c r="N40">
        <v>2090</v>
      </c>
      <c r="O40" s="61">
        <f>O21*('Demographic-Economic'!$C$12)</f>
        <v>5771138.1193218697</v>
      </c>
      <c r="P40" s="61">
        <f>P21*('Demographic-Economic'!$D$12)</f>
        <v>4026433.1011230391</v>
      </c>
      <c r="Q40" s="61">
        <f>Q21*('Demographic-Economic'!$E$12)</f>
        <v>5002301.7702804497</v>
      </c>
      <c r="R40" s="61">
        <f>R21*('Demographic-Economic'!$F$12)</f>
        <v>1007817.3095550868</v>
      </c>
      <c r="S40" s="61">
        <f>S21*('Demographic-Economic'!$G$12)</f>
        <v>1209740.0843543471</v>
      </c>
      <c r="T40" s="61">
        <f>T21*('Demographic-Economic'!$H$12)</f>
        <v>330050.53123606934</v>
      </c>
      <c r="W40">
        <v>2090</v>
      </c>
      <c r="X40" s="61">
        <f>X21*('Demographic-Economic'!C$12)</f>
        <v>7479532.7483035214</v>
      </c>
      <c r="Y40" s="61">
        <f>Y21*('Demographic-Economic'!D$12)</f>
        <v>5218353.4020568188</v>
      </c>
      <c r="Z40" s="61">
        <f>Z21*('Demographic-Economic'!E$12)</f>
        <v>6485426.6524859071</v>
      </c>
      <c r="AA40" s="61">
        <f>AA21*('Demographic-Economic'!F$12)</f>
        <v>1305432.7562712089</v>
      </c>
      <c r="AB40" s="61">
        <f>AB21*('Demographic-Economic'!G$12)</f>
        <v>1565566.3367738887</v>
      </c>
      <c r="AC40" s="61">
        <f>AC21*('Demographic-Economic'!H$12)</f>
        <v>428557.12863320764</v>
      </c>
      <c r="AG40">
        <v>2090</v>
      </c>
      <c r="AH40" s="61">
        <f>AH21*('Demographic-Economic'!C$12)</f>
        <v>4924013.1350542149</v>
      </c>
      <c r="AI40" s="61">
        <f>AI21*('Demographic-Economic'!D$12)</f>
        <v>3435407.2052041898</v>
      </c>
      <c r="AJ40" s="61">
        <f>AJ21*('Demographic-Economic'!E$12)</f>
        <v>4266860.859034935</v>
      </c>
      <c r="AK40" s="61">
        <f>AK21*('Demographic-Economic'!F$12)</f>
        <v>860225.6298116761</v>
      </c>
      <c r="AL40" s="61">
        <f>AL21*('Demographic-Economic'!G$12)</f>
        <v>1033354.799013981</v>
      </c>
      <c r="AM40" s="61">
        <f>AM21*('Demographic-Economic'!H$12)</f>
        <v>281181.5541217674</v>
      </c>
    </row>
    <row r="41" spans="5:39">
      <c r="E41">
        <v>2100</v>
      </c>
      <c r="F41" s="61">
        <f>F22*('Demographic-Economic'!$C$12)</f>
        <v>4359577.7390394993</v>
      </c>
      <c r="G41" s="61">
        <f>G22*('Demographic-Economic'!$D$12)</f>
        <v>3041609.4282370722</v>
      </c>
      <c r="H41" s="61">
        <f>H22*('Demographic-Economic'!$E$12)</f>
        <v>3777616.2572486629</v>
      </c>
      <c r="I41" s="61">
        <f>I22*('Demographic-Economic'!$F$12)</f>
        <v>761657.57088447339</v>
      </c>
      <c r="J41" s="61">
        <f>J22*('Demographic-Economic'!$G$12)</f>
        <v>915044.81468330545</v>
      </c>
      <c r="K41" s="61">
        <f>K22*('Demographic-Economic'!$H$12)</f>
        <v>248899.03036533156</v>
      </c>
      <c r="N41">
        <v>2100</v>
      </c>
      <c r="O41" s="61">
        <f>O22*('Demographic-Economic'!$C$12)</f>
        <v>5633878.6181055652</v>
      </c>
      <c r="P41" s="61">
        <f>P22*('Demographic-Economic'!$D$12)</f>
        <v>3930669.2868260578</v>
      </c>
      <c r="Q41" s="61">
        <f>Q22*('Demographic-Economic'!$E$12)</f>
        <v>4883328.1065548602</v>
      </c>
      <c r="R41" s="61">
        <f>R22*('Demographic-Economic'!$F$12)</f>
        <v>983847.60057107382</v>
      </c>
      <c r="S41" s="61">
        <f>S22*('Demographic-Economic'!$G$12)</f>
        <v>1180967.8877534869</v>
      </c>
      <c r="T41" s="61">
        <f>T22*('Demographic-Economic'!$H$12)</f>
        <v>322200.68076342763</v>
      </c>
      <c r="W41">
        <v>2100</v>
      </c>
      <c r="X41" s="61">
        <f>X22*('Demographic-Economic'!C$12)</f>
        <v>7781673.8073858544</v>
      </c>
      <c r="Y41" s="61">
        <f>Y22*('Demographic-Economic'!D$12)</f>
        <v>5429152.5089824433</v>
      </c>
      <c r="Z41" s="61">
        <f>Z22*('Demographic-Economic'!E$12)</f>
        <v>6747410.0869226819</v>
      </c>
      <c r="AA41" s="61">
        <f>AA22*('Demographic-Economic'!F$12)</f>
        <v>1358166.6433753215</v>
      </c>
      <c r="AB41" s="61">
        <f>AB22*('Demographic-Economic'!G$12)</f>
        <v>1628808.5053657435</v>
      </c>
      <c r="AC41" s="61">
        <f>AC22*('Demographic-Economic'!H$12)</f>
        <v>445868.99945186137</v>
      </c>
      <c r="AG41">
        <v>2100</v>
      </c>
      <c r="AH41" s="61">
        <f>AH22*('Demographic-Economic'!C$12)</f>
        <v>4641023.8744189152</v>
      </c>
      <c r="AI41" s="61">
        <f>AI22*('Demographic-Economic'!D$12)</f>
        <v>3237970.0095027993</v>
      </c>
      <c r="AJ41" s="61">
        <f>AJ22*('Demographic-Economic'!E$12)</f>
        <v>4021638.970584651</v>
      </c>
      <c r="AK41" s="61">
        <f>AK22*('Demographic-Economic'!F$12)</f>
        <v>810787.3752247981</v>
      </c>
      <c r="AL41" s="61">
        <f>AL22*('Demographic-Economic'!G$12)</f>
        <v>973966.59217409708</v>
      </c>
      <c r="AM41" s="61">
        <f>AM22*('Demographic-Economic'!H$12)</f>
        <v>265021.69468948193</v>
      </c>
    </row>
    <row r="42" spans="5:39">
      <c r="F42" s="581" t="s">
        <v>283</v>
      </c>
      <c r="G42" s="581"/>
      <c r="H42" s="581"/>
      <c r="I42" s="581"/>
      <c r="J42" s="581"/>
      <c r="K42" s="581"/>
      <c r="O42" s="581" t="s">
        <v>283</v>
      </c>
      <c r="P42" s="581"/>
      <c r="Q42" s="581"/>
      <c r="R42" s="581"/>
      <c r="S42" s="581"/>
      <c r="T42" s="581"/>
      <c r="X42" s="581" t="s">
        <v>283</v>
      </c>
      <c r="Y42" s="581"/>
      <c r="Z42" s="581"/>
      <c r="AA42" s="581"/>
      <c r="AB42" s="581"/>
      <c r="AC42" s="581"/>
      <c r="AH42" s="581" t="s">
        <v>283</v>
      </c>
      <c r="AI42" s="581"/>
      <c r="AJ42" s="581"/>
      <c r="AK42" s="581"/>
      <c r="AL42" s="581"/>
      <c r="AM42" s="581"/>
    </row>
    <row r="43" spans="5:39">
      <c r="E43">
        <v>2020</v>
      </c>
      <c r="F43" s="61">
        <f>F5-F24</f>
        <v>1437861.0240000002</v>
      </c>
      <c r="G43" s="61">
        <f>G5-G24</f>
        <v>728736.20400000038</v>
      </c>
      <c r="H43" s="61">
        <f t="shared" ref="H43:K43" si="0">H5-H24</f>
        <v>1073659.2599999998</v>
      </c>
      <c r="I43" s="61">
        <f t="shared" si="0"/>
        <v>221338.04399999999</v>
      </c>
      <c r="J43" s="61">
        <f t="shared" si="0"/>
        <v>304001.28000000003</v>
      </c>
      <c r="K43" s="61">
        <f t="shared" si="0"/>
        <v>53263.932000000001</v>
      </c>
      <c r="N43">
        <v>2020</v>
      </c>
      <c r="O43" s="61">
        <f>O5-O24</f>
        <v>1437861.0240000002</v>
      </c>
      <c r="P43" s="61">
        <f>P5-P24</f>
        <v>728736.20400000038</v>
      </c>
      <c r="Q43" s="61">
        <f t="shared" ref="Q43:T43" si="1">Q5-Q24</f>
        <v>1073659.2599999998</v>
      </c>
      <c r="R43" s="61">
        <f t="shared" si="1"/>
        <v>221338.04399999999</v>
      </c>
      <c r="S43" s="61">
        <f t="shared" si="1"/>
        <v>304001.28000000003</v>
      </c>
      <c r="T43" s="61">
        <f t="shared" si="1"/>
        <v>53263.932000000001</v>
      </c>
      <c r="W43">
        <v>2020</v>
      </c>
      <c r="X43" s="61">
        <f>X5-X24</f>
        <v>1437861.0240000002</v>
      </c>
      <c r="Y43" s="61">
        <f t="shared" ref="Y43:AC43" si="2">Y5-Y24</f>
        <v>728736.20400000038</v>
      </c>
      <c r="Z43" s="61">
        <f t="shared" si="2"/>
        <v>1073659.2599999998</v>
      </c>
      <c r="AA43" s="61">
        <f t="shared" si="2"/>
        <v>221338.04399999999</v>
      </c>
      <c r="AB43" s="61">
        <f t="shared" si="2"/>
        <v>304001.28000000003</v>
      </c>
      <c r="AC43" s="61">
        <f t="shared" si="2"/>
        <v>53263.932000000001</v>
      </c>
      <c r="AG43">
        <v>2020</v>
      </c>
      <c r="AH43" s="61">
        <f>AH5-AH24</f>
        <v>1437861.0240000002</v>
      </c>
      <c r="AI43" s="61">
        <f t="shared" ref="AI43:AM43" si="3">AI5-AI24</f>
        <v>728736.20400000038</v>
      </c>
      <c r="AJ43" s="61">
        <f t="shared" si="3"/>
        <v>1073659.2599999998</v>
      </c>
      <c r="AK43" s="61">
        <f t="shared" si="3"/>
        <v>221338.04399999999</v>
      </c>
      <c r="AL43" s="61">
        <f t="shared" si="3"/>
        <v>304001.28000000003</v>
      </c>
      <c r="AM43" s="61">
        <f t="shared" si="3"/>
        <v>53263.932000000001</v>
      </c>
    </row>
    <row r="44" spans="5:39">
      <c r="E44">
        <v>2021</v>
      </c>
      <c r="F44" s="61">
        <f t="shared" ref="F44:G60" si="4">F6-F25</f>
        <v>1445157.5047768019</v>
      </c>
      <c r="G44" s="61">
        <f t="shared" si="4"/>
        <v>731517.51513215341</v>
      </c>
      <c r="H44" s="61">
        <f t="shared" ref="H44:K44" si="5">H6-H25</f>
        <v>1082556.1519676601</v>
      </c>
      <c r="I44" s="61">
        <f t="shared" si="5"/>
        <v>223773.36521258333</v>
      </c>
      <c r="J44" s="61">
        <f t="shared" si="5"/>
        <v>306661.99150788749</v>
      </c>
      <c r="K44" s="61">
        <f t="shared" si="5"/>
        <v>53771.989447861211</v>
      </c>
      <c r="N44">
        <v>2021</v>
      </c>
      <c r="O44" s="61">
        <f t="shared" ref="O44:T60" si="6">O6-O25</f>
        <v>1448329.6819975032</v>
      </c>
      <c r="P44" s="61">
        <f t="shared" si="6"/>
        <v>733123.22467618296</v>
      </c>
      <c r="Q44" s="61">
        <f t="shared" si="6"/>
        <v>1084932.4050432253</v>
      </c>
      <c r="R44" s="61">
        <f t="shared" si="6"/>
        <v>224264.55649753369</v>
      </c>
      <c r="S44" s="61">
        <f t="shared" si="6"/>
        <v>307335.12656804582</v>
      </c>
      <c r="T44" s="61">
        <f t="shared" si="6"/>
        <v>53890.021066888527</v>
      </c>
      <c r="W44">
        <v>2021</v>
      </c>
      <c r="X44" s="61">
        <f t="shared" ref="X44:AC60" si="7">X6-X25</f>
        <v>1451170.3418128984</v>
      </c>
      <c r="Y44" s="61">
        <f t="shared" si="7"/>
        <v>734561.12497606361</v>
      </c>
      <c r="Z44" s="61">
        <f t="shared" si="7"/>
        <v>1087060.3210306792</v>
      </c>
      <c r="AA44" s="61">
        <f t="shared" si="7"/>
        <v>224704.41443980928</v>
      </c>
      <c r="AB44" s="61">
        <f t="shared" si="7"/>
        <v>307937.91373367049</v>
      </c>
      <c r="AC44" s="61">
        <f t="shared" si="7"/>
        <v>53995.717455768987</v>
      </c>
      <c r="AG44">
        <v>2021</v>
      </c>
      <c r="AH44" s="61">
        <f t="shared" ref="AH44:AM60" si="8">AH6-AH25</f>
        <v>1445574.0533340396</v>
      </c>
      <c r="AI44" s="61">
        <f t="shared" si="8"/>
        <v>731728.3658972187</v>
      </c>
      <c r="AJ44" s="61">
        <f t="shared" si="8"/>
        <v>1082868.1852247547</v>
      </c>
      <c r="AK44" s="61">
        <f t="shared" si="8"/>
        <v>223837.86508344125</v>
      </c>
      <c r="AL44" s="61">
        <f t="shared" si="8"/>
        <v>306750.38298750133</v>
      </c>
      <c r="AM44" s="61">
        <f t="shared" si="8"/>
        <v>53787.488550588954</v>
      </c>
    </row>
    <row r="45" spans="5:39">
      <c r="E45">
        <v>2022</v>
      </c>
      <c r="F45" s="61">
        <f t="shared" si="4"/>
        <v>1452433.4976938125</v>
      </c>
      <c r="G45" s="61">
        <f t="shared" si="4"/>
        <v>734280.36510737054</v>
      </c>
      <c r="H45" s="61">
        <f t="shared" ref="H45:K45" si="9">H7-H26</f>
        <v>1091596.777346293</v>
      </c>
      <c r="I45" s="61">
        <f t="shared" si="9"/>
        <v>226128.24715482281</v>
      </c>
      <c r="J45" s="61">
        <f t="shared" si="9"/>
        <v>309293.56666851183</v>
      </c>
      <c r="K45" s="61">
        <f t="shared" si="9"/>
        <v>54282.944210164133</v>
      </c>
      <c r="N45">
        <v>2022</v>
      </c>
      <c r="O45" s="61">
        <f t="shared" si="6"/>
        <v>1458769.9216921628</v>
      </c>
      <c r="P45" s="61">
        <f t="shared" si="6"/>
        <v>737483.75564770959</v>
      </c>
      <c r="Q45" s="61">
        <f t="shared" si="6"/>
        <v>1096351.3685882762</v>
      </c>
      <c r="R45" s="61">
        <f t="shared" si="6"/>
        <v>227122.06650552875</v>
      </c>
      <c r="S45" s="61">
        <f t="shared" si="6"/>
        <v>310642.17086515506</v>
      </c>
      <c r="T45" s="61">
        <f t="shared" si="6"/>
        <v>54520.658608110592</v>
      </c>
      <c r="W45">
        <v>2022</v>
      </c>
      <c r="X45" s="61">
        <f t="shared" si="7"/>
        <v>1464444.1396734146</v>
      </c>
      <c r="Y45" s="61">
        <f t="shared" si="7"/>
        <v>740352.36674597207</v>
      </c>
      <c r="Z45" s="61">
        <f t="shared" si="7"/>
        <v>1100608.7739514527</v>
      </c>
      <c r="AA45" s="61">
        <f t="shared" si="7"/>
        <v>228012.30500884331</v>
      </c>
      <c r="AB45" s="61">
        <f t="shared" si="7"/>
        <v>311849.80734062695</v>
      </c>
      <c r="AC45" s="61">
        <f t="shared" si="7"/>
        <v>54733.564540363819</v>
      </c>
      <c r="AG45">
        <v>2022</v>
      </c>
      <c r="AH45" s="61">
        <f t="shared" si="8"/>
        <v>1453265.553436894</v>
      </c>
      <c r="AI45" s="61">
        <f t="shared" si="8"/>
        <v>734701.01238367613</v>
      </c>
      <c r="AJ45" s="61">
        <f t="shared" si="8"/>
        <v>1092221.1367883072</v>
      </c>
      <c r="AK45" s="61">
        <f t="shared" si="8"/>
        <v>226258.73039651511</v>
      </c>
      <c r="AL45" s="61">
        <f t="shared" si="8"/>
        <v>309470.65794580802</v>
      </c>
      <c r="AM45" s="61">
        <f t="shared" si="8"/>
        <v>54314.156984928704</v>
      </c>
    </row>
    <row r="46" spans="5:39">
      <c r="E46">
        <v>2023</v>
      </c>
      <c r="F46" s="61">
        <f t="shared" si="4"/>
        <v>1459689.0425699288</v>
      </c>
      <c r="G46" s="61">
        <f t="shared" si="4"/>
        <v>737024.82884824183</v>
      </c>
      <c r="H46" s="61">
        <f t="shared" ref="H46:K46" si="10">H8-H27</f>
        <v>1100770.654423953</v>
      </c>
      <c r="I46" s="61">
        <f t="shared" si="10"/>
        <v>228410.65031442046</v>
      </c>
      <c r="J46" s="61">
        <f t="shared" si="10"/>
        <v>311899.01569410146</v>
      </c>
      <c r="K46" s="61">
        <f t="shared" si="10"/>
        <v>54796.666989453632</v>
      </c>
      <c r="N46">
        <v>2023</v>
      </c>
      <c r="O46" s="61">
        <f t="shared" si="6"/>
        <v>1469181.7977724569</v>
      </c>
      <c r="P46" s="61">
        <f t="shared" si="6"/>
        <v>741817.90194422426</v>
      </c>
      <c r="Q46" s="61">
        <f t="shared" si="6"/>
        <v>1107910.7353622313</v>
      </c>
      <c r="R46" s="61">
        <f t="shared" si="6"/>
        <v>229914.58102989371</v>
      </c>
      <c r="S46" s="61">
        <f t="shared" si="6"/>
        <v>313924.07877135021</v>
      </c>
      <c r="T46" s="61">
        <f t="shared" si="6"/>
        <v>55155.689330043504</v>
      </c>
      <c r="W46">
        <v>2023</v>
      </c>
      <c r="X46" s="61">
        <f t="shared" si="7"/>
        <v>1477682.4855856206</v>
      </c>
      <c r="Y46" s="61">
        <f t="shared" si="7"/>
        <v>746110.06129999971</v>
      </c>
      <c r="Z46" s="61">
        <f t="shared" si="7"/>
        <v>1114303.5230380679</v>
      </c>
      <c r="AA46" s="61">
        <f t="shared" si="7"/>
        <v>231262.44702263456</v>
      </c>
      <c r="AB46" s="61">
        <f t="shared" si="7"/>
        <v>315737.29152201372</v>
      </c>
      <c r="AC46" s="61">
        <f t="shared" si="7"/>
        <v>55477.355253438582</v>
      </c>
      <c r="AG46">
        <v>2023</v>
      </c>
      <c r="AH46" s="61">
        <f t="shared" si="8"/>
        <v>1460935.5660800338</v>
      </c>
      <c r="AI46" s="61">
        <f t="shared" si="8"/>
        <v>737654.22233541403</v>
      </c>
      <c r="AJ46" s="61">
        <f t="shared" si="8"/>
        <v>1101708.3109722929</v>
      </c>
      <c r="AK46" s="61">
        <f t="shared" si="8"/>
        <v>228608.06554966944</v>
      </c>
      <c r="AL46" s="61">
        <f t="shared" si="8"/>
        <v>312164.94676188333</v>
      </c>
      <c r="AM46" s="61">
        <f t="shared" si="8"/>
        <v>54843.800885302888</v>
      </c>
    </row>
    <row r="47" spans="5:39">
      <c r="E47">
        <v>2024</v>
      </c>
      <c r="F47" s="61">
        <f t="shared" si="4"/>
        <v>1466924.1791565148</v>
      </c>
      <c r="G47" s="61">
        <f t="shared" si="4"/>
        <v>739750.98101812741</v>
      </c>
      <c r="H47" s="61">
        <f t="shared" ref="H47:K47" si="11">H9-H28</f>
        <v>1110068.5756522645</v>
      </c>
      <c r="I47" s="61">
        <f t="shared" si="11"/>
        <v>230627.55761036708</v>
      </c>
      <c r="J47" s="61">
        <f t="shared" si="11"/>
        <v>314480.97701720404</v>
      </c>
      <c r="K47" s="61">
        <f t="shared" si="11"/>
        <v>55313.043767384312</v>
      </c>
      <c r="N47">
        <v>2024</v>
      </c>
      <c r="O47" s="61">
        <f t="shared" si="6"/>
        <v>1479565.3648345489</v>
      </c>
      <c r="P47" s="61">
        <f t="shared" si="6"/>
        <v>746125.76823578402</v>
      </c>
      <c r="Q47" s="61">
        <f t="shared" si="6"/>
        <v>1119605.3091793619</v>
      </c>
      <c r="R47" s="61">
        <f t="shared" si="6"/>
        <v>232645.93756077311</v>
      </c>
      <c r="S47" s="61">
        <f t="shared" si="6"/>
        <v>317182.44657163846</v>
      </c>
      <c r="T47" s="61">
        <f t="shared" si="6"/>
        <v>55794.966156055511</v>
      </c>
      <c r="W47">
        <v>2024</v>
      </c>
      <c r="X47" s="61">
        <f t="shared" si="7"/>
        <v>1490885.4474390782</v>
      </c>
      <c r="Y47" s="61">
        <f t="shared" si="7"/>
        <v>751834.34017896513</v>
      </c>
      <c r="Z47" s="61">
        <f t="shared" si="7"/>
        <v>1128143.1214859658</v>
      </c>
      <c r="AA47" s="61">
        <f t="shared" si="7"/>
        <v>234455.82615591993</v>
      </c>
      <c r="AB47" s="61">
        <f t="shared" si="7"/>
        <v>319600.81984107895</v>
      </c>
      <c r="AC47" s="61">
        <f t="shared" si="7"/>
        <v>56226.965132909128</v>
      </c>
      <c r="AG47">
        <v>2024</v>
      </c>
      <c r="AH47" s="61">
        <f t="shared" si="8"/>
        <v>1468584.132964137</v>
      </c>
      <c r="AI47" s="61">
        <f t="shared" si="8"/>
        <v>740588.07435606653</v>
      </c>
      <c r="AJ47" s="61">
        <f t="shared" si="8"/>
        <v>1111321.0157363028</v>
      </c>
      <c r="AK47" s="61">
        <f t="shared" si="8"/>
        <v>230892.4442662322</v>
      </c>
      <c r="AL47" s="61">
        <f t="shared" si="8"/>
        <v>314835.76339705556</v>
      </c>
      <c r="AM47" s="61">
        <f t="shared" si="8"/>
        <v>55376.298978811363</v>
      </c>
    </row>
    <row r="48" spans="5:39">
      <c r="E48">
        <v>2025</v>
      </c>
      <c r="F48" s="61">
        <f t="shared" si="4"/>
        <v>1474138.9471375048</v>
      </c>
      <c r="G48" s="61">
        <f t="shared" si="4"/>
        <v>742458.89602198312</v>
      </c>
      <c r="H48" s="61">
        <f t="shared" ref="H48:K48" si="12">H10-H29</f>
        <v>1119482.4203094798</v>
      </c>
      <c r="I48" s="61">
        <f t="shared" si="12"/>
        <v>232785.11813445331</v>
      </c>
      <c r="J48" s="61">
        <f t="shared" si="12"/>
        <v>317041.7719675292</v>
      </c>
      <c r="K48" s="61">
        <f t="shared" si="12"/>
        <v>55831.973582573526</v>
      </c>
      <c r="N48">
        <v>2025</v>
      </c>
      <c r="O48" s="61">
        <f t="shared" si="6"/>
        <v>1489920.6773824254</v>
      </c>
      <c r="P48" s="61">
        <f t="shared" si="6"/>
        <v>750407.45883399853</v>
      </c>
      <c r="Q48" s="61">
        <f t="shared" si="6"/>
        <v>1131430.1209905422</v>
      </c>
      <c r="R48" s="61">
        <f t="shared" si="6"/>
        <v>235319.79843338009</v>
      </c>
      <c r="S48" s="61">
        <f t="shared" si="6"/>
        <v>320418.79826246703</v>
      </c>
      <c r="T48" s="61">
        <f t="shared" si="6"/>
        <v>56438.350144569122</v>
      </c>
      <c r="W48">
        <v>2025</v>
      </c>
      <c r="X48" s="61">
        <f t="shared" si="7"/>
        <v>1504053.0930090183</v>
      </c>
      <c r="Y48" s="61">
        <f t="shared" si="7"/>
        <v>757525.33447565231</v>
      </c>
      <c r="Z48" s="61">
        <f t="shared" si="7"/>
        <v>1142125.8151567038</v>
      </c>
      <c r="AA48" s="61">
        <f t="shared" si="7"/>
        <v>237593.65017545642</v>
      </c>
      <c r="AB48" s="61">
        <f t="shared" si="7"/>
        <v>323440.9530252649</v>
      </c>
      <c r="AC48" s="61">
        <f t="shared" si="7"/>
        <v>56982.264857965114</v>
      </c>
      <c r="AG48">
        <v>2025</v>
      </c>
      <c r="AH48" s="61">
        <f t="shared" si="8"/>
        <v>1476211.2957192091</v>
      </c>
      <c r="AI48" s="61">
        <f t="shared" si="8"/>
        <v>743502.64677772578</v>
      </c>
      <c r="AJ48" s="61">
        <f t="shared" si="8"/>
        <v>1121051.5198400631</v>
      </c>
      <c r="AK48" s="61">
        <f t="shared" si="8"/>
        <v>233117.70403016487</v>
      </c>
      <c r="AL48" s="61">
        <f t="shared" si="8"/>
        <v>317485.33839804574</v>
      </c>
      <c r="AM48" s="61">
        <f t="shared" si="8"/>
        <v>55911.543098954135</v>
      </c>
    </row>
    <row r="49" spans="5:39">
      <c r="E49">
        <v>2026</v>
      </c>
      <c r="F49" s="61">
        <f t="shared" si="4"/>
        <v>1481333.3861295134</v>
      </c>
      <c r="G49" s="61">
        <f t="shared" si="4"/>
        <v>745148.64800718799</v>
      </c>
      <c r="H49" s="61">
        <f t="shared" ref="H49:K49" si="13">H11-H30</f>
        <v>1129004.9990806151</v>
      </c>
      <c r="I49" s="61">
        <f t="shared" si="13"/>
        <v>234888.76640975126</v>
      </c>
      <c r="J49" s="61">
        <f t="shared" si="13"/>
        <v>319583.4501331182</v>
      </c>
      <c r="K49" s="61">
        <f t="shared" si="13"/>
        <v>56353.366681873624</v>
      </c>
      <c r="N49">
        <v>2026</v>
      </c>
      <c r="O49" s="61">
        <f t="shared" si="6"/>
        <v>1500247.78982805</v>
      </c>
      <c r="P49" s="61">
        <f t="shared" si="6"/>
        <v>754663.0776931704</v>
      </c>
      <c r="Q49" s="61">
        <f t="shared" si="6"/>
        <v>1143380.4329556176</v>
      </c>
      <c r="R49" s="61">
        <f t="shared" si="6"/>
        <v>237939.64816428069</v>
      </c>
      <c r="S49" s="61">
        <f t="shared" si="6"/>
        <v>323634.58414894191</v>
      </c>
      <c r="T49" s="61">
        <f t="shared" si="6"/>
        <v>57085.710326361645</v>
      </c>
      <c r="W49">
        <v>2026</v>
      </c>
      <c r="X49" s="61">
        <f t="shared" si="7"/>
        <v>1517185.4899565214</v>
      </c>
      <c r="Y49" s="61">
        <f t="shared" si="7"/>
        <v>763183.17483623046</v>
      </c>
      <c r="Z49" s="61">
        <f t="shared" si="7"/>
        <v>1156249.5860494059</v>
      </c>
      <c r="AA49" s="61">
        <f t="shared" si="7"/>
        <v>240677.31694170251</v>
      </c>
      <c r="AB49" s="61">
        <f t="shared" si="7"/>
        <v>327258.3434144794</v>
      </c>
      <c r="AC49" s="61">
        <f t="shared" si="7"/>
        <v>57743.121755578672</v>
      </c>
      <c r="AG49">
        <v>2026</v>
      </c>
      <c r="AH49" s="61">
        <f t="shared" si="8"/>
        <v>1483817.0959046856</v>
      </c>
      <c r="AI49" s="61">
        <f t="shared" si="8"/>
        <v>746398.01766181178</v>
      </c>
      <c r="AJ49" s="61">
        <f t="shared" si="8"/>
        <v>1130892.9254955989</v>
      </c>
      <c r="AK49" s="61">
        <f t="shared" si="8"/>
        <v>235289.04370257782</v>
      </c>
      <c r="AL49" s="61">
        <f t="shared" si="8"/>
        <v>320115.65646721597</v>
      </c>
      <c r="AM49" s="61">
        <f t="shared" si="8"/>
        <v>56449.436460785335</v>
      </c>
    </row>
    <row r="50" spans="5:39">
      <c r="E50">
        <v>2027</v>
      </c>
      <c r="F50" s="61">
        <f t="shared" si="4"/>
        <v>1488507.5356819369</v>
      </c>
      <c r="G50" s="61">
        <f t="shared" si="4"/>
        <v>747820.31086436659</v>
      </c>
      <c r="H50" s="61">
        <f t="shared" ref="H50:K50" si="14">H12-H31</f>
        <v>1138629.9244078333</v>
      </c>
      <c r="I50" s="61">
        <f t="shared" si="14"/>
        <v>236943.32187971205</v>
      </c>
      <c r="J50" s="61">
        <f t="shared" si="14"/>
        <v>322107.82720014476</v>
      </c>
      <c r="K50" s="61">
        <f t="shared" si="14"/>
        <v>56877.14297415223</v>
      </c>
      <c r="N50">
        <v>2027</v>
      </c>
      <c r="O50" s="61">
        <f t="shared" si="6"/>
        <v>1510546.7564915027</v>
      </c>
      <c r="P50" s="61">
        <f t="shared" si="6"/>
        <v>758892.72841142863</v>
      </c>
      <c r="Q50" s="61">
        <f t="shared" si="6"/>
        <v>1155451.739220731</v>
      </c>
      <c r="R50" s="61">
        <f t="shared" si="6"/>
        <v>240508.7932467541</v>
      </c>
      <c r="S50" s="61">
        <f t="shared" si="6"/>
        <v>326831.18051279429</v>
      </c>
      <c r="T50" s="61">
        <f t="shared" si="6"/>
        <v>57736.923478839861</v>
      </c>
      <c r="W50">
        <v>2027</v>
      </c>
      <c r="X50" s="61">
        <f t="shared" si="7"/>
        <v>1530282.7058286984</v>
      </c>
      <c r="Y50" s="61">
        <f t="shared" si="7"/>
        <v>768807.9914616649</v>
      </c>
      <c r="Z50" s="61">
        <f t="shared" si="7"/>
        <v>1170512.194656292</v>
      </c>
      <c r="AA50" s="61">
        <f t="shared" si="7"/>
        <v>243708.38329051691</v>
      </c>
      <c r="AB50" s="61">
        <f t="shared" si="7"/>
        <v>331053.71985075076</v>
      </c>
      <c r="AC50" s="61">
        <f t="shared" si="7"/>
        <v>58509.401191601122</v>
      </c>
      <c r="AG50">
        <v>2027</v>
      </c>
      <c r="AH50" s="61">
        <f t="shared" si="8"/>
        <v>1491401.5750095481</v>
      </c>
      <c r="AI50" s="61">
        <f t="shared" si="8"/>
        <v>749274.26479993528</v>
      </c>
      <c r="AJ50" s="61">
        <f t="shared" si="8"/>
        <v>1140839.0604268569</v>
      </c>
      <c r="AK50" s="61">
        <f t="shared" si="8"/>
        <v>237411.10626499995</v>
      </c>
      <c r="AL50" s="61">
        <f t="shared" si="8"/>
        <v>322728.48830815125</v>
      </c>
      <c r="AM50" s="61">
        <f t="shared" si="8"/>
        <v>56989.892195556662</v>
      </c>
    </row>
    <row r="51" spans="5:39">
      <c r="E51">
        <v>2028</v>
      </c>
      <c r="F51" s="61">
        <f t="shared" si="4"/>
        <v>1495661.4352770625</v>
      </c>
      <c r="G51" s="61">
        <f t="shared" si="4"/>
        <v>750473.95822820952</v>
      </c>
      <c r="H51" s="61">
        <f t="shared" ref="H51:K51" si="15">H13-H32</f>
        <v>1148351.5017781095</v>
      </c>
      <c r="I51" s="61">
        <f t="shared" si="15"/>
        <v>238953.07233429898</v>
      </c>
      <c r="J51" s="61">
        <f t="shared" si="15"/>
        <v>324616.51668206719</v>
      </c>
      <c r="K51" s="61">
        <f t="shared" si="15"/>
        <v>57403.230730628071</v>
      </c>
      <c r="N51">
        <v>2028</v>
      </c>
      <c r="O51" s="61">
        <f t="shared" si="6"/>
        <v>1520817.6316011241</v>
      </c>
      <c r="P51" s="61">
        <f t="shared" si="6"/>
        <v>763096.51423186064</v>
      </c>
      <c r="Q51" s="61">
        <f t="shared" si="6"/>
        <v>1167639.7640106147</v>
      </c>
      <c r="R51" s="61">
        <f t="shared" si="6"/>
        <v>243030.36394411779</v>
      </c>
      <c r="S51" s="61">
        <f t="shared" si="6"/>
        <v>330009.89015413763</v>
      </c>
      <c r="T51" s="61">
        <f t="shared" si="6"/>
        <v>58391.873852679797</v>
      </c>
      <c r="W51">
        <v>2028</v>
      </c>
      <c r="X51" s="61">
        <f t="shared" si="7"/>
        <v>1543344.8080588663</v>
      </c>
      <c r="Y51" s="61">
        <f t="shared" si="7"/>
        <v>774399.91410912899</v>
      </c>
      <c r="Z51" s="61">
        <f t="shared" si="7"/>
        <v>1184911.2205047933</v>
      </c>
      <c r="AA51" s="61">
        <f t="shared" si="7"/>
        <v>246688.53529994574</v>
      </c>
      <c r="AB51" s="61">
        <f t="shared" si="7"/>
        <v>334827.87325277226</v>
      </c>
      <c r="AC51" s="61">
        <f t="shared" si="7"/>
        <v>59280.967833194823</v>
      </c>
      <c r="AG51">
        <v>2028</v>
      </c>
      <c r="AH51" s="61">
        <f t="shared" si="8"/>
        <v>1498964.7744524367</v>
      </c>
      <c r="AI51" s="61">
        <f t="shared" si="8"/>
        <v>752131.46571475826</v>
      </c>
      <c r="AJ51" s="61">
        <f t="shared" si="8"/>
        <v>1150884.3860123316</v>
      </c>
      <c r="AK51" s="61">
        <f t="shared" si="8"/>
        <v>239488.0492362713</v>
      </c>
      <c r="AL51" s="61">
        <f t="shared" si="8"/>
        <v>325325.41772722069</v>
      </c>
      <c r="AM51" s="61">
        <f t="shared" si="8"/>
        <v>57532.832101073815</v>
      </c>
    </row>
    <row r="52" spans="5:39">
      <c r="E52">
        <v>2029</v>
      </c>
      <c r="F52" s="61">
        <f t="shared" si="4"/>
        <v>1502795.124330177</v>
      </c>
      <c r="G52" s="61">
        <f t="shared" si="4"/>
        <v>753109.6634782902</v>
      </c>
      <c r="H52" s="61">
        <f t="shared" ref="H52:K52" si="16">H14-H33</f>
        <v>1158164.6381217623</v>
      </c>
      <c r="I52" s="61">
        <f t="shared" si="16"/>
        <v>240921.8442079064</v>
      </c>
      <c r="J52" s="61">
        <f t="shared" si="16"/>
        <v>327110.95665500429</v>
      </c>
      <c r="K52" s="61">
        <f t="shared" si="16"/>
        <v>57931.565487305634</v>
      </c>
      <c r="N52">
        <v>2029</v>
      </c>
      <c r="O52" s="61">
        <f t="shared" si="6"/>
        <v>1531060.4692936651</v>
      </c>
      <c r="P52" s="61">
        <f t="shared" si="6"/>
        <v>767274.53804363729</v>
      </c>
      <c r="Q52" s="61">
        <f t="shared" si="6"/>
        <v>1179940.4575736085</v>
      </c>
      <c r="R52" s="61">
        <f t="shared" si="6"/>
        <v>245507.31767515885</v>
      </c>
      <c r="S52" s="61">
        <f t="shared" si="6"/>
        <v>333171.94363322924</v>
      </c>
      <c r="T52" s="61">
        <f t="shared" si="6"/>
        <v>59050.452863993938</v>
      </c>
      <c r="W52">
        <v>2029</v>
      </c>
      <c r="X52" s="61">
        <f t="shared" si="7"/>
        <v>1556371.8639667314</v>
      </c>
      <c r="Y52" s="61">
        <f t="shared" si="7"/>
        <v>779959.07209340995</v>
      </c>
      <c r="Z52" s="61">
        <f t="shared" si="7"/>
        <v>1199444.1003352674</v>
      </c>
      <c r="AA52" s="61">
        <f t="shared" si="7"/>
        <v>249619.5603391371</v>
      </c>
      <c r="AB52" s="61">
        <f t="shared" si="7"/>
        <v>338581.64306628704</v>
      </c>
      <c r="AC52" s="61">
        <f t="shared" si="7"/>
        <v>60057.686774636328</v>
      </c>
      <c r="AG52">
        <v>2029</v>
      </c>
      <c r="AH52" s="61">
        <f t="shared" si="8"/>
        <v>1506506.7355817575</v>
      </c>
      <c r="AI52" s="61">
        <f t="shared" si="8"/>
        <v>754969.69766085176</v>
      </c>
      <c r="AJ52" s="61">
        <f t="shared" si="8"/>
        <v>1161023.918815786</v>
      </c>
      <c r="AK52" s="61">
        <f t="shared" si="8"/>
        <v>241523.60482783313</v>
      </c>
      <c r="AL52" s="61">
        <f t="shared" si="8"/>
        <v>327907.86478604691</v>
      </c>
      <c r="AM52" s="61">
        <f t="shared" si="8"/>
        <v>58078.185572145798</v>
      </c>
    </row>
    <row r="53" spans="5:39">
      <c r="E53">
        <v>2030</v>
      </c>
      <c r="F53" s="61">
        <f t="shared" si="4"/>
        <v>1509908.6421896657</v>
      </c>
      <c r="G53" s="61">
        <f t="shared" si="4"/>
        <v>755727.49973988207</v>
      </c>
      <c r="H53" s="61">
        <f t="shared" ref="H53:K53" si="17">H15-H34</f>
        <v>1168064.7642724132</v>
      </c>
      <c r="I53" s="61">
        <f t="shared" si="17"/>
        <v>242853.06208806031</v>
      </c>
      <c r="J53" s="61">
        <f t="shared" si="17"/>
        <v>329592.43238938239</v>
      </c>
      <c r="K53" s="61">
        <f t="shared" si="17"/>
        <v>58462.089113964175</v>
      </c>
      <c r="N53">
        <v>2030</v>
      </c>
      <c r="O53" s="61">
        <f t="shared" si="6"/>
        <v>1541275.323614426</v>
      </c>
      <c r="P53" s="61">
        <f t="shared" si="6"/>
        <v>771426.90238314169</v>
      </c>
      <c r="Q53" s="61">
        <f t="shared" si="6"/>
        <v>1192349.9904472865</v>
      </c>
      <c r="R53" s="61">
        <f t="shared" si="6"/>
        <v>247942.44363913313</v>
      </c>
      <c r="S53" s="61">
        <f t="shared" si="6"/>
        <v>336318.50106091239</v>
      </c>
      <c r="T53" s="61">
        <f t="shared" si="6"/>
        <v>59712.55876312108</v>
      </c>
      <c r="W53">
        <v>2030</v>
      </c>
      <c r="X53" s="61">
        <f t="shared" si="7"/>
        <v>1569363.9407585654</v>
      </c>
      <c r="Y53" s="61">
        <f t="shared" si="7"/>
        <v>785485.59428830631</v>
      </c>
      <c r="Z53" s="61">
        <f t="shared" si="7"/>
        <v>1214108.1635060469</v>
      </c>
      <c r="AA53" s="61">
        <f t="shared" si="7"/>
        <v>252503.32119159389</v>
      </c>
      <c r="AB53" s="61">
        <f t="shared" si="7"/>
        <v>342315.90473035071</v>
      </c>
      <c r="AC53" s="61">
        <f t="shared" si="7"/>
        <v>60839.424523257301</v>
      </c>
      <c r="AG53">
        <v>2030</v>
      </c>
      <c r="AH53" s="61">
        <f t="shared" si="8"/>
        <v>1514027.4996757945</v>
      </c>
      <c r="AI53" s="61">
        <f t="shared" si="8"/>
        <v>757789.03762555402</v>
      </c>
      <c r="AJ53" s="61">
        <f t="shared" si="8"/>
        <v>1171253.1633095564</v>
      </c>
      <c r="AK53" s="61">
        <f t="shared" si="8"/>
        <v>243521.13151970017</v>
      </c>
      <c r="AL53" s="61">
        <f t="shared" si="8"/>
        <v>330477.10565248411</v>
      </c>
      <c r="AM53" s="61">
        <f t="shared" si="8"/>
        <v>58625.888682009361</v>
      </c>
    </row>
    <row r="54" spans="5:39">
      <c r="E54">
        <v>2040</v>
      </c>
      <c r="F54" s="61">
        <f t="shared" si="4"/>
        <v>1552082.1140349442</v>
      </c>
      <c r="G54" s="61">
        <f t="shared" si="4"/>
        <v>767002.46646987181</v>
      </c>
      <c r="H54" s="61">
        <f t="shared" ref="H54:K54" si="18">H16-H35</f>
        <v>1247209.3648213632</v>
      </c>
      <c r="I54" s="61">
        <f t="shared" si="18"/>
        <v>257457.51050797687</v>
      </c>
      <c r="J54" s="61">
        <f t="shared" si="18"/>
        <v>348331.48798516043</v>
      </c>
      <c r="K54" s="61">
        <f t="shared" si="18"/>
        <v>62764.853508104337</v>
      </c>
      <c r="N54">
        <v>2040</v>
      </c>
      <c r="O54" s="61">
        <f t="shared" si="6"/>
        <v>1619668.5797080714</v>
      </c>
      <c r="P54" s="61">
        <f t="shared" si="6"/>
        <v>800402.10776623711</v>
      </c>
      <c r="Q54" s="61">
        <f t="shared" si="6"/>
        <v>1301924.5998367369</v>
      </c>
      <c r="R54" s="61">
        <f t="shared" si="6"/>
        <v>268548.07060478756</v>
      </c>
      <c r="S54" s="61">
        <f t="shared" si="6"/>
        <v>363025.27481563715</v>
      </c>
      <c r="T54" s="61">
        <f t="shared" si="6"/>
        <v>65609.718139122648</v>
      </c>
      <c r="W54">
        <v>2040</v>
      </c>
      <c r="X54" s="61">
        <f t="shared" si="7"/>
        <v>1686328.579939073</v>
      </c>
      <c r="Y54" s="61">
        <f t="shared" si="7"/>
        <v>833343.91163712973</v>
      </c>
      <c r="Z54" s="61">
        <f t="shared" si="7"/>
        <v>1355993.2916162154</v>
      </c>
      <c r="AA54" s="61">
        <f t="shared" si="7"/>
        <v>279445.91971024883</v>
      </c>
      <c r="AB54" s="61">
        <f t="shared" si="7"/>
        <v>377415.13286396163</v>
      </c>
      <c r="AC54" s="61">
        <f t="shared" si="7"/>
        <v>68438.345665590314</v>
      </c>
      <c r="AG54">
        <v>2040</v>
      </c>
      <c r="AH54" s="61">
        <f t="shared" si="8"/>
        <v>1560106.597492015</v>
      </c>
      <c r="AI54" s="61">
        <f t="shared" si="8"/>
        <v>770967.97741034627</v>
      </c>
      <c r="AJ54" s="61">
        <f t="shared" si="8"/>
        <v>1253703.4127139766</v>
      </c>
      <c r="AK54" s="61">
        <f t="shared" si="8"/>
        <v>258775.39660839562</v>
      </c>
      <c r="AL54" s="61">
        <f t="shared" si="8"/>
        <v>350077.85084563191</v>
      </c>
      <c r="AM54" s="61">
        <f t="shared" si="8"/>
        <v>63102.264482056373</v>
      </c>
    </row>
    <row r="55" spans="5:39">
      <c r="E55">
        <v>2050</v>
      </c>
      <c r="F55" s="61">
        <f t="shared" si="4"/>
        <v>1577980.9812536435</v>
      </c>
      <c r="G55" s="61">
        <f t="shared" si="4"/>
        <v>779801.07735256338</v>
      </c>
      <c r="H55" s="61">
        <f t="shared" ref="H55:K55" si="19">H17-H36</f>
        <v>1268020.9632808371</v>
      </c>
      <c r="I55" s="61">
        <f t="shared" si="19"/>
        <v>261753.58338892041</v>
      </c>
      <c r="J55" s="61">
        <f t="shared" si="19"/>
        <v>354143.93236155156</v>
      </c>
      <c r="K55" s="61">
        <f t="shared" si="19"/>
        <v>63812.181218609039</v>
      </c>
      <c r="N55">
        <v>2050</v>
      </c>
      <c r="O55" s="61">
        <f t="shared" si="6"/>
        <v>1689688.381788739</v>
      </c>
      <c r="P55" s="61">
        <f t="shared" si="6"/>
        <v>835004.24666853156</v>
      </c>
      <c r="Q55" s="61">
        <f t="shared" si="6"/>
        <v>1358208.0296362769</v>
      </c>
      <c r="R55" s="61">
        <f t="shared" si="6"/>
        <v>280157.65727484669</v>
      </c>
      <c r="S55" s="61">
        <f t="shared" si="6"/>
        <v>378719.20023428812</v>
      </c>
      <c r="T55" s="61">
        <f t="shared" si="6"/>
        <v>68446.088206570537</v>
      </c>
      <c r="W55">
        <v>2050</v>
      </c>
      <c r="X55" s="61">
        <f t="shared" si="7"/>
        <v>1813804.8224830627</v>
      </c>
      <c r="Y55" s="61">
        <f t="shared" si="7"/>
        <v>896339.671696092</v>
      </c>
      <c r="Z55" s="61">
        <f t="shared" si="7"/>
        <v>1458498.1840710053</v>
      </c>
      <c r="AA55" s="61">
        <f t="shared" si="7"/>
        <v>300570.34128661756</v>
      </c>
      <c r="AB55" s="61">
        <f t="shared" si="7"/>
        <v>405945.43448434747</v>
      </c>
      <c r="AC55" s="61">
        <f t="shared" si="7"/>
        <v>73611.870715904923</v>
      </c>
      <c r="AG55">
        <v>2050</v>
      </c>
      <c r="AH55" s="61">
        <f t="shared" si="8"/>
        <v>1593537.4531525578</v>
      </c>
      <c r="AI55" s="61">
        <f t="shared" si="8"/>
        <v>787488.71978342487</v>
      </c>
      <c r="AJ55" s="61">
        <f t="shared" si="8"/>
        <v>1280568.4858435616</v>
      </c>
      <c r="AK55" s="61">
        <f t="shared" si="8"/>
        <v>264320.58367857547</v>
      </c>
      <c r="AL55" s="61">
        <f t="shared" si="8"/>
        <v>357579.51907803817</v>
      </c>
      <c r="AM55" s="61">
        <f t="shared" si="8"/>
        <v>64454.455863814685</v>
      </c>
    </row>
    <row r="56" spans="5:39">
      <c r="E56">
        <v>2060</v>
      </c>
      <c r="F56" s="61">
        <f t="shared" si="4"/>
        <v>1570581.3049054444</v>
      </c>
      <c r="G56" s="61">
        <f t="shared" si="4"/>
        <v>776144.33138608001</v>
      </c>
      <c r="H56" s="61">
        <f t="shared" ref="H56:K56" si="20">H18-H37</f>
        <v>1262074.7922924161</v>
      </c>
      <c r="I56" s="61">
        <f t="shared" si="20"/>
        <v>260526.13399436511</v>
      </c>
      <c r="J56" s="61">
        <f t="shared" si="20"/>
        <v>352483.23396829702</v>
      </c>
      <c r="K56" s="61">
        <f t="shared" si="20"/>
        <v>63512.94472989341</v>
      </c>
      <c r="N56">
        <v>2060</v>
      </c>
      <c r="O56" s="61">
        <f t="shared" si="6"/>
        <v>1728383.5355701605</v>
      </c>
      <c r="P56" s="61">
        <f t="shared" si="6"/>
        <v>854126.48132506292</v>
      </c>
      <c r="Q56" s="61">
        <f t="shared" si="6"/>
        <v>1389312.0303149708</v>
      </c>
      <c r="R56" s="61">
        <f t="shared" si="6"/>
        <v>286573.48148724774</v>
      </c>
      <c r="S56" s="61">
        <f t="shared" si="6"/>
        <v>387392.15901827952</v>
      </c>
      <c r="T56" s="61">
        <f t="shared" si="6"/>
        <v>70013.555875423306</v>
      </c>
      <c r="W56">
        <v>2060</v>
      </c>
      <c r="X56" s="61">
        <f t="shared" si="7"/>
        <v>1924891.2624142552</v>
      </c>
      <c r="Y56" s="61">
        <f t="shared" si="7"/>
        <v>951235.97689033113</v>
      </c>
      <c r="Z56" s="61">
        <f t="shared" si="7"/>
        <v>1547823.8760673217</v>
      </c>
      <c r="AA56" s="61">
        <f t="shared" si="7"/>
        <v>318978.7658031676</v>
      </c>
      <c r="AB56" s="61">
        <f t="shared" si="7"/>
        <v>430807.55446782662</v>
      </c>
      <c r="AC56" s="61">
        <f t="shared" si="7"/>
        <v>78120.228259750525</v>
      </c>
      <c r="AG56">
        <v>2060</v>
      </c>
      <c r="AH56" s="61">
        <f t="shared" si="8"/>
        <v>1595394.7229114771</v>
      </c>
      <c r="AI56" s="61">
        <f t="shared" si="8"/>
        <v>788406.53880415158</v>
      </c>
      <c r="AJ56" s="61">
        <f t="shared" si="8"/>
        <v>1282060.9899063166</v>
      </c>
      <c r="AK56" s="61">
        <f t="shared" si="8"/>
        <v>264628.64962691884</v>
      </c>
      <c r="AL56" s="61">
        <f t="shared" si="8"/>
        <v>357996.27842428302</v>
      </c>
      <c r="AM56" s="61">
        <f t="shared" si="8"/>
        <v>64529.577607245708</v>
      </c>
    </row>
    <row r="57" spans="5:39">
      <c r="E57">
        <v>2070</v>
      </c>
      <c r="F57" s="61">
        <f t="shared" si="4"/>
        <v>1535432.8422514945</v>
      </c>
      <c r="G57" s="61">
        <f t="shared" si="4"/>
        <v>758774.78804528434</v>
      </c>
      <c r="H57" s="61">
        <f t="shared" ref="H57:K57" si="21">H19-H38</f>
        <v>1233830.4800974159</v>
      </c>
      <c r="I57" s="61">
        <f t="shared" si="21"/>
        <v>254695.74937022745</v>
      </c>
      <c r="J57" s="61">
        <f t="shared" si="21"/>
        <v>344594.91660033748</v>
      </c>
      <c r="K57" s="61">
        <f t="shared" si="21"/>
        <v>62091.571408494143</v>
      </c>
      <c r="N57">
        <v>2070</v>
      </c>
      <c r="O57" s="61">
        <f t="shared" si="6"/>
        <v>1743124.5465345122</v>
      </c>
      <c r="P57" s="61">
        <f t="shared" si="6"/>
        <v>861411.14214659855</v>
      </c>
      <c r="Q57" s="61">
        <f t="shared" si="6"/>
        <v>1401161.1734306635</v>
      </c>
      <c r="R57" s="61">
        <f t="shared" si="6"/>
        <v>289017.60499673395</v>
      </c>
      <c r="S57" s="61">
        <f t="shared" si="6"/>
        <v>390696.14331694297</v>
      </c>
      <c r="T57" s="61">
        <f t="shared" si="6"/>
        <v>70610.686415938602</v>
      </c>
      <c r="W57">
        <v>2070</v>
      </c>
      <c r="X57" s="61">
        <f t="shared" si="7"/>
        <v>2025051.1672702469</v>
      </c>
      <c r="Y57" s="61">
        <f t="shared" si="7"/>
        <v>1000732.6455080863</v>
      </c>
      <c r="Z57" s="61">
        <f t="shared" si="7"/>
        <v>1628363.4344246564</v>
      </c>
      <c r="AA57" s="61">
        <f t="shared" si="7"/>
        <v>335576.52561317151</v>
      </c>
      <c r="AB57" s="61">
        <f t="shared" si="7"/>
        <v>453224.22002670122</v>
      </c>
      <c r="AC57" s="61">
        <f t="shared" si="7"/>
        <v>82185.140799283399</v>
      </c>
      <c r="AG57">
        <v>2070</v>
      </c>
      <c r="AH57" s="61">
        <f t="shared" si="8"/>
        <v>1571250.2160455296</v>
      </c>
      <c r="AI57" s="61">
        <f t="shared" si="8"/>
        <v>776474.89153470611</v>
      </c>
      <c r="AJ57" s="61">
        <f t="shared" si="8"/>
        <v>1262658.4370905049</v>
      </c>
      <c r="AK57" s="61">
        <f t="shared" si="8"/>
        <v>260623.79229845561</v>
      </c>
      <c r="AL57" s="61">
        <f t="shared" si="8"/>
        <v>352578.40692310059</v>
      </c>
      <c r="AM57" s="61">
        <f t="shared" si="8"/>
        <v>63552.994942642457</v>
      </c>
    </row>
    <row r="58" spans="5:39">
      <c r="E58">
        <v>2080</v>
      </c>
      <c r="F58" s="61">
        <f t="shared" si="4"/>
        <v>1474385.5123788444</v>
      </c>
      <c r="G58" s="61">
        <f t="shared" si="4"/>
        <v>728606.63382179709</v>
      </c>
      <c r="H58" s="61">
        <f t="shared" ref="H58:K58" si="22">H20-H39</f>
        <v>1184774.5694429399</v>
      </c>
      <c r="I58" s="61">
        <f t="shared" si="22"/>
        <v>244569.29186514602</v>
      </c>
      <c r="J58" s="61">
        <f t="shared" si="22"/>
        <v>330894.15485598659</v>
      </c>
      <c r="K58" s="61">
        <f t="shared" si="22"/>
        <v>59622.870376590174</v>
      </c>
      <c r="N58">
        <v>2080</v>
      </c>
      <c r="O58" s="61">
        <f t="shared" si="6"/>
        <v>1733911.4146817923</v>
      </c>
      <c r="P58" s="61">
        <f t="shared" si="6"/>
        <v>856858.2291331389</v>
      </c>
      <c r="Q58" s="61">
        <f t="shared" si="6"/>
        <v>1393755.4589833552</v>
      </c>
      <c r="R58" s="61">
        <f t="shared" si="6"/>
        <v>287490.02780330507</v>
      </c>
      <c r="S58" s="61">
        <f t="shared" si="6"/>
        <v>388631.15313027846</v>
      </c>
      <c r="T58" s="61">
        <f t="shared" si="6"/>
        <v>70237.479828116542</v>
      </c>
      <c r="W58">
        <v>2080</v>
      </c>
      <c r="X58" s="61">
        <f t="shared" si="7"/>
        <v>2117926.71540944</v>
      </c>
      <c r="Y58" s="61">
        <f t="shared" si="7"/>
        <v>1046629.5564081883</v>
      </c>
      <c r="Z58" s="61">
        <f t="shared" si="7"/>
        <v>1703045.570356003</v>
      </c>
      <c r="AA58" s="61">
        <f t="shared" si="7"/>
        <v>350967.17561881151</v>
      </c>
      <c r="AB58" s="61">
        <f t="shared" si="7"/>
        <v>474010.58263583947</v>
      </c>
      <c r="AC58" s="61">
        <f t="shared" si="7"/>
        <v>85954.423335941217</v>
      </c>
      <c r="AG58">
        <v>2080</v>
      </c>
      <c r="AH58" s="61">
        <f t="shared" si="8"/>
        <v>1522961.2023136336</v>
      </c>
      <c r="AI58" s="61">
        <f t="shared" si="8"/>
        <v>752611.59699581424</v>
      </c>
      <c r="AJ58" s="61">
        <f t="shared" si="8"/>
        <v>1223853.3314588815</v>
      </c>
      <c r="AK58" s="61">
        <f t="shared" si="8"/>
        <v>252614.07764152903</v>
      </c>
      <c r="AL58" s="61">
        <f t="shared" si="8"/>
        <v>341742.66392073571</v>
      </c>
      <c r="AM58" s="61">
        <f t="shared" si="8"/>
        <v>61599.829613435955</v>
      </c>
    </row>
    <row r="59" spans="5:39">
      <c r="E59">
        <v>2090</v>
      </c>
      <c r="F59" s="61">
        <f t="shared" si="4"/>
        <v>1389289.2343745446</v>
      </c>
      <c r="G59" s="61">
        <f t="shared" si="4"/>
        <v>686554.055207239</v>
      </c>
      <c r="H59" s="61">
        <f t="shared" ref="H59:K59" si="23">H21-H40</f>
        <v>1116393.6030760948</v>
      </c>
      <c r="I59" s="61">
        <f t="shared" si="23"/>
        <v>230453.62382775987</v>
      </c>
      <c r="J59" s="61">
        <f t="shared" si="23"/>
        <v>311796.12333355821</v>
      </c>
      <c r="K59" s="61">
        <f t="shared" si="23"/>
        <v>56181.650756360381</v>
      </c>
      <c r="N59">
        <v>2090</v>
      </c>
      <c r="O59" s="61">
        <f t="shared" si="6"/>
        <v>1704429.3927530907</v>
      </c>
      <c r="P59" s="61">
        <f t="shared" si="6"/>
        <v>842288.90749006765</v>
      </c>
      <c r="Q59" s="61">
        <f t="shared" si="6"/>
        <v>1370057.1727519706</v>
      </c>
      <c r="R59" s="61">
        <f t="shared" si="6"/>
        <v>282601.78078433289</v>
      </c>
      <c r="S59" s="61">
        <f t="shared" si="6"/>
        <v>382023.1845329518</v>
      </c>
      <c r="T59" s="61">
        <f t="shared" si="6"/>
        <v>69043.218747085892</v>
      </c>
      <c r="W59">
        <v>2090</v>
      </c>
      <c r="X59" s="61">
        <f t="shared" si="7"/>
        <v>2208981.1743694339</v>
      </c>
      <c r="Y59" s="61">
        <f t="shared" si="7"/>
        <v>1091626.5278788758</v>
      </c>
      <c r="Z59" s="61">
        <f t="shared" si="7"/>
        <v>1776263.3506808532</v>
      </c>
      <c r="AA59" s="61">
        <f t="shared" si="7"/>
        <v>366056.04817336076</v>
      </c>
      <c r="AB59" s="61">
        <f t="shared" si="7"/>
        <v>494389.36950754374</v>
      </c>
      <c r="AC59" s="61">
        <f t="shared" si="7"/>
        <v>89649.798371880199</v>
      </c>
      <c r="AG59">
        <v>2090</v>
      </c>
      <c r="AH59" s="61">
        <f t="shared" si="8"/>
        <v>1454242.2212336278</v>
      </c>
      <c r="AI59" s="61">
        <f t="shared" si="8"/>
        <v>718652.29322892986</v>
      </c>
      <c r="AJ59" s="61">
        <f t="shared" si="8"/>
        <v>1168630.6811369564</v>
      </c>
      <c r="AK59" s="61">
        <f t="shared" si="8"/>
        <v>241215.63755282585</v>
      </c>
      <c r="AL59" s="61">
        <f t="shared" si="8"/>
        <v>326322.56810967822</v>
      </c>
      <c r="AM59" s="61">
        <f t="shared" si="8"/>
        <v>58820.32510648825</v>
      </c>
    </row>
    <row r="60" spans="5:39">
      <c r="E60">
        <v>2100</v>
      </c>
      <c r="F60" s="61">
        <f t="shared" si="4"/>
        <v>1287543.684586795</v>
      </c>
      <c r="G60" s="61">
        <f t="shared" si="4"/>
        <v>636273.7981680939</v>
      </c>
      <c r="H60" s="61">
        <f t="shared" ref="H60:K60" si="24">H22-H41</f>
        <v>1034633.7519853027</v>
      </c>
      <c r="I60" s="61">
        <f t="shared" si="24"/>
        <v>213576.19465262431</v>
      </c>
      <c r="J60" s="61">
        <f t="shared" si="24"/>
        <v>288961.52042630699</v>
      </c>
      <c r="K60" s="61">
        <f t="shared" si="24"/>
        <v>52067.149036520394</v>
      </c>
      <c r="N60">
        <v>2100</v>
      </c>
      <c r="O60" s="61">
        <f t="shared" si="6"/>
        <v>1663891.6126011256</v>
      </c>
      <c r="P60" s="61">
        <f t="shared" si="6"/>
        <v>822256.09023084445</v>
      </c>
      <c r="Q60" s="61">
        <f t="shared" si="6"/>
        <v>1337472.0291838152</v>
      </c>
      <c r="R60" s="61">
        <f t="shared" si="6"/>
        <v>275880.44113324606</v>
      </c>
      <c r="S60" s="61">
        <f t="shared" si="6"/>
        <v>372937.22771162749</v>
      </c>
      <c r="T60" s="61">
        <f t="shared" si="6"/>
        <v>67401.109760668711</v>
      </c>
      <c r="W60">
        <v>2100</v>
      </c>
      <c r="X60" s="61">
        <f t="shared" si="7"/>
        <v>2298214.5441502258</v>
      </c>
      <c r="Y60" s="61">
        <f t="shared" si="7"/>
        <v>1135723.5599201489</v>
      </c>
      <c r="Z60" s="61">
        <f t="shared" si="7"/>
        <v>1848016.7753992053</v>
      </c>
      <c r="AA60" s="61">
        <f t="shared" si="7"/>
        <v>380843.1432768188</v>
      </c>
      <c r="AB60" s="61">
        <f t="shared" si="7"/>
        <v>514360.58064181381</v>
      </c>
      <c r="AC60" s="61">
        <f t="shared" si="7"/>
        <v>93271.265907100402</v>
      </c>
      <c r="AG60">
        <v>2100</v>
      </c>
      <c r="AH60" s="61">
        <f t="shared" si="8"/>
        <v>1370665.0820822697</v>
      </c>
      <c r="AI60" s="61">
        <f t="shared" si="8"/>
        <v>677350.43729623267</v>
      </c>
      <c r="AJ60" s="61">
        <f t="shared" si="8"/>
        <v>1101467.9983129934</v>
      </c>
      <c r="AK60" s="61">
        <f t="shared" si="8"/>
        <v>227352.66987737606</v>
      </c>
      <c r="AL60" s="61">
        <f t="shared" si="8"/>
        <v>307568.39752866223</v>
      </c>
      <c r="AM60" s="61">
        <f t="shared" si="8"/>
        <v>55439.846652092354</v>
      </c>
    </row>
    <row r="61" spans="5:39">
      <c r="F61" s="581" t="s">
        <v>239</v>
      </c>
      <c r="G61" s="581"/>
      <c r="H61" s="581"/>
      <c r="I61" s="581"/>
      <c r="J61" s="581"/>
      <c r="K61" s="581"/>
      <c r="O61" s="581" t="s">
        <v>239</v>
      </c>
      <c r="P61" s="581"/>
      <c r="Q61" s="581"/>
      <c r="R61" s="581"/>
      <c r="S61" s="581"/>
      <c r="T61" s="581"/>
      <c r="X61" s="581" t="s">
        <v>239</v>
      </c>
      <c r="Y61" s="581"/>
      <c r="Z61" s="581"/>
      <c r="AA61" s="581"/>
      <c r="AB61" s="581"/>
      <c r="AC61" s="581"/>
      <c r="AH61" s="581" t="s">
        <v>239</v>
      </c>
      <c r="AI61" s="581"/>
      <c r="AJ61" s="581"/>
      <c r="AK61" s="581"/>
      <c r="AL61" s="581"/>
      <c r="AM61" s="581"/>
    </row>
    <row r="62" spans="5:39">
      <c r="E62">
        <v>2020</v>
      </c>
      <c r="F62" s="61">
        <f>'Demographic-Economic'!C14</f>
        <v>2791896</v>
      </c>
      <c r="G62" s="61">
        <f>'Demographic-Economic'!D14</f>
        <v>2523732</v>
      </c>
      <c r="H62" s="61">
        <f>'Demographic-Economic'!E14</f>
        <v>2212536</v>
      </c>
      <c r="I62" s="61">
        <f>'Demographic-Economic'!F14</f>
        <v>496548</v>
      </c>
      <c r="J62" s="61">
        <f>'Demographic-Economic'!G14</f>
        <v>566592</v>
      </c>
      <c r="K62" s="61">
        <f>'Demographic-Economic'!H14</f>
        <v>135480</v>
      </c>
      <c r="N62">
        <v>2020</v>
      </c>
      <c r="O62" s="61">
        <f>'Demographic-Economic'!C14</f>
        <v>2791896</v>
      </c>
      <c r="P62" s="61">
        <f>'Demographic-Economic'!D14</f>
        <v>2523732</v>
      </c>
      <c r="Q62" s="61">
        <f>'Demographic-Economic'!E14</f>
        <v>2212536</v>
      </c>
      <c r="R62" s="61">
        <f>'Demographic-Economic'!F14</f>
        <v>496548</v>
      </c>
      <c r="S62" s="61">
        <f>'Demographic-Economic'!G14</f>
        <v>566592</v>
      </c>
      <c r="T62" s="61">
        <f>'Demographic-Economic'!H14</f>
        <v>135480</v>
      </c>
      <c r="W62">
        <v>2020</v>
      </c>
      <c r="X62" s="61">
        <f>'Demographic-Economic'!C14</f>
        <v>2791896</v>
      </c>
      <c r="Y62" s="61">
        <f>'Demographic-Economic'!D14</f>
        <v>2523732</v>
      </c>
      <c r="Z62" s="61">
        <f>'Demographic-Economic'!E14</f>
        <v>2212536</v>
      </c>
      <c r="AA62" s="61">
        <f>'Demographic-Economic'!F14</f>
        <v>496548</v>
      </c>
      <c r="AB62" s="61">
        <f>'Demographic-Economic'!G14</f>
        <v>566592</v>
      </c>
      <c r="AC62" s="61">
        <f>'Demographic-Economic'!H14</f>
        <v>135480</v>
      </c>
      <c r="AG62">
        <v>2020</v>
      </c>
      <c r="AH62" s="61">
        <f>'Demographic-Economic'!C14</f>
        <v>2791896</v>
      </c>
      <c r="AI62" s="61">
        <f>'Demographic-Economic'!D14</f>
        <v>2523732</v>
      </c>
      <c r="AJ62" s="61">
        <f>'Demographic-Economic'!E14</f>
        <v>2212536</v>
      </c>
      <c r="AK62" s="61">
        <f>'Demographic-Economic'!F14</f>
        <v>496548</v>
      </c>
      <c r="AL62" s="61">
        <f>'Demographic-Economic'!G14</f>
        <v>566592</v>
      </c>
      <c r="AM62" s="61">
        <f>'Demographic-Economic'!H14</f>
        <v>135480</v>
      </c>
    </row>
    <row r="63" spans="5:39">
      <c r="E63">
        <v>2021</v>
      </c>
      <c r="F63" s="322" t="s">
        <v>240</v>
      </c>
      <c r="G63" s="322" t="s">
        <v>240</v>
      </c>
      <c r="H63" s="61">
        <f>H62*('Demographic-Economic'!E$20)</f>
        <v>2251692</v>
      </c>
      <c r="I63" s="61">
        <f>I62*('Demographic-Economic'!F$20)</f>
        <v>497628</v>
      </c>
      <c r="J63" s="61">
        <f>J62*('Demographic-Economic'!G$20)</f>
        <v>571248</v>
      </c>
      <c r="K63" s="61">
        <f>K62*('Demographic-Economic'!H$20)</f>
        <v>137808</v>
      </c>
      <c r="N63">
        <v>2021</v>
      </c>
      <c r="O63" t="s">
        <v>240</v>
      </c>
      <c r="P63" t="s">
        <v>240</v>
      </c>
      <c r="Q63" s="61">
        <f>Q62*'Demographic-Economic'!E$20</f>
        <v>2251692</v>
      </c>
      <c r="R63" s="61">
        <f>R62*'Demographic-Economic'!F$20</f>
        <v>497628</v>
      </c>
      <c r="S63" s="61">
        <f>S62*'Demographic-Economic'!G$20</f>
        <v>571248</v>
      </c>
      <c r="T63" s="61">
        <f>T62*'Demographic-Economic'!H$20</f>
        <v>137808</v>
      </c>
      <c r="W63">
        <v>2021</v>
      </c>
      <c r="X63" t="s">
        <v>240</v>
      </c>
      <c r="Y63" t="s">
        <v>240</v>
      </c>
      <c r="Z63" s="61">
        <f>Z62*'Demographic-Economic'!E$20</f>
        <v>2251692</v>
      </c>
      <c r="AA63" s="61">
        <f>AA62*'Demographic-Economic'!F$20</f>
        <v>497628</v>
      </c>
      <c r="AB63" s="61">
        <f>AB62*'Demographic-Economic'!G$20</f>
        <v>571248</v>
      </c>
      <c r="AC63" s="61">
        <f>AC62*'Demographic-Economic'!H$20</f>
        <v>137808</v>
      </c>
      <c r="AG63">
        <v>2021</v>
      </c>
      <c r="AH63" t="s">
        <v>240</v>
      </c>
      <c r="AI63" t="s">
        <v>240</v>
      </c>
      <c r="AJ63" s="61">
        <f>AJ62*'Demographic-Economic'!E$20</f>
        <v>2251692</v>
      </c>
      <c r="AK63" s="61">
        <f>AK62*'Demographic-Economic'!F$20</f>
        <v>497628</v>
      </c>
      <c r="AL63" s="61">
        <f>AL62*'Demographic-Economic'!G$20</f>
        <v>571248</v>
      </c>
      <c r="AM63" s="61">
        <f>AM62*'Demographic-Economic'!H$20</f>
        <v>137808</v>
      </c>
    </row>
    <row r="64" spans="5:39">
      <c r="E64">
        <v>2022</v>
      </c>
      <c r="F64" s="322" t="s">
        <v>240</v>
      </c>
      <c r="G64" s="322" t="s">
        <v>240</v>
      </c>
      <c r="H64" s="61">
        <f>H63*('Demographic-Economic'!E$20)</f>
        <v>2291540.9570122249</v>
      </c>
      <c r="I64" s="61">
        <f>I63*('Demographic-Economic'!F$20)</f>
        <v>498710.34901761764</v>
      </c>
      <c r="J64" s="61">
        <f>J63*('Demographic-Economic'!G$20)</f>
        <v>575942.26092849881</v>
      </c>
      <c r="K64" s="61">
        <f>K63*('Demographic-Economic'!H$20)</f>
        <v>140176.00283436669</v>
      </c>
      <c r="N64">
        <v>2022</v>
      </c>
      <c r="O64" t="s">
        <v>240</v>
      </c>
      <c r="P64" t="s">
        <v>240</v>
      </c>
      <c r="Q64" s="61">
        <f>Q63*'Demographic-Economic'!E$20</f>
        <v>2291540.9570122249</v>
      </c>
      <c r="R64" s="61">
        <f>R63*'Demographic-Economic'!F$20</f>
        <v>498710.34901761764</v>
      </c>
      <c r="S64" s="61">
        <f>S63*'Demographic-Economic'!G$20</f>
        <v>575942.26092849881</v>
      </c>
      <c r="T64" s="61">
        <f>T63*'Demographic-Economic'!H$20</f>
        <v>140176.00283436669</v>
      </c>
      <c r="W64">
        <v>2022</v>
      </c>
      <c r="X64" t="s">
        <v>240</v>
      </c>
      <c r="Y64" t="s">
        <v>240</v>
      </c>
      <c r="Z64" s="61">
        <f>Z63*'Demographic-Economic'!E$20</f>
        <v>2291540.9570122249</v>
      </c>
      <c r="AA64" s="61">
        <f>AA63*'Demographic-Economic'!F$20</f>
        <v>498710.34901761764</v>
      </c>
      <c r="AB64" s="61">
        <f>AB63*'Demographic-Economic'!G$20</f>
        <v>575942.26092849881</v>
      </c>
      <c r="AC64" s="61">
        <f>AC63*'Demographic-Economic'!H$20</f>
        <v>140176.00283436669</v>
      </c>
      <c r="AG64">
        <v>2022</v>
      </c>
      <c r="AH64" t="s">
        <v>240</v>
      </c>
      <c r="AI64" t="s">
        <v>240</v>
      </c>
      <c r="AJ64" s="61">
        <f>AJ63*'Demographic-Economic'!E$20</f>
        <v>2291540.9570122249</v>
      </c>
      <c r="AK64" s="61">
        <f>AK63*'Demographic-Economic'!F$20</f>
        <v>498710.34901761764</v>
      </c>
      <c r="AL64" s="61">
        <f>AL63*'Demographic-Economic'!G$20</f>
        <v>575942.26092849881</v>
      </c>
      <c r="AM64" s="61">
        <f>AM63*'Demographic-Economic'!H$20</f>
        <v>140176.00283436669</v>
      </c>
    </row>
    <row r="65" spans="5:39">
      <c r="E65">
        <v>2023</v>
      </c>
      <c r="F65" s="322" t="s">
        <v>240</v>
      </c>
      <c r="G65" s="322" t="s">
        <v>240</v>
      </c>
      <c r="H65" s="61">
        <f>H64*('Demographic-Economic'!E$20)</f>
        <v>2332095.1345319445</v>
      </c>
      <c r="I65" s="61">
        <f>I64*('Demographic-Economic'!F$20)</f>
        <v>499795.05216200458</v>
      </c>
      <c r="J65" s="61">
        <f>J64*('Demographic-Economic'!G$20)</f>
        <v>580675.09719671845</v>
      </c>
      <c r="K65" s="61">
        <f>K64*('Demographic-Economic'!H$20)</f>
        <v>142584.69588572782</v>
      </c>
      <c r="N65">
        <v>2023</v>
      </c>
      <c r="O65" t="s">
        <v>240</v>
      </c>
      <c r="P65" t="s">
        <v>240</v>
      </c>
      <c r="Q65" s="61">
        <f>Q64*'Demographic-Economic'!E$20</f>
        <v>2332095.1345319445</v>
      </c>
      <c r="R65" s="61">
        <f>R64*'Demographic-Economic'!F$20</f>
        <v>499795.05216200458</v>
      </c>
      <c r="S65" s="61">
        <f>S64*'Demographic-Economic'!G$20</f>
        <v>580675.09719671845</v>
      </c>
      <c r="T65" s="61">
        <f>T64*'Demographic-Economic'!H$20</f>
        <v>142584.69588572782</v>
      </c>
      <c r="W65">
        <v>2023</v>
      </c>
      <c r="X65" t="s">
        <v>240</v>
      </c>
      <c r="Y65" t="s">
        <v>240</v>
      </c>
      <c r="Z65" s="61">
        <f>Z64*'Demographic-Economic'!E$20</f>
        <v>2332095.1345319445</v>
      </c>
      <c r="AA65" s="61">
        <f>AA64*'Demographic-Economic'!F$20</f>
        <v>499795.05216200458</v>
      </c>
      <c r="AB65" s="61">
        <f>AB64*'Demographic-Economic'!G$20</f>
        <v>580675.09719671845</v>
      </c>
      <c r="AC65" s="61">
        <f>AC64*'Demographic-Economic'!H$20</f>
        <v>142584.69588572782</v>
      </c>
      <c r="AG65">
        <v>2023</v>
      </c>
      <c r="AH65" t="s">
        <v>240</v>
      </c>
      <c r="AI65" t="s">
        <v>240</v>
      </c>
      <c r="AJ65" s="61">
        <f>AJ64*'Demographic-Economic'!E$20</f>
        <v>2332095.1345319445</v>
      </c>
      <c r="AK65" s="61">
        <f>AK64*'Demographic-Economic'!F$20</f>
        <v>499795.05216200458</v>
      </c>
      <c r="AL65" s="61">
        <f>AL64*'Demographic-Economic'!G$20</f>
        <v>580675.09719671845</v>
      </c>
      <c r="AM65" s="61">
        <f>AM64*'Demographic-Economic'!H$20</f>
        <v>142584.69588572782</v>
      </c>
    </row>
    <row r="66" spans="5:39">
      <c r="E66">
        <v>2024</v>
      </c>
      <c r="F66" s="322" t="s">
        <v>240</v>
      </c>
      <c r="G66" s="322" t="s">
        <v>240</v>
      </c>
      <c r="H66" s="61">
        <f>H65*('Demographic-Economic'!E$20)</f>
        <v>2373367.0130856642</v>
      </c>
      <c r="I66" s="61">
        <f>I65*('Demographic-Economic'!F$20)</f>
        <v>500882.11455342488</v>
      </c>
      <c r="J66" s="61">
        <f>J65*('Demographic-Economic'!G$20)</f>
        <v>585446.82579957182</v>
      </c>
      <c r="K66" s="61">
        <f>K65*('Demographic-Economic'!H$20)</f>
        <v>145034.77834824607</v>
      </c>
      <c r="N66">
        <v>2024</v>
      </c>
      <c r="O66" t="s">
        <v>240</v>
      </c>
      <c r="P66" t="s">
        <v>240</v>
      </c>
      <c r="Q66" s="61">
        <f>Q65*'Demographic-Economic'!E$20</f>
        <v>2373367.0130856642</v>
      </c>
      <c r="R66" s="61">
        <f>R65*'Demographic-Economic'!F$20</f>
        <v>500882.11455342488</v>
      </c>
      <c r="S66" s="61">
        <f>S65*'Demographic-Economic'!G$20</f>
        <v>585446.82579957182</v>
      </c>
      <c r="T66" s="61">
        <f>T65*'Demographic-Economic'!H$20</f>
        <v>145034.77834824607</v>
      </c>
      <c r="W66">
        <v>2024</v>
      </c>
      <c r="X66" t="s">
        <v>240</v>
      </c>
      <c r="Y66" t="s">
        <v>240</v>
      </c>
      <c r="Z66" s="61">
        <f>Z65*'Demographic-Economic'!E$20</f>
        <v>2373367.0130856642</v>
      </c>
      <c r="AA66" s="61">
        <f>AA65*'Demographic-Economic'!F$20</f>
        <v>500882.11455342488</v>
      </c>
      <c r="AB66" s="61">
        <f>AB65*'Demographic-Economic'!G$20</f>
        <v>585446.82579957182</v>
      </c>
      <c r="AC66" s="61">
        <f>AC65*'Demographic-Economic'!H$20</f>
        <v>145034.77834824607</v>
      </c>
      <c r="AG66">
        <v>2024</v>
      </c>
      <c r="AH66" t="s">
        <v>240</v>
      </c>
      <c r="AI66" t="s">
        <v>240</v>
      </c>
      <c r="AJ66" s="61">
        <f>AJ65*'Demographic-Economic'!E$20</f>
        <v>2373367.0130856642</v>
      </c>
      <c r="AK66" s="61">
        <f>AK65*'Demographic-Economic'!F$20</f>
        <v>500882.11455342488</v>
      </c>
      <c r="AL66" s="61">
        <f>AL65*'Demographic-Economic'!G$20</f>
        <v>585446.82579957182</v>
      </c>
      <c r="AM66" s="61">
        <f>AM65*'Demographic-Economic'!H$20</f>
        <v>145034.77834824607</v>
      </c>
    </row>
    <row r="67" spans="5:39">
      <c r="E67">
        <v>2025</v>
      </c>
      <c r="F67" s="322" t="s">
        <v>240</v>
      </c>
      <c r="G67" s="322" t="s">
        <v>240</v>
      </c>
      <c r="H67" s="61">
        <f>H66*('Demographic-Economic'!E$20)</f>
        <v>2415369.2940719994</v>
      </c>
      <c r="I67" s="61">
        <f>I66*('Demographic-Economic'!F$20)</f>
        <v>501971.54132327938</v>
      </c>
      <c r="J67" s="61">
        <f>J66*('Demographic-Economic'!G$20)</f>
        <v>590257.76633689459</v>
      </c>
      <c r="K67" s="61">
        <f>K66*('Demographic-Economic'!H$20)</f>
        <v>147526.96143058085</v>
      </c>
      <c r="N67">
        <v>2025</v>
      </c>
      <c r="O67" t="s">
        <v>240</v>
      </c>
      <c r="P67" t="s">
        <v>240</v>
      </c>
      <c r="Q67" s="61">
        <f>Q66*'Demographic-Economic'!E$20</f>
        <v>2415369.2940719994</v>
      </c>
      <c r="R67" s="61">
        <f>R66*'Demographic-Economic'!F$20</f>
        <v>501971.54132327938</v>
      </c>
      <c r="S67" s="61">
        <f>S66*'Demographic-Economic'!G$20</f>
        <v>590257.76633689459</v>
      </c>
      <c r="T67" s="61">
        <f>T66*'Demographic-Economic'!H$20</f>
        <v>147526.96143058085</v>
      </c>
      <c r="W67">
        <v>2025</v>
      </c>
      <c r="X67" t="s">
        <v>240</v>
      </c>
      <c r="Y67" t="s">
        <v>240</v>
      </c>
      <c r="Z67" s="61">
        <f>Z66*'Demographic-Economic'!E$20</f>
        <v>2415369.2940719994</v>
      </c>
      <c r="AA67" s="61">
        <f>AA66*'Demographic-Economic'!F$20</f>
        <v>501971.54132327938</v>
      </c>
      <c r="AB67" s="61">
        <f>AB66*'Demographic-Economic'!G$20</f>
        <v>590257.76633689459</v>
      </c>
      <c r="AC67" s="61">
        <f>AC66*'Demographic-Economic'!H$20</f>
        <v>147526.96143058085</v>
      </c>
      <c r="AG67">
        <v>2025</v>
      </c>
      <c r="AH67" t="s">
        <v>240</v>
      </c>
      <c r="AI67" t="s">
        <v>240</v>
      </c>
      <c r="AJ67" s="61">
        <f>AJ66*'Demographic-Economic'!E$20</f>
        <v>2415369.2940719994</v>
      </c>
      <c r="AK67" s="61">
        <f>AK66*'Demographic-Economic'!F$20</f>
        <v>501971.54132327938</v>
      </c>
      <c r="AL67" s="61">
        <f>AL66*'Demographic-Economic'!G$20</f>
        <v>590257.76633689459</v>
      </c>
      <c r="AM67" s="61">
        <f>AM66*'Demographic-Economic'!H$20</f>
        <v>147526.96143058085</v>
      </c>
    </row>
    <row r="68" spans="5:39">
      <c r="E68">
        <v>2026</v>
      </c>
      <c r="F68" s="322" t="s">
        <v>240</v>
      </c>
      <c r="G68" s="322" t="s">
        <v>240</v>
      </c>
      <c r="H68" s="61">
        <f>H67*('Demographic-Economic'!E$20)</f>
        <v>2458114.9036705247</v>
      </c>
      <c r="I68" s="61">
        <f>I67*('Demographic-Economic'!F$20)</f>
        <v>503063.3376141297</v>
      </c>
      <c r="J68" s="61">
        <f>J67*('Demographic-Economic'!G$20)</f>
        <v>595108.24103485106</v>
      </c>
      <c r="K68" s="61">
        <f>K67*('Demographic-Economic'!H$20)</f>
        <v>150061.96856233751</v>
      </c>
      <c r="N68">
        <v>2026</v>
      </c>
      <c r="O68" t="s">
        <v>240</v>
      </c>
      <c r="P68" t="s">
        <v>240</v>
      </c>
      <c r="Q68" s="61">
        <f>Q67*'Demographic-Economic'!E$20</f>
        <v>2458114.9036705247</v>
      </c>
      <c r="R68" s="61">
        <f>R67*'Demographic-Economic'!F$20</f>
        <v>503063.3376141297</v>
      </c>
      <c r="S68" s="61">
        <f>S67*'Demographic-Economic'!G$20</f>
        <v>595108.24103485106</v>
      </c>
      <c r="T68" s="61">
        <f>T67*'Demographic-Economic'!H$20</f>
        <v>150061.96856233751</v>
      </c>
      <c r="W68">
        <v>2026</v>
      </c>
      <c r="X68" t="s">
        <v>240</v>
      </c>
      <c r="Y68" t="s">
        <v>240</v>
      </c>
      <c r="Z68" s="61">
        <f>Z67*'Demographic-Economic'!E$20</f>
        <v>2458114.9036705247</v>
      </c>
      <c r="AA68" s="61">
        <f>AA67*'Demographic-Economic'!F$20</f>
        <v>503063.3376141297</v>
      </c>
      <c r="AB68" s="61">
        <f>AB67*'Demographic-Economic'!G$20</f>
        <v>595108.24103485106</v>
      </c>
      <c r="AC68" s="61">
        <f>AC67*'Demographic-Economic'!H$20</f>
        <v>150061.96856233751</v>
      </c>
      <c r="AG68">
        <v>2026</v>
      </c>
      <c r="AH68" t="s">
        <v>240</v>
      </c>
      <c r="AI68" t="s">
        <v>240</v>
      </c>
      <c r="AJ68" s="61">
        <f>AJ67*'Demographic-Economic'!E$20</f>
        <v>2458114.9036705247</v>
      </c>
      <c r="AK68" s="61">
        <f>AK67*'Demographic-Economic'!F$20</f>
        <v>503063.3376141297</v>
      </c>
      <c r="AL68" s="61">
        <f>AL67*'Demographic-Economic'!G$20</f>
        <v>595108.24103485106</v>
      </c>
      <c r="AM68" s="61">
        <f>AM67*'Demographic-Economic'!H$20</f>
        <v>150061.96856233751</v>
      </c>
    </row>
    <row r="69" spans="5:39">
      <c r="E69">
        <v>2027</v>
      </c>
      <c r="F69" s="322" t="s">
        <v>240</v>
      </c>
      <c r="G69" s="322" t="s">
        <v>240</v>
      </c>
      <c r="H69" s="61">
        <f>H68*('Demographic-Economic'!E$20)</f>
        <v>2501616.9968197993</v>
      </c>
      <c r="I69" s="61">
        <f>I68*('Demographic-Economic'!F$20)</f>
        <v>504157.50857972272</v>
      </c>
      <c r="J69" s="61">
        <f>J68*('Demographic-Economic'!G$20)</f>
        <v>599998.57476751623</v>
      </c>
      <c r="K69" s="61">
        <f>K68*('Demographic-Economic'!H$20)</f>
        <v>152640.53560406412</v>
      </c>
      <c r="N69">
        <v>2027</v>
      </c>
      <c r="O69" t="s">
        <v>240</v>
      </c>
      <c r="P69" t="s">
        <v>240</v>
      </c>
      <c r="Q69" s="61">
        <f>Q68*'Demographic-Economic'!E$20</f>
        <v>2501616.9968197993</v>
      </c>
      <c r="R69" s="61">
        <f>R68*'Demographic-Economic'!F$20</f>
        <v>504157.50857972272</v>
      </c>
      <c r="S69" s="61">
        <f>S68*'Demographic-Economic'!G$20</f>
        <v>599998.57476751623</v>
      </c>
      <c r="T69" s="61">
        <f>T68*'Demographic-Economic'!H$20</f>
        <v>152640.53560406412</v>
      </c>
      <c r="W69">
        <v>2027</v>
      </c>
      <c r="X69" t="s">
        <v>240</v>
      </c>
      <c r="Y69" t="s">
        <v>240</v>
      </c>
      <c r="Z69" s="61">
        <f>Z68*'Demographic-Economic'!E$20</f>
        <v>2501616.9968197993</v>
      </c>
      <c r="AA69" s="61">
        <f>AA68*'Demographic-Economic'!F$20</f>
        <v>504157.50857972272</v>
      </c>
      <c r="AB69" s="61">
        <f>AB68*'Demographic-Economic'!G$20</f>
        <v>599998.57476751623</v>
      </c>
      <c r="AC69" s="61">
        <f>AC68*'Demographic-Economic'!H$20</f>
        <v>152640.53560406412</v>
      </c>
      <c r="AG69">
        <v>2027</v>
      </c>
      <c r="AH69" t="s">
        <v>240</v>
      </c>
      <c r="AI69" t="s">
        <v>240</v>
      </c>
      <c r="AJ69" s="61">
        <f>AJ68*'Demographic-Economic'!E$20</f>
        <v>2501616.9968197993</v>
      </c>
      <c r="AK69" s="61">
        <f>AK68*'Demographic-Economic'!F$20</f>
        <v>504157.50857972272</v>
      </c>
      <c r="AL69" s="61">
        <f>AL68*'Demographic-Economic'!G$20</f>
        <v>599998.57476751623</v>
      </c>
      <c r="AM69" s="61">
        <f>AM68*'Demographic-Economic'!H$20</f>
        <v>152640.53560406412</v>
      </c>
    </row>
    <row r="70" spans="5:39">
      <c r="E70">
        <v>2028</v>
      </c>
      <c r="F70" s="322" t="s">
        <v>240</v>
      </c>
      <c r="G70" s="322" t="s">
        <v>240</v>
      </c>
      <c r="H70" s="61">
        <f>H69*('Demographic-Economic'!E$20)</f>
        <v>2545888.9612657907</v>
      </c>
      <c r="I70" s="61">
        <f>I69*('Demographic-Economic'!F$20)</f>
        <v>505254.0593850147</v>
      </c>
      <c r="J70" s="61">
        <f>J69*('Demographic-Economic'!G$20)</f>
        <v>604929.09507863526</v>
      </c>
      <c r="K70" s="61">
        <f>K69*('Demographic-Economic'!H$20)</f>
        <v>155263.41106085671</v>
      </c>
      <c r="N70">
        <v>2028</v>
      </c>
      <c r="O70" t="s">
        <v>240</v>
      </c>
      <c r="P70" t="s">
        <v>240</v>
      </c>
      <c r="Q70" s="61">
        <f>Q69*'Demographic-Economic'!E$20</f>
        <v>2545888.9612657907</v>
      </c>
      <c r="R70" s="61">
        <f>R69*'Demographic-Economic'!F$20</f>
        <v>505254.0593850147</v>
      </c>
      <c r="S70" s="61">
        <f>S69*'Demographic-Economic'!G$20</f>
        <v>604929.09507863526</v>
      </c>
      <c r="T70" s="61">
        <f>T69*'Demographic-Economic'!H$20</f>
        <v>155263.41106085671</v>
      </c>
      <c r="W70">
        <v>2028</v>
      </c>
      <c r="X70" t="s">
        <v>240</v>
      </c>
      <c r="Y70" t="s">
        <v>240</v>
      </c>
      <c r="Z70" s="61">
        <f>Z69*'Demographic-Economic'!E$20</f>
        <v>2545888.9612657907</v>
      </c>
      <c r="AA70" s="61">
        <f>AA69*'Demographic-Economic'!F$20</f>
        <v>505254.0593850147</v>
      </c>
      <c r="AB70" s="61">
        <f>AB69*'Demographic-Economic'!G$20</f>
        <v>604929.09507863526</v>
      </c>
      <c r="AC70" s="61">
        <f>AC69*'Demographic-Economic'!H$20</f>
        <v>155263.41106085671</v>
      </c>
      <c r="AG70">
        <v>2028</v>
      </c>
      <c r="AH70" t="s">
        <v>240</v>
      </c>
      <c r="AI70" t="s">
        <v>240</v>
      </c>
      <c r="AJ70" s="61">
        <f>AJ69*'Demographic-Economic'!E$20</f>
        <v>2545888.9612657907</v>
      </c>
      <c r="AK70" s="61">
        <f>AK69*'Demographic-Economic'!F$20</f>
        <v>505254.0593850147</v>
      </c>
      <c r="AL70" s="61">
        <f>AL69*'Demographic-Economic'!G$20</f>
        <v>604929.09507863526</v>
      </c>
      <c r="AM70" s="61">
        <f>AM69*'Demographic-Economic'!H$20</f>
        <v>155263.41106085671</v>
      </c>
    </row>
    <row r="71" spans="5:39">
      <c r="E71">
        <v>2029</v>
      </c>
      <c r="F71" s="322" t="s">
        <v>240</v>
      </c>
      <c r="G71" s="322" t="s">
        <v>240</v>
      </c>
      <c r="H71" s="61">
        <f>H70*('Demographic-Economic'!E$20)</f>
        <v>2590944.421681948</v>
      </c>
      <c r="I71" s="61">
        <f>I70*('Demographic-Economic'!F$20)</f>
        <v>506352.9952061958</v>
      </c>
      <c r="J71" s="61">
        <f>J70*('Demographic-Economic'!G$20)</f>
        <v>609900.13220356137</v>
      </c>
      <c r="K71" s="61">
        <f>K70*('Demographic-Economic'!H$20)</f>
        <v>157931.35629963494</v>
      </c>
      <c r="N71">
        <v>2029</v>
      </c>
      <c r="O71" t="s">
        <v>240</v>
      </c>
      <c r="P71" t="s">
        <v>240</v>
      </c>
      <c r="Q71" s="61">
        <f>Q70*'Demographic-Economic'!E$20</f>
        <v>2590944.421681948</v>
      </c>
      <c r="R71" s="61">
        <f>R70*'Demographic-Economic'!F$20</f>
        <v>506352.9952061958</v>
      </c>
      <c r="S71" s="61">
        <f>S70*'Demographic-Economic'!G$20</f>
        <v>609900.13220356137</v>
      </c>
      <c r="T71" s="61">
        <f>T70*'Demographic-Economic'!H$20</f>
        <v>157931.35629963494</v>
      </c>
      <c r="W71">
        <v>2029</v>
      </c>
      <c r="X71" t="s">
        <v>240</v>
      </c>
      <c r="Y71" t="s">
        <v>240</v>
      </c>
      <c r="Z71" s="61">
        <f>Z70*'Demographic-Economic'!E$20</f>
        <v>2590944.421681948</v>
      </c>
      <c r="AA71" s="61">
        <f>AA70*'Demographic-Economic'!F$20</f>
        <v>506352.9952061958</v>
      </c>
      <c r="AB71" s="61">
        <f>AB70*'Demographic-Economic'!G$20</f>
        <v>609900.13220356137</v>
      </c>
      <c r="AC71" s="61">
        <f>AC70*'Demographic-Economic'!H$20</f>
        <v>157931.35629963494</v>
      </c>
      <c r="AG71">
        <v>2029</v>
      </c>
      <c r="AH71" t="s">
        <v>240</v>
      </c>
      <c r="AI71" t="s">
        <v>240</v>
      </c>
      <c r="AJ71" s="61">
        <f>AJ70*'Demographic-Economic'!E$20</f>
        <v>2590944.421681948</v>
      </c>
      <c r="AK71" s="61">
        <f>AK70*'Demographic-Economic'!F$20</f>
        <v>506352.9952061958</v>
      </c>
      <c r="AL71" s="61">
        <f>AL70*'Demographic-Economic'!G$20</f>
        <v>609900.13220356137</v>
      </c>
      <c r="AM71" s="61">
        <f>AM70*'Demographic-Economic'!H$20</f>
        <v>157931.35629963494</v>
      </c>
    </row>
    <row r="72" spans="5:39">
      <c r="E72">
        <v>2030</v>
      </c>
      <c r="F72" s="322" t="s">
        <v>240</v>
      </c>
      <c r="G72" s="322" t="s">
        <v>240</v>
      </c>
      <c r="H72" s="61">
        <f>H71*('Demographic-Economic'!E$20)</f>
        <v>2636797.2438621875</v>
      </c>
      <c r="I72" s="61">
        <f>I71*('Demographic-Economic'!F$20)</f>
        <v>507454.3212307145</v>
      </c>
      <c r="J72" s="61">
        <f>J71*('Demographic-Economic'!G$20)</f>
        <v>614912.01909137436</v>
      </c>
      <c r="K72" s="61">
        <f>K71*('Demographic-Economic'!H$20)</f>
        <v>160645.14577015123</v>
      </c>
      <c r="N72">
        <v>2030</v>
      </c>
      <c r="O72" t="s">
        <v>240</v>
      </c>
      <c r="P72" t="s">
        <v>240</v>
      </c>
      <c r="Q72" s="61">
        <f>Q71*'Demographic-Economic'!E$20</f>
        <v>2636797.2438621875</v>
      </c>
      <c r="R72" s="61">
        <f>R71*'Demographic-Economic'!F$20</f>
        <v>507454.3212307145</v>
      </c>
      <c r="S72" s="61">
        <f>S71*'Demographic-Economic'!G$20</f>
        <v>614912.01909137436</v>
      </c>
      <c r="T72" s="61">
        <f>T71*'Demographic-Economic'!H$20</f>
        <v>160645.14577015123</v>
      </c>
      <c r="W72">
        <v>2030</v>
      </c>
      <c r="X72" t="s">
        <v>240</v>
      </c>
      <c r="Y72" t="s">
        <v>240</v>
      </c>
      <c r="Z72" s="61">
        <f>Z71*'Demographic-Economic'!E$20</f>
        <v>2636797.2438621875</v>
      </c>
      <c r="AA72" s="61">
        <f>AA71*'Demographic-Economic'!F$20</f>
        <v>507454.3212307145</v>
      </c>
      <c r="AB72" s="61">
        <f>AB71*'Demographic-Economic'!G$20</f>
        <v>614912.01909137436</v>
      </c>
      <c r="AC72" s="61">
        <f>AC71*'Demographic-Economic'!H$20</f>
        <v>160645.14577015123</v>
      </c>
      <c r="AG72">
        <v>2030</v>
      </c>
      <c r="AH72" t="s">
        <v>240</v>
      </c>
      <c r="AI72" t="s">
        <v>240</v>
      </c>
      <c r="AJ72" s="61">
        <f>AJ71*'Demographic-Economic'!E$20</f>
        <v>2636797.2438621875</v>
      </c>
      <c r="AK72" s="61">
        <f>AK71*'Demographic-Economic'!F$20</f>
        <v>507454.3212307145</v>
      </c>
      <c r="AL72" s="61">
        <f>AL71*'Demographic-Economic'!G$20</f>
        <v>614912.01909137436</v>
      </c>
      <c r="AM72" s="61">
        <f>AM71*'Demographic-Economic'!H$20</f>
        <v>160645.14577015123</v>
      </c>
    </row>
    <row r="73" spans="5:39">
      <c r="E73">
        <v>2040</v>
      </c>
      <c r="F73" s="322" t="s">
        <v>240</v>
      </c>
      <c r="G73" s="322" t="s">
        <v>240</v>
      </c>
      <c r="H73" s="61">
        <f>H72*('Demographic-Economic'!E$20)^10</f>
        <v>3142412.0128392149</v>
      </c>
      <c r="I73" s="61">
        <f>I72*('Demographic-Economic'!F$20)^10</f>
        <v>518600.1919969974</v>
      </c>
      <c r="J73" s="61">
        <f>J72*('Demographic-Economic'!G$20)^10</f>
        <v>667352.85924091854</v>
      </c>
      <c r="K73" s="61">
        <f>K72*('Demographic-Economic'!H$20)^10</f>
        <v>190484.66828692899</v>
      </c>
      <c r="N73">
        <v>2040</v>
      </c>
      <c r="O73" t="s">
        <v>240</v>
      </c>
      <c r="P73" t="s">
        <v>240</v>
      </c>
      <c r="Q73" s="61">
        <f>Q72*'Demographic-Economic'!E$20^10</f>
        <v>3142412.0128392149</v>
      </c>
      <c r="R73" s="61">
        <f>R72*'Demographic-Economic'!F$20^10</f>
        <v>518600.1919969974</v>
      </c>
      <c r="S73" s="61">
        <f>S72*'Demographic-Economic'!G$20^10</f>
        <v>667352.85924091854</v>
      </c>
      <c r="T73" s="61">
        <f>T72*'Demographic-Economic'!H$20^10</f>
        <v>190484.66828692899</v>
      </c>
      <c r="W73">
        <v>2040</v>
      </c>
      <c r="X73" t="s">
        <v>240</v>
      </c>
      <c r="Y73" t="s">
        <v>240</v>
      </c>
      <c r="Z73" s="61">
        <f>Z72*'Demographic-Economic'!E$20^10</f>
        <v>3142412.0128392149</v>
      </c>
      <c r="AA73" s="61">
        <f>AA72*'Demographic-Economic'!F$20^10</f>
        <v>518600.1919969974</v>
      </c>
      <c r="AB73" s="61">
        <f>AB72*'Demographic-Economic'!G$20^10</f>
        <v>667352.85924091854</v>
      </c>
      <c r="AC73" s="61">
        <f>AC72*'Demographic-Economic'!H$20^10</f>
        <v>190484.66828692899</v>
      </c>
      <c r="AG73">
        <v>2040</v>
      </c>
      <c r="AH73" t="s">
        <v>240</v>
      </c>
      <c r="AI73" t="s">
        <v>240</v>
      </c>
      <c r="AJ73" s="61">
        <f>AJ72*'Demographic-Economic'!E$20^10</f>
        <v>3142412.0128392149</v>
      </c>
      <c r="AK73" s="61">
        <f>AK72*'Demographic-Economic'!F$20^10</f>
        <v>518600.1919969974</v>
      </c>
      <c r="AL73" s="61">
        <f>AL72*'Demographic-Economic'!G$20^10</f>
        <v>667352.85924091854</v>
      </c>
      <c r="AM73" s="61">
        <f>AM72*'Demographic-Economic'!H$20^10</f>
        <v>190484.66828692899</v>
      </c>
    </row>
    <row r="74" spans="5:39">
      <c r="E74">
        <v>2050</v>
      </c>
      <c r="F74" s="322" t="s">
        <v>240</v>
      </c>
      <c r="G74" s="322" t="s">
        <v>240</v>
      </c>
      <c r="H74" s="61">
        <f>H73*('Demographic-Economic'!E$20)^10</f>
        <v>3744980.1198868025</v>
      </c>
      <c r="I74" s="61">
        <f>I73*('Demographic-Economic'!F$20)^10</f>
        <v>529990.87383285083</v>
      </c>
      <c r="J74" s="61">
        <f>J73*('Demographic-Economic'!G$20)^10</f>
        <v>724265.95172934793</v>
      </c>
      <c r="K74" s="61">
        <f>K73*('Demographic-Economic'!H$20)^10</f>
        <v>225866.82391447164</v>
      </c>
      <c r="N74">
        <v>2050</v>
      </c>
      <c r="O74" t="s">
        <v>240</v>
      </c>
      <c r="P74" t="s">
        <v>240</v>
      </c>
      <c r="Q74" s="61">
        <f>Q73*'Demographic-Economic'!E$20^10</f>
        <v>3744980.1198868025</v>
      </c>
      <c r="R74" s="61">
        <f>R73*'Demographic-Economic'!F$20^10</f>
        <v>529990.87383285083</v>
      </c>
      <c r="S74" s="61">
        <f>S73*'Demographic-Economic'!G$20^10</f>
        <v>724265.95172934793</v>
      </c>
      <c r="T74" s="61">
        <f>T73*'Demographic-Economic'!H$20^10</f>
        <v>225866.82391447164</v>
      </c>
      <c r="W74">
        <v>2050</v>
      </c>
      <c r="X74" t="s">
        <v>240</v>
      </c>
      <c r="Y74" t="s">
        <v>240</v>
      </c>
      <c r="Z74" s="61">
        <f>Z73*'Demographic-Economic'!E$20^10</f>
        <v>3744980.1198868025</v>
      </c>
      <c r="AA74" s="61">
        <f>AA73*'Demographic-Economic'!F$20^10</f>
        <v>529990.87383285083</v>
      </c>
      <c r="AB74" s="61">
        <f>AB73*'Demographic-Economic'!G$20^10</f>
        <v>724265.95172934793</v>
      </c>
      <c r="AC74" s="61">
        <f>AC73*'Demographic-Economic'!H$20^10</f>
        <v>225866.82391447164</v>
      </c>
      <c r="AG74">
        <v>2050</v>
      </c>
      <c r="AH74" t="s">
        <v>240</v>
      </c>
      <c r="AI74" t="s">
        <v>240</v>
      </c>
      <c r="AJ74" s="61">
        <f>AJ73*'Demographic-Economic'!E$20^10</f>
        <v>3744980.1198868025</v>
      </c>
      <c r="AK74" s="61">
        <f>AK73*'Demographic-Economic'!F$20^10</f>
        <v>529990.87383285083</v>
      </c>
      <c r="AL74" s="61">
        <f>AL73*'Demographic-Economic'!G$20^10</f>
        <v>724265.95172934793</v>
      </c>
      <c r="AM74" s="61">
        <f>AM73*'Demographic-Economic'!H$20^10</f>
        <v>225866.82391447164</v>
      </c>
    </row>
    <row r="75" spans="5:39">
      <c r="E75">
        <v>2060</v>
      </c>
      <c r="F75" s="322" t="s">
        <v>240</v>
      </c>
      <c r="G75" s="322" t="s">
        <v>240</v>
      </c>
      <c r="H75" s="61">
        <f>H74*('Demographic-Economic'!E$20)^10</f>
        <v>4463092.6947340975</v>
      </c>
      <c r="I75" s="61">
        <f>I74*('Demographic-Economic'!F$20)^10</f>
        <v>541631.74383810314</v>
      </c>
      <c r="J75" s="61">
        <f>J74*('Demographic-Economic'!G$20)^10</f>
        <v>786032.69855033059</v>
      </c>
      <c r="K75" s="61">
        <f>K74*('Demographic-Economic'!H$20)^10</f>
        <v>267821.14594317524</v>
      </c>
      <c r="N75">
        <v>2060</v>
      </c>
      <c r="O75" t="s">
        <v>240</v>
      </c>
      <c r="P75" t="s">
        <v>240</v>
      </c>
      <c r="Q75" s="61">
        <f>Q74*'Demographic-Economic'!E$20^10</f>
        <v>4463092.6947340975</v>
      </c>
      <c r="R75" s="61">
        <f>R74*'Demographic-Economic'!F$20^10</f>
        <v>541631.74383810314</v>
      </c>
      <c r="S75" s="61">
        <f>S74*'Demographic-Economic'!G$20^10</f>
        <v>786032.69855033059</v>
      </c>
      <c r="T75" s="61">
        <f>T74*'Demographic-Economic'!H$20^10</f>
        <v>267821.14594317524</v>
      </c>
      <c r="W75">
        <v>2060</v>
      </c>
      <c r="X75" t="s">
        <v>240</v>
      </c>
      <c r="Y75" t="s">
        <v>240</v>
      </c>
      <c r="Z75" s="61">
        <f>Z74*'Demographic-Economic'!E$20^10</f>
        <v>4463092.6947340975</v>
      </c>
      <c r="AA75" s="61">
        <f>AA74*'Demographic-Economic'!F$20^10</f>
        <v>541631.74383810314</v>
      </c>
      <c r="AB75" s="61">
        <f>AB74*'Demographic-Economic'!G$20^10</f>
        <v>786032.69855033059</v>
      </c>
      <c r="AC75" s="61">
        <f>AC74*'Demographic-Economic'!H$20^10</f>
        <v>267821.14594317524</v>
      </c>
      <c r="AG75">
        <v>2060</v>
      </c>
      <c r="AH75" t="s">
        <v>240</v>
      </c>
      <c r="AI75" t="s">
        <v>240</v>
      </c>
      <c r="AJ75" s="61">
        <f>AJ74*'Demographic-Economic'!E$20^10</f>
        <v>4463092.6947340975</v>
      </c>
      <c r="AK75" s="61">
        <f>AK74*'Demographic-Economic'!F$20^10</f>
        <v>541631.74383810314</v>
      </c>
      <c r="AL75" s="61">
        <f>AL74*'Demographic-Economic'!G$20^10</f>
        <v>786032.69855033059</v>
      </c>
      <c r="AM75" s="61">
        <f>AM74*'Demographic-Economic'!H$20^10</f>
        <v>267821.14594317524</v>
      </c>
    </row>
    <row r="76" spans="5:39">
      <c r="E76">
        <v>2070</v>
      </c>
      <c r="F76" s="322" t="s">
        <v>240</v>
      </c>
      <c r="G76" s="322" t="s">
        <v>240</v>
      </c>
      <c r="H76" s="61">
        <f>H75*('Demographic-Economic'!E$20)^10</f>
        <v>5318905.7789687151</v>
      </c>
      <c r="I76" s="61">
        <f>I75*('Demographic-Economic'!F$20)^10</f>
        <v>553528.29721672973</v>
      </c>
      <c r="J76" s="61">
        <f>J75*('Demographic-Economic'!G$20)^10</f>
        <v>853067.02836860577</v>
      </c>
      <c r="K76" s="61">
        <f>K75*('Demographic-Economic'!H$20)^10</f>
        <v>317568.4014642039</v>
      </c>
      <c r="N76">
        <v>2070</v>
      </c>
      <c r="O76" t="s">
        <v>240</v>
      </c>
      <c r="P76" t="s">
        <v>240</v>
      </c>
      <c r="Q76" s="61">
        <f>Q75*'Demographic-Economic'!E$20^10</f>
        <v>5318905.7789687151</v>
      </c>
      <c r="R76" s="61">
        <f>R75*'Demographic-Economic'!F$20^10</f>
        <v>553528.29721672973</v>
      </c>
      <c r="S76" s="61">
        <f>S75*'Demographic-Economic'!G$20^10</f>
        <v>853067.02836860577</v>
      </c>
      <c r="T76" s="61">
        <f>T75*'Demographic-Economic'!H$20^10</f>
        <v>317568.4014642039</v>
      </c>
      <c r="W76">
        <v>2070</v>
      </c>
      <c r="X76" t="s">
        <v>240</v>
      </c>
      <c r="Y76" t="s">
        <v>240</v>
      </c>
      <c r="Z76" s="61">
        <f>Z75*'Demographic-Economic'!E$20^10</f>
        <v>5318905.7789687151</v>
      </c>
      <c r="AA76" s="61">
        <f>AA75*'Demographic-Economic'!F$20^10</f>
        <v>553528.29721672973</v>
      </c>
      <c r="AB76" s="61">
        <f>AB75*'Demographic-Economic'!G$20^10</f>
        <v>853067.02836860577</v>
      </c>
      <c r="AC76" s="61">
        <f>AC75*'Demographic-Economic'!H$20^10</f>
        <v>317568.4014642039</v>
      </c>
      <c r="AG76">
        <v>2070</v>
      </c>
      <c r="AH76" t="s">
        <v>240</v>
      </c>
      <c r="AI76" t="s">
        <v>240</v>
      </c>
      <c r="AJ76" s="61">
        <f>AJ75*'Demographic-Economic'!E$20^10</f>
        <v>5318905.7789687151</v>
      </c>
      <c r="AK76" s="61">
        <f>AK75*'Demographic-Economic'!F$20^10</f>
        <v>553528.29721672973</v>
      </c>
      <c r="AL76" s="61">
        <f>AL75*'Demographic-Economic'!G$20^10</f>
        <v>853067.02836860577</v>
      </c>
      <c r="AM76" s="61">
        <f>AM75*'Demographic-Economic'!H$20^10</f>
        <v>317568.4014642039</v>
      </c>
    </row>
    <row r="77" spans="5:39">
      <c r="E77">
        <v>2080</v>
      </c>
      <c r="F77" s="322" t="s">
        <v>240</v>
      </c>
      <c r="G77" s="322" t="s">
        <v>240</v>
      </c>
      <c r="H77" s="61">
        <f>H76*('Demographic-Economic'!E$20)^10</f>
        <v>6338823.9099148503</v>
      </c>
      <c r="I77" s="61">
        <f>I76*('Demographic-Economic'!F$20)^10</f>
        <v>565686.14987092617</v>
      </c>
      <c r="J77" s="61">
        <f>J76*('Demographic-Economic'!G$20)^10</f>
        <v>925818.17045496183</v>
      </c>
      <c r="K77" s="61">
        <f>K76*('Demographic-Economic'!H$20)^10</f>
        <v>376556.11267501442</v>
      </c>
      <c r="N77">
        <v>2080</v>
      </c>
      <c r="O77" t="s">
        <v>240</v>
      </c>
      <c r="P77" t="s">
        <v>240</v>
      </c>
      <c r="Q77" s="61">
        <f>Q76*'Demographic-Economic'!E$20^10</f>
        <v>6338823.9099148503</v>
      </c>
      <c r="R77" s="61">
        <f>R76*'Demographic-Economic'!F$20^10</f>
        <v>565686.14987092617</v>
      </c>
      <c r="S77" s="61">
        <f>S76*'Demographic-Economic'!G$20^10</f>
        <v>925818.17045496183</v>
      </c>
      <c r="T77" s="61">
        <f>T76*'Demographic-Economic'!H$20^10</f>
        <v>376556.11267501442</v>
      </c>
      <c r="W77">
        <v>2080</v>
      </c>
      <c r="X77" t="s">
        <v>240</v>
      </c>
      <c r="Y77" t="s">
        <v>240</v>
      </c>
      <c r="Z77" s="61">
        <f>Z76*'Demographic-Economic'!E$20^10</f>
        <v>6338823.9099148503</v>
      </c>
      <c r="AA77" s="61">
        <f>AA76*'Demographic-Economic'!F$20^10</f>
        <v>565686.14987092617</v>
      </c>
      <c r="AB77" s="61">
        <f>AB76*'Demographic-Economic'!G$20^10</f>
        <v>925818.17045496183</v>
      </c>
      <c r="AC77" s="61">
        <f>AC76*'Demographic-Economic'!H$20^10</f>
        <v>376556.11267501442</v>
      </c>
      <c r="AG77">
        <v>2080</v>
      </c>
      <c r="AH77" t="s">
        <v>240</v>
      </c>
      <c r="AI77" t="s">
        <v>240</v>
      </c>
      <c r="AJ77" s="61">
        <f>AJ76*'Demographic-Economic'!E$20^10</f>
        <v>6338823.9099148503</v>
      </c>
      <c r="AK77" s="61">
        <f>AK76*'Demographic-Economic'!F$20^10</f>
        <v>565686.14987092617</v>
      </c>
      <c r="AL77" s="61">
        <f>AL76*'Demographic-Economic'!G$20^10</f>
        <v>925818.17045496183</v>
      </c>
      <c r="AM77" s="61">
        <f>AM76*'Demographic-Economic'!H$20^10</f>
        <v>376556.11267501442</v>
      </c>
    </row>
    <row r="78" spans="5:39">
      <c r="E78">
        <v>2090</v>
      </c>
      <c r="F78" s="322" t="s">
        <v>240</v>
      </c>
      <c r="G78" s="322" t="s">
        <v>240</v>
      </c>
      <c r="H78" s="61">
        <f>H77*('Demographic-Economic'!E$20)^10</f>
        <v>7554314.7840266572</v>
      </c>
      <c r="I78" s="61">
        <f>I77*('Demographic-Economic'!F$20)^10</f>
        <v>578111.04105215799</v>
      </c>
      <c r="J78" s="61">
        <f>J77*('Demographic-Economic'!G$20)^10</f>
        <v>1004773.6651875465</v>
      </c>
      <c r="K78" s="61">
        <f>K77*('Demographic-Economic'!H$20)^10</f>
        <v>446500.67619810445</v>
      </c>
      <c r="N78">
        <v>2090</v>
      </c>
      <c r="O78" t="s">
        <v>240</v>
      </c>
      <c r="P78" t="s">
        <v>240</v>
      </c>
      <c r="Q78" s="61">
        <f>Q77*'Demographic-Economic'!E$20^10</f>
        <v>7554314.7840266572</v>
      </c>
      <c r="R78" s="61">
        <f>R77*'Demographic-Economic'!F$20^10</f>
        <v>578111.04105215799</v>
      </c>
      <c r="S78" s="61">
        <f>S77*'Demographic-Economic'!G$20^10</f>
        <v>1004773.6651875465</v>
      </c>
      <c r="T78" s="61">
        <f>T77*'Demographic-Economic'!H$20^10</f>
        <v>446500.67619810445</v>
      </c>
      <c r="W78">
        <v>2090</v>
      </c>
      <c r="X78" t="s">
        <v>240</v>
      </c>
      <c r="Y78" t="s">
        <v>240</v>
      </c>
      <c r="Z78" s="61">
        <f>Z77*'Demographic-Economic'!E$20^10</f>
        <v>7554314.7840266572</v>
      </c>
      <c r="AA78" s="61">
        <f>AA77*'Demographic-Economic'!F$20^10</f>
        <v>578111.04105215799</v>
      </c>
      <c r="AB78" s="61">
        <f>AB77*'Demographic-Economic'!G$20^10</f>
        <v>1004773.6651875465</v>
      </c>
      <c r="AC78" s="61">
        <f>AC77*'Demographic-Economic'!H$20^10</f>
        <v>446500.67619810445</v>
      </c>
      <c r="AG78">
        <v>2090</v>
      </c>
      <c r="AH78" t="s">
        <v>240</v>
      </c>
      <c r="AI78" t="s">
        <v>240</v>
      </c>
      <c r="AJ78" s="61">
        <f>AJ77*'Demographic-Economic'!E$20^10</f>
        <v>7554314.7840266572</v>
      </c>
      <c r="AK78" s="61">
        <f>AK77*'Demographic-Economic'!F$20^10</f>
        <v>578111.04105215799</v>
      </c>
      <c r="AL78" s="61">
        <f>AL77*'Demographic-Economic'!G$20^10</f>
        <v>1004773.6651875465</v>
      </c>
      <c r="AM78" s="61">
        <f>AM77*'Demographic-Economic'!H$20^10</f>
        <v>446500.67619810445</v>
      </c>
    </row>
    <row r="79" spans="5:39">
      <c r="E79">
        <v>2100</v>
      </c>
      <c r="F79" s="322" t="s">
        <v>240</v>
      </c>
      <c r="G79" s="322" t="s">
        <v>240</v>
      </c>
      <c r="H79" s="61">
        <f>H78*('Demographic-Economic'!E$20)^10</f>
        <v>9002880.1347362734</v>
      </c>
      <c r="I79" s="61">
        <f>I78*('Demographic-Economic'!F$20)^10</f>
        <v>590808.8360704392</v>
      </c>
      <c r="J79" s="61">
        <f>J78*('Demographic-Economic'!G$20)^10</f>
        <v>1090462.6312943252</v>
      </c>
      <c r="K79" s="61">
        <f>K78*('Demographic-Economic'!H$20)^10</f>
        <v>529437.30598107167</v>
      </c>
      <c r="N79">
        <v>2100</v>
      </c>
      <c r="O79" t="s">
        <v>240</v>
      </c>
      <c r="P79" t="s">
        <v>240</v>
      </c>
      <c r="Q79" s="61">
        <f>Q78*'Demographic-Economic'!E$20^10</f>
        <v>9002880.1347362734</v>
      </c>
      <c r="R79" s="61">
        <f>R78*'Demographic-Economic'!F$20^10</f>
        <v>590808.8360704392</v>
      </c>
      <c r="S79" s="61">
        <f>S78*'Demographic-Economic'!G$20^10</f>
        <v>1090462.6312943252</v>
      </c>
      <c r="T79" s="61">
        <f>T78*'Demographic-Economic'!H$20^10</f>
        <v>529437.30598107167</v>
      </c>
      <c r="W79">
        <v>2100</v>
      </c>
      <c r="X79" t="s">
        <v>240</v>
      </c>
      <c r="Y79" t="s">
        <v>240</v>
      </c>
      <c r="Z79" s="61">
        <f>Z78*'Demographic-Economic'!E$20^10</f>
        <v>9002880.1347362734</v>
      </c>
      <c r="AA79" s="61">
        <f>AA78*'Demographic-Economic'!F$20^10</f>
        <v>590808.8360704392</v>
      </c>
      <c r="AB79" s="61">
        <f>AB78*'Demographic-Economic'!G$20^10</f>
        <v>1090462.6312943252</v>
      </c>
      <c r="AC79" s="61">
        <f>AC78*'Demographic-Economic'!H$20^10</f>
        <v>529437.30598107167</v>
      </c>
      <c r="AG79">
        <v>2100</v>
      </c>
      <c r="AH79" t="s">
        <v>240</v>
      </c>
      <c r="AI79" t="s">
        <v>240</v>
      </c>
      <c r="AJ79" s="61">
        <f>AJ78*'Demographic-Economic'!E$20^10</f>
        <v>9002880.1347362734</v>
      </c>
      <c r="AK79" s="61">
        <f>AK78*'Demographic-Economic'!F$20^10</f>
        <v>590808.8360704392</v>
      </c>
      <c r="AL79" s="61">
        <f>AL78*'Demographic-Economic'!G$20^10</f>
        <v>1090462.6312943252</v>
      </c>
      <c r="AM79" s="61">
        <f>AM78*'Demographic-Economic'!H$20^10</f>
        <v>529437.30598107167</v>
      </c>
    </row>
    <row r="80" spans="5:39">
      <c r="F80" s="581" t="s">
        <v>241</v>
      </c>
      <c r="G80" s="581"/>
      <c r="H80" s="581"/>
      <c r="I80" s="581"/>
      <c r="J80" s="581"/>
      <c r="K80" s="581"/>
      <c r="O80" s="581" t="s">
        <v>241</v>
      </c>
      <c r="P80" s="581"/>
      <c r="Q80" s="581"/>
      <c r="R80" s="581"/>
      <c r="S80" s="581"/>
      <c r="T80" s="581"/>
      <c r="X80" s="581" t="s">
        <v>241</v>
      </c>
      <c r="Y80" s="581"/>
      <c r="Z80" s="581"/>
      <c r="AA80" s="581"/>
      <c r="AB80" s="581"/>
      <c r="AC80" s="581"/>
      <c r="AH80" s="581" t="s">
        <v>241</v>
      </c>
      <c r="AI80" s="581"/>
      <c r="AJ80" s="581"/>
      <c r="AK80" s="581"/>
      <c r="AL80" s="581"/>
      <c r="AM80" s="581"/>
    </row>
    <row r="81" spans="5:39">
      <c r="E81">
        <v>2020</v>
      </c>
      <c r="F81" s="61">
        <f>F5/'Demographic-Economic'!C$29</f>
        <v>2473101.1764705884</v>
      </c>
      <c r="G81" s="61">
        <f>G5/'Demographic-Economic'!D$29</f>
        <v>1691706.0240963853</v>
      </c>
      <c r="H81" s="61">
        <f>H5/'Demographic-Economic'!E$29</f>
        <v>2021766.8016194331</v>
      </c>
      <c r="I81" s="61">
        <f>I5/'Demographic-Economic'!F$29</f>
        <v>404270.4</v>
      </c>
      <c r="J81" s="61">
        <f>J5/'Demographic-Economic'!G$29</f>
        <v>506668.79999999999</v>
      </c>
      <c r="K81" s="61">
        <f>K5/'Demographic-Economic'!H$29</f>
        <v>116182.64150943396</v>
      </c>
      <c r="N81">
        <v>2020</v>
      </c>
      <c r="O81" s="61">
        <f>O5/'Demographic-Economic'!C$29</f>
        <v>2473101.1764705884</v>
      </c>
      <c r="P81" s="61">
        <f>P5/'Demographic-Economic'!D$29</f>
        <v>1691706.0240963853</v>
      </c>
      <c r="Q81" s="61">
        <f>Q5/'Demographic-Economic'!E$29</f>
        <v>2021766.8016194331</v>
      </c>
      <c r="R81" s="61">
        <f>R5/'Demographic-Economic'!F$29</f>
        <v>404270.4</v>
      </c>
      <c r="S81" s="61">
        <f>S5/'Demographic-Economic'!G$29</f>
        <v>506668.79999999999</v>
      </c>
      <c r="T81" s="61">
        <f>T5/'Demographic-Economic'!H$29</f>
        <v>116182.64150943396</v>
      </c>
      <c r="W81">
        <v>2020</v>
      </c>
      <c r="X81" s="61">
        <f>X5/'Demographic-Economic'!C$29</f>
        <v>2473101.1764705884</v>
      </c>
      <c r="Y81" s="61">
        <f>Y5/'Demographic-Economic'!D$29</f>
        <v>1691706.0240963853</v>
      </c>
      <c r="Z81" s="61">
        <f>Z5/'Demographic-Economic'!E$29</f>
        <v>2021766.8016194331</v>
      </c>
      <c r="AA81" s="61">
        <f>AA5/'Demographic-Economic'!F$29</f>
        <v>404270.4</v>
      </c>
      <c r="AB81" s="61">
        <f>AB5/'Demographic-Economic'!G$29</f>
        <v>506668.79999999999</v>
      </c>
      <c r="AC81" s="61">
        <f>AC5/'Demographic-Economic'!H$29</f>
        <v>116182.64150943396</v>
      </c>
      <c r="AG81">
        <v>2020</v>
      </c>
      <c r="AH81" s="61">
        <f>AH5/'Demographic-Economic'!C$29</f>
        <v>2473101.1764705884</v>
      </c>
      <c r="AI81" s="61">
        <f>AI5/'Demographic-Economic'!D$29</f>
        <v>1691706.0240963853</v>
      </c>
      <c r="AJ81" s="61">
        <f>AJ5/'Demographic-Economic'!E$29</f>
        <v>2021766.8016194331</v>
      </c>
      <c r="AK81" s="61">
        <f>AK5/'Demographic-Economic'!F$29</f>
        <v>404270.4</v>
      </c>
      <c r="AL81" s="61">
        <f>AL5/'Demographic-Economic'!G$29</f>
        <v>506668.79999999999</v>
      </c>
      <c r="AM81" s="61">
        <f>AM5/'Demographic-Economic'!H$29</f>
        <v>116182.64150943396</v>
      </c>
    </row>
    <row r="82" spans="5:39">
      <c r="E82">
        <v>2021</v>
      </c>
      <c r="F82" s="61">
        <f>F6/'Demographic-Economic'!C$29</f>
        <v>2485651.0230079158</v>
      </c>
      <c r="G82" s="61">
        <f>G6/'Demographic-Economic'!D$29</f>
        <v>1698162.6276949486</v>
      </c>
      <c r="H82" s="61">
        <f>H6/'Demographic-Economic'!E$29</f>
        <v>2038520.1995436591</v>
      </c>
      <c r="I82" s="61">
        <f>I6/'Demographic-Economic'!F$29</f>
        <v>408718.47527412482</v>
      </c>
      <c r="J82" s="61">
        <f>J6/'Demographic-Economic'!G$29</f>
        <v>511103.31917981256</v>
      </c>
      <c r="K82" s="61">
        <f>K6/'Demographic-Economic'!H$29</f>
        <v>117290.84839755957</v>
      </c>
      <c r="N82">
        <v>2021</v>
      </c>
      <c r="O82" s="61">
        <f>O6/'Demographic-Economic'!C$29</f>
        <v>2491107.1241787127</v>
      </c>
      <c r="P82" s="61">
        <f>P6/'Demographic-Economic'!D$29</f>
        <v>1701890.1610515648</v>
      </c>
      <c r="Q82" s="61">
        <f>Q6/'Demographic-Economic'!E$29</f>
        <v>2042994.8310765938</v>
      </c>
      <c r="R82" s="61">
        <f>R6/'Demographic-Economic'!F$29</f>
        <v>409615.62830599764</v>
      </c>
      <c r="S82" s="61">
        <f>S6/'Demographic-Economic'!G$29</f>
        <v>512225.21094674303</v>
      </c>
      <c r="T82" s="61">
        <f>T6/'Demographic-Economic'!H$29</f>
        <v>117548.30639521978</v>
      </c>
      <c r="W82">
        <v>2021</v>
      </c>
      <c r="X82" s="61">
        <f>X6/'Demographic-Economic'!C$29</f>
        <v>2495993.0199740264</v>
      </c>
      <c r="Y82" s="61">
        <f>Y6/'Demographic-Economic'!D$29</f>
        <v>1705228.1379299012</v>
      </c>
      <c r="Z82" s="61">
        <f>Z6/'Demographic-Economic'!E$29</f>
        <v>2047001.8285108351</v>
      </c>
      <c r="AA82" s="61">
        <f>AA6/'Demographic-Economic'!F$29</f>
        <v>410419.02180787083</v>
      </c>
      <c r="AB82" s="61">
        <f>AB6/'Demographic-Economic'!G$29</f>
        <v>513229.85622278415</v>
      </c>
      <c r="AC82" s="61">
        <f>AC6/'Demographic-Economic'!H$29</f>
        <v>117778.85801236553</v>
      </c>
      <c r="AG82">
        <v>2021</v>
      </c>
      <c r="AH82" s="61">
        <f>AH6/'Demographic-Economic'!C$29</f>
        <v>2486367.4807947027</v>
      </c>
      <c r="AI82" s="61">
        <f>AI6/'Demographic-Economic'!D$29</f>
        <v>1698652.1018112181</v>
      </c>
      <c r="AJ82" s="61">
        <f>AJ6/'Demographic-Economic'!E$29</f>
        <v>2039107.7774687035</v>
      </c>
      <c r="AK82" s="61">
        <f>AK6/'Demographic-Economic'!F$29</f>
        <v>408836.28325742704</v>
      </c>
      <c r="AL82" s="61">
        <f>AL6/'Demographic-Economic'!G$29</f>
        <v>511250.63831250218</v>
      </c>
      <c r="AM82" s="61">
        <f>AM6/'Demographic-Economic'!H$29</f>
        <v>117324.65601611721</v>
      </c>
    </row>
    <row r="83" spans="5:39">
      <c r="E83">
        <v>2022</v>
      </c>
      <c r="F83" s="61">
        <f>F7/'Demographic-Economic'!C$29</f>
        <v>2498165.6307083122</v>
      </c>
      <c r="G83" s="61">
        <f>G7/'Demographic-Economic'!D$29</f>
        <v>1704576.3751128684</v>
      </c>
      <c r="H83" s="61">
        <f>H7/'Demographic-Economic'!E$29</f>
        <v>2055544.2563718914</v>
      </c>
      <c r="I83" s="61">
        <f>I7/'Demographic-Economic'!F$29</f>
        <v>413019.6295065257</v>
      </c>
      <c r="J83" s="61">
        <f>J7/'Demographic-Economic'!G$29</f>
        <v>515489.2777808531</v>
      </c>
      <c r="K83" s="61">
        <f>K7/'Demographic-Economic'!H$29</f>
        <v>118405.37509033507</v>
      </c>
      <c r="N83">
        <v>2022</v>
      </c>
      <c r="O83" s="61">
        <f>O7/'Demographic-Economic'!C$29</f>
        <v>2509064.1927969777</v>
      </c>
      <c r="P83" s="61">
        <f>P7/'Demographic-Economic'!D$29</f>
        <v>1712012.8041593176</v>
      </c>
      <c r="Q83" s="61">
        <f>Q7/'Demographic-Economic'!E$29</f>
        <v>2064497.4457928182</v>
      </c>
      <c r="R83" s="61">
        <f>R7/'Demographic-Economic'!F$29</f>
        <v>414834.82466763252</v>
      </c>
      <c r="S83" s="61">
        <f>S7/'Demographic-Economic'!G$29</f>
        <v>517736.95144192502</v>
      </c>
      <c r="T83" s="61">
        <f>T7/'Demographic-Economic'!H$29</f>
        <v>118923.89269955413</v>
      </c>
      <c r="W83">
        <v>2022</v>
      </c>
      <c r="X83" s="61">
        <f>X7/'Demographic-Economic'!C$29</f>
        <v>2518823.7696481165</v>
      </c>
      <c r="Y83" s="61">
        <f>Y7/'Demographic-Economic'!D$29</f>
        <v>1718672.0680315988</v>
      </c>
      <c r="Z83" s="61">
        <f>Z7/'Demographic-Economic'!E$29</f>
        <v>2072514.4034487386</v>
      </c>
      <c r="AA83" s="61">
        <f>AA7/'Demographic-Economic'!F$29</f>
        <v>416460.8310663806</v>
      </c>
      <c r="AB83" s="61">
        <f>AB7/'Demographic-Economic'!G$29</f>
        <v>519749.678901045</v>
      </c>
      <c r="AC83" s="61">
        <f>AC7/'Demographic-Economic'!H$29</f>
        <v>119388.29652167916</v>
      </c>
      <c r="AG83">
        <v>2022</v>
      </c>
      <c r="AH83" s="61">
        <f>AH7/'Demographic-Economic'!C$29</f>
        <v>2499596.7551374175</v>
      </c>
      <c r="AI83" s="61">
        <f>AI7/'Demographic-Economic'!D$29</f>
        <v>1705552.8759748258</v>
      </c>
      <c r="AJ83" s="61">
        <f>AJ7/'Demographic-Economic'!E$29</f>
        <v>2056719.9638231941</v>
      </c>
      <c r="AK83" s="61">
        <f>AK7/'Demographic-Economic'!F$29</f>
        <v>413257.95506212808</v>
      </c>
      <c r="AL83" s="61">
        <f>AL7/'Demographic-Economic'!G$29</f>
        <v>515784.42990968004</v>
      </c>
      <c r="AM83" s="61">
        <f>AM7/'Demographic-Economic'!H$29</f>
        <v>118473.45835953471</v>
      </c>
    </row>
    <row r="84" spans="5:39">
      <c r="E84">
        <v>2023</v>
      </c>
      <c r="F84" s="61">
        <f>F8/'Demographic-Economic'!C$29</f>
        <v>2510645.0680597331</v>
      </c>
      <c r="G84" s="61">
        <f>G8/'Demographic-Economic'!D$29</f>
        <v>1710947.4402772752</v>
      </c>
      <c r="H84" s="61">
        <f>H8/'Demographic-Economic'!E$29</f>
        <v>2072819.2343921538</v>
      </c>
      <c r="I84" s="61">
        <f>I8/'Demographic-Economic'!F$29</f>
        <v>417188.40240076801</v>
      </c>
      <c r="J84" s="61">
        <f>J8/'Demographic-Economic'!G$29</f>
        <v>519831.69282350253</v>
      </c>
      <c r="K84" s="61">
        <f>K8/'Demographic-Economic'!H$29</f>
        <v>119525.93955601184</v>
      </c>
      <c r="N84">
        <v>2023</v>
      </c>
      <c r="O84" s="61">
        <f>O8/'Demographic-Economic'!C$29</f>
        <v>2526972.4763888153</v>
      </c>
      <c r="P84" s="61">
        <f>P8/'Demographic-Economic'!D$29</f>
        <v>1722074.1972380253</v>
      </c>
      <c r="Q84" s="61">
        <f>Q8/'Demographic-Economic'!E$29</f>
        <v>2086264.4484742135</v>
      </c>
      <c r="R84" s="61">
        <f>R8/'Demographic-Economic'!F$29</f>
        <v>419935.30781715747</v>
      </c>
      <c r="S84" s="61">
        <f>S8/'Demographic-Economic'!G$29</f>
        <v>523206.79795225029</v>
      </c>
      <c r="T84" s="61">
        <f>T8/'Demographic-Economic'!H$29</f>
        <v>120309.06168621109</v>
      </c>
      <c r="W84">
        <v>2023</v>
      </c>
      <c r="X84" s="61">
        <f>X8/'Demographic-Economic'!C$29</f>
        <v>2541593.5424589287</v>
      </c>
      <c r="Y84" s="61">
        <f>Y8/'Demographic-Economic'!D$29</f>
        <v>1732038.1208069262</v>
      </c>
      <c r="Z84" s="61">
        <f>Z8/'Demographic-Economic'!E$29</f>
        <v>2098302.4631165955</v>
      </c>
      <c r="AA84" s="61">
        <f>AA8/'Demographic-Economic'!F$29</f>
        <v>422397.16351166123</v>
      </c>
      <c r="AB84" s="61">
        <f>AB8/'Demographic-Economic'!G$29</f>
        <v>526228.81920335628</v>
      </c>
      <c r="AC84" s="61">
        <f>AC8/'Demographic-Economic'!H$29</f>
        <v>121010.69964759202</v>
      </c>
      <c r="AG84">
        <v>2023</v>
      </c>
      <c r="AH84" s="61">
        <f>AH8/'Demographic-Economic'!C$29</f>
        <v>2512789.0713450871</v>
      </c>
      <c r="AI84" s="61">
        <f>AI8/'Demographic-Economic'!D$29</f>
        <v>1712408.5296919793</v>
      </c>
      <c r="AJ84" s="61">
        <f>AJ8/'Demographic-Economic'!E$29</f>
        <v>2074584.8996747818</v>
      </c>
      <c r="AK84" s="61">
        <f>AK8/'Demographic-Economic'!F$29</f>
        <v>417548.97817291238</v>
      </c>
      <c r="AL84" s="61">
        <f>AL8/'Demographic-Economic'!G$29</f>
        <v>520274.91126980557</v>
      </c>
      <c r="AM84" s="61">
        <f>AM8/'Demographic-Economic'!H$29</f>
        <v>119628.75097677585</v>
      </c>
    </row>
    <row r="85" spans="5:39">
      <c r="E85">
        <v>2024</v>
      </c>
      <c r="F85" s="61">
        <f>F9/'Demographic-Economic'!C$29</f>
        <v>2523089.4034339776</v>
      </c>
      <c r="G85" s="61">
        <f>G9/'Demographic-Economic'!D$29</f>
        <v>1717275.9965135157</v>
      </c>
      <c r="H85" s="61">
        <f>H9/'Demographic-Economic'!E$29</f>
        <v>2090327.7952212875</v>
      </c>
      <c r="I85" s="61">
        <f>I9/'Demographic-Economic'!F$29</f>
        <v>421237.54814678925</v>
      </c>
      <c r="J85" s="61">
        <f>J9/'Demographic-Economic'!G$29</f>
        <v>524134.96169534</v>
      </c>
      <c r="K85" s="61">
        <f>K9/'Demographic-Economic'!H$29</f>
        <v>120652.29309059717</v>
      </c>
      <c r="N85">
        <v>2024</v>
      </c>
      <c r="O85" s="61">
        <f>O9/'Demographic-Economic'!C$29</f>
        <v>2544832.0688588731</v>
      </c>
      <c r="P85" s="61">
        <f>P9/'Demographic-Economic'!D$29</f>
        <v>1732074.5832713137</v>
      </c>
      <c r="Q85" s="61">
        <f>Q9/'Demographic-Economic'!E$29</f>
        <v>2108286.0543816253</v>
      </c>
      <c r="R85" s="61">
        <f>R9/'Demographic-Economic'!F$29</f>
        <v>424924.08686899196</v>
      </c>
      <c r="S85" s="61">
        <f>S9/'Demographic-Economic'!G$29</f>
        <v>528637.4109527308</v>
      </c>
      <c r="T85" s="61">
        <f>T9/'Demographic-Economic'!H$29</f>
        <v>121703.49254238303</v>
      </c>
      <c r="W85">
        <v>2024</v>
      </c>
      <c r="X85" s="61">
        <f>X9/'Demographic-Economic'!C$29</f>
        <v>2564302.455175573</v>
      </c>
      <c r="Y85" s="61">
        <f>Y9/'Demographic-Economic'!D$29</f>
        <v>1745326.6016179514</v>
      </c>
      <c r="Z85" s="61">
        <f>Z9/'Demographic-Economic'!E$29</f>
        <v>2124363.2830919228</v>
      </c>
      <c r="AA85" s="61">
        <f>AA9/'Demographic-Economic'!F$29</f>
        <v>428229.81946286757</v>
      </c>
      <c r="AB85" s="61">
        <f>AB9/'Demographic-Economic'!G$29</f>
        <v>532668.03306846495</v>
      </c>
      <c r="AC85" s="61">
        <f>AC9/'Demographic-Economic'!H$29</f>
        <v>122645.79590557124</v>
      </c>
      <c r="AG85">
        <v>2024</v>
      </c>
      <c r="AH85" s="61">
        <f>AH9/'Demographic-Economic'!C$29</f>
        <v>2525944.5011423077</v>
      </c>
      <c r="AI85" s="61">
        <f>AI9/'Demographic-Economic'!D$29</f>
        <v>1719219.2454350726</v>
      </c>
      <c r="AJ85" s="61">
        <f>AJ9/'Demographic-Economic'!E$29</f>
        <v>2092686.2173736994</v>
      </c>
      <c r="AK85" s="61">
        <f>AK9/'Demographic-Economic'!F$29</f>
        <v>421721.35939037858</v>
      </c>
      <c r="AL85" s="61">
        <f>AL9/'Demographic-Economic'!G$29</f>
        <v>524726.27232842601</v>
      </c>
      <c r="AM85" s="61">
        <f>AM9/'Demographic-Economic'!H$29</f>
        <v>120790.26933975643</v>
      </c>
    </row>
    <row r="86" spans="5:39">
      <c r="E86">
        <v>2025</v>
      </c>
      <c r="F86" s="61">
        <f>F10/'Demographic-Economic'!C$29</f>
        <v>2535498.7050868687</v>
      </c>
      <c r="G86" s="61">
        <f>G10/'Demographic-Economic'!D$29</f>
        <v>1723562.2165470733</v>
      </c>
      <c r="H86" s="61">
        <f>H10/'Demographic-Economic'!E$29</f>
        <v>2108054.6470379056</v>
      </c>
      <c r="I86" s="61">
        <f>I10/'Demographic-Economic'!F$29</f>
        <v>425178.29796247173</v>
      </c>
      <c r="J86" s="61">
        <f>J10/'Demographic-Economic'!G$29</f>
        <v>528402.95327921538</v>
      </c>
      <c r="K86" s="61">
        <f>K10/'Demographic-Economic'!H$29</f>
        <v>121784.21547076789</v>
      </c>
      <c r="N86">
        <v>2025</v>
      </c>
      <c r="O86" s="61">
        <f>O10/'Demographic-Economic'!C$29</f>
        <v>2562643.0639532604</v>
      </c>
      <c r="P86" s="61">
        <f>P10/'Demographic-Economic'!D$29</f>
        <v>1742014.2044107025</v>
      </c>
      <c r="Q86" s="61">
        <f>Q10/'Demographic-Economic'!E$29</f>
        <v>2130552.9064881695</v>
      </c>
      <c r="R86" s="61">
        <f>R10/'Demographic-Economic'!F$29</f>
        <v>429807.85101987224</v>
      </c>
      <c r="S86" s="61">
        <f>S10/'Demographic-Economic'!G$29</f>
        <v>534031.33043744508</v>
      </c>
      <c r="T86" s="61">
        <f>T10/'Demographic-Economic'!H$29</f>
        <v>123106.88219995445</v>
      </c>
      <c r="W86">
        <v>2025</v>
      </c>
      <c r="X86" s="61">
        <f>X10/'Demographic-Economic'!C$29</f>
        <v>2586950.6243705163</v>
      </c>
      <c r="Y86" s="61">
        <f>Y10/'Demographic-Economic'!D$29</f>
        <v>1758537.8147866661</v>
      </c>
      <c r="Z86" s="61">
        <f>Z10/'Demographic-Economic'!E$29</f>
        <v>2150693.5602235273</v>
      </c>
      <c r="AA86" s="61">
        <f>AA10/'Demographic-Economic'!F$29</f>
        <v>433961.00488667842</v>
      </c>
      <c r="AB86" s="61">
        <f>AB10/'Demographic-Economic'!G$29</f>
        <v>539068.25504210813</v>
      </c>
      <c r="AC86" s="61">
        <f>AC10/'Demographic-Economic'!H$29</f>
        <v>124293.30321292415</v>
      </c>
      <c r="AG86">
        <v>2025</v>
      </c>
      <c r="AH86" s="61">
        <f>AH10/'Demographic-Economic'!C$29</f>
        <v>2539063.1161321113</v>
      </c>
      <c r="AI86" s="61">
        <f>AI10/'Demographic-Economic'!D$29</f>
        <v>1725985.2050461397</v>
      </c>
      <c r="AJ86" s="61">
        <f>AJ10/'Demographic-Economic'!E$29</f>
        <v>2111009.3585162661</v>
      </c>
      <c r="AK86" s="61">
        <f>AK10/'Demographic-Economic'!F$29</f>
        <v>425785.7607856894</v>
      </c>
      <c r="AL86" s="61">
        <f>AL10/'Demographic-Economic'!G$29</f>
        <v>529142.23066340969</v>
      </c>
      <c r="AM86" s="61">
        <f>AM10/'Demographic-Economic'!H$29</f>
        <v>121957.77750889769</v>
      </c>
    </row>
    <row r="87" spans="5:39">
      <c r="E87">
        <v>2026</v>
      </c>
      <c r="F87" s="61">
        <f>F11/'Demographic-Economic'!C$29</f>
        <v>2547873.041158434</v>
      </c>
      <c r="G87" s="61">
        <f>G11/'Demographic-Economic'!D$29</f>
        <v>1729806.272505485</v>
      </c>
      <c r="H87" s="61">
        <f>H11/'Demographic-Economic'!E$29</f>
        <v>2125986.2519171741</v>
      </c>
      <c r="I87" s="61">
        <f>I11/'Demographic-Economic'!F$29</f>
        <v>429020.57791735401</v>
      </c>
      <c r="J87" s="61">
        <f>J11/'Demographic-Economic'!G$29</f>
        <v>532639.08355519711</v>
      </c>
      <c r="K87" s="61">
        <f>K11/'Demographic-Economic'!H$29</f>
        <v>122921.51092130788</v>
      </c>
      <c r="N87">
        <v>2026</v>
      </c>
      <c r="O87" s="61">
        <f>O11/'Demographic-Economic'!C$29</f>
        <v>2580405.5552598047</v>
      </c>
      <c r="P87" s="61">
        <f>P11/'Demographic-Economic'!D$29</f>
        <v>1751893.3019782489</v>
      </c>
      <c r="Q87" s="61">
        <f>Q11/'Demographic-Economic'!E$29</f>
        <v>2153056.0831477591</v>
      </c>
      <c r="R87" s="61">
        <f>R11/'Demographic-Economic'!F$29</f>
        <v>434592.96468361776</v>
      </c>
      <c r="S87" s="61">
        <f>S11/'Demographic-Economic'!G$29</f>
        <v>539390.97358156997</v>
      </c>
      <c r="T87" s="61">
        <f>T11/'Demographic-Economic'!H$29</f>
        <v>124518.94498061216</v>
      </c>
      <c r="W87">
        <v>2026</v>
      </c>
      <c r="X87" s="61">
        <f>X11/'Demographic-Economic'!C$29</f>
        <v>2609538.1664198861</v>
      </c>
      <c r="Y87" s="61">
        <f>Y11/'Demographic-Economic'!D$29</f>
        <v>1771672.0635982775</v>
      </c>
      <c r="Z87" s="61">
        <f>Z11/'Demographic-Economic'!E$29</f>
        <v>2177289.4944909248</v>
      </c>
      <c r="AA87" s="61">
        <f>AA11/'Demographic-Economic'!F$29</f>
        <v>439593.27295288129</v>
      </c>
      <c r="AB87" s="61">
        <f>AB11/'Demographic-Economic'!G$29</f>
        <v>545430.57235746575</v>
      </c>
      <c r="AC87" s="61">
        <f>AC11/'Demographic-Economic'!H$29</f>
        <v>125952.93217489078</v>
      </c>
      <c r="AG87">
        <v>2026</v>
      </c>
      <c r="AH87" s="61">
        <f>AH11/'Demographic-Economic'!C$29</f>
        <v>2552144.9877961571</v>
      </c>
      <c r="AI87" s="61">
        <f>AI11/'Demographic-Economic'!D$29</f>
        <v>1732706.589738867</v>
      </c>
      <c r="AJ87" s="61">
        <f>AJ11/'Demographic-Economic'!E$29</f>
        <v>2129541.3341410398</v>
      </c>
      <c r="AK87" s="61">
        <f>AK11/'Demographic-Economic'!F$29</f>
        <v>429751.67799557606</v>
      </c>
      <c r="AL87" s="61">
        <f>AL11/'Demographic-Economic'!G$29</f>
        <v>533526.09411202674</v>
      </c>
      <c r="AM87" s="61">
        <f>AM11/'Demographic-Economic'!H$29</f>
        <v>123131.06437078265</v>
      </c>
    </row>
    <row r="88" spans="5:39">
      <c r="E88">
        <v>2027</v>
      </c>
      <c r="F88" s="61">
        <f>F12/'Demographic-Economic'!C$29</f>
        <v>2560212.4796730941</v>
      </c>
      <c r="G88" s="61">
        <f>G12/'Demographic-Economic'!D$29</f>
        <v>1736008.335920251</v>
      </c>
      <c r="H88" s="61">
        <f>H12/'Demographic-Economic'!E$29</f>
        <v>2144110.5816925592</v>
      </c>
      <c r="I88" s="61">
        <f>I12/'Demographic-Economic'!F$29</f>
        <v>432773.19064787601</v>
      </c>
      <c r="J88" s="61">
        <f>J12/'Demographic-Economic'!G$29</f>
        <v>536846.37866690801</v>
      </c>
      <c r="K88" s="61">
        <f>K12/'Demographic-Economic'!H$29</f>
        <v>124064.00474239766</v>
      </c>
      <c r="N88">
        <v>2027</v>
      </c>
      <c r="O88" s="61">
        <f>O12/'Demographic-Economic'!C$29</f>
        <v>2598119.6362082949</v>
      </c>
      <c r="P88" s="61">
        <f>P12/'Demographic-Economic'!D$29</f>
        <v>1761712.1164691797</v>
      </c>
      <c r="Q88" s="61">
        <f>Q12/'Demographic-Economic'!E$29</f>
        <v>2175787.0995588568</v>
      </c>
      <c r="R88" s="61">
        <f>R12/'Demographic-Economic'!F$29</f>
        <v>439285.46711735922</v>
      </c>
      <c r="S88" s="61">
        <f>S12/'Demographic-Economic'!G$29</f>
        <v>544718.63418799045</v>
      </c>
      <c r="T88" s="61">
        <f>T12/'Demographic-Economic'!H$29</f>
        <v>125939.41210347874</v>
      </c>
      <c r="W88">
        <v>2027</v>
      </c>
      <c r="X88" s="61">
        <f>X12/'Demographic-Economic'!C$29</f>
        <v>2632065.1975037814</v>
      </c>
      <c r="Y88" s="61">
        <f>Y12/'Demographic-Economic'!D$29</f>
        <v>1784729.6503044884</v>
      </c>
      <c r="Z88" s="61">
        <f>Z12/'Demographic-Economic'!E$29</f>
        <v>2204146.8687624373</v>
      </c>
      <c r="AA88" s="61">
        <f>AA12/'Demographic-Economic'!F$29</f>
        <v>445129.46719729126</v>
      </c>
      <c r="AB88" s="61">
        <f>AB12/'Demographic-Economic'!G$29</f>
        <v>551756.19975125138</v>
      </c>
      <c r="AC88" s="61">
        <f>AC12/'Demographic-Economic'!H$29</f>
        <v>127624.38911899026</v>
      </c>
      <c r="AG88">
        <v>2027</v>
      </c>
      <c r="AH88" s="61">
        <f>AH12/'Demographic-Economic'!C$29</f>
        <v>2565190.1874949238</v>
      </c>
      <c r="AI88" s="61">
        <f>AI12/'Demographic-Economic'!D$29</f>
        <v>1739383.5801005994</v>
      </c>
      <c r="AJ88" s="61">
        <f>AJ12/'Demographic-Economic'!E$29</f>
        <v>2148270.5214704024</v>
      </c>
      <c r="AK88" s="61">
        <f>AK12/'Demographic-Economic'!F$29</f>
        <v>433627.59135159815</v>
      </c>
      <c r="AL88" s="61">
        <f>AL12/'Demographic-Economic'!G$29</f>
        <v>537880.81384691875</v>
      </c>
      <c r="AM88" s="61">
        <f>AM12/'Demographic-Economic'!H$29</f>
        <v>124309.94044182934</v>
      </c>
    </row>
    <row r="89" spans="5:39">
      <c r="E89">
        <v>2028</v>
      </c>
      <c r="F89" s="61">
        <f>F13/'Demographic-Economic'!C$29</f>
        <v>2572517.0885398402</v>
      </c>
      <c r="G89" s="61">
        <f>G13/'Demographic-Economic'!D$29</f>
        <v>1742168.5777287402</v>
      </c>
      <c r="H89" s="61">
        <f>H13/'Demographic-Economic'!E$29</f>
        <v>2162416.9132437804</v>
      </c>
      <c r="I89" s="61">
        <f>I13/'Demographic-Economic'!F$29</f>
        <v>436443.96773387946</v>
      </c>
      <c r="J89" s="61">
        <f>J13/'Demographic-Economic'!G$29</f>
        <v>541027.52780344547</v>
      </c>
      <c r="K89" s="61">
        <f>K13/'Demographic-Economic'!H$29</f>
        <v>125211.54047470404</v>
      </c>
      <c r="N89">
        <v>2028</v>
      </c>
      <c r="O89" s="61">
        <f>O13/'Demographic-Economic'!C$29</f>
        <v>2615785.4000707339</v>
      </c>
      <c r="P89" s="61">
        <f>P13/'Demographic-Economic'!D$29</f>
        <v>1771470.8875545191</v>
      </c>
      <c r="Q89" s="61">
        <f>Q13/'Demographic-Economic'!E$29</f>
        <v>2198737.9041721402</v>
      </c>
      <c r="R89" s="61">
        <f>R13/'Demographic-Economic'!F$29</f>
        <v>443891.07569701888</v>
      </c>
      <c r="S89" s="61">
        <f>S13/'Demographic-Economic'!G$29</f>
        <v>550016.4835902293</v>
      </c>
      <c r="T89" s="61">
        <f>T13/'Demographic-Economic'!H$29</f>
        <v>127368.03108884233</v>
      </c>
      <c r="W89">
        <v>2028</v>
      </c>
      <c r="X89" s="61">
        <f>X13/'Demographic-Economic'!C$29</f>
        <v>2654531.8336065826</v>
      </c>
      <c r="Y89" s="61">
        <f>Y13/'Demographic-Economic'!D$29</f>
        <v>1797710.8761267704</v>
      </c>
      <c r="Z89" s="61">
        <f>Z13/'Demographic-Economic'!E$29</f>
        <v>2231261.1251384872</v>
      </c>
      <c r="AA89" s="61">
        <f>AA13/'Demographic-Economic'!F$29</f>
        <v>450572.66721451294</v>
      </c>
      <c r="AB89" s="61">
        <f>AB13/'Demographic-Economic'!G$29</f>
        <v>558046.45542128698</v>
      </c>
      <c r="AC89" s="61">
        <f>AC13/'Demographic-Economic'!H$29</f>
        <v>129307.37884871816</v>
      </c>
      <c r="AG89">
        <v>2028</v>
      </c>
      <c r="AH89" s="61">
        <f>AH13/'Demographic-Economic'!C$29</f>
        <v>2578198.7864679005</v>
      </c>
      <c r="AI89" s="61">
        <f>AI13/'Demographic-Economic'!D$29</f>
        <v>1746016.3560943378</v>
      </c>
      <c r="AJ89" s="61">
        <f>AJ13/'Demographic-Economic'!E$29</f>
        <v>2167186.4909374481</v>
      </c>
      <c r="AK89" s="61">
        <f>AK13/'Demographic-Economic'!F$29</f>
        <v>437421.09449547267</v>
      </c>
      <c r="AL89" s="61">
        <f>AL13/'Demographic-Economic'!G$29</f>
        <v>542209.02954536781</v>
      </c>
      <c r="AM89" s="61">
        <f>AM13/'Demographic-Economic'!H$29</f>
        <v>125494.23514248841</v>
      </c>
    </row>
    <row r="90" spans="5:39">
      <c r="E90">
        <v>2029</v>
      </c>
      <c r="F90" s="61">
        <f>F14/'Demographic-Economic'!C$29</f>
        <v>2584786.9355524196</v>
      </c>
      <c r="G90" s="61">
        <f>G14/'Demographic-Economic'!D$29</f>
        <v>1748287.1682760874</v>
      </c>
      <c r="H90" s="61">
        <f>H14/'Demographic-Economic'!E$29</f>
        <v>2180895.6560055786</v>
      </c>
      <c r="I90" s="61">
        <f>I14/'Demographic-Economic'!F$29</f>
        <v>440039.89809663279</v>
      </c>
      <c r="J90" s="61">
        <f>J14/'Demographic-Economic'!G$29</f>
        <v>545184.92775834049</v>
      </c>
      <c r="K90" s="61">
        <f>K14/'Demographic-Economic'!H$29</f>
        <v>126363.97750530181</v>
      </c>
      <c r="N90">
        <v>2029</v>
      </c>
      <c r="O90" s="61">
        <f>O14/'Demographic-Economic'!C$29</f>
        <v>2633402.9399615848</v>
      </c>
      <c r="P90" s="61">
        <f>P14/'Demographic-Economic'!D$29</f>
        <v>1781169.8540837036</v>
      </c>
      <c r="Q90" s="61">
        <f>Q14/'Demographic-Economic'!E$29</f>
        <v>2221900.8710547192</v>
      </c>
      <c r="R90" s="61">
        <f>R14/'Demographic-Economic'!F$29</f>
        <v>448415.19210074685</v>
      </c>
      <c r="S90" s="61">
        <f>S14/'Demographic-Economic'!G$29</f>
        <v>555286.57272204862</v>
      </c>
      <c r="T90" s="61">
        <f>T14/'Demographic-Economic'!H$29</f>
        <v>128804.56508669199</v>
      </c>
      <c r="W90">
        <v>2029</v>
      </c>
      <c r="X90" s="61">
        <f>X14/'Demographic-Economic'!C$29</f>
        <v>2676938.1905172546</v>
      </c>
      <c r="Y90" s="61">
        <f>Y14/'Demographic-Economic'!D$29</f>
        <v>1810616.0412596271</v>
      </c>
      <c r="Z90" s="61">
        <f>Z14/'Demographic-Economic'!E$29</f>
        <v>2258627.4368426097</v>
      </c>
      <c r="AA90" s="61">
        <f>AA14/'Demographic-Economic'!F$29</f>
        <v>455926.13760572986</v>
      </c>
      <c r="AB90" s="61">
        <f>AB14/'Demographic-Economic'!G$29</f>
        <v>564302.73844381166</v>
      </c>
      <c r="AC90" s="61">
        <f>AC14/'Demographic-Economic'!H$29</f>
        <v>131001.60709921757</v>
      </c>
      <c r="AG90">
        <v>2029</v>
      </c>
      <c r="AH90" s="61">
        <f>AH14/'Demographic-Economic'!C$29</f>
        <v>2591170.8558337768</v>
      </c>
      <c r="AI90" s="61">
        <f>AI14/'Demographic-Economic'!D$29</f>
        <v>1752605.0970607316</v>
      </c>
      <c r="AJ90" s="61">
        <f>AJ14/'Demographic-Economic'!E$29</f>
        <v>2186279.8584234752</v>
      </c>
      <c r="AK90" s="61">
        <f>AK14/'Demographic-Economic'!F$29</f>
        <v>441139.00425175007</v>
      </c>
      <c r="AL90" s="61">
        <f>AL14/'Demographic-Economic'!G$29</f>
        <v>546513.10797674488</v>
      </c>
      <c r="AM90" s="61">
        <f>AM14/'Demographic-Economic'!H$29</f>
        <v>126683.79446427264</v>
      </c>
    </row>
    <row r="91" spans="5:39">
      <c r="E91">
        <v>2030</v>
      </c>
      <c r="F91" s="61">
        <f>F15/'Demographic-Economic'!C$29</f>
        <v>2597022.0883895177</v>
      </c>
      <c r="G91" s="61">
        <f>G15/'Demographic-Economic'!D$29</f>
        <v>1754364.2773170872</v>
      </c>
      <c r="H91" s="61">
        <f>H15/'Demographic-Economic'!E$29</f>
        <v>2199538.2059550192</v>
      </c>
      <c r="I91" s="61">
        <f>I15/'Demographic-Economic'!F$29</f>
        <v>443567.23669052124</v>
      </c>
      <c r="J91" s="61">
        <f>J15/'Demographic-Economic'!G$29</f>
        <v>549320.72064897069</v>
      </c>
      <c r="K91" s="61">
        <f>K15/'Demographic-Economic'!H$29</f>
        <v>127521.18903689418</v>
      </c>
      <c r="N91">
        <v>2030</v>
      </c>
      <c r="O91" s="61">
        <f>O15/'Demographic-Economic'!C$29</f>
        <v>2650972.3488380229</v>
      </c>
      <c r="P91" s="61">
        <f>P15/'Demographic-Economic'!D$29</f>
        <v>1790809.2540871957</v>
      </c>
      <c r="Q91" s="61">
        <f>Q15/'Demographic-Economic'!E$29</f>
        <v>2245268.7890919619</v>
      </c>
      <c r="R91" s="61">
        <f>R15/'Demographic-Economic'!F$29</f>
        <v>452862.91075640765</v>
      </c>
      <c r="S91" s="61">
        <f>S15/'Demographic-Economic'!G$29</f>
        <v>560530.83510152088</v>
      </c>
      <c r="T91" s="61">
        <f>T15/'Demographic-Economic'!H$29</f>
        <v>130248.79215426125</v>
      </c>
      <c r="W91">
        <v>2030</v>
      </c>
      <c r="X91" s="61">
        <f>X15/'Demographic-Economic'!C$29</f>
        <v>2699284.3838296616</v>
      </c>
      <c r="Y91" s="61">
        <f>Y15/'Demographic-Economic'!D$29</f>
        <v>1823445.4448738445</v>
      </c>
      <c r="Z91" s="61">
        <f>Z15/'Demographic-Economic'!E$29</f>
        <v>2286240.7748913416</v>
      </c>
      <c r="AA91" s="61">
        <f>AA15/'Demographic-Economic'!F$29</f>
        <v>461193.28071524005</v>
      </c>
      <c r="AB91" s="61">
        <f>AB15/'Demographic-Economic'!G$29</f>
        <v>570526.50788391801</v>
      </c>
      <c r="AC91" s="61">
        <f>AC15/'Demographic-Economic'!H$29</f>
        <v>132706.78268787722</v>
      </c>
      <c r="AG91">
        <v>2030</v>
      </c>
      <c r="AH91" s="61">
        <f>AH15/'Demographic-Economic'!C$29</f>
        <v>2604106.466590635</v>
      </c>
      <c r="AI91" s="61">
        <f>AI15/'Demographic-Economic'!D$29</f>
        <v>1759149.981720068</v>
      </c>
      <c r="AJ91" s="61">
        <f>AJ15/'Demographic-Economic'!E$29</f>
        <v>2205542.1585718044</v>
      </c>
      <c r="AK91" s="61">
        <f>AK15/'Demographic-Economic'!F$29</f>
        <v>444787.45483050263</v>
      </c>
      <c r="AL91" s="61">
        <f>AL15/'Demographic-Economic'!G$29</f>
        <v>550795.17608747352</v>
      </c>
      <c r="AM91" s="61">
        <f>AM15/'Demographic-Economic'!H$29</f>
        <v>127878.47896610174</v>
      </c>
    </row>
    <row r="92" spans="5:39">
      <c r="E92">
        <v>2040</v>
      </c>
      <c r="F92" s="61">
        <f>F16/'Demographic-Economic'!C$29</f>
        <v>2669559.8796610674</v>
      </c>
      <c r="G92" s="61">
        <f>G16/'Demographic-Economic'!D$29</f>
        <v>1780538.2604867371</v>
      </c>
      <c r="H92" s="61">
        <f>H16/'Demographic-Economic'!E$29</f>
        <v>2348572.3845614595</v>
      </c>
      <c r="I92" s="61">
        <f>I16/'Demographic-Economic'!F$29</f>
        <v>470242.02832507191</v>
      </c>
      <c r="J92" s="61">
        <f>J16/'Demographic-Economic'!G$29</f>
        <v>580552.47997526731</v>
      </c>
      <c r="K92" s="61">
        <f>K16/'Demographic-Economic'!H$29</f>
        <v>136906.64959778453</v>
      </c>
      <c r="N92">
        <v>2040</v>
      </c>
      <c r="O92" s="61">
        <f>O16/'Demographic-Economic'!C$29</f>
        <v>2785807.6706365184</v>
      </c>
      <c r="P92" s="61">
        <f>P16/'Demographic-Economic'!D$29</f>
        <v>1858073.0036126859</v>
      </c>
      <c r="Q92" s="61">
        <f>Q16/'Demographic-Economic'!E$29</f>
        <v>2451604.5567022627</v>
      </c>
      <c r="R92" s="61">
        <f>R16/'Demographic-Economic'!F$29</f>
        <v>490498.75909550244</v>
      </c>
      <c r="S92" s="61">
        <f>S16/'Demographic-Economic'!G$29</f>
        <v>605042.12469272874</v>
      </c>
      <c r="T92" s="61">
        <f>T16/'Demographic-Economic'!H$29</f>
        <v>143112.04741874282</v>
      </c>
      <c r="W92">
        <v>2040</v>
      </c>
      <c r="X92" s="61">
        <f>X16/'Demographic-Economic'!C$29</f>
        <v>2900461.9537995751</v>
      </c>
      <c r="Y92" s="61">
        <f>Y16/'Demographic-Economic'!D$29</f>
        <v>1934544.9117559937</v>
      </c>
      <c r="Z92" s="61">
        <f>Z16/'Demographic-Economic'!E$29</f>
        <v>2553419.247935629</v>
      </c>
      <c r="AA92" s="61">
        <f>AA16/'Demographic-Economic'!F$29</f>
        <v>510403.50632008928</v>
      </c>
      <c r="AB92" s="61">
        <f>AB16/'Demographic-Economic'!G$29</f>
        <v>629025.22143993597</v>
      </c>
      <c r="AC92" s="61">
        <f>AC16/'Demographic-Economic'!H$29</f>
        <v>149282.02784510917</v>
      </c>
      <c r="AG92">
        <v>2040</v>
      </c>
      <c r="AH92" s="61">
        <f>AH16/'Demographic-Economic'!C$29</f>
        <v>2683361.8807912194</v>
      </c>
      <c r="AI92" s="61">
        <f>AI16/'Demographic-Economic'!D$29</f>
        <v>1789743.8944456344</v>
      </c>
      <c r="AJ92" s="61">
        <f>AJ16/'Demographic-Economic'!E$29</f>
        <v>2360801.0784558449</v>
      </c>
      <c r="AK92" s="61">
        <f>AK16/'Demographic-Economic'!F$29</f>
        <v>472649.12622538023</v>
      </c>
      <c r="AL92" s="61">
        <f>AL16/'Demographic-Economic'!G$29</f>
        <v>583463.08474271966</v>
      </c>
      <c r="AM92" s="61">
        <f>AM16/'Demographic-Economic'!H$29</f>
        <v>137642.63165461083</v>
      </c>
    </row>
    <row r="93" spans="5:39">
      <c r="E93">
        <v>2050</v>
      </c>
      <c r="F93" s="61">
        <f>F17/'Demographic-Economic'!C$29</f>
        <v>2714105.5749116684</v>
      </c>
      <c r="G93" s="61">
        <f>G17/'Demographic-Economic'!D$29</f>
        <v>1810249.2684090422</v>
      </c>
      <c r="H93" s="61">
        <f>H17/'Demographic-Economic'!E$29</f>
        <v>2387761.9118366209</v>
      </c>
      <c r="I93" s="61">
        <f>I17/'Demographic-Economic'!F$29</f>
        <v>478088.7367834163</v>
      </c>
      <c r="J93" s="61">
        <f>J17/'Demographic-Economic'!G$29</f>
        <v>590239.88726925256</v>
      </c>
      <c r="K93" s="61">
        <f>K17/'Demographic-Economic'!H$29</f>
        <v>139191.14673052463</v>
      </c>
      <c r="N93">
        <v>2050</v>
      </c>
      <c r="O93" s="61">
        <f>O17/'Demographic-Economic'!C$29</f>
        <v>2906240.7667504977</v>
      </c>
      <c r="P93" s="61">
        <f>P17/'Demographic-Economic'!D$29</f>
        <v>1938399.25405328</v>
      </c>
      <c r="Q93" s="61">
        <f>Q17/'Demographic-Economic'!E$29</f>
        <v>2557589.7366279578</v>
      </c>
      <c r="R93" s="61">
        <f>R17/'Demographic-Economic'!F$29</f>
        <v>511703.48360702593</v>
      </c>
      <c r="S93" s="61">
        <f>S17/'Demographic-Economic'!G$29</f>
        <v>631198.66705714702</v>
      </c>
      <c r="T93" s="61">
        <f>T17/'Demographic-Economic'!H$29</f>
        <v>149298.91636289778</v>
      </c>
      <c r="W93">
        <v>2050</v>
      </c>
      <c r="X93" s="61">
        <f>X17/'Demographic-Economic'!C$29</f>
        <v>3119719.3369161738</v>
      </c>
      <c r="Y93" s="61">
        <f>Y17/'Demographic-Economic'!D$29</f>
        <v>2080784.8078930562</v>
      </c>
      <c r="Z93" s="61">
        <f>Z17/'Demographic-Economic'!E$29</f>
        <v>2746442.3012352986</v>
      </c>
      <c r="AA93" s="61">
        <f>AA17/'Demographic-Economic'!F$29</f>
        <v>548986.92472441576</v>
      </c>
      <c r="AB93" s="61">
        <f>AB17/'Demographic-Economic'!G$29</f>
        <v>676575.72414057911</v>
      </c>
      <c r="AC93" s="61">
        <f>AC17/'Demographic-Economic'!H$29</f>
        <v>160566.8463647179</v>
      </c>
      <c r="AG93">
        <v>2050</v>
      </c>
      <c r="AH93" s="61">
        <f>AH17/'Demographic-Economic'!C$29</f>
        <v>2740862.4925224595</v>
      </c>
      <c r="AI93" s="61">
        <f>AI17/'Demographic-Economic'!D$29</f>
        <v>1828095.5493266124</v>
      </c>
      <c r="AJ93" s="61">
        <f>AJ17/'Demographic-Economic'!E$29</f>
        <v>2411389.6729941843</v>
      </c>
      <c r="AK93" s="61">
        <f>AK17/'Demographic-Economic'!F$29</f>
        <v>482777.32178735256</v>
      </c>
      <c r="AL93" s="61">
        <f>AL17/'Demographic-Economic'!G$29</f>
        <v>595965.86513006361</v>
      </c>
      <c r="AM93" s="61">
        <f>AM17/'Demographic-Economic'!H$29</f>
        <v>140592.11661863819</v>
      </c>
    </row>
    <row r="94" spans="5:39">
      <c r="E94">
        <v>2060</v>
      </c>
      <c r="F94" s="61">
        <f>F18/'Demographic-Economic'!C$29</f>
        <v>2701378.233411497</v>
      </c>
      <c r="G94" s="61">
        <f>G18/'Demographic-Economic'!D$29</f>
        <v>1801760.4090026694</v>
      </c>
      <c r="H94" s="61">
        <f>H18/'Demographic-Economic'!E$29</f>
        <v>2376564.9040437182</v>
      </c>
      <c r="I94" s="61">
        <f>I18/'Demographic-Economic'!F$29</f>
        <v>475846.82008103223</v>
      </c>
      <c r="J94" s="61">
        <f>J18/'Demographic-Economic'!G$29</f>
        <v>587472.05661382829</v>
      </c>
      <c r="K94" s="61">
        <f>K18/'Demographic-Economic'!H$29</f>
        <v>138538.4332640275</v>
      </c>
      <c r="N94">
        <v>2060</v>
      </c>
      <c r="O94" s="61">
        <f>O18/'Demographic-Economic'!C$29</f>
        <v>2972795.8988134866</v>
      </c>
      <c r="P94" s="61">
        <f>P18/'Demographic-Economic'!D$29</f>
        <v>1982790.0766651875</v>
      </c>
      <c r="Q94" s="61">
        <f>Q18/'Demographic-Economic'!E$29</f>
        <v>2616160.493955316</v>
      </c>
      <c r="R94" s="61">
        <f>R18/'Demographic-Economic'!F$29</f>
        <v>523421.88399497315</v>
      </c>
      <c r="S94" s="61">
        <f>S18/'Demographic-Economic'!G$29</f>
        <v>645653.59836379939</v>
      </c>
      <c r="T94" s="61">
        <f>T18/'Demographic-Economic'!H$29</f>
        <v>152717.97551624663</v>
      </c>
      <c r="W94">
        <v>2060</v>
      </c>
      <c r="X94" s="61">
        <f>X18/'Demographic-Economic'!C$29</f>
        <v>3310786.4850606383</v>
      </c>
      <c r="Y94" s="61">
        <f>Y18/'Demographic-Economic'!D$29</f>
        <v>2208222.431669639</v>
      </c>
      <c r="Z94" s="61">
        <f>Z18/'Demographic-Economic'!E$29</f>
        <v>2914648.1048250115</v>
      </c>
      <c r="AA94" s="61">
        <f>AA18/'Demographic-Economic'!F$29</f>
        <v>582609.61790532887</v>
      </c>
      <c r="AB94" s="61">
        <f>AB18/'Demographic-Economic'!G$29</f>
        <v>718012.59077971114</v>
      </c>
      <c r="AC94" s="61">
        <f>AC18/'Demographic-Economic'!H$29</f>
        <v>170400.7596460912</v>
      </c>
      <c r="AG94">
        <v>2060</v>
      </c>
      <c r="AH94" s="61">
        <f>AH18/'Demographic-Economic'!C$29</f>
        <v>2744056.970951973</v>
      </c>
      <c r="AI94" s="61">
        <f>AI18/'Demographic-Economic'!D$29</f>
        <v>1830226.19682</v>
      </c>
      <c r="AJ94" s="61">
        <f>AJ18/'Demographic-Economic'!E$29</f>
        <v>2414200.1504685367</v>
      </c>
      <c r="AK94" s="61">
        <f>AK18/'Demographic-Economic'!F$29</f>
        <v>483339.99931857327</v>
      </c>
      <c r="AL94" s="61">
        <f>AL18/'Demographic-Economic'!G$29</f>
        <v>596660.46404047159</v>
      </c>
      <c r="AM94" s="61">
        <f>AM18/'Demographic-Economic'!H$29</f>
        <v>140755.97689441749</v>
      </c>
    </row>
    <row r="95" spans="5:39">
      <c r="E95">
        <v>2070</v>
      </c>
      <c r="F95" s="61">
        <f>F19/'Demographic-Economic'!C$29</f>
        <v>2640923.3612856804</v>
      </c>
      <c r="G95" s="61">
        <f>G19/'Demographic-Economic'!D$29</f>
        <v>1761438.3268223978</v>
      </c>
      <c r="H95" s="61">
        <f>H19/'Demographic-Economic'!E$29</f>
        <v>2323379.117027428</v>
      </c>
      <c r="I95" s="61">
        <f>I19/'Demographic-Economic'!F$29</f>
        <v>465197.71574470762</v>
      </c>
      <c r="J95" s="61">
        <f>J19/'Demographic-Economic'!G$29</f>
        <v>574324.86100056232</v>
      </c>
      <c r="K95" s="61">
        <f>K19/'Demographic-Economic'!H$29</f>
        <v>135438.04429816589</v>
      </c>
      <c r="N95">
        <v>2070</v>
      </c>
      <c r="O95" s="61">
        <f>O19/'Demographic-Economic'!C$29</f>
        <v>2998150.2348374822</v>
      </c>
      <c r="P95" s="61">
        <f>P19/'Demographic-Economic'!D$29</f>
        <v>1999700.866231628</v>
      </c>
      <c r="Q95" s="61">
        <f>Q19/'Demographic-Economic'!E$29</f>
        <v>2638473.1634133575</v>
      </c>
      <c r="R95" s="61">
        <f>R19/'Demographic-Economic'!F$29</f>
        <v>527886.03652371489</v>
      </c>
      <c r="S95" s="61">
        <f>S19/'Demographic-Economic'!G$29</f>
        <v>651160.23886157176</v>
      </c>
      <c r="T95" s="61">
        <f>T19/'Demographic-Economic'!H$29</f>
        <v>154020.47424133189</v>
      </c>
      <c r="W95">
        <v>2070</v>
      </c>
      <c r="X95" s="61">
        <f>X19/'Demographic-Economic'!C$29</f>
        <v>3483060.1432236796</v>
      </c>
      <c r="Y95" s="61">
        <f>Y19/'Demographic-Economic'!D$29</f>
        <v>2323125.2072059019</v>
      </c>
      <c r="Z95" s="61">
        <f>Z19/'Demographic-Economic'!E$29</f>
        <v>3066309.0752747511</v>
      </c>
      <c r="AA95" s="61">
        <f>AA19/'Demographic-Economic'!F$29</f>
        <v>612925.1609372996</v>
      </c>
      <c r="AB95" s="61">
        <f>AB19/'Demographic-Economic'!G$29</f>
        <v>755373.70004450204</v>
      </c>
      <c r="AC95" s="61">
        <f>AC19/'Demographic-Economic'!H$29</f>
        <v>179267.40276864087</v>
      </c>
      <c r="AG95">
        <v>2070</v>
      </c>
      <c r="AH95" s="61">
        <f>AH19/'Demographic-Economic'!C$29</f>
        <v>2702528.7513682996</v>
      </c>
      <c r="AI95" s="61">
        <f>AI19/'Demographic-Economic'!D$29</f>
        <v>1802527.7794059608</v>
      </c>
      <c r="AJ95" s="61">
        <f>AJ19/'Demographic-Economic'!E$29</f>
        <v>2377663.9433019585</v>
      </c>
      <c r="AK95" s="61">
        <f>AK19/'Demographic-Economic'!F$29</f>
        <v>476025.19141270436</v>
      </c>
      <c r="AL95" s="61">
        <f>AL19/'Demographic-Economic'!G$29</f>
        <v>587630.67820516764</v>
      </c>
      <c r="AM95" s="61">
        <f>AM19/'Demographic-Economic'!H$29</f>
        <v>138625.79330928664</v>
      </c>
    </row>
    <row r="96" spans="5:39">
      <c r="E96">
        <v>2080</v>
      </c>
      <c r="F96" s="61">
        <f>F20/'Demographic-Economic'!C$29</f>
        <v>2535922.7939092615</v>
      </c>
      <c r="G96" s="61">
        <f>G20/'Demographic-Economic'!D$29</f>
        <v>1691405.2367198202</v>
      </c>
      <c r="H96" s="61">
        <f>H20/'Demographic-Economic'!E$29</f>
        <v>2231003.8027359755</v>
      </c>
      <c r="I96" s="61">
        <f>I20/'Demographic-Economic'!F$29</f>
        <v>446701.90295003849</v>
      </c>
      <c r="J96" s="61">
        <f>J20/'Demographic-Economic'!G$29</f>
        <v>551490.25809331099</v>
      </c>
      <c r="K96" s="61">
        <f>K20/'Demographic-Economic'!H$29</f>
        <v>130053.15819956409</v>
      </c>
      <c r="N96">
        <v>2080</v>
      </c>
      <c r="O96" s="61">
        <f>O20/'Demographic-Economic'!C$29</f>
        <v>2982303.7748224852</v>
      </c>
      <c r="P96" s="61">
        <f>P20/'Demographic-Economic'!D$29</f>
        <v>1989131.6227526029</v>
      </c>
      <c r="Q96" s="61">
        <f>Q20/'Demographic-Economic'!E$29</f>
        <v>2624527.7450020821</v>
      </c>
      <c r="R96" s="61">
        <f>R20/'Demographic-Economic'!F$29</f>
        <v>525095.9411932514</v>
      </c>
      <c r="S96" s="61">
        <f>S20/'Demographic-Economic'!G$29</f>
        <v>647718.58855046402</v>
      </c>
      <c r="T96" s="61">
        <f>T20/'Demographic-Economic'!H$29</f>
        <v>153206.41253815361</v>
      </c>
      <c r="W96">
        <v>2080</v>
      </c>
      <c r="X96" s="61">
        <f>X20/'Demographic-Economic'!C$29</f>
        <v>3642804.808065773</v>
      </c>
      <c r="Y96" s="61">
        <f>Y20/'Demographic-Economic'!D$29</f>
        <v>2429671.4172486188</v>
      </c>
      <c r="Z96" s="61">
        <f>Z20/'Demographic-Economic'!E$29</f>
        <v>3206940.1569645107</v>
      </c>
      <c r="AA96" s="61">
        <f>AA20/'Demographic-Economic'!F$29</f>
        <v>641035.9372033088</v>
      </c>
      <c r="AB96" s="61">
        <f>AB20/'Demographic-Economic'!G$29</f>
        <v>790017.63772639923</v>
      </c>
      <c r="AC96" s="61">
        <f>AC20/'Demographic-Economic'!H$29</f>
        <v>187489.1991186415</v>
      </c>
      <c r="AG96">
        <v>2080</v>
      </c>
      <c r="AH96" s="61">
        <f>AH20/'Demographic-Economic'!C$29</f>
        <v>2619472.3122009519</v>
      </c>
      <c r="AI96" s="61">
        <f>AI20/'Demographic-Economic'!D$29</f>
        <v>1747130.9445778811</v>
      </c>
      <c r="AJ96" s="61">
        <f>AJ20/'Demographic-Economic'!E$29</f>
        <v>2304591.5289688008</v>
      </c>
      <c r="AK96" s="61">
        <f>AK20/'Demographic-Economic'!F$29</f>
        <v>461395.57560096635</v>
      </c>
      <c r="AL96" s="61">
        <f>AL20/'Demographic-Economic'!G$29</f>
        <v>569571.10653455963</v>
      </c>
      <c r="AM96" s="61">
        <f>AM20/'Demographic-Economic'!H$29</f>
        <v>134365.42613902484</v>
      </c>
    </row>
    <row r="97" spans="5:39">
      <c r="E97">
        <v>2090</v>
      </c>
      <c r="F97" s="61">
        <f>F21/'Demographic-Economic'!C$29</f>
        <v>2389558.3666572836</v>
      </c>
      <c r="G97" s="61">
        <f>G21/'Demographic-Economic'!D$29</f>
        <v>1593783.3535465305</v>
      </c>
      <c r="H97" s="61">
        <f>H21/'Demographic-Economic'!E$29</f>
        <v>2102238.2131175878</v>
      </c>
      <c r="I97" s="61">
        <f>I21/'Demographic-Economic'!F$29</f>
        <v>420919.86087262089</v>
      </c>
      <c r="J97" s="61">
        <f>J21/'Demographic-Economic'!G$29</f>
        <v>519660.20555593044</v>
      </c>
      <c r="K97" s="61">
        <f>K21/'Demographic-Economic'!H$29</f>
        <v>122546.95333484646</v>
      </c>
      <c r="N97">
        <v>2090</v>
      </c>
      <c r="O97" s="61">
        <f>O21/'Demographic-Economic'!C$29</f>
        <v>2931595.1027744943</v>
      </c>
      <c r="P97" s="61">
        <f>P21/'Demographic-Economic'!D$29</f>
        <v>1955310.0436197214</v>
      </c>
      <c r="Q97" s="61">
        <f>Q21/'Demographic-Economic'!E$29</f>
        <v>2579902.4060859997</v>
      </c>
      <c r="R97" s="61">
        <f>R21/'Demographic-Economic'!F$29</f>
        <v>516167.63613576785</v>
      </c>
      <c r="S97" s="61">
        <f>S21/'Demographic-Economic'!G$29</f>
        <v>636705.30755491951</v>
      </c>
      <c r="T97" s="61">
        <f>T21/'Demographic-Economic'!H$29</f>
        <v>150601.4150879831</v>
      </c>
      <c r="W97">
        <v>2090</v>
      </c>
      <c r="X97" s="61">
        <f>X21/'Demographic-Economic'!C$29</f>
        <v>3799417.2245776299</v>
      </c>
      <c r="Y97" s="61">
        <f>Y21/'Demographic-Economic'!D$29</f>
        <v>2534128.4859179496</v>
      </c>
      <c r="Z97" s="61">
        <f>Z21/'Demographic-Economic'!E$29</f>
        <v>3344813.7664642753</v>
      </c>
      <c r="AA97" s="61">
        <f>AA21/'Demographic-Economic'!F$29</f>
        <v>668595.52177782787</v>
      </c>
      <c r="AB97" s="61">
        <f>AB21/'Demographic-Economic'!G$29</f>
        <v>823982.28251257294</v>
      </c>
      <c r="AC97" s="61">
        <f>AC21/'Demographic-Economic'!H$29</f>
        <v>195549.78377550485</v>
      </c>
      <c r="AG97">
        <v>2090</v>
      </c>
      <c r="AH97" s="61">
        <f>AH21/'Demographic-Economic'!C$29</f>
        <v>2501276.6103089582</v>
      </c>
      <c r="AI97" s="61">
        <f>AI21/'Demographic-Economic'!D$29</f>
        <v>1668296.9873225379</v>
      </c>
      <c r="AJ97" s="61">
        <f>AJ21/'Demographic-Economic'!E$29</f>
        <v>2200603.8624177696</v>
      </c>
      <c r="AK97" s="61">
        <f>AK21/'Demographic-Economic'!F$29</f>
        <v>440576.50694580079</v>
      </c>
      <c r="AL97" s="61">
        <f>AL21/'Demographic-Economic'!G$29</f>
        <v>543870.94684946374</v>
      </c>
      <c r="AM97" s="61">
        <f>AM21/'Demographic-Economic'!H$29</f>
        <v>128302.59593519082</v>
      </c>
    </row>
    <row r="98" spans="5:39">
      <c r="E98">
        <v>2100</v>
      </c>
      <c r="F98" s="61">
        <f>F22/'Demographic-Economic'!C$29</f>
        <v>2214557.4210299193</v>
      </c>
      <c r="G98" s="61">
        <f>G22/'Demographic-Economic'!D$29</f>
        <v>1477061.5367089019</v>
      </c>
      <c r="H98" s="61">
        <f>H22/'Demographic-Economic'!E$29</f>
        <v>1948279.355965168</v>
      </c>
      <c r="I98" s="61">
        <f>I22/'Demographic-Economic'!F$29</f>
        <v>390093.50621483906</v>
      </c>
      <c r="J98" s="61">
        <f>J22/'Demographic-Economic'!G$29</f>
        <v>481602.53404384496</v>
      </c>
      <c r="K98" s="61">
        <f>K22/'Demographic-Economic'!H$29</f>
        <v>113572.14317051017</v>
      </c>
      <c r="N98">
        <v>2100</v>
      </c>
      <c r="O98" s="61">
        <f>O22/'Demographic-Economic'!C$29</f>
        <v>2861870.6787085063</v>
      </c>
      <c r="P98" s="61">
        <f>P22/'Demographic-Economic'!D$29</f>
        <v>1908805.3723120089</v>
      </c>
      <c r="Q98" s="61">
        <f>Q22/'Demographic-Economic'!E$29</f>
        <v>2518542.5650763866</v>
      </c>
      <c r="R98" s="61">
        <f>R22/'Demographic-Economic'!F$29</f>
        <v>503891.21668172796</v>
      </c>
      <c r="S98" s="61">
        <f>S22/'Demographic-Economic'!G$29</f>
        <v>621562.04618604574</v>
      </c>
      <c r="T98" s="61">
        <f>T22/'Demographic-Economic'!H$29</f>
        <v>147019.54359399862</v>
      </c>
      <c r="W98">
        <v>2100</v>
      </c>
      <c r="X98" s="61">
        <f>X22/'Demographic-Economic'!C$29</f>
        <v>3952897.3927592472</v>
      </c>
      <c r="Y98" s="61">
        <f>Y22/'Demographic-Economic'!D$29</f>
        <v>2636496.4132138924</v>
      </c>
      <c r="Z98" s="61">
        <f>Z22/'Demographic-Economic'!E$29</f>
        <v>3479929.9037740431</v>
      </c>
      <c r="AA98" s="61">
        <f>AA22/'Demographic-Economic'!F$29</f>
        <v>695603.91466085613</v>
      </c>
      <c r="AB98" s="61">
        <f>AB22/'Demographic-Economic'!G$29</f>
        <v>857267.63440302294</v>
      </c>
      <c r="AC98" s="61">
        <f>AC22/'Demographic-Economic'!H$29</f>
        <v>203449.15673923085</v>
      </c>
      <c r="AG98">
        <v>2100</v>
      </c>
      <c r="AH98" s="61">
        <f>AH22/'Demographic-Economic'!C$29</f>
        <v>2357525.0809808569</v>
      </c>
      <c r="AI98" s="61">
        <f>AI22/'Demographic-Economic'!D$29</f>
        <v>1572417.850120093</v>
      </c>
      <c r="AJ98" s="61">
        <f>AJ22/'Demographic-Economic'!E$29</f>
        <v>2074132.3760719206</v>
      </c>
      <c r="AK98" s="61">
        <f>AK22/'Demographic-Economic'!F$29</f>
        <v>415256.01804086968</v>
      </c>
      <c r="AL98" s="61">
        <f>AL22/'Demographic-Economic'!G$29</f>
        <v>512613.99588110374</v>
      </c>
      <c r="AM98" s="61">
        <f>AM22/'Demographic-Economic'!H$29</f>
        <v>120928.88352512238</v>
      </c>
    </row>
    <row r="99" spans="5:39">
      <c r="F99" s="581" t="s">
        <v>49</v>
      </c>
      <c r="G99" s="581"/>
      <c r="H99" s="581"/>
      <c r="I99" s="581"/>
      <c r="J99" s="581"/>
      <c r="K99" s="581"/>
      <c r="O99" s="581" t="s">
        <v>49</v>
      </c>
      <c r="P99" s="581"/>
      <c r="Q99" s="581"/>
      <c r="R99" s="581"/>
      <c r="S99" s="581"/>
      <c r="T99" s="581"/>
      <c r="X99" s="581" t="s">
        <v>49</v>
      </c>
      <c r="Y99" s="581"/>
      <c r="Z99" s="581"/>
      <c r="AA99" s="581"/>
      <c r="AB99" s="581"/>
      <c r="AC99" s="581"/>
      <c r="AH99" s="581" t="s">
        <v>49</v>
      </c>
      <c r="AI99" s="581"/>
      <c r="AJ99" s="581"/>
      <c r="AK99" s="581"/>
      <c r="AL99" s="581"/>
      <c r="AM99" s="581"/>
    </row>
    <row r="100" spans="5:39">
      <c r="E100">
        <v>2020</v>
      </c>
      <c r="F100" s="322" t="s">
        <v>240</v>
      </c>
      <c r="G100" s="322" t="s">
        <v>240</v>
      </c>
      <c r="H100" s="61">
        <f>H62-H81</f>
        <v>190769.1983805669</v>
      </c>
      <c r="I100" s="61">
        <f t="shared" ref="H100:K115" si="25">I62-I81</f>
        <v>92277.599999999977</v>
      </c>
      <c r="J100" s="61">
        <f t="shared" si="25"/>
        <v>59923.200000000012</v>
      </c>
      <c r="K100" s="61">
        <f t="shared" si="25"/>
        <v>19297.358490566039</v>
      </c>
      <c r="N100">
        <v>2020</v>
      </c>
      <c r="O100" t="s">
        <v>240</v>
      </c>
      <c r="P100" t="s">
        <v>240</v>
      </c>
      <c r="Q100" s="61">
        <f>Q62-Q81</f>
        <v>190769.1983805669</v>
      </c>
      <c r="R100" s="61">
        <f t="shared" ref="Q100:T115" si="26">R62-R81</f>
        <v>92277.599999999977</v>
      </c>
      <c r="S100" s="61">
        <f t="shared" si="26"/>
        <v>59923.200000000012</v>
      </c>
      <c r="T100" s="61">
        <f t="shared" si="26"/>
        <v>19297.358490566039</v>
      </c>
      <c r="W100">
        <v>2020</v>
      </c>
      <c r="X100" t="s">
        <v>240</v>
      </c>
      <c r="Y100" t="s">
        <v>240</v>
      </c>
      <c r="Z100" s="61">
        <f>Z62-Z81</f>
        <v>190769.1983805669</v>
      </c>
      <c r="AA100" s="61">
        <f t="shared" ref="AA100:AC100" si="27">AA62-AA81</f>
        <v>92277.599999999977</v>
      </c>
      <c r="AB100" s="61">
        <f t="shared" si="27"/>
        <v>59923.200000000012</v>
      </c>
      <c r="AC100" s="61">
        <f t="shared" si="27"/>
        <v>19297.358490566039</v>
      </c>
      <c r="AG100">
        <v>2020</v>
      </c>
      <c r="AH100" t="s">
        <v>240</v>
      </c>
      <c r="AI100" t="s">
        <v>240</v>
      </c>
      <c r="AJ100" s="61">
        <f>AJ62-AJ81</f>
        <v>190769.1983805669</v>
      </c>
      <c r="AK100" s="61">
        <f t="shared" ref="AK100:AM100" si="28">AK62-AK81</f>
        <v>92277.599999999977</v>
      </c>
      <c r="AL100" s="61">
        <f t="shared" si="28"/>
        <v>59923.200000000012</v>
      </c>
      <c r="AM100" s="61">
        <f t="shared" si="28"/>
        <v>19297.358490566039</v>
      </c>
    </row>
    <row r="101" spans="5:39">
      <c r="E101">
        <v>2021</v>
      </c>
      <c r="F101" s="322" t="s">
        <v>240</v>
      </c>
      <c r="G101" s="322" t="s">
        <v>240</v>
      </c>
      <c r="H101" s="61">
        <f t="shared" si="25"/>
        <v>213171.80045634089</v>
      </c>
      <c r="I101" s="61">
        <f t="shared" si="25"/>
        <v>88909.524725875177</v>
      </c>
      <c r="J101" s="61">
        <f t="shared" si="25"/>
        <v>60144.680820187437</v>
      </c>
      <c r="K101" s="61">
        <f t="shared" si="25"/>
        <v>20517.151602440426</v>
      </c>
      <c r="N101">
        <v>2021</v>
      </c>
      <c r="O101" t="s">
        <v>240</v>
      </c>
      <c r="P101" t="s">
        <v>240</v>
      </c>
      <c r="Q101" s="61">
        <f t="shared" si="26"/>
        <v>208697.16892340616</v>
      </c>
      <c r="R101" s="61">
        <f t="shared" si="26"/>
        <v>88012.371694002359</v>
      </c>
      <c r="S101" s="61">
        <f t="shared" si="26"/>
        <v>59022.789053256973</v>
      </c>
      <c r="T101" s="61">
        <f t="shared" si="26"/>
        <v>20259.693604780216</v>
      </c>
      <c r="W101">
        <v>2021</v>
      </c>
      <c r="X101" t="s">
        <v>240</v>
      </c>
      <c r="Y101" t="s">
        <v>240</v>
      </c>
      <c r="Z101" s="61">
        <f t="shared" ref="Z101:AC112" si="29">Z63-Z82</f>
        <v>204690.17148916493</v>
      </c>
      <c r="AA101" s="61">
        <f t="shared" si="29"/>
        <v>87208.978192129172</v>
      </c>
      <c r="AB101" s="61">
        <f t="shared" si="29"/>
        <v>58018.143777215853</v>
      </c>
      <c r="AC101" s="61">
        <f t="shared" si="29"/>
        <v>20029.141987634473</v>
      </c>
      <c r="AG101">
        <v>2021</v>
      </c>
      <c r="AH101" t="s">
        <v>240</v>
      </c>
      <c r="AI101" t="s">
        <v>240</v>
      </c>
      <c r="AJ101" s="61">
        <f t="shared" ref="AJ101:AM112" si="30">AJ63-AJ82</f>
        <v>212584.22253129655</v>
      </c>
      <c r="AK101" s="61">
        <f t="shared" si="30"/>
        <v>88791.716742572957</v>
      </c>
      <c r="AL101" s="61">
        <f t="shared" si="30"/>
        <v>59997.361687497818</v>
      </c>
      <c r="AM101" s="61">
        <f t="shared" si="30"/>
        <v>20483.343983882791</v>
      </c>
    </row>
    <row r="102" spans="5:39">
      <c r="E102">
        <v>2022</v>
      </c>
      <c r="F102" s="322" t="s">
        <v>240</v>
      </c>
      <c r="G102" s="322" t="s">
        <v>240</v>
      </c>
      <c r="H102" s="61">
        <f t="shared" si="25"/>
        <v>235996.70064033358</v>
      </c>
      <c r="I102" s="61">
        <f t="shared" si="25"/>
        <v>85690.719511091942</v>
      </c>
      <c r="J102" s="61">
        <f t="shared" si="25"/>
        <v>60452.983147645718</v>
      </c>
      <c r="K102" s="61">
        <f t="shared" si="25"/>
        <v>21770.627744031619</v>
      </c>
      <c r="N102">
        <v>2022</v>
      </c>
      <c r="O102" t="s">
        <v>240</v>
      </c>
      <c r="P102" t="s">
        <v>240</v>
      </c>
      <c r="Q102" s="61">
        <f t="shared" si="26"/>
        <v>227043.51121940673</v>
      </c>
      <c r="R102" s="61">
        <f t="shared" si="26"/>
        <v>83875.52434998512</v>
      </c>
      <c r="S102" s="61">
        <f t="shared" si="26"/>
        <v>58205.309486573795</v>
      </c>
      <c r="T102" s="61">
        <f t="shared" si="26"/>
        <v>21252.110134812567</v>
      </c>
      <c r="W102">
        <v>2022</v>
      </c>
      <c r="X102" t="s">
        <v>240</v>
      </c>
      <c r="Y102" t="s">
        <v>240</v>
      </c>
      <c r="Z102" s="61">
        <f t="shared" si="29"/>
        <v>219026.55356348632</v>
      </c>
      <c r="AA102" s="61">
        <f t="shared" si="29"/>
        <v>82249.517951237038</v>
      </c>
      <c r="AB102" s="61">
        <f t="shared" si="29"/>
        <v>56192.582027453813</v>
      </c>
      <c r="AC102" s="61">
        <f t="shared" si="29"/>
        <v>20787.706312687529</v>
      </c>
      <c r="AG102">
        <v>2022</v>
      </c>
      <c r="AH102" t="s">
        <v>240</v>
      </c>
      <c r="AI102" t="s">
        <v>240</v>
      </c>
      <c r="AJ102" s="61">
        <f t="shared" si="30"/>
        <v>234820.99318903079</v>
      </c>
      <c r="AK102" s="61">
        <f t="shared" si="30"/>
        <v>85452.393955489562</v>
      </c>
      <c r="AL102" s="61">
        <f t="shared" si="30"/>
        <v>60157.831018818775</v>
      </c>
      <c r="AM102" s="61">
        <f t="shared" si="30"/>
        <v>21702.544474831986</v>
      </c>
    </row>
    <row r="103" spans="5:39">
      <c r="E103">
        <v>2023</v>
      </c>
      <c r="F103" s="322" t="s">
        <v>240</v>
      </c>
      <c r="G103" s="322" t="s">
        <v>240</v>
      </c>
      <c r="H103" s="61">
        <f t="shared" si="25"/>
        <v>259275.90013979073</v>
      </c>
      <c r="I103" s="61">
        <f t="shared" si="25"/>
        <v>82606.649761236564</v>
      </c>
      <c r="J103" s="61">
        <f t="shared" si="25"/>
        <v>60843.404373215919</v>
      </c>
      <c r="K103" s="61">
        <f t="shared" si="25"/>
        <v>23058.75632971598</v>
      </c>
      <c r="N103">
        <v>2023</v>
      </c>
      <c r="O103" t="s">
        <v>240</v>
      </c>
      <c r="P103" t="s">
        <v>240</v>
      </c>
      <c r="Q103" s="61">
        <f t="shared" si="26"/>
        <v>245830.68605773104</v>
      </c>
      <c r="R103" s="61">
        <f t="shared" si="26"/>
        <v>79859.744344847102</v>
      </c>
      <c r="S103" s="61">
        <f t="shared" si="26"/>
        <v>57468.299244468159</v>
      </c>
      <c r="T103" s="61">
        <f t="shared" si="26"/>
        <v>22275.634199516731</v>
      </c>
      <c r="W103">
        <v>2023</v>
      </c>
      <c r="X103" t="s">
        <v>240</v>
      </c>
      <c r="Y103" t="s">
        <v>240</v>
      </c>
      <c r="Z103" s="61">
        <f t="shared" si="29"/>
        <v>233792.671415349</v>
      </c>
      <c r="AA103" s="61">
        <f t="shared" si="29"/>
        <v>77397.888650343346</v>
      </c>
      <c r="AB103" s="61">
        <f t="shared" si="29"/>
        <v>54446.277993362164</v>
      </c>
      <c r="AC103" s="61">
        <f t="shared" si="29"/>
        <v>21573.996238135805</v>
      </c>
      <c r="AG103">
        <v>2023</v>
      </c>
      <c r="AH103" t="s">
        <v>240</v>
      </c>
      <c r="AI103" t="s">
        <v>240</v>
      </c>
      <c r="AJ103" s="61">
        <f t="shared" si="30"/>
        <v>257510.23485716269</v>
      </c>
      <c r="AK103" s="61">
        <f t="shared" si="30"/>
        <v>82246.073989092198</v>
      </c>
      <c r="AL103" s="61">
        <f t="shared" si="30"/>
        <v>60400.185926912876</v>
      </c>
      <c r="AM103" s="61">
        <f t="shared" si="30"/>
        <v>22955.944908951977</v>
      </c>
    </row>
    <row r="104" spans="5:39">
      <c r="E104">
        <v>2024</v>
      </c>
      <c r="F104" s="322" t="s">
        <v>240</v>
      </c>
      <c r="G104" s="322" t="s">
        <v>240</v>
      </c>
      <c r="H104" s="61">
        <f t="shared" si="25"/>
        <v>283039.21786437673</v>
      </c>
      <c r="I104" s="61">
        <f t="shared" si="25"/>
        <v>79644.566406635626</v>
      </c>
      <c r="J104" s="61">
        <f t="shared" si="25"/>
        <v>61311.86410423182</v>
      </c>
      <c r="K104" s="61">
        <f t="shared" si="25"/>
        <v>24382.485257648892</v>
      </c>
      <c r="N104">
        <v>2024</v>
      </c>
      <c r="O104" t="s">
        <v>240</v>
      </c>
      <c r="P104" t="s">
        <v>240</v>
      </c>
      <c r="Q104" s="61">
        <f t="shared" si="26"/>
        <v>265080.95870403899</v>
      </c>
      <c r="R104" s="61">
        <f t="shared" si="26"/>
        <v>75958.02768443292</v>
      </c>
      <c r="S104" s="61">
        <f t="shared" si="26"/>
        <v>56809.414846841013</v>
      </c>
      <c r="T104" s="61">
        <f t="shared" si="26"/>
        <v>23331.285805863037</v>
      </c>
      <c r="W104">
        <v>2024</v>
      </c>
      <c r="X104" t="s">
        <v>240</v>
      </c>
      <c r="Y104" t="s">
        <v>240</v>
      </c>
      <c r="Z104" s="61">
        <f t="shared" si="29"/>
        <v>249003.72999374149</v>
      </c>
      <c r="AA104" s="61">
        <f t="shared" si="29"/>
        <v>72652.295090557309</v>
      </c>
      <c r="AB104" s="61">
        <f t="shared" si="29"/>
        <v>52778.792731106863</v>
      </c>
      <c r="AC104" s="61">
        <f t="shared" si="29"/>
        <v>22388.982442674824</v>
      </c>
      <c r="AG104">
        <v>2024</v>
      </c>
      <c r="AH104" t="s">
        <v>240</v>
      </c>
      <c r="AI104" t="s">
        <v>240</v>
      </c>
      <c r="AJ104" s="61">
        <f t="shared" si="30"/>
        <v>280680.79571196483</v>
      </c>
      <c r="AK104" s="61">
        <f t="shared" si="30"/>
        <v>79160.755163046299</v>
      </c>
      <c r="AL104" s="61">
        <f t="shared" si="30"/>
        <v>60720.553471145802</v>
      </c>
      <c r="AM104" s="61">
        <f t="shared" si="30"/>
        <v>24244.509008489636</v>
      </c>
    </row>
    <row r="105" spans="5:39">
      <c r="E105">
        <v>2025</v>
      </c>
      <c r="F105" s="322" t="s">
        <v>240</v>
      </c>
      <c r="G105" s="322" t="s">
        <v>240</v>
      </c>
      <c r="H105" s="61">
        <f t="shared" si="25"/>
        <v>307314.64703409374</v>
      </c>
      <c r="I105" s="61">
        <f t="shared" si="25"/>
        <v>76793.243360807654</v>
      </c>
      <c r="J105" s="61">
        <f t="shared" si="25"/>
        <v>61854.813057679217</v>
      </c>
      <c r="K105" s="61">
        <f t="shared" si="25"/>
        <v>25742.745959812964</v>
      </c>
      <c r="N105">
        <v>2025</v>
      </c>
      <c r="O105" t="s">
        <v>240</v>
      </c>
      <c r="P105" t="s">
        <v>240</v>
      </c>
      <c r="Q105" s="61">
        <f t="shared" si="26"/>
        <v>284816.38758382993</v>
      </c>
      <c r="R105" s="61">
        <f t="shared" si="26"/>
        <v>72163.690303407144</v>
      </c>
      <c r="S105" s="61">
        <f t="shared" si="26"/>
        <v>56226.435899449512</v>
      </c>
      <c r="T105" s="61">
        <f t="shared" si="26"/>
        <v>24420.079230626405</v>
      </c>
      <c r="W105">
        <v>2025</v>
      </c>
      <c r="X105" t="s">
        <v>240</v>
      </c>
      <c r="Y105" t="s">
        <v>240</v>
      </c>
      <c r="Z105" s="61">
        <f t="shared" si="29"/>
        <v>264675.73384847213</v>
      </c>
      <c r="AA105" s="61">
        <f t="shared" si="29"/>
        <v>68010.53643660096</v>
      </c>
      <c r="AB105" s="61">
        <f t="shared" si="29"/>
        <v>51189.511294786469</v>
      </c>
      <c r="AC105" s="61">
        <f t="shared" si="29"/>
        <v>23233.658217656703</v>
      </c>
      <c r="AG105">
        <v>2025</v>
      </c>
      <c r="AH105" t="s">
        <v>240</v>
      </c>
      <c r="AI105" t="s">
        <v>240</v>
      </c>
      <c r="AJ105" s="61">
        <f t="shared" si="30"/>
        <v>304359.93555573327</v>
      </c>
      <c r="AK105" s="61">
        <f t="shared" si="30"/>
        <v>76185.780537589977</v>
      </c>
      <c r="AL105" s="61">
        <f t="shared" si="30"/>
        <v>61115.535673484905</v>
      </c>
      <c r="AM105" s="61">
        <f t="shared" si="30"/>
        <v>25569.183921683158</v>
      </c>
    </row>
    <row r="106" spans="5:39">
      <c r="E106">
        <v>2026</v>
      </c>
      <c r="F106" s="322" t="s">
        <v>240</v>
      </c>
      <c r="G106" s="322" t="s">
        <v>240</v>
      </c>
      <c r="H106" s="61">
        <f t="shared" si="25"/>
        <v>332128.65175335063</v>
      </c>
      <c r="I106" s="61">
        <f t="shared" si="25"/>
        <v>74042.759696775698</v>
      </c>
      <c r="J106" s="61">
        <f t="shared" si="25"/>
        <v>62469.15747965395</v>
      </c>
      <c r="K106" s="61">
        <f t="shared" si="25"/>
        <v>27140.457641029629</v>
      </c>
      <c r="N106">
        <v>2026</v>
      </c>
      <c r="O106" t="s">
        <v>240</v>
      </c>
      <c r="P106" t="s">
        <v>240</v>
      </c>
      <c r="Q106" s="61">
        <f t="shared" si="26"/>
        <v>305058.82052276563</v>
      </c>
      <c r="R106" s="61">
        <f t="shared" si="26"/>
        <v>68470.372930511949</v>
      </c>
      <c r="S106" s="61">
        <f t="shared" si="26"/>
        <v>55717.267453281092</v>
      </c>
      <c r="T106" s="61">
        <f t="shared" si="26"/>
        <v>25543.023581725356</v>
      </c>
      <c r="W106">
        <v>2026</v>
      </c>
      <c r="X106" t="s">
        <v>240</v>
      </c>
      <c r="Y106" t="s">
        <v>240</v>
      </c>
      <c r="Z106" s="61">
        <f t="shared" si="29"/>
        <v>280825.40917959996</v>
      </c>
      <c r="AA106" s="61">
        <f t="shared" si="29"/>
        <v>63470.064661248412</v>
      </c>
      <c r="AB106" s="61">
        <f t="shared" si="29"/>
        <v>49677.668677385314</v>
      </c>
      <c r="AC106" s="61">
        <f t="shared" si="29"/>
        <v>24109.036387446729</v>
      </c>
      <c r="AG106">
        <v>2026</v>
      </c>
      <c r="AH106" t="s">
        <v>240</v>
      </c>
      <c r="AI106" t="s">
        <v>240</v>
      </c>
      <c r="AJ106" s="61">
        <f t="shared" si="30"/>
        <v>328573.56952948496</v>
      </c>
      <c r="AK106" s="61">
        <f t="shared" si="30"/>
        <v>73311.659618553647</v>
      </c>
      <c r="AL106" s="61">
        <f t="shared" si="30"/>
        <v>61582.146922824322</v>
      </c>
      <c r="AM106" s="61">
        <f t="shared" si="30"/>
        <v>26930.904191554859</v>
      </c>
    </row>
    <row r="107" spans="5:39">
      <c r="E107">
        <v>2027</v>
      </c>
      <c r="F107" s="322" t="s">
        <v>240</v>
      </c>
      <c r="G107" s="322" t="s">
        <v>240</v>
      </c>
      <c r="H107" s="61">
        <f t="shared" si="25"/>
        <v>357506.41512724012</v>
      </c>
      <c r="I107" s="61">
        <f t="shared" si="25"/>
        <v>71384.317931846716</v>
      </c>
      <c r="J107" s="61">
        <f t="shared" si="25"/>
        <v>63152.196100608213</v>
      </c>
      <c r="K107" s="61">
        <f t="shared" si="25"/>
        <v>28576.530861666455</v>
      </c>
      <c r="N107">
        <v>2027</v>
      </c>
      <c r="O107" t="s">
        <v>240</v>
      </c>
      <c r="P107" t="s">
        <v>240</v>
      </c>
      <c r="Q107" s="61">
        <f t="shared" si="26"/>
        <v>325829.8972609425</v>
      </c>
      <c r="R107" s="61">
        <f t="shared" si="26"/>
        <v>64872.041462363501</v>
      </c>
      <c r="S107" s="61">
        <f t="shared" si="26"/>
        <v>55279.940579525777</v>
      </c>
      <c r="T107" s="61">
        <f t="shared" si="26"/>
        <v>26701.123500585381</v>
      </c>
      <c r="W107">
        <v>2027</v>
      </c>
      <c r="X107" t="s">
        <v>240</v>
      </c>
      <c r="Y107" t="s">
        <v>240</v>
      </c>
      <c r="Z107" s="61">
        <f t="shared" si="29"/>
        <v>297470.12805736205</v>
      </c>
      <c r="AA107" s="61">
        <f t="shared" si="29"/>
        <v>59028.04138243146</v>
      </c>
      <c r="AB107" s="61">
        <f t="shared" si="29"/>
        <v>48242.37501626485</v>
      </c>
      <c r="AC107" s="61">
        <f t="shared" si="29"/>
        <v>25016.146485073856</v>
      </c>
      <c r="AG107">
        <v>2027</v>
      </c>
      <c r="AH107" t="s">
        <v>240</v>
      </c>
      <c r="AI107" t="s">
        <v>240</v>
      </c>
      <c r="AJ107" s="61">
        <f t="shared" si="30"/>
        <v>353346.47534939693</v>
      </c>
      <c r="AK107" s="61">
        <f t="shared" si="30"/>
        <v>70529.91722812457</v>
      </c>
      <c r="AL107" s="61">
        <f t="shared" si="30"/>
        <v>62117.760920597473</v>
      </c>
      <c r="AM107" s="61">
        <f t="shared" si="30"/>
        <v>28330.595162234778</v>
      </c>
    </row>
    <row r="108" spans="5:39">
      <c r="E108">
        <v>2028</v>
      </c>
      <c r="F108" s="322" t="s">
        <v>240</v>
      </c>
      <c r="G108" s="322" t="s">
        <v>240</v>
      </c>
      <c r="H108" s="61">
        <f t="shared" si="25"/>
        <v>383472.04802201036</v>
      </c>
      <c r="I108" s="61">
        <f t="shared" si="25"/>
        <v>68810.091651135241</v>
      </c>
      <c r="J108" s="61">
        <f t="shared" si="25"/>
        <v>63901.567275189795</v>
      </c>
      <c r="K108" s="61">
        <f t="shared" si="25"/>
        <v>30051.870586152669</v>
      </c>
      <c r="N108">
        <v>2028</v>
      </c>
      <c r="O108" t="s">
        <v>240</v>
      </c>
      <c r="P108" t="s">
        <v>240</v>
      </c>
      <c r="Q108" s="61">
        <f t="shared" si="26"/>
        <v>347151.05709365057</v>
      </c>
      <c r="R108" s="61">
        <f t="shared" si="26"/>
        <v>61362.983687995817</v>
      </c>
      <c r="S108" s="61">
        <f t="shared" si="26"/>
        <v>54912.611488405964</v>
      </c>
      <c r="T108" s="61">
        <f t="shared" si="26"/>
        <v>27895.379972014387</v>
      </c>
      <c r="W108">
        <v>2028</v>
      </c>
      <c r="X108" t="s">
        <v>240</v>
      </c>
      <c r="Y108" t="s">
        <v>240</v>
      </c>
      <c r="Z108" s="61">
        <f t="shared" si="29"/>
        <v>314627.83612730354</v>
      </c>
      <c r="AA108" s="61">
        <f t="shared" si="29"/>
        <v>54681.392170501756</v>
      </c>
      <c r="AB108" s="61">
        <f t="shared" si="29"/>
        <v>46882.639657348278</v>
      </c>
      <c r="AC108" s="61">
        <f t="shared" si="29"/>
        <v>25956.032212138554</v>
      </c>
      <c r="AG108">
        <v>2028</v>
      </c>
      <c r="AH108" t="s">
        <v>240</v>
      </c>
      <c r="AI108" t="s">
        <v>240</v>
      </c>
      <c r="AJ108" s="61">
        <f t="shared" si="30"/>
        <v>378702.47032834264</v>
      </c>
      <c r="AK108" s="61">
        <f t="shared" si="30"/>
        <v>67832.964889542025</v>
      </c>
      <c r="AL108" s="61">
        <f t="shared" si="30"/>
        <v>62720.065533267451</v>
      </c>
      <c r="AM108" s="61">
        <f t="shared" si="30"/>
        <v>29769.175918368303</v>
      </c>
    </row>
    <row r="109" spans="5:39">
      <c r="E109">
        <v>2029</v>
      </c>
      <c r="F109" s="322" t="s">
        <v>240</v>
      </c>
      <c r="G109" s="322" t="s">
        <v>240</v>
      </c>
      <c r="H109" s="61">
        <f t="shared" si="25"/>
        <v>410048.76567636942</v>
      </c>
      <c r="I109" s="61">
        <f t="shared" si="25"/>
        <v>66313.097109563008</v>
      </c>
      <c r="J109" s="61">
        <f t="shared" si="25"/>
        <v>64715.204445220879</v>
      </c>
      <c r="K109" s="61">
        <f t="shared" si="25"/>
        <v>31567.378794333126</v>
      </c>
      <c r="N109">
        <v>2029</v>
      </c>
      <c r="O109" t="s">
        <v>240</v>
      </c>
      <c r="P109" t="s">
        <v>240</v>
      </c>
      <c r="Q109" s="61">
        <f t="shared" si="26"/>
        <v>369043.5506272288</v>
      </c>
      <c r="R109" s="61">
        <f t="shared" si="26"/>
        <v>57937.803105448955</v>
      </c>
      <c r="S109" s="61">
        <f t="shared" si="26"/>
        <v>54613.559481512755</v>
      </c>
      <c r="T109" s="61">
        <f t="shared" si="26"/>
        <v>29126.791212942946</v>
      </c>
      <c r="W109">
        <v>2029</v>
      </c>
      <c r="X109" t="s">
        <v>240</v>
      </c>
      <c r="Y109" t="s">
        <v>240</v>
      </c>
      <c r="Z109" s="61">
        <f t="shared" si="29"/>
        <v>332316.98483933834</v>
      </c>
      <c r="AA109" s="61">
        <f t="shared" si="29"/>
        <v>50426.857600465941</v>
      </c>
      <c r="AB109" s="61">
        <f t="shared" si="29"/>
        <v>45597.393759749713</v>
      </c>
      <c r="AC109" s="61">
        <f t="shared" si="29"/>
        <v>26929.749200417369</v>
      </c>
      <c r="AG109">
        <v>2029</v>
      </c>
      <c r="AH109" t="s">
        <v>240</v>
      </c>
      <c r="AI109" t="s">
        <v>240</v>
      </c>
      <c r="AJ109" s="61">
        <f t="shared" si="30"/>
        <v>404664.56325847283</v>
      </c>
      <c r="AK109" s="61">
        <f t="shared" si="30"/>
        <v>65213.990954445733</v>
      </c>
      <c r="AL109" s="61">
        <f t="shared" si="30"/>
        <v>63387.024226816487</v>
      </c>
      <c r="AM109" s="61">
        <f t="shared" si="30"/>
        <v>31247.561835362299</v>
      </c>
    </row>
    <row r="110" spans="5:39">
      <c r="E110">
        <v>2030</v>
      </c>
      <c r="F110" s="322" t="s">
        <v>240</v>
      </c>
      <c r="G110" s="322" t="s">
        <v>240</v>
      </c>
      <c r="H110" s="61">
        <f t="shared" si="25"/>
        <v>437259.03790716827</v>
      </c>
      <c r="I110" s="61">
        <f t="shared" si="25"/>
        <v>63887.08454019326</v>
      </c>
      <c r="J110" s="61">
        <f t="shared" si="25"/>
        <v>65591.298442403669</v>
      </c>
      <c r="K110" s="61">
        <f t="shared" si="25"/>
        <v>33123.956733257044</v>
      </c>
      <c r="N110">
        <v>2030</v>
      </c>
      <c r="O110" t="s">
        <v>240</v>
      </c>
      <c r="P110" t="s">
        <v>240</v>
      </c>
      <c r="Q110" s="61">
        <f t="shared" si="26"/>
        <v>391528.45477022557</v>
      </c>
      <c r="R110" s="61">
        <f t="shared" si="26"/>
        <v>54591.410474306846</v>
      </c>
      <c r="S110" s="61">
        <f t="shared" si="26"/>
        <v>54381.183989853482</v>
      </c>
      <c r="T110" s="61">
        <f t="shared" si="26"/>
        <v>30396.353615889981</v>
      </c>
      <c r="W110">
        <v>2030</v>
      </c>
      <c r="X110" t="s">
        <v>240</v>
      </c>
      <c r="Y110" t="s">
        <v>240</v>
      </c>
      <c r="Z110" s="61">
        <f t="shared" si="29"/>
        <v>350556.46897084592</v>
      </c>
      <c r="AA110" s="61">
        <f t="shared" si="29"/>
        <v>46261.040515474451</v>
      </c>
      <c r="AB110" s="61">
        <f t="shared" si="29"/>
        <v>44385.511207456351</v>
      </c>
      <c r="AC110" s="61">
        <f t="shared" si="29"/>
        <v>27938.363082274009</v>
      </c>
      <c r="AG110">
        <v>2030</v>
      </c>
      <c r="AH110" t="s">
        <v>240</v>
      </c>
      <c r="AI110" t="s">
        <v>240</v>
      </c>
      <c r="AJ110" s="61">
        <f t="shared" si="30"/>
        <v>431255.08529038308</v>
      </c>
      <c r="AK110" s="61">
        <f t="shared" si="30"/>
        <v>62666.866400211875</v>
      </c>
      <c r="AL110" s="61">
        <f t="shared" si="30"/>
        <v>64116.843003900838</v>
      </c>
      <c r="AM110" s="61">
        <f t="shared" si="30"/>
        <v>32766.666804049484</v>
      </c>
    </row>
    <row r="111" spans="5:39">
      <c r="E111">
        <v>2040</v>
      </c>
      <c r="F111" s="322" t="s">
        <v>240</v>
      </c>
      <c r="G111" s="322" t="s">
        <v>240</v>
      </c>
      <c r="H111" s="61">
        <f t="shared" si="25"/>
        <v>793839.62827775534</v>
      </c>
      <c r="I111" s="61">
        <f t="shared" si="25"/>
        <v>48358.163671925489</v>
      </c>
      <c r="J111" s="61">
        <f t="shared" si="25"/>
        <v>86800.379265651223</v>
      </c>
      <c r="K111" s="61">
        <f t="shared" si="25"/>
        <v>53578.018689144461</v>
      </c>
      <c r="N111">
        <v>2040</v>
      </c>
      <c r="O111" t="s">
        <v>240</v>
      </c>
      <c r="P111" t="s">
        <v>240</v>
      </c>
      <c r="Q111" s="61">
        <f t="shared" si="26"/>
        <v>690807.45613695215</v>
      </c>
      <c r="R111" s="61">
        <f t="shared" si="26"/>
        <v>28101.432901494962</v>
      </c>
      <c r="S111" s="61">
        <f t="shared" si="26"/>
        <v>62310.734548189794</v>
      </c>
      <c r="T111" s="61">
        <f t="shared" si="26"/>
        <v>47372.620868186175</v>
      </c>
      <c r="W111">
        <v>2040</v>
      </c>
      <c r="X111" t="s">
        <v>240</v>
      </c>
      <c r="Y111" t="s">
        <v>240</v>
      </c>
      <c r="Z111" s="61">
        <f>Z73-Z92</f>
        <v>588992.76490358589</v>
      </c>
      <c r="AA111" s="61">
        <f t="shared" si="29"/>
        <v>8196.6856769081205</v>
      </c>
      <c r="AB111" s="61">
        <f t="shared" si="29"/>
        <v>38327.637800982571</v>
      </c>
      <c r="AC111" s="61">
        <f t="shared" si="29"/>
        <v>41202.640441819822</v>
      </c>
      <c r="AG111">
        <v>2040</v>
      </c>
      <c r="AH111" t="s">
        <v>240</v>
      </c>
      <c r="AI111" t="s">
        <v>240</v>
      </c>
      <c r="AJ111" s="61">
        <f>AJ73-AJ92</f>
        <v>781610.93438336998</v>
      </c>
      <c r="AK111" s="61">
        <f t="shared" si="30"/>
        <v>45951.06577161717</v>
      </c>
      <c r="AL111" s="61">
        <f t="shared" si="30"/>
        <v>83889.77449819888</v>
      </c>
      <c r="AM111" s="61">
        <f t="shared" si="30"/>
        <v>52842.036632318166</v>
      </c>
    </row>
    <row r="112" spans="5:39">
      <c r="E112">
        <v>2050</v>
      </c>
      <c r="F112" s="322" t="s">
        <v>240</v>
      </c>
      <c r="G112" s="322" t="s">
        <v>240</v>
      </c>
      <c r="H112" s="61">
        <f t="shared" si="25"/>
        <v>1357218.2080501816</v>
      </c>
      <c r="I112" s="61">
        <f t="shared" si="25"/>
        <v>51902.137049434532</v>
      </c>
      <c r="J112" s="61">
        <f t="shared" si="25"/>
        <v>134026.06446009537</v>
      </c>
      <c r="K112" s="61">
        <f t="shared" si="25"/>
        <v>86675.677183947002</v>
      </c>
      <c r="N112">
        <v>2050</v>
      </c>
      <c r="O112" t="s">
        <v>240</v>
      </c>
      <c r="P112" t="s">
        <v>240</v>
      </c>
      <c r="Q112" s="61">
        <f t="shared" si="26"/>
        <v>1187390.3832588447</v>
      </c>
      <c r="R112" s="61">
        <f t="shared" si="26"/>
        <v>18287.3902258249</v>
      </c>
      <c r="S112" s="61">
        <f t="shared" si="26"/>
        <v>93067.284672200913</v>
      </c>
      <c r="T112" s="61">
        <f t="shared" si="26"/>
        <v>76567.907551573851</v>
      </c>
      <c r="W112">
        <v>2050</v>
      </c>
      <c r="X112" t="s">
        <v>240</v>
      </c>
      <c r="Y112" t="s">
        <v>240</v>
      </c>
      <c r="Z112" s="61">
        <f>Z74-Z93</f>
        <v>998537.81865150388</v>
      </c>
      <c r="AA112" s="61">
        <f t="shared" si="29"/>
        <v>-18996.050891564926</v>
      </c>
      <c r="AB112" s="61">
        <f t="shared" si="29"/>
        <v>47690.227588768816</v>
      </c>
      <c r="AC112" s="61">
        <f t="shared" si="29"/>
        <v>65299.977549753734</v>
      </c>
      <c r="AG112">
        <v>2050</v>
      </c>
      <c r="AH112" t="s">
        <v>240</v>
      </c>
      <c r="AI112" t="s">
        <v>240</v>
      </c>
      <c r="AJ112" s="61">
        <f>AJ74-AJ93</f>
        <v>1333590.4468926182</v>
      </c>
      <c r="AK112" s="61">
        <f t="shared" si="30"/>
        <v>47213.552045498276</v>
      </c>
      <c r="AL112" s="61">
        <f t="shared" si="30"/>
        <v>128300.08659928432</v>
      </c>
      <c r="AM112" s="61">
        <f t="shared" si="30"/>
        <v>85274.707295833447</v>
      </c>
    </row>
    <row r="113" spans="2:40">
      <c r="E113">
        <v>2060</v>
      </c>
      <c r="F113" s="322" t="s">
        <v>240</v>
      </c>
      <c r="G113" s="322" t="s">
        <v>240</v>
      </c>
      <c r="H113" s="61">
        <f t="shared" si="25"/>
        <v>2086527.7906903792</v>
      </c>
      <c r="I113" s="61">
        <f t="shared" si="25"/>
        <v>65784.923757070908</v>
      </c>
      <c r="J113" s="61">
        <f t="shared" si="25"/>
        <v>198560.6419365023</v>
      </c>
      <c r="K113" s="61">
        <f t="shared" si="25"/>
        <v>129282.71267914775</v>
      </c>
      <c r="N113">
        <v>2060</v>
      </c>
      <c r="O113" t="s">
        <v>240</v>
      </c>
      <c r="P113" t="s">
        <v>240</v>
      </c>
      <c r="Q113" s="61">
        <f t="shared" si="26"/>
        <v>1846932.2007787814</v>
      </c>
      <c r="R113" s="61">
        <f t="shared" si="26"/>
        <v>18209.859843129991</v>
      </c>
      <c r="S113" s="61">
        <f t="shared" si="26"/>
        <v>140379.1001865312</v>
      </c>
      <c r="T113" s="61">
        <f t="shared" si="26"/>
        <v>115103.17042692861</v>
      </c>
      <c r="W113">
        <v>2060</v>
      </c>
      <c r="X113" t="s">
        <v>240</v>
      </c>
      <c r="Y113" t="s">
        <v>240</v>
      </c>
      <c r="Z113" s="61">
        <f t="shared" ref="Z113:AC117" si="31">Z75-Z94</f>
        <v>1548444.589909086</v>
      </c>
      <c r="AA113" s="61">
        <f t="shared" si="31"/>
        <v>-40977.874067225726</v>
      </c>
      <c r="AB113" s="61">
        <f t="shared" si="31"/>
        <v>68020.107770619448</v>
      </c>
      <c r="AC113" s="61">
        <f t="shared" si="31"/>
        <v>97420.386297084042</v>
      </c>
      <c r="AG113">
        <v>2060</v>
      </c>
      <c r="AH113" t="s">
        <v>240</v>
      </c>
      <c r="AI113" t="s">
        <v>240</v>
      </c>
      <c r="AJ113" s="61">
        <f t="shared" ref="AJ113:AM117" si="32">AJ75-AJ94</f>
        <v>2048892.5442655608</v>
      </c>
      <c r="AK113" s="61">
        <f t="shared" si="32"/>
        <v>58291.744519529864</v>
      </c>
      <c r="AL113" s="61">
        <f t="shared" si="32"/>
        <v>189372.234509859</v>
      </c>
      <c r="AM113" s="61">
        <f t="shared" si="32"/>
        <v>127065.16904875776</v>
      </c>
    </row>
    <row r="114" spans="2:40">
      <c r="E114">
        <v>2070</v>
      </c>
      <c r="F114" s="322" t="s">
        <v>240</v>
      </c>
      <c r="G114" s="322" t="s">
        <v>240</v>
      </c>
      <c r="H114" s="61">
        <f t="shared" si="25"/>
        <v>2995526.6619412871</v>
      </c>
      <c r="I114" s="61">
        <f t="shared" si="25"/>
        <v>88330.58147202211</v>
      </c>
      <c r="J114" s="61">
        <f t="shared" si="25"/>
        <v>278742.16736804345</v>
      </c>
      <c r="K114" s="61">
        <f t="shared" si="25"/>
        <v>182130.35716603801</v>
      </c>
      <c r="N114">
        <v>2070</v>
      </c>
      <c r="O114" t="s">
        <v>240</v>
      </c>
      <c r="P114" t="s">
        <v>240</v>
      </c>
      <c r="Q114" s="61">
        <f t="shared" si="26"/>
        <v>2680432.6155553577</v>
      </c>
      <c r="R114" s="61">
        <f t="shared" si="26"/>
        <v>25642.260693014832</v>
      </c>
      <c r="S114" s="61">
        <f t="shared" si="26"/>
        <v>201906.789507034</v>
      </c>
      <c r="T114" s="61">
        <f t="shared" si="26"/>
        <v>163547.92722287201</v>
      </c>
      <c r="W114">
        <v>2070</v>
      </c>
      <c r="X114" t="s">
        <v>240</v>
      </c>
      <c r="Y114" t="s">
        <v>240</v>
      </c>
      <c r="Z114" s="61">
        <f t="shared" si="31"/>
        <v>2252596.7036939641</v>
      </c>
      <c r="AA114" s="61">
        <f t="shared" si="31"/>
        <v>-59396.863720569876</v>
      </c>
      <c r="AB114" s="61">
        <f t="shared" si="31"/>
        <v>97693.328324103728</v>
      </c>
      <c r="AC114" s="61">
        <f t="shared" si="31"/>
        <v>138300.99869556303</v>
      </c>
      <c r="AG114">
        <v>2070</v>
      </c>
      <c r="AH114" t="s">
        <v>240</v>
      </c>
      <c r="AI114" t="s">
        <v>240</v>
      </c>
      <c r="AJ114" s="61">
        <f t="shared" si="32"/>
        <v>2941241.8356667566</v>
      </c>
      <c r="AK114" s="61">
        <f t="shared" si="32"/>
        <v>77503.10580402537</v>
      </c>
      <c r="AL114" s="61">
        <f t="shared" si="32"/>
        <v>265436.35016343812</v>
      </c>
      <c r="AM114" s="61">
        <f t="shared" si="32"/>
        <v>178942.60815491725</v>
      </c>
    </row>
    <row r="115" spans="2:40">
      <c r="E115">
        <v>2080</v>
      </c>
      <c r="F115" s="322" t="s">
        <v>240</v>
      </c>
      <c r="G115" s="322" t="s">
        <v>240</v>
      </c>
      <c r="H115" s="61">
        <f t="shared" si="25"/>
        <v>4107820.1071788748</v>
      </c>
      <c r="I115" s="61">
        <f t="shared" si="25"/>
        <v>118984.24692088767</v>
      </c>
      <c r="J115" s="61">
        <f t="shared" si="25"/>
        <v>374327.91236165084</v>
      </c>
      <c r="K115" s="61">
        <f t="shared" si="25"/>
        <v>246502.95447545033</v>
      </c>
      <c r="N115">
        <v>2080</v>
      </c>
      <c r="O115" t="s">
        <v>240</v>
      </c>
      <c r="P115" t="s">
        <v>240</v>
      </c>
      <c r="Q115" s="61">
        <f t="shared" si="26"/>
        <v>3714296.1649127682</v>
      </c>
      <c r="R115" s="61">
        <f t="shared" si="26"/>
        <v>40590.20867767476</v>
      </c>
      <c r="S115" s="61">
        <f t="shared" si="26"/>
        <v>278099.58190449781</v>
      </c>
      <c r="T115" s="61">
        <f t="shared" si="26"/>
        <v>223349.7001368608</v>
      </c>
      <c r="W115">
        <v>2080</v>
      </c>
      <c r="X115" t="s">
        <v>240</v>
      </c>
      <c r="Y115" t="s">
        <v>240</v>
      </c>
      <c r="Z115" s="61">
        <f t="shared" si="31"/>
        <v>3131883.7529503396</v>
      </c>
      <c r="AA115" s="61">
        <f t="shared" si="31"/>
        <v>-75349.787332382635</v>
      </c>
      <c r="AB115" s="61">
        <f t="shared" si="31"/>
        <v>135800.5327285626</v>
      </c>
      <c r="AC115" s="61">
        <f t="shared" si="31"/>
        <v>189066.91355637292</v>
      </c>
      <c r="AG115">
        <v>2080</v>
      </c>
      <c r="AH115" t="s">
        <v>240</v>
      </c>
      <c r="AI115" t="s">
        <v>240</v>
      </c>
      <c r="AJ115" s="61">
        <f t="shared" si="32"/>
        <v>4034232.3809460495</v>
      </c>
      <c r="AK115" s="61">
        <f t="shared" si="32"/>
        <v>104290.57426995982</v>
      </c>
      <c r="AL115" s="61">
        <f t="shared" si="32"/>
        <v>356247.0639204022</v>
      </c>
      <c r="AM115" s="61">
        <f t="shared" si="32"/>
        <v>242190.68653598957</v>
      </c>
    </row>
    <row r="116" spans="2:40">
      <c r="E116">
        <v>2090</v>
      </c>
      <c r="F116" s="322" t="s">
        <v>240</v>
      </c>
      <c r="G116" s="322" t="s">
        <v>240</v>
      </c>
      <c r="H116" s="61">
        <f t="shared" ref="H116:K117" si="33">H78-H97</f>
        <v>5452076.5709090699</v>
      </c>
      <c r="I116" s="61">
        <f t="shared" si="33"/>
        <v>157191.1801795371</v>
      </c>
      <c r="J116" s="61">
        <f t="shared" si="33"/>
        <v>485113.45963161608</v>
      </c>
      <c r="K116" s="61">
        <f t="shared" si="33"/>
        <v>323953.72286325798</v>
      </c>
      <c r="N116">
        <v>2090</v>
      </c>
      <c r="O116" t="s">
        <v>240</v>
      </c>
      <c r="P116" t="s">
        <v>240</v>
      </c>
      <c r="Q116" s="61">
        <f t="shared" ref="Q116:T117" si="34">Q78-Q97</f>
        <v>4974412.3779406575</v>
      </c>
      <c r="R116" s="61">
        <f t="shared" si="34"/>
        <v>61943.404916390136</v>
      </c>
      <c r="S116" s="61">
        <f t="shared" si="34"/>
        <v>368068.35763262701</v>
      </c>
      <c r="T116" s="61">
        <f t="shared" si="34"/>
        <v>295899.26111012138</v>
      </c>
      <c r="W116">
        <v>2090</v>
      </c>
      <c r="X116" t="s">
        <v>240</v>
      </c>
      <c r="Y116" t="s">
        <v>240</v>
      </c>
      <c r="Z116" s="61">
        <f t="shared" si="31"/>
        <v>4209501.0175623819</v>
      </c>
      <c r="AA116" s="61">
        <f t="shared" si="31"/>
        <v>-90484.480725669884</v>
      </c>
      <c r="AB116" s="61">
        <f t="shared" si="31"/>
        <v>180791.38267497357</v>
      </c>
      <c r="AC116" s="61">
        <f t="shared" si="31"/>
        <v>250950.8924225996</v>
      </c>
      <c r="AG116">
        <v>2090</v>
      </c>
      <c r="AH116" t="s">
        <v>240</v>
      </c>
      <c r="AI116" t="s">
        <v>240</v>
      </c>
      <c r="AJ116" s="61">
        <f t="shared" si="32"/>
        <v>5353710.9216088876</v>
      </c>
      <c r="AK116" s="61">
        <f t="shared" si="32"/>
        <v>137534.5341063572</v>
      </c>
      <c r="AL116" s="61">
        <f t="shared" si="32"/>
        <v>460902.71833808278</v>
      </c>
      <c r="AM116" s="61">
        <f t="shared" si="32"/>
        <v>318198.0802629136</v>
      </c>
    </row>
    <row r="117" spans="2:40">
      <c r="E117">
        <v>2100</v>
      </c>
      <c r="F117" s="322" t="s">
        <v>240</v>
      </c>
      <c r="G117" s="322" t="s">
        <v>240</v>
      </c>
      <c r="H117" s="61">
        <f t="shared" si="33"/>
        <v>7054600.7787711052</v>
      </c>
      <c r="I117" s="61">
        <f t="shared" si="33"/>
        <v>200715.32985560014</v>
      </c>
      <c r="J117" s="61">
        <f t="shared" si="33"/>
        <v>608860.0972504802</v>
      </c>
      <c r="K117" s="61">
        <f t="shared" si="33"/>
        <v>415865.16281056148</v>
      </c>
      <c r="N117">
        <v>2100</v>
      </c>
      <c r="O117" t="s">
        <v>240</v>
      </c>
      <c r="P117" t="s">
        <v>240</v>
      </c>
      <c r="Q117" s="61">
        <f t="shared" si="34"/>
        <v>6484337.5696598869</v>
      </c>
      <c r="R117" s="61">
        <f t="shared" si="34"/>
        <v>86917.619388711231</v>
      </c>
      <c r="S117" s="61">
        <f t="shared" si="34"/>
        <v>468900.58510827948</v>
      </c>
      <c r="T117" s="61">
        <f t="shared" si="34"/>
        <v>382417.76238707302</v>
      </c>
      <c r="W117">
        <v>2100</v>
      </c>
      <c r="X117" t="s">
        <v>240</v>
      </c>
      <c r="Y117" t="s">
        <v>240</v>
      </c>
      <c r="Z117" s="61">
        <f t="shared" si="31"/>
        <v>5522950.2309622299</v>
      </c>
      <c r="AA117" s="61">
        <f t="shared" si="31"/>
        <v>-104795.07859041693</v>
      </c>
      <c r="AB117" s="61">
        <f t="shared" si="31"/>
        <v>233194.99689130229</v>
      </c>
      <c r="AC117" s="61">
        <f t="shared" si="31"/>
        <v>325988.14924184082</v>
      </c>
      <c r="AG117">
        <v>2100</v>
      </c>
      <c r="AH117" t="s">
        <v>240</v>
      </c>
      <c r="AI117" t="s">
        <v>240</v>
      </c>
      <c r="AJ117" s="61">
        <f>AJ79-AJ98</f>
        <v>6928747.7586643528</v>
      </c>
      <c r="AK117" s="61">
        <f t="shared" si="32"/>
        <v>175552.81802956952</v>
      </c>
      <c r="AL117" s="61">
        <f t="shared" si="32"/>
        <v>577848.63541322155</v>
      </c>
      <c r="AM117" s="61">
        <f t="shared" si="32"/>
        <v>408508.4224559493</v>
      </c>
    </row>
    <row r="118" spans="2:40">
      <c r="B118" s="61"/>
      <c r="F118" s="581" t="s">
        <v>284</v>
      </c>
      <c r="G118" s="581"/>
      <c r="H118" s="581"/>
      <c r="I118" s="581"/>
      <c r="J118" s="581"/>
      <c r="K118" s="581"/>
      <c r="O118" s="581" t="s">
        <v>284</v>
      </c>
      <c r="P118" s="581"/>
      <c r="Q118" s="581"/>
      <c r="R118" s="581"/>
      <c r="S118" s="581"/>
      <c r="T118" s="581"/>
      <c r="X118" s="581" t="s">
        <v>242</v>
      </c>
      <c r="Y118" s="581"/>
      <c r="Z118" s="581"/>
      <c r="AA118" s="581"/>
      <c r="AB118" s="581"/>
      <c r="AC118" s="581"/>
      <c r="AH118" s="581" t="s">
        <v>242</v>
      </c>
      <c r="AI118" s="581"/>
      <c r="AJ118" s="581"/>
      <c r="AK118" s="581"/>
      <c r="AL118" s="581"/>
      <c r="AM118" s="581"/>
    </row>
    <row r="119" spans="2:40">
      <c r="E119">
        <v>2020</v>
      </c>
      <c r="F119" s="61">
        <f>-F5*$C$4</f>
        <v>-15766.02</v>
      </c>
      <c r="G119" s="61">
        <f>-G5*$C$3</f>
        <v>-21061.74</v>
      </c>
      <c r="H119" s="61">
        <f>-(SUM($F119:$G119))*(H100/SUM($H100:$K100))</f>
        <v>19393.417927663519</v>
      </c>
      <c r="I119" s="61">
        <f t="shared" ref="I119:K119" si="35">-(SUM($F119:$G119))*(I100/SUM($H100:$K100))</f>
        <v>9380.854337877543</v>
      </c>
      <c r="J119" s="61">
        <f t="shared" si="35"/>
        <v>6091.7363548629774</v>
      </c>
      <c r="K119" s="61">
        <f t="shared" si="35"/>
        <v>1961.751379595964</v>
      </c>
      <c r="L119" s="61"/>
      <c r="M119" s="61"/>
      <c r="N119">
        <v>2020</v>
      </c>
      <c r="O119" s="61">
        <f>-O5*$C$4</f>
        <v>-15766.02</v>
      </c>
      <c r="P119" s="61">
        <f t="shared" ref="P119:P129" si="36">-P5*$C$3</f>
        <v>-21061.74</v>
      </c>
      <c r="Q119" s="61">
        <f>-(SUM($F119:$G119))*(Q100/SUM($Q100:$T100))</f>
        <v>19393.417927663519</v>
      </c>
      <c r="R119" s="61">
        <f>-(SUM($F119:$G119))*(R100/SUM($Q100:$T100))</f>
        <v>9380.854337877543</v>
      </c>
      <c r="S119" s="61">
        <f>-(SUM($F119:$G119))*(S100/SUM($Q100:$T100))</f>
        <v>6091.7363548629774</v>
      </c>
      <c r="T119" s="61">
        <f>-(SUM($F119:$G119))*(T100/SUM($Q100:$T100))</f>
        <v>1961.751379595964</v>
      </c>
      <c r="U119" s="407"/>
      <c r="W119">
        <v>2020</v>
      </c>
      <c r="X119" s="61">
        <f t="shared" ref="X119:X129" si="37">-X5*$C$4</f>
        <v>-15766.02</v>
      </c>
      <c r="Y119" s="61">
        <f t="shared" ref="Y119:Y129" si="38">-Y5*$C$3</f>
        <v>-21061.74</v>
      </c>
      <c r="Z119" s="61">
        <f>-(SUM($X119:$Y119))*(Z100/SUM($Z100:$AC100))</f>
        <v>19393.417927663519</v>
      </c>
      <c r="AA119" s="61">
        <f t="shared" ref="AA119:AC119" si="39">-(SUM($X119:$Y119))*(AA100/SUM($Z100:$AC100))</f>
        <v>9380.854337877543</v>
      </c>
      <c r="AB119" s="61">
        <f t="shared" si="39"/>
        <v>6091.7363548629774</v>
      </c>
      <c r="AC119" s="61">
        <f t="shared" si="39"/>
        <v>1961.751379595964</v>
      </c>
      <c r="AD119" s="407"/>
      <c r="AG119">
        <v>2020</v>
      </c>
      <c r="AH119" s="61">
        <f t="shared" ref="AH119:AH129" si="40">-AH5*$C$4</f>
        <v>-15766.02</v>
      </c>
      <c r="AI119" s="61">
        <f t="shared" ref="AI119:AI129" si="41">-AI5*$C$3</f>
        <v>-21061.74</v>
      </c>
      <c r="AJ119" s="61">
        <f>-(SUM($AH119:$AI119))*(AJ100/SUM($AJ100:$AM100))</f>
        <v>19393.417927663519</v>
      </c>
      <c r="AK119" s="61">
        <f t="shared" ref="AK119:AM119" si="42">-(SUM($AH119:$AI119))*(AK100/SUM($AJ100:$AM100))</f>
        <v>9380.854337877543</v>
      </c>
      <c r="AL119" s="61">
        <f>-(SUM($AH119:$AI119))*(AL100/SUM($AJ100:$AM100))</f>
        <v>6091.7363548629774</v>
      </c>
      <c r="AM119" s="61">
        <f t="shared" si="42"/>
        <v>1961.751379595964</v>
      </c>
      <c r="AN119" s="407"/>
    </row>
    <row r="120" spans="2:40">
      <c r="E120">
        <v>2021</v>
      </c>
      <c r="F120" s="61">
        <f>-F6*$C$4</f>
        <v>-15846.025271675464</v>
      </c>
      <c r="G120" s="61">
        <f t="shared" ref="G120:G122" si="43">-G6*$C$3</f>
        <v>-21142.124714802114</v>
      </c>
      <c r="H120" s="61">
        <f>-SUM($F120:$G120)*(MAX(H101,0)/SUM(MAX($H101,0)+MAX($I101,0)+MAX($J101,0)+MAX($K101,0)))</f>
        <v>20600.839940572241</v>
      </c>
      <c r="I120" s="61">
        <f t="shared" ref="H120:K135" si="44">-SUM($F120:$G120)*(MAX(I101,0)/SUM(MAX($H101,0)+MAX($I101,0)+MAX($J101,0)+MAX($K101,0)))</f>
        <v>8592.1819121907338</v>
      </c>
      <c r="J120" s="61">
        <f t="shared" si="44"/>
        <v>5812.3585774528792</v>
      </c>
      <c r="K120" s="61">
        <f t="shared" si="44"/>
        <v>1982.769556261718</v>
      </c>
      <c r="L120" s="61"/>
      <c r="M120" s="61"/>
      <c r="N120">
        <v>2021</v>
      </c>
      <c r="O120" s="61">
        <f t="shared" ref="O120:O129" si="45">-O6*$C$4</f>
        <v>-15880.807916639291</v>
      </c>
      <c r="P120" s="61">
        <f t="shared" si="36"/>
        <v>-21188.532505091982</v>
      </c>
      <c r="Q120" s="61">
        <f t="shared" ref="Q120:T121" si="46">-SUM($O120:$P120)*(MAX(Q101,0)/SUM(MAX($Q101,0)+MAX($R101,0)+MAX($S101,0)+MAX($T101,0)))</f>
        <v>20575.613100722181</v>
      </c>
      <c r="R120" s="61">
        <f t="shared" si="46"/>
        <v>8677.2068705798574</v>
      </c>
      <c r="S120" s="61">
        <f t="shared" si="46"/>
        <v>5819.1018016687294</v>
      </c>
      <c r="T120" s="61">
        <f t="shared" si="46"/>
        <v>1997.4186487605068</v>
      </c>
      <c r="U120" s="407"/>
      <c r="W120">
        <v>2021</v>
      </c>
      <c r="X120" s="61">
        <f t="shared" si="37"/>
        <v>-15911.955502334416</v>
      </c>
      <c r="Y120" s="61">
        <f t="shared" si="38"/>
        <v>-21230.090317227274</v>
      </c>
      <c r="Z120" s="61">
        <f>-SUM($X120:$Y120)*(MAX(Z101,0)/SUM(MAX($Z101,0)+MAX($AA101,0)+MAX($AB101,0)+MAX($AC101,0)))</f>
        <v>20550.574353003238</v>
      </c>
      <c r="AA120" s="61">
        <f t="shared" ref="AA120:AC120" si="47">-SUM($X120:$Y120)*(MAX(AA101,0)/SUM(MAX($Z101,0)+MAX($AA101,0)+MAX($AB101,0)+MAX($AC101,0)))</f>
        <v>8755.6455571275746</v>
      </c>
      <c r="AB120" s="61">
        <f t="shared" si="47"/>
        <v>5824.9312550896957</v>
      </c>
      <c r="AC120" s="61">
        <f t="shared" si="47"/>
        <v>2010.8946543411807</v>
      </c>
      <c r="AD120" s="407"/>
      <c r="AG120">
        <v>2021</v>
      </c>
      <c r="AH120" s="61">
        <f t="shared" si="40"/>
        <v>-15850.592690066227</v>
      </c>
      <c r="AI120" s="61">
        <f t="shared" si="41"/>
        <v>-21148.218667549667</v>
      </c>
      <c r="AJ120" s="61">
        <f>-SUM($AH120:$AI120)*(MAX(AJ101,0)/SUM(MAX($AJ101,0)+MAX($AK101,0)+MAX($AL101,0)+MAX($AM101,0)))</f>
        <v>20597.686726568812</v>
      </c>
      <c r="AK120" s="61">
        <f t="shared" ref="AK120:AM120" si="48">-SUM($AH120:$AI120)*(MAX(AK101,0)/SUM(MAX($AJ101,0)+MAX($AK101,0)+MAX($AL101,0)+MAX($AM101,0)))</f>
        <v>8603.1970933708526</v>
      </c>
      <c r="AL120" s="61">
        <f t="shared" si="48"/>
        <v>5813.2576620439804</v>
      </c>
      <c r="AM120" s="61">
        <f t="shared" si="48"/>
        <v>1984.6698756322446</v>
      </c>
      <c r="AN120" s="407"/>
    </row>
    <row r="121" spans="2:40">
      <c r="E121">
        <v>2022</v>
      </c>
      <c r="F121" s="61">
        <f t="shared" ref="F121:F122" si="49">-F7*$C$4</f>
        <v>-15925.805895765488</v>
      </c>
      <c r="G121" s="61">
        <f t="shared" si="43"/>
        <v>-21221.975870155213</v>
      </c>
      <c r="H121" s="61">
        <f t="shared" si="44"/>
        <v>21704.66577806561</v>
      </c>
      <c r="I121" s="61">
        <f t="shared" si="44"/>
        <v>7880.9933453465728</v>
      </c>
      <c r="J121" s="61">
        <f t="shared" si="44"/>
        <v>5559.8734683430293</v>
      </c>
      <c r="K121" s="61">
        <f t="shared" si="44"/>
        <v>2002.2491741654919</v>
      </c>
      <c r="L121" s="61"/>
      <c r="M121" s="61"/>
      <c r="N121">
        <v>2022</v>
      </c>
      <c r="O121" s="61">
        <f t="shared" si="45"/>
        <v>-15995.284229080733</v>
      </c>
      <c r="P121" s="61">
        <f t="shared" si="36"/>
        <v>-21314.559411783506</v>
      </c>
      <c r="Q121" s="61">
        <f t="shared" si="46"/>
        <v>21699.459049417019</v>
      </c>
      <c r="R121" s="61">
        <f t="shared" si="46"/>
        <v>8016.3202907924006</v>
      </c>
      <c r="S121" s="61">
        <f t="shared" si="46"/>
        <v>5562.9148918596975</v>
      </c>
      <c r="T121" s="61">
        <f t="shared" si="46"/>
        <v>2031.1494087951178</v>
      </c>
      <c r="U121" s="407"/>
      <c r="W121">
        <v>2022</v>
      </c>
      <c r="X121" s="61">
        <f t="shared" si="37"/>
        <v>-16057.501531506743</v>
      </c>
      <c r="Y121" s="61">
        <f t="shared" si="38"/>
        <v>-21397.467246993408</v>
      </c>
      <c r="Z121" s="61">
        <f t="shared" ref="Z121:AC136" si="50">-SUM($X121:$Y121)*(MAX(Z102,0)/SUM(MAX($Z102,0)+MAX($AA102,0)+MAX($AB102,0)+MAX($AC102,0)))</f>
        <v>21688.023245744153</v>
      </c>
      <c r="AA121" s="61">
        <f t="shared" si="50"/>
        <v>8144.3524917659124</v>
      </c>
      <c r="AB121" s="61">
        <f t="shared" si="50"/>
        <v>5564.1930415370998</v>
      </c>
      <c r="AC121" s="61">
        <f t="shared" si="50"/>
        <v>2058.3999994529859</v>
      </c>
      <c r="AD121" s="407"/>
      <c r="AG121">
        <v>2022</v>
      </c>
      <c r="AH121" s="61">
        <f t="shared" si="40"/>
        <v>-15934.929314001036</v>
      </c>
      <c r="AI121" s="61">
        <f t="shared" si="41"/>
        <v>-21234.133305886582</v>
      </c>
      <c r="AJ121" s="61">
        <f t="shared" ref="AJ121:AM136" si="51">-SUM($AH121:$AI121)*(MAX(AJ102,0)/SUM(MAX($AJ102,0)+MAX($AK102,0)+MAX($AL102,0)+MAX($AM102,0)))</f>
        <v>21704.410351041755</v>
      </c>
      <c r="AK121" s="61">
        <f t="shared" si="51"/>
        <v>7898.3305483074855</v>
      </c>
      <c r="AL121" s="61">
        <f t="shared" si="51"/>
        <v>5560.3642269326028</v>
      </c>
      <c r="AM121" s="61">
        <f t="shared" si="51"/>
        <v>2005.957493605777</v>
      </c>
      <c r="AN121" s="407"/>
    </row>
    <row r="122" spans="2:40">
      <c r="E122">
        <v>2023</v>
      </c>
      <c r="F122" s="61">
        <f t="shared" si="49"/>
        <v>-16005.362308880796</v>
      </c>
      <c r="G122" s="61">
        <f t="shared" si="43"/>
        <v>-21301.295631452078</v>
      </c>
      <c r="H122" s="61">
        <f>-SUM($F122:$G122)*(MAX(H103,0)/SUM(MAX($H103,0)+MAX($I103,0)+MAX($J103,0)+MAX($K103,0)))</f>
        <v>22717.38998088189</v>
      </c>
      <c r="I122" s="61">
        <f t="shared" si="44"/>
        <v>7237.8785557328956</v>
      </c>
      <c r="J122" s="61">
        <f t="shared" si="44"/>
        <v>5331.0135811527962</v>
      </c>
      <c r="K122" s="61">
        <f t="shared" si="44"/>
        <v>2020.3758225652937</v>
      </c>
      <c r="L122" s="61"/>
      <c r="M122" s="61"/>
      <c r="N122">
        <v>2023</v>
      </c>
      <c r="O122" s="61">
        <f t="shared" si="45"/>
        <v>-16109.449536978698</v>
      </c>
      <c r="P122" s="61">
        <f t="shared" si="36"/>
        <v>-21439.823755613415</v>
      </c>
      <c r="Q122" s="61">
        <f t="shared" ref="Q122:T129" si="52">-SUM($O122:$P122)*(MAX(Q103,0)/SUM(MAX($Q103,0)+MAX($R103,0)+MAX($S103,0)+MAX($T103,0)))</f>
        <v>22767.590608033777</v>
      </c>
      <c r="R122" s="61">
        <f t="shared" si="52"/>
        <v>7396.2042512411517</v>
      </c>
      <c r="S122" s="61">
        <f t="shared" si="52"/>
        <v>5322.4222375182189</v>
      </c>
      <c r="T122" s="61">
        <f t="shared" si="52"/>
        <v>2063.0561957989685</v>
      </c>
      <c r="U122" s="407"/>
      <c r="W122">
        <v>2023</v>
      </c>
      <c r="X122" s="61">
        <f t="shared" si="37"/>
        <v>-16202.65883317567</v>
      </c>
      <c r="Y122" s="61">
        <f t="shared" si="38"/>
        <v>-21563.874604046232</v>
      </c>
      <c r="Z122" s="61">
        <f t="shared" si="50"/>
        <v>22802.922749853642</v>
      </c>
      <c r="AA122" s="61">
        <f t="shared" si="50"/>
        <v>7548.9880209294024</v>
      </c>
      <c r="AB122" s="61">
        <f t="shared" si="50"/>
        <v>5310.4071380151245</v>
      </c>
      <c r="AC122" s="61">
        <f t="shared" si="50"/>
        <v>2104.2155284237292</v>
      </c>
      <c r="AD122" s="407"/>
      <c r="AG122">
        <v>2023</v>
      </c>
      <c r="AH122" s="61">
        <f t="shared" si="40"/>
        <v>-16019.030329824931</v>
      </c>
      <c r="AI122" s="61">
        <f t="shared" si="41"/>
        <v>-21319.486194665144</v>
      </c>
      <c r="AJ122" s="61">
        <f t="shared" si="51"/>
        <v>22724.574504742006</v>
      </c>
      <c r="AK122" s="61">
        <f t="shared" si="51"/>
        <v>7257.9912682863305</v>
      </c>
      <c r="AL122" s="61">
        <f t="shared" si="51"/>
        <v>5330.1513470241125</v>
      </c>
      <c r="AM122" s="61">
        <f t="shared" si="51"/>
        <v>2025.7994044376212</v>
      </c>
      <c r="AN122" s="407"/>
    </row>
    <row r="123" spans="2:40">
      <c r="E123">
        <v>2024</v>
      </c>
      <c r="F123" s="61">
        <f t="shared" ref="F123:F129" si="53">-F9*$C$4</f>
        <v>-16084.694946891608</v>
      </c>
      <c r="G123" s="61">
        <f t="shared" ref="G123:G129" si="54">-G9*$C$3</f>
        <v>-21380.086156593272</v>
      </c>
      <c r="H123" s="61">
        <f t="shared" si="44"/>
        <v>23649.686605084102</v>
      </c>
      <c r="I123" s="61">
        <f t="shared" si="44"/>
        <v>6654.7987573131559</v>
      </c>
      <c r="J123" s="61">
        <f t="shared" si="44"/>
        <v>5122.9874862549414</v>
      </c>
      <c r="K123" s="61">
        <f t="shared" si="44"/>
        <v>2037.3082548326784</v>
      </c>
      <c r="L123" s="61"/>
      <c r="M123" s="61"/>
      <c r="N123">
        <v>2024</v>
      </c>
      <c r="O123" s="61">
        <f t="shared" si="45"/>
        <v>-16223.304438975314</v>
      </c>
      <c r="P123" s="61">
        <f t="shared" si="36"/>
        <v>-21564.328561727856</v>
      </c>
      <c r="Q123" s="61">
        <f t="shared" si="52"/>
        <v>23782.680625819223</v>
      </c>
      <c r="R123" s="61">
        <f t="shared" si="52"/>
        <v>6814.8444996493736</v>
      </c>
      <c r="S123" s="61">
        <f t="shared" si="52"/>
        <v>5096.8586217864249</v>
      </c>
      <c r="T123" s="61">
        <f t="shared" si="52"/>
        <v>2093.2492534481512</v>
      </c>
      <c r="U123" s="407"/>
      <c r="W123">
        <v>2024</v>
      </c>
      <c r="X123" s="61">
        <f t="shared" si="37"/>
        <v>-16347.428151744278</v>
      </c>
      <c r="Y123" s="61">
        <f t="shared" si="38"/>
        <v>-21729.316190143498</v>
      </c>
      <c r="Z123" s="61">
        <f t="shared" si="50"/>
        <v>23892.849574501</v>
      </c>
      <c r="AA123" s="61">
        <f t="shared" si="50"/>
        <v>6971.2624701829682</v>
      </c>
      <c r="AB123" s="61">
        <f t="shared" si="50"/>
        <v>5064.3247612387095</v>
      </c>
      <c r="AC123" s="61">
        <f t="shared" si="50"/>
        <v>2148.3075359650984</v>
      </c>
      <c r="AD123" s="407"/>
      <c r="AG123">
        <v>2024</v>
      </c>
      <c r="AH123" s="61">
        <f t="shared" si="40"/>
        <v>-16102.896194782212</v>
      </c>
      <c r="AI123" s="61">
        <f t="shared" si="41"/>
        <v>-21404.279605666656</v>
      </c>
      <c r="AJ123" s="61">
        <f t="shared" si="51"/>
        <v>23667.687557929527</v>
      </c>
      <c r="AK123" s="61">
        <f t="shared" si="51"/>
        <v>6675.0274641923816</v>
      </c>
      <c r="AL123" s="61">
        <f t="shared" si="51"/>
        <v>5120.1047946807248</v>
      </c>
      <c r="AM123" s="61">
        <f t="shared" si="51"/>
        <v>2044.3559836462302</v>
      </c>
      <c r="AN123" s="407"/>
    </row>
    <row r="124" spans="2:40">
      <c r="E124">
        <v>2025</v>
      </c>
      <c r="F124" s="61">
        <f t="shared" si="53"/>
        <v>-16163.804244928786</v>
      </c>
      <c r="G124" s="61">
        <f t="shared" si="54"/>
        <v>-21458.349596011067</v>
      </c>
      <c r="H124" s="61">
        <f t="shared" si="44"/>
        <v>24510.717318812953</v>
      </c>
      <c r="I124" s="61">
        <f t="shared" si="44"/>
        <v>6124.8544388538276</v>
      </c>
      <c r="J124" s="61">
        <f t="shared" si="44"/>
        <v>4933.3992124905053</v>
      </c>
      <c r="K124" s="61">
        <f t="shared" si="44"/>
        <v>2053.1828707825607</v>
      </c>
      <c r="L124" s="61"/>
      <c r="M124" s="61"/>
      <c r="N124">
        <v>2025</v>
      </c>
      <c r="O124" s="61">
        <f t="shared" si="45"/>
        <v>-16336.849532702036</v>
      </c>
      <c r="P124" s="61">
        <f t="shared" si="36"/>
        <v>-21688.076844913248</v>
      </c>
      <c r="Q124" s="61">
        <f t="shared" si="52"/>
        <v>24747.404161028717</v>
      </c>
      <c r="R124" s="61">
        <f t="shared" si="52"/>
        <v>6270.2291284559342</v>
      </c>
      <c r="S124" s="61">
        <f t="shared" si="52"/>
        <v>4885.4574188723727</v>
      </c>
      <c r="T124" s="61">
        <f t="shared" si="52"/>
        <v>2121.8356692582565</v>
      </c>
      <c r="U124" s="407"/>
      <c r="W124">
        <v>2025</v>
      </c>
      <c r="X124" s="61">
        <f t="shared" si="37"/>
        <v>-16491.81023036204</v>
      </c>
      <c r="Y124" s="61">
        <f t="shared" si="38"/>
        <v>-21893.795794093996</v>
      </c>
      <c r="Z124" s="61">
        <f t="shared" si="50"/>
        <v>24955.79185978683</v>
      </c>
      <c r="AA124" s="61">
        <f t="shared" si="50"/>
        <v>6412.5893481264438</v>
      </c>
      <c r="AB124" s="61">
        <f t="shared" si="50"/>
        <v>4826.5655891531687</v>
      </c>
      <c r="AC124" s="61">
        <f t="shared" si="50"/>
        <v>2190.6592273895894</v>
      </c>
      <c r="AD124" s="407"/>
      <c r="AG124">
        <v>2025</v>
      </c>
      <c r="AH124" s="61">
        <f t="shared" si="40"/>
        <v>-16186.527365342208</v>
      </c>
      <c r="AI124" s="61">
        <f t="shared" si="41"/>
        <v>-21488.51580282444</v>
      </c>
      <c r="AJ124" s="61">
        <f t="shared" si="51"/>
        <v>24542.009327422584</v>
      </c>
      <c r="AK124" s="61">
        <f t="shared" si="51"/>
        <v>6143.2268775997327</v>
      </c>
      <c r="AL124" s="61">
        <f t="shared" si="51"/>
        <v>4928.0403605370002</v>
      </c>
      <c r="AM124" s="61">
        <f t="shared" si="51"/>
        <v>2061.7666026073348</v>
      </c>
      <c r="AN124" s="407"/>
    </row>
    <row r="125" spans="2:40">
      <c r="E125">
        <v>2026</v>
      </c>
      <c r="F125" s="61">
        <f t="shared" si="53"/>
        <v>-16242.690637385016</v>
      </c>
      <c r="G125" s="61">
        <f t="shared" si="54"/>
        <v>-21536.088092693291</v>
      </c>
      <c r="H125" s="61">
        <f t="shared" si="44"/>
        <v>25308.380458397765</v>
      </c>
      <c r="I125" s="61">
        <f t="shared" si="44"/>
        <v>5642.097791633284</v>
      </c>
      <c r="J125" s="61">
        <f t="shared" si="44"/>
        <v>4760.1831280269753</v>
      </c>
      <c r="K125" s="61">
        <f t="shared" si="44"/>
        <v>2068.1173520202842</v>
      </c>
      <c r="L125" s="61"/>
      <c r="M125" s="61"/>
      <c r="N125">
        <v>2026</v>
      </c>
      <c r="O125" s="61">
        <f t="shared" si="45"/>
        <v>-16450.085414781253</v>
      </c>
      <c r="P125" s="61">
        <f t="shared" si="36"/>
        <v>-21811.071609629202</v>
      </c>
      <c r="Q125" s="61">
        <f t="shared" si="52"/>
        <v>25664.409208660283</v>
      </c>
      <c r="R125" s="61">
        <f t="shared" si="52"/>
        <v>5760.3699724102762</v>
      </c>
      <c r="S125" s="61">
        <f t="shared" si="52"/>
        <v>4687.4591249613195</v>
      </c>
      <c r="T125" s="61">
        <f t="shared" si="52"/>
        <v>2148.918718378568</v>
      </c>
      <c r="U125" s="407"/>
      <c r="W125">
        <v>2026</v>
      </c>
      <c r="X125" s="61">
        <f t="shared" si="37"/>
        <v>-16635.805810926773</v>
      </c>
      <c r="Y125" s="61">
        <f t="shared" si="38"/>
        <v>-22057.317191798556</v>
      </c>
      <c r="Z125" s="61">
        <f t="shared" si="50"/>
        <v>25990.13459056888</v>
      </c>
      <c r="AA125" s="61">
        <f t="shared" si="50"/>
        <v>5874.0963926201157</v>
      </c>
      <c r="AB125" s="61">
        <f t="shared" si="50"/>
        <v>4597.6227679782332</v>
      </c>
      <c r="AC125" s="61">
        <f t="shared" si="50"/>
        <v>2231.2692515580998</v>
      </c>
      <c r="AD125" s="407"/>
      <c r="AG125">
        <v>2026</v>
      </c>
      <c r="AH125" s="61">
        <f t="shared" si="40"/>
        <v>-16269.924297200499</v>
      </c>
      <c r="AI125" s="61">
        <f t="shared" si="41"/>
        <v>-21572.197042248896</v>
      </c>
      <c r="AJ125" s="61">
        <f t="shared" si="51"/>
        <v>25354.739988927467</v>
      </c>
      <c r="AK125" s="61">
        <f t="shared" si="51"/>
        <v>5657.1746487307755</v>
      </c>
      <c r="AL125" s="61">
        <f t="shared" si="51"/>
        <v>4752.0539324695328</v>
      </c>
      <c r="AM125" s="61">
        <f t="shared" si="51"/>
        <v>2078.1527693216235</v>
      </c>
      <c r="AN125" s="407"/>
    </row>
    <row r="126" spans="2:40">
      <c r="E126">
        <v>2027</v>
      </c>
      <c r="F126" s="61">
        <f t="shared" si="53"/>
        <v>-16321.354557915973</v>
      </c>
      <c r="G126" s="61">
        <f t="shared" si="54"/>
        <v>-21613.303782207127</v>
      </c>
      <c r="H126" s="61">
        <f t="shared" si="44"/>
        <v>26049.513615371994</v>
      </c>
      <c r="I126" s="61">
        <f t="shared" si="44"/>
        <v>5201.3801241240953</v>
      </c>
      <c r="J126" s="61">
        <f t="shared" si="44"/>
        <v>4601.5509723872619</v>
      </c>
      <c r="K126" s="61">
        <f t="shared" si="44"/>
        <v>2082.2136282397541</v>
      </c>
      <c r="L126" s="61"/>
      <c r="M126" s="61"/>
      <c r="N126">
        <v>2027</v>
      </c>
      <c r="O126" s="61">
        <f t="shared" si="45"/>
        <v>-16563.012680827876</v>
      </c>
      <c r="P126" s="61">
        <f t="shared" si="36"/>
        <v>-21933.31585004129</v>
      </c>
      <c r="Q126" s="61">
        <f t="shared" si="52"/>
        <v>26536.293236152542</v>
      </c>
      <c r="R126" s="61">
        <f t="shared" si="52"/>
        <v>5283.3197000779855</v>
      </c>
      <c r="S126" s="61">
        <f t="shared" si="52"/>
        <v>4502.1182083870908</v>
      </c>
      <c r="T126" s="61">
        <f t="shared" si="52"/>
        <v>2174.5973862515525</v>
      </c>
      <c r="U126" s="407"/>
      <c r="W126">
        <v>2027</v>
      </c>
      <c r="X126" s="61">
        <f t="shared" si="37"/>
        <v>-16779.415634086607</v>
      </c>
      <c r="Y126" s="61">
        <f t="shared" si="38"/>
        <v>-22219.884146290882</v>
      </c>
      <c r="Z126" s="61">
        <f t="shared" si="50"/>
        <v>26994.63893025335</v>
      </c>
      <c r="AA126" s="61">
        <f t="shared" si="50"/>
        <v>5356.6409315947249</v>
      </c>
      <c r="AB126" s="61">
        <f t="shared" si="50"/>
        <v>4377.8698157242234</v>
      </c>
      <c r="AC126" s="61">
        <f t="shared" si="50"/>
        <v>2270.1501028051957</v>
      </c>
      <c r="AD126" s="407"/>
      <c r="AG126">
        <v>2027</v>
      </c>
      <c r="AH126" s="61">
        <f t="shared" si="40"/>
        <v>-16353.087445280138</v>
      </c>
      <c r="AI126" s="61">
        <f t="shared" si="41"/>
        <v>-21655.325572252466</v>
      </c>
      <c r="AJ126" s="61">
        <f t="shared" si="51"/>
        <v>26112.176807261094</v>
      </c>
      <c r="AK126" s="61">
        <f t="shared" si="51"/>
        <v>5212.1353893262276</v>
      </c>
      <c r="AL126" s="61">
        <f t="shared" si="51"/>
        <v>4590.4800788685252</v>
      </c>
      <c r="AM126" s="61">
        <f t="shared" si="51"/>
        <v>2093.6207420767555</v>
      </c>
      <c r="AN126" s="407"/>
    </row>
    <row r="127" spans="2:40">
      <c r="E127">
        <v>2028</v>
      </c>
      <c r="F127" s="61">
        <f t="shared" si="53"/>
        <v>-16399.796439441481</v>
      </c>
      <c r="G127" s="61">
        <f t="shared" si="54"/>
        <v>-21689.998792722818</v>
      </c>
      <c r="H127" s="61">
        <f t="shared" si="44"/>
        <v>26740.059394052991</v>
      </c>
      <c r="I127" s="61">
        <f t="shared" si="44"/>
        <v>4798.2270080764156</v>
      </c>
      <c r="J127" s="61">
        <f t="shared" si="44"/>
        <v>4455.9485186090305</v>
      </c>
      <c r="K127" s="61">
        <f t="shared" si="44"/>
        <v>2095.5603114258602</v>
      </c>
      <c r="L127" s="61"/>
      <c r="M127" s="61"/>
      <c r="N127">
        <v>2028</v>
      </c>
      <c r="O127" s="61">
        <f t="shared" si="45"/>
        <v>-16675.631925450925</v>
      </c>
      <c r="P127" s="61">
        <f t="shared" si="36"/>
        <v>-22054.812550053764</v>
      </c>
      <c r="Q127" s="61">
        <f t="shared" si="52"/>
        <v>27365.584808039086</v>
      </c>
      <c r="R127" s="61">
        <f t="shared" si="52"/>
        <v>4837.1851385005666</v>
      </c>
      <c r="S127" s="61">
        <f t="shared" si="52"/>
        <v>4328.7084858609223</v>
      </c>
      <c r="T127" s="61">
        <f t="shared" si="52"/>
        <v>2198.9660431041125</v>
      </c>
      <c r="U127" s="407"/>
      <c r="W127">
        <v>2028</v>
      </c>
      <c r="X127" s="61">
        <f t="shared" si="37"/>
        <v>-16922.640439241961</v>
      </c>
      <c r="Y127" s="61">
        <f t="shared" si="38"/>
        <v>-22381.500407778294</v>
      </c>
      <c r="Z127" s="61">
        <f>-SUM($X127:$Y127)*(MAX(Z108,0)/SUM(MAX($Z108,0)+MAX($AA108,0)+MAX($AB108,0)+MAX($AC108,0)))</f>
        <v>27968.416859747278</v>
      </c>
      <c r="AA127" s="61">
        <f t="shared" si="50"/>
        <v>4860.8285570673834</v>
      </c>
      <c r="AB127" s="61">
        <f t="shared" si="50"/>
        <v>4167.5689778811866</v>
      </c>
      <c r="AC127" s="61">
        <f t="shared" si="50"/>
        <v>2307.326452324417</v>
      </c>
      <c r="AD127" s="407"/>
      <c r="AG127">
        <v>2028</v>
      </c>
      <c r="AH127" s="61">
        <f t="shared" si="40"/>
        <v>-16436.017263732865</v>
      </c>
      <c r="AI127" s="61">
        <f t="shared" si="41"/>
        <v>-21737.903633374506</v>
      </c>
      <c r="AJ127" s="61">
        <f t="shared" si="51"/>
        <v>26819.844752147983</v>
      </c>
      <c r="AK127" s="61">
        <f t="shared" si="51"/>
        <v>4803.9548985198826</v>
      </c>
      <c r="AL127" s="61">
        <f t="shared" si="51"/>
        <v>4441.8575326121572</v>
      </c>
      <c r="AM127" s="61">
        <f t="shared" si="51"/>
        <v>2108.2637138273417</v>
      </c>
      <c r="AN127" s="407"/>
    </row>
    <row r="128" spans="2:40">
      <c r="E128">
        <v>2029</v>
      </c>
      <c r="F128" s="61">
        <f t="shared" si="53"/>
        <v>-16478.016714146674</v>
      </c>
      <c r="G128" s="61">
        <f t="shared" si="54"/>
        <v>-21766.175245037288</v>
      </c>
      <c r="H128" s="61">
        <f t="shared" si="44"/>
        <v>27385.201787944286</v>
      </c>
      <c r="I128" s="61">
        <f t="shared" si="44"/>
        <v>4428.7355493765881</v>
      </c>
      <c r="J128" s="61">
        <f t="shared" si="44"/>
        <v>4322.0199176972537</v>
      </c>
      <c r="K128" s="61">
        <f t="shared" si="44"/>
        <v>2108.234704165834</v>
      </c>
      <c r="L128" s="61"/>
      <c r="M128" s="61"/>
      <c r="N128">
        <v>2029</v>
      </c>
      <c r="O128" s="61">
        <f t="shared" si="45"/>
        <v>-16787.943742255102</v>
      </c>
      <c r="P128" s="61">
        <f t="shared" si="36"/>
        <v>-22175.564683342112</v>
      </c>
      <c r="Q128" s="61">
        <f t="shared" si="52"/>
        <v>28154.729610336901</v>
      </c>
      <c r="R128" s="61">
        <f t="shared" si="52"/>
        <v>4420.1373466042569</v>
      </c>
      <c r="S128" s="61">
        <f t="shared" si="52"/>
        <v>4166.5272232685729</v>
      </c>
      <c r="T128" s="61">
        <f t="shared" si="52"/>
        <v>2222.1142453874922</v>
      </c>
      <c r="U128" s="407"/>
      <c r="W128">
        <v>2029</v>
      </c>
      <c r="X128" s="61">
        <f t="shared" si="37"/>
        <v>-17065.4809645475</v>
      </c>
      <c r="Y128" s="61">
        <f t="shared" si="38"/>
        <v>-22542.16971368236</v>
      </c>
      <c r="Z128" s="61">
        <f t="shared" si="50"/>
        <v>28910.902456029762</v>
      </c>
      <c r="AA128" s="61">
        <f t="shared" si="50"/>
        <v>4387.0341504091402</v>
      </c>
      <c r="AB128" s="61">
        <f t="shared" si="50"/>
        <v>3966.8806091106949</v>
      </c>
      <c r="AC128" s="61">
        <f t="shared" si="50"/>
        <v>2342.8334626802643</v>
      </c>
      <c r="AD128" s="407"/>
      <c r="AG128">
        <v>2029</v>
      </c>
      <c r="AH128" s="61">
        <f t="shared" si="40"/>
        <v>-16518.714205940327</v>
      </c>
      <c r="AI128" s="61">
        <f t="shared" si="41"/>
        <v>-21819.933458406111</v>
      </c>
      <c r="AJ128" s="61">
        <f t="shared" si="51"/>
        <v>27482.605817559583</v>
      </c>
      <c r="AK128" s="61">
        <f t="shared" si="51"/>
        <v>4428.9778990263549</v>
      </c>
      <c r="AL128" s="61">
        <f t="shared" si="51"/>
        <v>4304.9003024784188</v>
      </c>
      <c r="AM128" s="61">
        <f t="shared" si="51"/>
        <v>2122.1636452820781</v>
      </c>
      <c r="AN128" s="407"/>
    </row>
    <row r="129" spans="5:42">
      <c r="E129">
        <v>2030</v>
      </c>
      <c r="F129" s="61">
        <f t="shared" si="53"/>
        <v>-16556.015813483176</v>
      </c>
      <c r="G129" s="61">
        <f t="shared" si="54"/>
        <v>-21841.835252597739</v>
      </c>
      <c r="H129" s="61">
        <f t="shared" si="44"/>
        <v>27989.47897160448</v>
      </c>
      <c r="I129" s="61">
        <f t="shared" si="44"/>
        <v>4089.4894199407972</v>
      </c>
      <c r="J129" s="61">
        <f t="shared" si="44"/>
        <v>4198.5782095226859</v>
      </c>
      <c r="K129" s="61">
        <f t="shared" si="44"/>
        <v>2120.3044650129473</v>
      </c>
      <c r="L129" s="61"/>
      <c r="M129" s="61"/>
      <c r="N129">
        <v>2030</v>
      </c>
      <c r="O129" s="61">
        <f t="shared" si="45"/>
        <v>-16899.948723842394</v>
      </c>
      <c r="P129" s="61">
        <f t="shared" si="36"/>
        <v>-22295.575213385589</v>
      </c>
      <c r="Q129" s="61">
        <f t="shared" si="52"/>
        <v>28906.080230684795</v>
      </c>
      <c r="R129" s="61">
        <f t="shared" si="52"/>
        <v>4030.4189180902499</v>
      </c>
      <c r="S129" s="61">
        <f t="shared" si="52"/>
        <v>4014.8981467333124</v>
      </c>
      <c r="T129" s="61">
        <f t="shared" si="52"/>
        <v>2244.1266417196284</v>
      </c>
      <c r="U129" s="407"/>
      <c r="W129">
        <v>2030</v>
      </c>
      <c r="X129" s="61">
        <f t="shared" si="37"/>
        <v>-17207.937946914091</v>
      </c>
      <c r="Y129" s="61">
        <f t="shared" si="38"/>
        <v>-22701.895788679365</v>
      </c>
      <c r="Z129" s="61">
        <f t="shared" si="50"/>
        <v>29821.82104455266</v>
      </c>
      <c r="AA129" s="61">
        <f t="shared" si="50"/>
        <v>3935.4243715354542</v>
      </c>
      <c r="AB129" s="61">
        <f t="shared" si="50"/>
        <v>3775.8731883787659</v>
      </c>
      <c r="AC129" s="61">
        <f t="shared" si="50"/>
        <v>2376.715131126572</v>
      </c>
      <c r="AD129" s="407"/>
      <c r="AG129">
        <v>2030</v>
      </c>
      <c r="AH129" s="61">
        <f t="shared" si="40"/>
        <v>-16601.178724515295</v>
      </c>
      <c r="AI129" s="61">
        <f t="shared" si="41"/>
        <v>-21901.417272414848</v>
      </c>
      <c r="AJ129" s="61">
        <f t="shared" si="51"/>
        <v>28104.750891166492</v>
      </c>
      <c r="AK129" s="61">
        <f t="shared" si="51"/>
        <v>4083.9789010767208</v>
      </c>
      <c r="AL129" s="61">
        <f t="shared" si="51"/>
        <v>4178.4733954831072</v>
      </c>
      <c r="AM129" s="61">
        <f t="shared" si="51"/>
        <v>2135.3928092038223</v>
      </c>
      <c r="AN129" s="407"/>
    </row>
    <row r="130" spans="5:42">
      <c r="E130">
        <v>2040</v>
      </c>
      <c r="F130" s="61">
        <f>-F16*$C$11</f>
        <v>0</v>
      </c>
      <c r="G130" s="61">
        <f>-G16*$C$10</f>
        <v>0</v>
      </c>
      <c r="H130" s="61">
        <f>-SUM($F130:$G130)*(MAX(H111,0)/SUM(MAX($H111,0)+MAX($I111,0)+MAX($J111,0)+MAX($K111,0)))</f>
        <v>0</v>
      </c>
      <c r="I130" s="61">
        <f>-SUM($F130:$G130)*(MAX(I111,0)/SUM(MAX($H111,0)+MAX($I111,0)+MAX($J111,0)+MAX($K111,0)))</f>
        <v>0</v>
      </c>
      <c r="J130" s="61">
        <f>-SUM($F130:$G130)*(MAX(J111,0)/SUM(MAX($H111,0)+MAX($I111,0)+MAX($J111,0)+MAX($K111,0)))</f>
        <v>0</v>
      </c>
      <c r="K130" s="61">
        <f>-SUM($F130:$G130)*(MAX(K111,0)/SUM(MAX($H111,0)+MAX($I111,0)+MAX($J111,0)+MAX($K111,0)))</f>
        <v>0</v>
      </c>
      <c r="L130" s="61"/>
      <c r="M130" s="61"/>
      <c r="N130">
        <v>2040</v>
      </c>
      <c r="O130" s="61">
        <f t="shared" ref="O130:O136" si="55">-O16*$C$11</f>
        <v>0</v>
      </c>
      <c r="P130" s="61">
        <f t="shared" ref="P130:P136" si="56">-P16*$C$10</f>
        <v>0</v>
      </c>
      <c r="Q130" s="61">
        <f>-SUM($O130:$P130)*(MAX(Q111,0)/SUM(MAX($Q111,0)+MAX($R111,0)+MAX($S111,0)+MAX($T111,0)))</f>
        <v>0</v>
      </c>
      <c r="R130" s="61">
        <f>-SUM($O130:$P130)*(MAX(R111,0)/SUM(MAX($Q111,0)+MAX($R111,0)+MAX($S111,0)+MAX($T111,0)))</f>
        <v>0</v>
      </c>
      <c r="S130" s="61">
        <f>-SUM($O130:$P130)*(MAX(S111,0)/SUM(MAX($Q111,0)+MAX($R111,0)+MAX($S111,0)+MAX($T111,0)))</f>
        <v>0</v>
      </c>
      <c r="T130" s="61">
        <f>-SUM($O130:$P130)*(MAX(T111,0)/SUM(MAX($Q111,0)+MAX($R111,0)+MAX($S111,0)+MAX($T111,0)))</f>
        <v>0</v>
      </c>
      <c r="U130" s="407"/>
      <c r="W130">
        <v>2040</v>
      </c>
      <c r="X130" s="61">
        <f t="shared" ref="X130:X136" si="57">-X16*$C$11</f>
        <v>0</v>
      </c>
      <c r="Y130" s="61">
        <f t="shared" ref="Y130:Y136" si="58">-Y16*$C$10</f>
        <v>0</v>
      </c>
      <c r="Z130" s="61">
        <f t="shared" si="50"/>
        <v>0</v>
      </c>
      <c r="AA130" s="61">
        <f t="shared" si="50"/>
        <v>0</v>
      </c>
      <c r="AB130" s="61">
        <f t="shared" si="50"/>
        <v>0</v>
      </c>
      <c r="AC130" s="61">
        <f t="shared" si="50"/>
        <v>0</v>
      </c>
      <c r="AD130" s="407"/>
      <c r="AG130">
        <v>2040</v>
      </c>
      <c r="AH130" s="61">
        <f t="shared" ref="AH130:AH136" si="59">-AH16*$C$11</f>
        <v>0</v>
      </c>
      <c r="AI130" s="61">
        <f t="shared" ref="AI130:AI136" si="60">-AI16*$C$10</f>
        <v>0</v>
      </c>
      <c r="AJ130" s="61">
        <f t="shared" si="51"/>
        <v>0</v>
      </c>
      <c r="AK130" s="61">
        <f t="shared" si="51"/>
        <v>0</v>
      </c>
      <c r="AL130" s="61">
        <f t="shared" si="51"/>
        <v>0</v>
      </c>
      <c r="AM130" s="61">
        <f t="shared" si="51"/>
        <v>0</v>
      </c>
      <c r="AN130" s="407"/>
    </row>
    <row r="131" spans="5:42">
      <c r="E131">
        <v>2050</v>
      </c>
      <c r="F131" s="61">
        <f t="shared" ref="F131:F136" si="61">-F17*$C$11</f>
        <v>0</v>
      </c>
      <c r="G131" s="61">
        <f t="shared" ref="G131:G136" si="62">-G17*$C$10</f>
        <v>0</v>
      </c>
      <c r="H131" s="61">
        <f t="shared" si="44"/>
        <v>0</v>
      </c>
      <c r="I131" s="61">
        <f t="shared" si="44"/>
        <v>0</v>
      </c>
      <c r="J131" s="61">
        <f>-SUM($F131:$G131)*(MAX(J112,0)/SUM(MAX($H112,0)+MAX($I112,0)+MAX($J112,0)+MAX($K112,0)))</f>
        <v>0</v>
      </c>
      <c r="K131" s="61">
        <f t="shared" si="44"/>
        <v>0</v>
      </c>
      <c r="L131" s="61"/>
      <c r="M131" s="61"/>
      <c r="N131">
        <v>2050</v>
      </c>
      <c r="O131" s="61">
        <f t="shared" si="55"/>
        <v>0</v>
      </c>
      <c r="P131" s="61">
        <f t="shared" si="56"/>
        <v>0</v>
      </c>
      <c r="Q131" s="61">
        <f t="shared" ref="Q131:T135" si="63">-SUM($O131:$P131)*(MAX(Q112,0)/SUM(MAX($Q112,0)+MAX($R112,0)+MAX($S112,0)+MAX($T112,0)))</f>
        <v>0</v>
      </c>
      <c r="R131" s="61">
        <f t="shared" si="63"/>
        <v>0</v>
      </c>
      <c r="S131" s="61">
        <f t="shared" si="63"/>
        <v>0</v>
      </c>
      <c r="T131" s="61">
        <f t="shared" si="63"/>
        <v>0</v>
      </c>
      <c r="U131" s="407"/>
      <c r="W131">
        <v>2050</v>
      </c>
      <c r="X131" s="61">
        <f t="shared" si="57"/>
        <v>0</v>
      </c>
      <c r="Y131" s="61">
        <f t="shared" si="58"/>
        <v>0</v>
      </c>
      <c r="Z131" s="61">
        <f t="shared" si="50"/>
        <v>0</v>
      </c>
      <c r="AA131" s="61">
        <f t="shared" si="50"/>
        <v>0</v>
      </c>
      <c r="AB131" s="61">
        <f t="shared" si="50"/>
        <v>0</v>
      </c>
      <c r="AC131" s="61">
        <f t="shared" si="50"/>
        <v>0</v>
      </c>
      <c r="AD131" s="407"/>
      <c r="AG131">
        <v>2050</v>
      </c>
      <c r="AH131" s="61">
        <f t="shared" si="59"/>
        <v>0</v>
      </c>
      <c r="AI131" s="61">
        <f t="shared" si="60"/>
        <v>0</v>
      </c>
      <c r="AJ131" s="61">
        <f t="shared" si="51"/>
        <v>0</v>
      </c>
      <c r="AK131" s="61">
        <f t="shared" si="51"/>
        <v>0</v>
      </c>
      <c r="AL131" s="61">
        <f t="shared" si="51"/>
        <v>0</v>
      </c>
      <c r="AM131" s="61">
        <f t="shared" si="51"/>
        <v>0</v>
      </c>
      <c r="AN131" s="407"/>
    </row>
    <row r="132" spans="5:42">
      <c r="E132">
        <v>2060</v>
      </c>
      <c r="F132" s="61">
        <f t="shared" si="61"/>
        <v>0</v>
      </c>
      <c r="G132" s="61">
        <f t="shared" si="62"/>
        <v>0</v>
      </c>
      <c r="H132" s="61">
        <f t="shared" si="44"/>
        <v>0</v>
      </c>
      <c r="I132" s="61">
        <f t="shared" si="44"/>
        <v>0</v>
      </c>
      <c r="J132" s="61">
        <f t="shared" si="44"/>
        <v>0</v>
      </c>
      <c r="K132" s="61">
        <f t="shared" si="44"/>
        <v>0</v>
      </c>
      <c r="L132" s="61"/>
      <c r="M132" s="61"/>
      <c r="N132">
        <v>2060</v>
      </c>
      <c r="O132" s="61">
        <f t="shared" si="55"/>
        <v>0</v>
      </c>
      <c r="P132" s="61">
        <f t="shared" si="56"/>
        <v>0</v>
      </c>
      <c r="Q132" s="61">
        <f t="shared" si="63"/>
        <v>0</v>
      </c>
      <c r="R132" s="61">
        <f t="shared" si="63"/>
        <v>0</v>
      </c>
      <c r="S132" s="61">
        <f t="shared" si="63"/>
        <v>0</v>
      </c>
      <c r="T132" s="61">
        <f t="shared" si="63"/>
        <v>0</v>
      </c>
      <c r="U132" s="407"/>
      <c r="W132">
        <v>2060</v>
      </c>
      <c r="X132" s="61">
        <f t="shared" si="57"/>
        <v>0</v>
      </c>
      <c r="Y132" s="61">
        <f t="shared" si="58"/>
        <v>0</v>
      </c>
      <c r="Z132" s="61">
        <f t="shared" si="50"/>
        <v>0</v>
      </c>
      <c r="AA132" s="61">
        <f t="shared" si="50"/>
        <v>0</v>
      </c>
      <c r="AB132" s="61">
        <f t="shared" si="50"/>
        <v>0</v>
      </c>
      <c r="AC132" s="61">
        <f t="shared" si="50"/>
        <v>0</v>
      </c>
      <c r="AD132" s="407"/>
      <c r="AG132">
        <v>2060</v>
      </c>
      <c r="AH132" s="61">
        <f t="shared" si="59"/>
        <v>0</v>
      </c>
      <c r="AI132" s="61">
        <f t="shared" si="60"/>
        <v>0</v>
      </c>
      <c r="AJ132" s="61">
        <f t="shared" si="51"/>
        <v>0</v>
      </c>
      <c r="AK132" s="61">
        <f t="shared" si="51"/>
        <v>0</v>
      </c>
      <c r="AL132" s="61">
        <f t="shared" si="51"/>
        <v>0</v>
      </c>
      <c r="AM132" s="61">
        <f t="shared" si="51"/>
        <v>0</v>
      </c>
      <c r="AN132" s="407"/>
    </row>
    <row r="133" spans="5:42">
      <c r="E133">
        <v>2070</v>
      </c>
      <c r="F133" s="61">
        <f t="shared" si="61"/>
        <v>0</v>
      </c>
      <c r="G133" s="61">
        <f t="shared" si="62"/>
        <v>0</v>
      </c>
      <c r="H133" s="61">
        <f t="shared" si="44"/>
        <v>0</v>
      </c>
      <c r="I133" s="61">
        <f t="shared" si="44"/>
        <v>0</v>
      </c>
      <c r="J133" s="61">
        <f t="shared" si="44"/>
        <v>0</v>
      </c>
      <c r="K133" s="61">
        <f t="shared" si="44"/>
        <v>0</v>
      </c>
      <c r="L133" s="61"/>
      <c r="M133" s="61"/>
      <c r="N133">
        <v>2070</v>
      </c>
      <c r="O133" s="61">
        <f t="shared" si="55"/>
        <v>0</v>
      </c>
      <c r="P133" s="61">
        <f t="shared" si="56"/>
        <v>0</v>
      </c>
      <c r="Q133" s="61">
        <f t="shared" si="63"/>
        <v>0</v>
      </c>
      <c r="R133" s="61">
        <f t="shared" si="63"/>
        <v>0</v>
      </c>
      <c r="S133" s="61">
        <f t="shared" si="63"/>
        <v>0</v>
      </c>
      <c r="T133" s="61">
        <f t="shared" si="63"/>
        <v>0</v>
      </c>
      <c r="U133" s="407"/>
      <c r="W133">
        <v>2070</v>
      </c>
      <c r="X133" s="61">
        <f t="shared" si="57"/>
        <v>0</v>
      </c>
      <c r="Y133" s="61">
        <f t="shared" si="58"/>
        <v>0</v>
      </c>
      <c r="Z133" s="61">
        <f t="shared" si="50"/>
        <v>0</v>
      </c>
      <c r="AA133" s="61">
        <f t="shared" si="50"/>
        <v>0</v>
      </c>
      <c r="AB133" s="61">
        <f t="shared" si="50"/>
        <v>0</v>
      </c>
      <c r="AC133" s="61">
        <f t="shared" si="50"/>
        <v>0</v>
      </c>
      <c r="AD133" s="407"/>
      <c r="AE133" s="61"/>
      <c r="AG133">
        <v>2070</v>
      </c>
      <c r="AH133" s="61">
        <f t="shared" si="59"/>
        <v>0</v>
      </c>
      <c r="AI133" s="61">
        <f t="shared" si="60"/>
        <v>0</v>
      </c>
      <c r="AJ133" s="61">
        <f t="shared" si="51"/>
        <v>0</v>
      </c>
      <c r="AK133" s="61">
        <f t="shared" si="51"/>
        <v>0</v>
      </c>
      <c r="AL133" s="61">
        <f t="shared" si="51"/>
        <v>0</v>
      </c>
      <c r="AM133" s="61">
        <f t="shared" si="51"/>
        <v>0</v>
      </c>
      <c r="AN133" s="407"/>
    </row>
    <row r="134" spans="5:42">
      <c r="E134">
        <v>2080</v>
      </c>
      <c r="F134" s="61">
        <f t="shared" si="61"/>
        <v>0</v>
      </c>
      <c r="G134" s="61">
        <f t="shared" si="62"/>
        <v>0</v>
      </c>
      <c r="H134" s="61">
        <f t="shared" si="44"/>
        <v>0</v>
      </c>
      <c r="I134" s="61">
        <f t="shared" si="44"/>
        <v>0</v>
      </c>
      <c r="J134" s="61">
        <f t="shared" si="44"/>
        <v>0</v>
      </c>
      <c r="K134" s="61">
        <f t="shared" si="44"/>
        <v>0</v>
      </c>
      <c r="L134" s="61"/>
      <c r="M134" s="61"/>
      <c r="N134">
        <v>2080</v>
      </c>
      <c r="O134" s="61">
        <f t="shared" si="55"/>
        <v>0</v>
      </c>
      <c r="P134" s="61">
        <f t="shared" si="56"/>
        <v>0</v>
      </c>
      <c r="Q134" s="61">
        <f t="shared" si="63"/>
        <v>0</v>
      </c>
      <c r="R134" s="61">
        <f t="shared" si="63"/>
        <v>0</v>
      </c>
      <c r="S134" s="61">
        <f t="shared" si="63"/>
        <v>0</v>
      </c>
      <c r="T134" s="61">
        <f t="shared" si="63"/>
        <v>0</v>
      </c>
      <c r="U134" s="407"/>
      <c r="W134">
        <v>2080</v>
      </c>
      <c r="X134" s="61">
        <f t="shared" si="57"/>
        <v>0</v>
      </c>
      <c r="Y134" s="61">
        <f t="shared" si="58"/>
        <v>0</v>
      </c>
      <c r="Z134" s="61">
        <f t="shared" si="50"/>
        <v>0</v>
      </c>
      <c r="AA134" s="61">
        <f t="shared" si="50"/>
        <v>0</v>
      </c>
      <c r="AB134" s="61">
        <f t="shared" si="50"/>
        <v>0</v>
      </c>
      <c r="AC134" s="61">
        <f t="shared" si="50"/>
        <v>0</v>
      </c>
      <c r="AD134" s="407"/>
      <c r="AE134" s="61"/>
      <c r="AG134">
        <v>2080</v>
      </c>
      <c r="AH134" s="61">
        <f t="shared" si="59"/>
        <v>0</v>
      </c>
      <c r="AI134" s="61">
        <f t="shared" si="60"/>
        <v>0</v>
      </c>
      <c r="AJ134" s="61">
        <f t="shared" si="51"/>
        <v>0</v>
      </c>
      <c r="AK134" s="61">
        <f t="shared" si="51"/>
        <v>0</v>
      </c>
      <c r="AL134" s="61">
        <f t="shared" si="51"/>
        <v>0</v>
      </c>
      <c r="AM134" s="61">
        <f t="shared" si="51"/>
        <v>0</v>
      </c>
      <c r="AN134" s="407"/>
    </row>
    <row r="135" spans="5:42">
      <c r="E135">
        <v>2090</v>
      </c>
      <c r="F135" s="61">
        <f t="shared" si="61"/>
        <v>0</v>
      </c>
      <c r="G135" s="61">
        <f t="shared" si="62"/>
        <v>0</v>
      </c>
      <c r="H135" s="61">
        <f t="shared" si="44"/>
        <v>0</v>
      </c>
      <c r="I135" s="61">
        <f t="shared" si="44"/>
        <v>0</v>
      </c>
      <c r="J135" s="61">
        <f t="shared" si="44"/>
        <v>0</v>
      </c>
      <c r="K135" s="61">
        <f t="shared" si="44"/>
        <v>0</v>
      </c>
      <c r="L135" s="61"/>
      <c r="M135" s="61"/>
      <c r="N135">
        <v>2090</v>
      </c>
      <c r="O135" s="61">
        <f t="shared" si="55"/>
        <v>0</v>
      </c>
      <c r="P135" s="61">
        <f t="shared" si="56"/>
        <v>0</v>
      </c>
      <c r="Q135" s="61">
        <f t="shared" si="63"/>
        <v>0</v>
      </c>
      <c r="R135" s="61">
        <f t="shared" si="63"/>
        <v>0</v>
      </c>
      <c r="S135" s="61">
        <f t="shared" si="63"/>
        <v>0</v>
      </c>
      <c r="T135" s="61">
        <f t="shared" si="63"/>
        <v>0</v>
      </c>
      <c r="U135" s="407"/>
      <c r="W135">
        <v>2090</v>
      </c>
      <c r="X135" s="61">
        <f t="shared" si="57"/>
        <v>0</v>
      </c>
      <c r="Y135" s="61">
        <f t="shared" si="58"/>
        <v>0</v>
      </c>
      <c r="Z135" s="61">
        <f t="shared" si="50"/>
        <v>0</v>
      </c>
      <c r="AA135" s="61">
        <f t="shared" si="50"/>
        <v>0</v>
      </c>
      <c r="AB135" s="61">
        <f t="shared" si="50"/>
        <v>0</v>
      </c>
      <c r="AC135" s="61">
        <f t="shared" si="50"/>
        <v>0</v>
      </c>
      <c r="AD135" s="407"/>
      <c r="AE135" s="61"/>
      <c r="AG135">
        <v>2090</v>
      </c>
      <c r="AH135" s="61">
        <f t="shared" si="59"/>
        <v>0</v>
      </c>
      <c r="AI135" s="61">
        <f t="shared" si="60"/>
        <v>0</v>
      </c>
      <c r="AJ135" s="61">
        <f t="shared" si="51"/>
        <v>0</v>
      </c>
      <c r="AK135" s="61">
        <f t="shared" si="51"/>
        <v>0</v>
      </c>
      <c r="AL135" s="61">
        <f t="shared" si="51"/>
        <v>0</v>
      </c>
      <c r="AM135" s="61">
        <f t="shared" si="51"/>
        <v>0</v>
      </c>
      <c r="AN135" s="407"/>
    </row>
    <row r="136" spans="5:42">
      <c r="E136">
        <v>2100</v>
      </c>
      <c r="F136" s="61">
        <f t="shared" si="61"/>
        <v>0</v>
      </c>
      <c r="G136" s="61">
        <f t="shared" si="62"/>
        <v>0</v>
      </c>
      <c r="H136" s="61">
        <f t="shared" ref="H136:K136" si="64">-SUM($F136:$G136)*(MAX(H117,0)/SUM(MAX($H117,0)+MAX($I117,0)+MAX($J117,0)+MAX($K117,0)))</f>
        <v>0</v>
      </c>
      <c r="I136" s="61">
        <f t="shared" si="64"/>
        <v>0</v>
      </c>
      <c r="J136" s="61">
        <f t="shared" si="64"/>
        <v>0</v>
      </c>
      <c r="K136" s="61">
        <f t="shared" si="64"/>
        <v>0</v>
      </c>
      <c r="L136" s="61"/>
      <c r="M136" s="61"/>
      <c r="N136">
        <v>2100</v>
      </c>
      <c r="O136" s="61">
        <f t="shared" si="55"/>
        <v>0</v>
      </c>
      <c r="P136" s="61">
        <f t="shared" si="56"/>
        <v>0</v>
      </c>
      <c r="Q136" s="61">
        <f>-SUM($O136:$P136)*(MAX(Q117,0)/SUM(MAX($Q117,0)+MAX($R117,0)+MAX($S117,0)+MAX($T117,0)))</f>
        <v>0</v>
      </c>
      <c r="R136" s="61">
        <f>-SUM($O136:$P136)*(MAX(R117,0)/SUM(MAX($Q117,0)+MAX($R117,0)+MAX($S117,0)+MAX($T117,0)))</f>
        <v>0</v>
      </c>
      <c r="S136" s="61">
        <f>-SUM($O136:$P136)*(MAX(S117,0)/SUM(MAX($Q117,0)+MAX($R117,0)+MAX($S117,0)+MAX($T117,0)))</f>
        <v>0</v>
      </c>
      <c r="T136" s="61">
        <f>-SUM($O136:$P136)*(MAX(T117,0)/SUM(MAX($Q117,0)+MAX($R117,0)+MAX($S117,0)+MAX($T117,0)))</f>
        <v>0</v>
      </c>
      <c r="U136" s="407"/>
      <c r="W136">
        <v>2100</v>
      </c>
      <c r="X136" s="61">
        <f t="shared" si="57"/>
        <v>0</v>
      </c>
      <c r="Y136" s="61">
        <f t="shared" si="58"/>
        <v>0</v>
      </c>
      <c r="Z136" s="61">
        <f t="shared" si="50"/>
        <v>0</v>
      </c>
      <c r="AA136" s="61">
        <f t="shared" si="50"/>
        <v>0</v>
      </c>
      <c r="AB136" s="61">
        <f t="shared" si="50"/>
        <v>0</v>
      </c>
      <c r="AC136" s="61">
        <f t="shared" si="50"/>
        <v>0</v>
      </c>
      <c r="AD136" s="407"/>
      <c r="AE136" s="61"/>
      <c r="AG136">
        <v>2100</v>
      </c>
      <c r="AH136" s="61">
        <f t="shared" si="59"/>
        <v>0</v>
      </c>
      <c r="AI136" s="61">
        <f t="shared" si="60"/>
        <v>0</v>
      </c>
      <c r="AJ136" s="61">
        <f t="shared" si="51"/>
        <v>0</v>
      </c>
      <c r="AK136" s="61">
        <f t="shared" si="51"/>
        <v>0</v>
      </c>
      <c r="AL136" s="61">
        <f t="shared" si="51"/>
        <v>0</v>
      </c>
      <c r="AM136" s="61">
        <f t="shared" si="51"/>
        <v>0</v>
      </c>
      <c r="AN136" s="407"/>
    </row>
    <row r="137" spans="5:42">
      <c r="F137" s="581" t="s">
        <v>285</v>
      </c>
      <c r="G137" s="581"/>
      <c r="H137" s="581"/>
      <c r="I137" s="581"/>
      <c r="J137" s="581"/>
      <c r="K137" s="581"/>
      <c r="L137" s="61"/>
      <c r="M137" s="61"/>
      <c r="O137" s="581" t="s">
        <v>285</v>
      </c>
      <c r="P137" s="581"/>
      <c r="Q137" s="581"/>
      <c r="R137" s="581"/>
      <c r="S137" s="581"/>
      <c r="T137" s="581"/>
      <c r="U137" s="407"/>
      <c r="X137" s="581" t="s">
        <v>285</v>
      </c>
      <c r="Y137" s="581"/>
      <c r="Z137" s="581"/>
      <c r="AA137" s="581"/>
      <c r="AB137" s="581"/>
      <c r="AC137" s="581"/>
      <c r="AD137" s="407"/>
      <c r="AE137" s="61"/>
      <c r="AH137" s="581" t="s">
        <v>285</v>
      </c>
      <c r="AI137" s="581"/>
      <c r="AJ137" s="581"/>
      <c r="AK137" s="581"/>
      <c r="AL137" s="581"/>
      <c r="AM137" s="581"/>
      <c r="AN137" s="407"/>
    </row>
    <row r="138" spans="5:42">
      <c r="E138">
        <v>2020</v>
      </c>
      <c r="F138" s="431">
        <f>F119*'Demographic-Economic'!C$12</f>
        <v>-12171.36744</v>
      </c>
      <c r="G138" s="431">
        <f>G119*'Demographic-Economic'!D$12</f>
        <v>-17418.058980000002</v>
      </c>
      <c r="H138" s="431">
        <f>H119*'Demographic-Economic'!E$12</f>
        <v>15223.833073215863</v>
      </c>
      <c r="I138" s="431">
        <f>I119*'Demographic-Economic'!F$12</f>
        <v>7326.4472378823612</v>
      </c>
      <c r="J138" s="431">
        <f>J119*'Demographic-Economic'!G$12</f>
        <v>4629.7196296958627</v>
      </c>
      <c r="K138" s="431">
        <f>K119*'Demographic-Economic'!H$12</f>
        <v>1622.3683909258621</v>
      </c>
      <c r="L138" s="61"/>
      <c r="M138" s="61"/>
      <c r="N138">
        <v>2020</v>
      </c>
      <c r="O138" s="61">
        <f>O119*'Demographic-Economic'!C$12</f>
        <v>-12171.36744</v>
      </c>
      <c r="P138" s="61">
        <f>P119*'Demographic-Economic'!D$12</f>
        <v>-17418.058980000002</v>
      </c>
      <c r="Q138" s="61">
        <f>Q119*'Demographic-Economic'!E$12</f>
        <v>15223.833073215863</v>
      </c>
      <c r="R138" s="61">
        <f>R119*'Demographic-Economic'!F$12</f>
        <v>7326.4472378823612</v>
      </c>
      <c r="S138" s="61">
        <f>S119*'Demographic-Economic'!G$12</f>
        <v>4629.7196296958627</v>
      </c>
      <c r="T138" s="61">
        <f>T119*'Demographic-Economic'!H$12</f>
        <v>1622.3683909258621</v>
      </c>
      <c r="U138" s="407"/>
      <c r="W138">
        <v>2020</v>
      </c>
      <c r="X138" s="61">
        <f>X119*'Demographic-Economic'!C$12</f>
        <v>-12171.36744</v>
      </c>
      <c r="Y138" s="61">
        <f>Y119*'Demographic-Economic'!D$12</f>
        <v>-17418.058980000002</v>
      </c>
      <c r="Z138" s="61">
        <f>Z119*'Demographic-Economic'!E$12</f>
        <v>15223.833073215863</v>
      </c>
      <c r="AA138" s="61">
        <f>AA119*'Demographic-Economic'!F$12</f>
        <v>7326.4472378823612</v>
      </c>
      <c r="AB138" s="61">
        <f>AB119*'Demographic-Economic'!G$12</f>
        <v>4629.7196296958627</v>
      </c>
      <c r="AC138" s="61">
        <f>AC119*'Demographic-Economic'!H$12</f>
        <v>1622.3683909258621</v>
      </c>
      <c r="AD138" s="407"/>
      <c r="AE138" s="61"/>
      <c r="AG138">
        <v>2020</v>
      </c>
      <c r="AH138" s="61">
        <f>-AH24*$C$4</f>
        <v>-12171.36744</v>
      </c>
      <c r="AI138" s="61">
        <f>-AI24*$C$3</f>
        <v>-17418.058979999998</v>
      </c>
      <c r="AJ138" s="61">
        <f t="shared" ref="AJ138:AM155" si="65">-SUM($AH138:$AI138) * (AJ100/SUM($AJ100:$AM100))</f>
        <v>15581.727284062577</v>
      </c>
      <c r="AK138" s="61">
        <f t="shared" si="65"/>
        <v>7537.0888478518737</v>
      </c>
      <c r="AL138" s="61">
        <f t="shared" si="65"/>
        <v>4894.4324781701907</v>
      </c>
      <c r="AM138" s="61">
        <f t="shared" si="65"/>
        <v>1576.1778099153532</v>
      </c>
      <c r="AN138" s="407"/>
    </row>
    <row r="139" spans="5:42">
      <c r="E139">
        <v>2021</v>
      </c>
      <c r="F139" s="431">
        <f>F120*'Demographic-Economic'!C$12</f>
        <v>-12233.131509733459</v>
      </c>
      <c r="G139" s="431">
        <f>G120*'Demographic-Economic'!D$12</f>
        <v>-17484.537139141346</v>
      </c>
      <c r="H139" s="431">
        <f>H120*'Demographic-Economic'!E$12</f>
        <v>16171.659353349211</v>
      </c>
      <c r="I139" s="431">
        <f>I120*'Demographic-Economic'!F$12</f>
        <v>6710.4940734209631</v>
      </c>
      <c r="J139" s="431">
        <f>J120*'Demographic-Economic'!G$12</f>
        <v>4417.3925188641879</v>
      </c>
      <c r="K139" s="431">
        <f>K120*'Demographic-Economic'!H$12</f>
        <v>1639.7504230284408</v>
      </c>
      <c r="L139" s="61"/>
      <c r="M139" s="61"/>
      <c r="N139">
        <v>2021</v>
      </c>
      <c r="O139" s="61">
        <f>O120*'Demographic-Economic'!C$12</f>
        <v>-12259.983711645533</v>
      </c>
      <c r="P139" s="61">
        <f>P120*'Demographic-Economic'!D$12</f>
        <v>-17522.916381711068</v>
      </c>
      <c r="Q139" s="61">
        <f>Q120*'Demographic-Economic'!E$12</f>
        <v>16151.856284066913</v>
      </c>
      <c r="R139" s="61">
        <f>R120*'Demographic-Economic'!F$12</f>
        <v>6776.8985659228692</v>
      </c>
      <c r="S139" s="61">
        <f>S120*'Demographic-Economic'!G$12</f>
        <v>4422.5173692682347</v>
      </c>
      <c r="T139" s="61">
        <f>T120*'Demographic-Economic'!H$12</f>
        <v>1651.8652225249391</v>
      </c>
      <c r="U139" s="407"/>
      <c r="W139">
        <v>2021</v>
      </c>
      <c r="X139" s="61">
        <f>X120*'Demographic-Economic'!C$12</f>
        <v>-12284.02964780217</v>
      </c>
      <c r="Y139" s="61">
        <f>Y120*'Demographic-Economic'!D$12</f>
        <v>-17557.284692346955</v>
      </c>
      <c r="Z139" s="61">
        <f>Z120*'Demographic-Economic'!E$12</f>
        <v>16132.200867107542</v>
      </c>
      <c r="AA139" s="61">
        <f>AA120*'Demographic-Economic'!F$12</f>
        <v>6838.159180116636</v>
      </c>
      <c r="AB139" s="61">
        <f>AB120*'Demographic-Economic'!G$12</f>
        <v>4426.9477538681685</v>
      </c>
      <c r="AC139" s="61">
        <f>AC120*'Demographic-Economic'!H$12</f>
        <v>1663.0098791401565</v>
      </c>
      <c r="AD139" s="407"/>
      <c r="AE139" s="61"/>
      <c r="AG139">
        <v>2021</v>
      </c>
      <c r="AH139" s="61">
        <f t="shared" ref="AH139:AH148" si="66">-AH25*$C$4</f>
        <v>-12236.657556731128</v>
      </c>
      <c r="AI139" s="61">
        <f t="shared" ref="AI139:AI148" si="67">-AI25*$C$3</f>
        <v>-17489.576838063575</v>
      </c>
      <c r="AJ139" s="61">
        <f t="shared" si="65"/>
        <v>16548.954984157917</v>
      </c>
      <c r="AK139" s="61">
        <f t="shared" si="65"/>
        <v>6912.1316052634857</v>
      </c>
      <c r="AL139" s="61">
        <f t="shared" si="65"/>
        <v>4670.5895005376942</v>
      </c>
      <c r="AM139" s="61">
        <f t="shared" si="65"/>
        <v>1594.5583048356002</v>
      </c>
      <c r="AN139" s="407"/>
    </row>
    <row r="140" spans="5:42">
      <c r="E140">
        <v>2022</v>
      </c>
      <c r="F140" s="431">
        <f>F121*'Demographic-Economic'!C$12</f>
        <v>-12294.722151530957</v>
      </c>
      <c r="G140" s="431">
        <f>G121*'Demographic-Economic'!D$12</f>
        <v>-17550.574044618359</v>
      </c>
      <c r="H140" s="431">
        <f>H121*'Demographic-Economic'!E$12</f>
        <v>17038.162635781504</v>
      </c>
      <c r="I140" s="431">
        <f>I121*'Demographic-Economic'!F$12</f>
        <v>6155.055802715674</v>
      </c>
      <c r="J140" s="431">
        <f>J121*'Demographic-Economic'!G$12</f>
        <v>4225.5038359407026</v>
      </c>
      <c r="K140" s="431">
        <f>K121*'Demographic-Economic'!H$12</f>
        <v>1655.8600670348617</v>
      </c>
      <c r="L140" s="61"/>
      <c r="M140" s="61"/>
      <c r="N140">
        <v>2022</v>
      </c>
      <c r="O140" s="61">
        <f>O121*'Demographic-Economic'!C$12</f>
        <v>-12348.359424850327</v>
      </c>
      <c r="P140" s="61">
        <f>P121*'Demographic-Economic'!D$12</f>
        <v>-17627.140633544957</v>
      </c>
      <c r="Q140" s="61">
        <f>Q121*'Demographic-Economic'!E$12</f>
        <v>17034.075353792359</v>
      </c>
      <c r="R140" s="61">
        <f>R121*'Demographic-Economic'!F$12</f>
        <v>6260.7461471088654</v>
      </c>
      <c r="S140" s="61">
        <f>S121*'Demographic-Economic'!G$12</f>
        <v>4227.8153178133698</v>
      </c>
      <c r="T140" s="61">
        <f>T121*'Demographic-Economic'!H$12</f>
        <v>1679.7605610735623</v>
      </c>
      <c r="U140" s="407"/>
      <c r="W140">
        <v>2022</v>
      </c>
      <c r="X140" s="61">
        <f>X121*'Demographic-Economic'!C$12</f>
        <v>-12396.391182323207</v>
      </c>
      <c r="Y140" s="61">
        <f>Y121*'Demographic-Economic'!D$12</f>
        <v>-17695.705413263549</v>
      </c>
      <c r="Z140" s="61">
        <f>Z121*'Demographic-Economic'!E$12</f>
        <v>17025.098247909162</v>
      </c>
      <c r="AA140" s="61">
        <f>AA121*'Demographic-Economic'!F$12</f>
        <v>6360.7392960691777</v>
      </c>
      <c r="AB140" s="61">
        <f>AB121*'Demographic-Economic'!G$12</f>
        <v>4228.7867115681956</v>
      </c>
      <c r="AC140" s="61">
        <f>AC121*'Demographic-Economic'!H$12</f>
        <v>1702.2967995476192</v>
      </c>
      <c r="AD140" s="407"/>
      <c r="AE140" s="61"/>
      <c r="AG140">
        <v>2022</v>
      </c>
      <c r="AH140" s="61">
        <f t="shared" si="66"/>
        <v>-12301.765430408801</v>
      </c>
      <c r="AI140" s="61">
        <f t="shared" si="67"/>
        <v>-17560.628243968204</v>
      </c>
      <c r="AJ140" s="61">
        <f t="shared" si="65"/>
        <v>17437.772187083254</v>
      </c>
      <c r="AK140" s="61">
        <f t="shared" si="65"/>
        <v>6345.6821232213579</v>
      </c>
      <c r="AL140" s="61">
        <f t="shared" si="65"/>
        <v>4467.3116246073996</v>
      </c>
      <c r="AM140" s="61">
        <f t="shared" si="65"/>
        <v>1611.6277394649944</v>
      </c>
      <c r="AN140" s="407"/>
    </row>
    <row r="141" spans="5:42">
      <c r="E141">
        <v>2023</v>
      </c>
      <c r="F141" s="431">
        <f>F122*'Demographic-Economic'!C$12</f>
        <v>-12356.139702455976</v>
      </c>
      <c r="G141" s="431">
        <f>G122*'Demographic-Economic'!D$12</f>
        <v>-17616.171487210868</v>
      </c>
      <c r="H141" s="431">
        <f>H122*'Demographic-Economic'!E$12</f>
        <v>17833.151134992284</v>
      </c>
      <c r="I141" s="431">
        <f>I122*'Demographic-Economic'!F$12</f>
        <v>5652.7831520273912</v>
      </c>
      <c r="J141" s="431">
        <f>J122*'Demographic-Economic'!G$12</f>
        <v>4051.5703216761253</v>
      </c>
      <c r="K141" s="431">
        <f>K122*'Demographic-Economic'!H$12</f>
        <v>1670.8508052614977</v>
      </c>
      <c r="L141" s="61"/>
      <c r="M141" s="61"/>
      <c r="N141">
        <v>2023</v>
      </c>
      <c r="O141" s="61">
        <f>O122*'Demographic-Economic'!C$12</f>
        <v>-12436.495042547554</v>
      </c>
      <c r="P141" s="61">
        <f>P122*'Demographic-Economic'!D$12</f>
        <v>-17730.734245892294</v>
      </c>
      <c r="Q141" s="61">
        <f>Q122*'Demographic-Economic'!E$12</f>
        <v>17872.558627306516</v>
      </c>
      <c r="R141" s="61">
        <f>R122*'Demographic-Economic'!F$12</f>
        <v>5776.4355202193401</v>
      </c>
      <c r="S141" s="61">
        <f>S122*'Demographic-Economic'!G$12</f>
        <v>4045.0409005138463</v>
      </c>
      <c r="T141" s="61">
        <f>T122*'Demographic-Economic'!H$12</f>
        <v>1706.1474739257469</v>
      </c>
      <c r="U141" s="407"/>
      <c r="W141">
        <v>2023</v>
      </c>
      <c r="X141" s="61">
        <f>X122*'Demographic-Economic'!C$12</f>
        <v>-12508.452619211617</v>
      </c>
      <c r="Y141" s="61">
        <f>Y122*'Demographic-Economic'!D$12</f>
        <v>-17833.324297546234</v>
      </c>
      <c r="Z141" s="61">
        <f>Z122*'Demographic-Economic'!E$12</f>
        <v>17900.29435863511</v>
      </c>
      <c r="AA141" s="61">
        <f>AA122*'Demographic-Economic'!F$12</f>
        <v>5895.7596443458633</v>
      </c>
      <c r="AB141" s="61">
        <f>AB122*'Demographic-Economic'!G$12</f>
        <v>4035.9094248914948</v>
      </c>
      <c r="AC141" s="61">
        <f>AC122*'Demographic-Economic'!H$12</f>
        <v>1740.186242006424</v>
      </c>
      <c r="AD141" s="407"/>
      <c r="AE141" s="61"/>
      <c r="AG141">
        <v>2023</v>
      </c>
      <c r="AH141" s="61">
        <f t="shared" si="66"/>
        <v>-12366.691414624845</v>
      </c>
      <c r="AI141" s="61">
        <f t="shared" si="67"/>
        <v>-17631.215082988074</v>
      </c>
      <c r="AJ141" s="61">
        <f t="shared" si="65"/>
        <v>18257.009775526934</v>
      </c>
      <c r="AK141" s="61">
        <f t="shared" si="65"/>
        <v>5831.0978499571711</v>
      </c>
      <c r="AL141" s="61">
        <f t="shared" si="65"/>
        <v>4282.2639089392296</v>
      </c>
      <c r="AM141" s="61">
        <f t="shared" si="65"/>
        <v>1627.5349631895861</v>
      </c>
      <c r="AN141" s="407"/>
      <c r="AP141" s="61"/>
    </row>
    <row r="142" spans="5:42">
      <c r="E142">
        <v>2024</v>
      </c>
      <c r="F142" s="431">
        <f>F123*'Demographic-Economic'!C$12</f>
        <v>-12417.384499000322</v>
      </c>
      <c r="G142" s="431">
        <f>G123*'Demographic-Economic'!D$12</f>
        <v>-17681.331251502634</v>
      </c>
      <c r="H142" s="431">
        <f>H123*'Demographic-Economic'!E$12</f>
        <v>18565.003984991021</v>
      </c>
      <c r="I142" s="431">
        <f>I123*'Demographic-Economic'!F$12</f>
        <v>5197.3978294615745</v>
      </c>
      <c r="J142" s="431">
        <f>J123*'Demographic-Economic'!G$12</f>
        <v>3893.4704895537557</v>
      </c>
      <c r="K142" s="431">
        <f>K123*'Demographic-Economic'!H$12</f>
        <v>1684.8539267466249</v>
      </c>
      <c r="L142" s="61"/>
      <c r="M142" s="61"/>
      <c r="N142">
        <v>2024</v>
      </c>
      <c r="O142" s="61">
        <f>O123*'Demographic-Economic'!C$12</f>
        <v>-12524.391026888943</v>
      </c>
      <c r="P142" s="61">
        <f>P123*'Demographic-Economic'!D$12</f>
        <v>-17833.699720548935</v>
      </c>
      <c r="Q142" s="61">
        <f>Q123*'Demographic-Economic'!E$12</f>
        <v>18669.404291268089</v>
      </c>
      <c r="R142" s="61">
        <f>R123*'Demographic-Economic'!F$12</f>
        <v>5322.3935542261606</v>
      </c>
      <c r="S142" s="61">
        <f>S123*'Demographic-Economic'!G$12</f>
        <v>3873.6125525576831</v>
      </c>
      <c r="T142" s="61">
        <f>T123*'Demographic-Economic'!H$12</f>
        <v>1731.1171326016211</v>
      </c>
      <c r="U142" s="407"/>
      <c r="W142">
        <v>2024</v>
      </c>
      <c r="X142" s="61">
        <f>X123*'Demographic-Economic'!C$12</f>
        <v>-12620.214533146584</v>
      </c>
      <c r="Y142" s="61">
        <f>Y123*'Demographic-Economic'!D$12</f>
        <v>-17970.144489248672</v>
      </c>
      <c r="Z142" s="61">
        <f>Z123*'Demographic-Economic'!E$12</f>
        <v>18755.886915983287</v>
      </c>
      <c r="AA142" s="61">
        <f>AA123*'Demographic-Economic'!F$12</f>
        <v>5444.5559892128986</v>
      </c>
      <c r="AB142" s="61">
        <f>AB123*'Demographic-Economic'!G$12</f>
        <v>3848.8868185414194</v>
      </c>
      <c r="AC142" s="61">
        <f>AC123*'Demographic-Economic'!H$12</f>
        <v>1776.6503322431363</v>
      </c>
      <c r="AD142" s="407"/>
      <c r="AE142" s="61"/>
      <c r="AG142">
        <v>2024</v>
      </c>
      <c r="AH142" s="61">
        <f t="shared" si="66"/>
        <v>-12431.435862371869</v>
      </c>
      <c r="AI142" s="61">
        <f t="shared" si="67"/>
        <v>-17701.339233886323</v>
      </c>
      <c r="AJ142" s="61">
        <f t="shared" si="65"/>
        <v>19014.311022134167</v>
      </c>
      <c r="AK142" s="61">
        <f t="shared" si="65"/>
        <v>5362.6298714137938</v>
      </c>
      <c r="AL142" s="61">
        <f t="shared" si="65"/>
        <v>4113.4253100853603</v>
      </c>
      <c r="AM142" s="61">
        <f t="shared" si="65"/>
        <v>1642.4088926248701</v>
      </c>
      <c r="AN142" s="407"/>
    </row>
    <row r="143" spans="5:42">
      <c r="E143">
        <v>2025</v>
      </c>
      <c r="F143" s="431">
        <f>F124*'Demographic-Economic'!C$12</f>
        <v>-12478.456877085024</v>
      </c>
      <c r="G143" s="431">
        <f>G124*'Demographic-Economic'!D$12</f>
        <v>-17746.055115901152</v>
      </c>
      <c r="H143" s="431">
        <f>H124*'Demographic-Economic'!E$12</f>
        <v>19240.91309526817</v>
      </c>
      <c r="I143" s="431">
        <f>I124*'Demographic-Economic'!F$12</f>
        <v>4783.5113167448399</v>
      </c>
      <c r="J143" s="431">
        <f>J124*'Demographic-Economic'!G$12</f>
        <v>3749.3834014927843</v>
      </c>
      <c r="K143" s="431">
        <f>K124*'Demographic-Economic'!H$12</f>
        <v>1697.9822341371776</v>
      </c>
      <c r="L143" s="61"/>
      <c r="M143" s="61"/>
      <c r="N143">
        <v>2025</v>
      </c>
      <c r="O143" s="61">
        <f>O124*'Demographic-Economic'!C$12</f>
        <v>-12612.047839245972</v>
      </c>
      <c r="P143" s="61">
        <f>P124*'Demographic-Economic'!D$12</f>
        <v>-17936.039550743255</v>
      </c>
      <c r="Q143" s="61">
        <f>Q124*'Demographic-Economic'!E$12</f>
        <v>19426.712266407543</v>
      </c>
      <c r="R143" s="61">
        <f>R124*'Demographic-Economic'!F$12</f>
        <v>4897.0489493240848</v>
      </c>
      <c r="S143" s="61">
        <f>S124*'Demographic-Economic'!G$12</f>
        <v>3712.9476383430033</v>
      </c>
      <c r="T143" s="61">
        <f>T124*'Demographic-Economic'!H$12</f>
        <v>1754.758098476578</v>
      </c>
      <c r="U143" s="407"/>
      <c r="W143">
        <v>2025</v>
      </c>
      <c r="X143" s="61">
        <f>X124*'Demographic-Economic'!C$12</f>
        <v>-12731.677497839495</v>
      </c>
      <c r="Y143" s="61">
        <f>Y124*'Demographic-Economic'!D$12</f>
        <v>-18106.169121715735</v>
      </c>
      <c r="Z143" s="61">
        <f>Z124*'Demographic-Economic'!E$12</f>
        <v>19590.296609932662</v>
      </c>
      <c r="AA143" s="61">
        <f>AA124*'Demographic-Economic'!F$12</f>
        <v>5008.232280886753</v>
      </c>
      <c r="AB143" s="61">
        <f>AB124*'Demographic-Economic'!G$12</f>
        <v>3668.1898477564082</v>
      </c>
      <c r="AC143" s="61">
        <f>AC124*'Demographic-Economic'!H$12</f>
        <v>1811.6751810511903</v>
      </c>
      <c r="AD143" s="407"/>
      <c r="AE143" s="61"/>
      <c r="AG143">
        <v>2025</v>
      </c>
      <c r="AH143" s="61">
        <f t="shared" si="66"/>
        <v>-12495.999126044186</v>
      </c>
      <c r="AI143" s="61">
        <f t="shared" si="67"/>
        <v>-17771.002568935812</v>
      </c>
      <c r="AJ143" s="61">
        <f t="shared" si="65"/>
        <v>19716.315508802141</v>
      </c>
      <c r="AK143" s="61">
        <f t="shared" si="65"/>
        <v>4935.2845459793507</v>
      </c>
      <c r="AL143" s="61">
        <f t="shared" si="65"/>
        <v>3959.0400807113801</v>
      </c>
      <c r="AM143" s="61">
        <f t="shared" si="65"/>
        <v>1656.3615594871274</v>
      </c>
      <c r="AN143" s="407"/>
    </row>
    <row r="144" spans="5:42">
      <c r="E144">
        <v>2026</v>
      </c>
      <c r="F144" s="431">
        <f>F125*'Demographic-Economic'!C$12</f>
        <v>-12539.357172061233</v>
      </c>
      <c r="G144" s="431">
        <f>G125*'Demographic-Economic'!D$12</f>
        <v>-17810.344852657352</v>
      </c>
      <c r="H144" s="431">
        <f>H125*'Demographic-Economic'!E$12</f>
        <v>19867.078659842246</v>
      </c>
      <c r="I144" s="431">
        <f>I125*'Demographic-Economic'!F$12</f>
        <v>4406.4783752655949</v>
      </c>
      <c r="J144" s="431">
        <f>J125*'Demographic-Economic'!G$12</f>
        <v>3617.7391773005011</v>
      </c>
      <c r="K144" s="431">
        <f>K125*'Demographic-Economic'!H$12</f>
        <v>1710.3330501207749</v>
      </c>
      <c r="L144" s="61"/>
      <c r="M144" s="61"/>
      <c r="N144">
        <v>2026</v>
      </c>
      <c r="O144" s="61">
        <f>O125*'Demographic-Economic'!C$12</f>
        <v>-12699.465940211128</v>
      </c>
      <c r="P144" s="61">
        <f>P125*'Demographic-Economic'!D$12</f>
        <v>-18037.756221163349</v>
      </c>
      <c r="Q144" s="61">
        <f>Q125*'Demographic-Economic'!E$12</f>
        <v>20146.561228798324</v>
      </c>
      <c r="R144" s="61">
        <f>R125*'Demographic-Economic'!F$12</f>
        <v>4498.8489484524262</v>
      </c>
      <c r="S144" s="61">
        <f>S125*'Demographic-Economic'!G$12</f>
        <v>3562.4689349706027</v>
      </c>
      <c r="T144" s="61">
        <f>T125*'Demographic-Economic'!H$12</f>
        <v>1777.1557800990756</v>
      </c>
      <c r="U144" s="407"/>
      <c r="W144">
        <v>2026</v>
      </c>
      <c r="X144" s="61">
        <f>X125*'Demographic-Economic'!C$12</f>
        <v>-12842.842086035469</v>
      </c>
      <c r="Y144" s="61">
        <f>Y125*'Demographic-Economic'!D$12</f>
        <v>-18241.401317617405</v>
      </c>
      <c r="Z144" s="61">
        <f>Z125*'Demographic-Economic'!E$12</f>
        <v>20402.25565359657</v>
      </c>
      <c r="AA144" s="61">
        <f>AA125*'Demographic-Economic'!F$12</f>
        <v>4587.6692826363105</v>
      </c>
      <c r="AB144" s="61">
        <f>AB125*'Demographic-Economic'!G$12</f>
        <v>3494.1933036634573</v>
      </c>
      <c r="AC144" s="61">
        <f>AC125*'Demographic-Economic'!H$12</f>
        <v>1845.2596710385485</v>
      </c>
      <c r="AD144" s="407"/>
      <c r="AE144" s="61"/>
      <c r="AG144">
        <v>2026</v>
      </c>
      <c r="AH144" s="61">
        <f t="shared" si="66"/>
        <v>-12560.381557438786</v>
      </c>
      <c r="AI144" s="61">
        <f t="shared" si="67"/>
        <v>-17840.206953939836</v>
      </c>
      <c r="AJ144" s="61">
        <f t="shared" si="65"/>
        <v>20368.81099508666</v>
      </c>
      <c r="AK144" s="61">
        <f t="shared" si="65"/>
        <v>4544.709243183499</v>
      </c>
      <c r="AL144" s="61">
        <f t="shared" si="65"/>
        <v>3817.5776376015087</v>
      </c>
      <c r="AM144" s="61">
        <f t="shared" si="65"/>
        <v>1669.4906355069534</v>
      </c>
      <c r="AN144" s="407"/>
    </row>
    <row r="145" spans="5:43">
      <c r="E145">
        <v>2027</v>
      </c>
      <c r="F145" s="431">
        <f>F126*'Demographic-Economic'!C$12</f>
        <v>-12600.085718711131</v>
      </c>
      <c r="G145" s="431">
        <f>G126*'Demographic-Economic'!D$12</f>
        <v>-17874.202227885293</v>
      </c>
      <c r="H145" s="431">
        <f>H126*'Demographic-Economic'!E$12</f>
        <v>20448.868188067016</v>
      </c>
      <c r="I145" s="431">
        <f>I126*'Demographic-Economic'!F$12</f>
        <v>4062.2778769409188</v>
      </c>
      <c r="J145" s="431">
        <f>J126*'Demographic-Economic'!G$12</f>
        <v>3497.178739014319</v>
      </c>
      <c r="K145" s="431">
        <f>K126*'Demographic-Economic'!H$12</f>
        <v>1721.9906705542767</v>
      </c>
      <c r="L145" s="61"/>
      <c r="M145" s="61"/>
      <c r="N145">
        <v>2027</v>
      </c>
      <c r="O145" s="61">
        <f>O126*'Demographic-Economic'!C$12</f>
        <v>-12786.645789599121</v>
      </c>
      <c r="P145" s="61">
        <f>P126*'Demographic-Economic'!D$12</f>
        <v>-18138.852207984146</v>
      </c>
      <c r="Q145" s="61">
        <f>Q126*'Demographic-Economic'!E$12</f>
        <v>20830.990190379747</v>
      </c>
      <c r="R145" s="61">
        <f>R126*'Demographic-Economic'!F$12</f>
        <v>4126.2726857609068</v>
      </c>
      <c r="S145" s="61">
        <f>S126*'Demographic-Economic'!G$12</f>
        <v>3421.6098383741892</v>
      </c>
      <c r="T145" s="61">
        <f>T126*'Demographic-Economic'!H$12</f>
        <v>1798.3920384300338</v>
      </c>
      <c r="U145" s="407"/>
      <c r="W145">
        <v>2027</v>
      </c>
      <c r="X145" s="61">
        <f>X126*'Demographic-Economic'!C$12</f>
        <v>-12953.708869514861</v>
      </c>
      <c r="Y145" s="61">
        <f>Y126*'Demographic-Economic'!D$12</f>
        <v>-18375.844188982559</v>
      </c>
      <c r="Z145" s="61">
        <f>Z126*'Demographic-Economic'!E$12</f>
        <v>21190.791560248879</v>
      </c>
      <c r="AA145" s="61">
        <f>AA126*'Demographic-Economic'!F$12</f>
        <v>4183.5365675754801</v>
      </c>
      <c r="AB145" s="61">
        <f>AB126*'Demographic-Economic'!G$12</f>
        <v>3327.1810599504097</v>
      </c>
      <c r="AC145" s="61">
        <f>AC126*'Demographic-Economic'!H$12</f>
        <v>1877.4141350198968</v>
      </c>
      <c r="AD145" s="407"/>
      <c r="AE145" s="61"/>
      <c r="AG145">
        <v>2027</v>
      </c>
      <c r="AH145" s="61">
        <f t="shared" si="66"/>
        <v>-12624.583507756268</v>
      </c>
      <c r="AI145" s="61">
        <f t="shared" si="67"/>
        <v>-17908.954248252787</v>
      </c>
      <c r="AJ145" s="61">
        <f t="shared" si="65"/>
        <v>20976.859414475202</v>
      </c>
      <c r="AK145" s="61">
        <f t="shared" si="65"/>
        <v>4187.097541431488</v>
      </c>
      <c r="AL145" s="61">
        <f t="shared" si="65"/>
        <v>3687.6992665198773</v>
      </c>
      <c r="AM145" s="61">
        <f t="shared" si="65"/>
        <v>1681.8815335824872</v>
      </c>
      <c r="AN145" s="407"/>
    </row>
    <row r="146" spans="5:43">
      <c r="E146">
        <v>2028</v>
      </c>
      <c r="F146" s="431">
        <f>F127*'Demographic-Economic'!C$12</f>
        <v>-12660.642851248824</v>
      </c>
      <c r="G146" s="431">
        <f>G127*'Demographic-Economic'!D$12</f>
        <v>-17937.629001581769</v>
      </c>
      <c r="H146" s="431">
        <f>H127*'Demographic-Economic'!E$12</f>
        <v>20990.946624331598</v>
      </c>
      <c r="I146" s="431">
        <f>I127*'Demographic-Economic'!F$12</f>
        <v>3747.4152933076807</v>
      </c>
      <c r="J146" s="431">
        <f>J127*'Demographic-Economic'!G$12</f>
        <v>3386.5208741428632</v>
      </c>
      <c r="K146" s="431">
        <f>K127*'Demographic-Economic'!H$12</f>
        <v>1733.0283775491862</v>
      </c>
      <c r="L146" s="61"/>
      <c r="M146" s="61"/>
      <c r="N146">
        <v>2028</v>
      </c>
      <c r="O146" s="61">
        <f>O127*'Demographic-Economic'!C$12</f>
        <v>-12873.587846448114</v>
      </c>
      <c r="P146" s="61">
        <f>P127*'Demographic-Economic'!D$12</f>
        <v>-18239.329978894461</v>
      </c>
      <c r="Q146" s="61">
        <f>Q127*'Demographic-Economic'!E$12</f>
        <v>21481.984074310683</v>
      </c>
      <c r="R146" s="61">
        <f>R127*'Demographic-Economic'!F$12</f>
        <v>3777.8415931689428</v>
      </c>
      <c r="S146" s="61">
        <f>S127*'Demographic-Economic'!G$12</f>
        <v>3289.818449254301</v>
      </c>
      <c r="T146" s="61">
        <f>T127*'Demographic-Economic'!H$12</f>
        <v>1818.5449176471009</v>
      </c>
      <c r="U146" s="407"/>
      <c r="W146">
        <v>2028</v>
      </c>
      <c r="X146" s="61">
        <f>X127*'Demographic-Economic'!C$12</f>
        <v>-13064.278419094793</v>
      </c>
      <c r="Y146" s="61">
        <f>Y127*'Demographic-Economic'!D$12</f>
        <v>-18509.500837232648</v>
      </c>
      <c r="Z146" s="61">
        <f>Z127*'Demographic-Economic'!E$12</f>
        <v>21955.207234901613</v>
      </c>
      <c r="AA146" s="61">
        <f>AA127*'Demographic-Economic'!F$12</f>
        <v>3796.3071030696265</v>
      </c>
      <c r="AB146" s="61">
        <f>AB127*'Demographic-Economic'!G$12</f>
        <v>3167.3524231897018</v>
      </c>
      <c r="AC146" s="61">
        <f>AC127*'Demographic-Economic'!H$12</f>
        <v>1908.1589760722927</v>
      </c>
      <c r="AD146" s="407"/>
      <c r="AE146" s="61"/>
      <c r="AG146">
        <v>2028</v>
      </c>
      <c r="AH146" s="61">
        <f t="shared" si="66"/>
        <v>-12688.605327601774</v>
      </c>
      <c r="AI146" s="61">
        <f t="shared" si="67"/>
        <v>-17977.246304800716</v>
      </c>
      <c r="AJ146" s="61">
        <f t="shared" si="65"/>
        <v>21544.901876604454</v>
      </c>
      <c r="AK146" s="61">
        <f t="shared" si="65"/>
        <v>3859.1102172563797</v>
      </c>
      <c r="AL146" s="61">
        <f t="shared" si="65"/>
        <v>3568.2303747235824</v>
      </c>
      <c r="AM146" s="61">
        <f t="shared" si="65"/>
        <v>1693.609163818069</v>
      </c>
      <c r="AN146" s="407"/>
    </row>
    <row r="147" spans="5:43">
      <c r="E147">
        <v>2029</v>
      </c>
      <c r="F147" s="431">
        <f>F128*'Demographic-Economic'!C$12</f>
        <v>-12721.028903321232</v>
      </c>
      <c r="G147" s="431">
        <f>G128*'Demographic-Economic'!D$12</f>
        <v>-18000.626927645837</v>
      </c>
      <c r="H147" s="431">
        <f>H128*'Demographic-Economic'!E$12</f>
        <v>21497.383403536267</v>
      </c>
      <c r="I147" s="431">
        <f>I128*'Demographic-Economic'!F$12</f>
        <v>3458.8424640631156</v>
      </c>
      <c r="J147" s="431">
        <f>J128*'Demographic-Economic'!G$12</f>
        <v>3284.7351374499131</v>
      </c>
      <c r="K147" s="431">
        <f>K128*'Demographic-Economic'!H$12</f>
        <v>1743.5101003451446</v>
      </c>
      <c r="L147" s="61"/>
      <c r="M147" s="61"/>
      <c r="N147">
        <v>2029</v>
      </c>
      <c r="O147" s="61">
        <f>O128*'Demographic-Economic'!C$12</f>
        <v>-12960.292569020939</v>
      </c>
      <c r="P147" s="61">
        <f>P128*'Demographic-Economic'!D$12</f>
        <v>-18339.191993123924</v>
      </c>
      <c r="Q147" s="61">
        <f>Q128*'Demographic-Economic'!E$12</f>
        <v>22101.462744114469</v>
      </c>
      <c r="R147" s="61">
        <f>R128*'Demographic-Economic'!F$12</f>
        <v>3452.1272676979247</v>
      </c>
      <c r="S147" s="61">
        <f>S128*'Demographic-Economic'!G$12</f>
        <v>3166.5606896841155</v>
      </c>
      <c r="T147" s="61">
        <f>T128*'Demographic-Economic'!H$12</f>
        <v>1837.688480935456</v>
      </c>
      <c r="U147" s="407"/>
      <c r="W147">
        <v>2029</v>
      </c>
      <c r="X147" s="61">
        <f>X128*'Demographic-Economic'!C$12</f>
        <v>-13174.55130463067</v>
      </c>
      <c r="Y147" s="61">
        <f>Y128*'Demographic-Economic'!D$12</f>
        <v>-18642.374353215309</v>
      </c>
      <c r="Z147" s="61">
        <f>Z128*'Demographic-Economic'!E$12</f>
        <v>22695.058427983364</v>
      </c>
      <c r="AA147" s="61">
        <f>AA128*'Demographic-Economic'!F$12</f>
        <v>3426.2736714695388</v>
      </c>
      <c r="AB147" s="61">
        <f>AB128*'Demographic-Economic'!G$12</f>
        <v>3014.8292629241282</v>
      </c>
      <c r="AC147" s="61">
        <f>AC128*'Demographic-Economic'!H$12</f>
        <v>1937.5232736365786</v>
      </c>
      <c r="AD147" s="407"/>
      <c r="AE147" s="61"/>
      <c r="AG147">
        <v>2029</v>
      </c>
      <c r="AH147" s="61">
        <f t="shared" si="66"/>
        <v>-12752.447366985933</v>
      </c>
      <c r="AI147" s="61">
        <f t="shared" si="67"/>
        <v>-18045.084970101852</v>
      </c>
      <c r="AJ147" s="61">
        <f t="shared" si="65"/>
        <v>22076.846548785452</v>
      </c>
      <c r="AK147" s="61">
        <f t="shared" si="65"/>
        <v>3557.8091136573871</v>
      </c>
      <c r="AL147" s="61">
        <f t="shared" si="65"/>
        <v>3458.1372674971262</v>
      </c>
      <c r="AM147" s="61">
        <f t="shared" si="65"/>
        <v>1704.7394071478143</v>
      </c>
      <c r="AN147" s="407"/>
      <c r="AQ147" s="61"/>
    </row>
    <row r="148" spans="5:43">
      <c r="E148">
        <v>2030</v>
      </c>
      <c r="F148" s="431">
        <f>F129*'Demographic-Economic'!C$12</f>
        <v>-12781.244208009013</v>
      </c>
      <c r="G148" s="431">
        <f>G129*'Demographic-Economic'!D$12</f>
        <v>-18063.19775389833</v>
      </c>
      <c r="H148" s="431">
        <f>H129*'Demographic-Economic'!E$12</f>
        <v>21971.740992709518</v>
      </c>
      <c r="I148" s="431">
        <f>I129*'Demographic-Economic'!F$12</f>
        <v>3193.8912369737627</v>
      </c>
      <c r="J148" s="431">
        <f>J129*'Demographic-Economic'!G$12</f>
        <v>3190.9194392372415</v>
      </c>
      <c r="K148" s="431">
        <f>K129*'Demographic-Economic'!H$12</f>
        <v>1753.4917925657073</v>
      </c>
      <c r="L148" s="61"/>
      <c r="M148" s="61"/>
      <c r="N148">
        <v>2030</v>
      </c>
      <c r="O148" s="61">
        <f>O129*'Demographic-Economic'!C$12</f>
        <v>-13046.760414806327</v>
      </c>
      <c r="P148" s="61">
        <f>P129*'Demographic-Economic'!D$12</f>
        <v>-18438.440701469881</v>
      </c>
      <c r="Q148" s="61">
        <f>Q129*'Demographic-Economic'!E$12</f>
        <v>22691.272981087564</v>
      </c>
      <c r="R148" s="61">
        <f>R129*'Demographic-Economic'!F$12</f>
        <v>3147.7571750284851</v>
      </c>
      <c r="S148" s="61">
        <f>S129*'Demographic-Economic'!G$12</f>
        <v>3051.3225915173175</v>
      </c>
      <c r="T148" s="61">
        <f>T129*'Demographic-Economic'!H$12</f>
        <v>1855.8927327021327</v>
      </c>
      <c r="U148" s="407"/>
      <c r="W148">
        <v>2030</v>
      </c>
      <c r="X148" s="61">
        <f>X129*'Demographic-Economic'!C$12</f>
        <v>-13284.528095017678</v>
      </c>
      <c r="Y148" s="61">
        <f>Y129*'Demographic-Economic'!D$12</f>
        <v>-18774.467817237834</v>
      </c>
      <c r="Z148" s="61">
        <f>Z129*'Demographic-Economic'!E$12</f>
        <v>23410.129519973838</v>
      </c>
      <c r="AA148" s="61">
        <f>AA129*'Demographic-Economic'!F$12</f>
        <v>3073.56643416919</v>
      </c>
      <c r="AB148" s="61">
        <f>AB129*'Demographic-Economic'!G$12</f>
        <v>2869.6636231678622</v>
      </c>
      <c r="AC148" s="61">
        <f>AC129*'Demographic-Economic'!H$12</f>
        <v>1965.5434134416751</v>
      </c>
      <c r="AD148" s="407"/>
      <c r="AE148" s="61"/>
      <c r="AG148">
        <v>2030</v>
      </c>
      <c r="AH148" s="61">
        <f t="shared" si="66"/>
        <v>-12816.10997532581</v>
      </c>
      <c r="AI148" s="61">
        <f t="shared" si="67"/>
        <v>-18112.472084287081</v>
      </c>
      <c r="AJ148" s="61">
        <f t="shared" si="65"/>
        <v>22576.142509240854</v>
      </c>
      <c r="AK148" s="61">
        <f t="shared" si="65"/>
        <v>3280.6015620803855</v>
      </c>
      <c r="AL148" s="61">
        <f t="shared" si="65"/>
        <v>3356.5076314961352</v>
      </c>
      <c r="AM148" s="61">
        <f t="shared" si="65"/>
        <v>1715.3303567955138</v>
      </c>
      <c r="AN148" s="407"/>
    </row>
    <row r="149" spans="5:43">
      <c r="E149">
        <v>2040</v>
      </c>
      <c r="F149" s="431">
        <f>F130*'Demographic-Economic'!C$12</f>
        <v>0</v>
      </c>
      <c r="G149" s="431">
        <f>G130*'Demographic-Economic'!D$12</f>
        <v>0</v>
      </c>
      <c r="H149" s="431">
        <f>H130*'Demographic-Economic'!E$12</f>
        <v>0</v>
      </c>
      <c r="I149" s="431">
        <f>I130*'Demographic-Economic'!F$12</f>
        <v>0</v>
      </c>
      <c r="J149" s="431">
        <f>J130*'Demographic-Economic'!G$12</f>
        <v>0</v>
      </c>
      <c r="K149" s="431">
        <f>K130*'Demographic-Economic'!H$12</f>
        <v>0</v>
      </c>
      <c r="L149" s="61"/>
      <c r="M149" s="61"/>
      <c r="N149">
        <v>2040</v>
      </c>
      <c r="O149" s="61">
        <f>O130*'Demographic-Economic'!C$12</f>
        <v>0</v>
      </c>
      <c r="P149" s="61">
        <f>P130*'Demographic-Economic'!D$12</f>
        <v>0</v>
      </c>
      <c r="Q149" s="61">
        <f>Q130*'Demographic-Economic'!E$12</f>
        <v>0</v>
      </c>
      <c r="R149" s="61">
        <f>R130*'Demographic-Economic'!F$12</f>
        <v>0</v>
      </c>
      <c r="S149" s="61">
        <f>S130*'Demographic-Economic'!G$12</f>
        <v>0</v>
      </c>
      <c r="T149" s="61">
        <f>T130*'Demographic-Economic'!H$12</f>
        <v>0</v>
      </c>
      <c r="U149" s="407"/>
      <c r="W149">
        <v>2040</v>
      </c>
      <c r="X149" s="61">
        <f>X130*'Demographic-Economic'!C$12</f>
        <v>0</v>
      </c>
      <c r="Y149" s="61">
        <f>Y130*'Demographic-Economic'!D$12</f>
        <v>0</v>
      </c>
      <c r="Z149" s="61">
        <f>Z130*'Demographic-Economic'!E$12</f>
        <v>0</v>
      </c>
      <c r="AA149" s="61">
        <f>AA130*'Demographic-Economic'!F$12</f>
        <v>0</v>
      </c>
      <c r="AB149" s="61">
        <f>AB130*'Demographic-Economic'!G$12</f>
        <v>0</v>
      </c>
      <c r="AC149" s="61">
        <f>AC130*'Demographic-Economic'!H$12</f>
        <v>0</v>
      </c>
      <c r="AD149" s="407"/>
      <c r="AE149" s="61"/>
      <c r="AG149">
        <v>2040</v>
      </c>
      <c r="AH149" s="61">
        <f>-AH35*$C$11</f>
        <v>0</v>
      </c>
      <c r="AI149" s="61">
        <f>-AI35*$C$10</f>
        <v>0</v>
      </c>
      <c r="AJ149" s="61">
        <f t="shared" si="65"/>
        <v>0</v>
      </c>
      <c r="AK149" s="61">
        <f t="shared" si="65"/>
        <v>0</v>
      </c>
      <c r="AL149" s="61">
        <f t="shared" si="65"/>
        <v>0</v>
      </c>
      <c r="AM149" s="61">
        <f t="shared" si="65"/>
        <v>0</v>
      </c>
      <c r="AN149" s="407"/>
    </row>
    <row r="150" spans="5:43">
      <c r="E150">
        <v>2050</v>
      </c>
      <c r="F150" s="431">
        <f>F131*'Demographic-Economic'!C$12</f>
        <v>0</v>
      </c>
      <c r="G150" s="431">
        <f>G131*'Demographic-Economic'!D$12</f>
        <v>0</v>
      </c>
      <c r="H150" s="431">
        <f>H131*'Demographic-Economic'!E$12</f>
        <v>0</v>
      </c>
      <c r="I150" s="431">
        <f>I131*'Demographic-Economic'!F$12</f>
        <v>0</v>
      </c>
      <c r="J150" s="431">
        <f>J131*'Demographic-Economic'!G$12</f>
        <v>0</v>
      </c>
      <c r="K150" s="431">
        <f>K131*'Demographic-Economic'!H$12</f>
        <v>0</v>
      </c>
      <c r="L150" s="61"/>
      <c r="M150" s="61"/>
      <c r="N150">
        <v>2050</v>
      </c>
      <c r="O150" s="61">
        <f>O131*'Demographic-Economic'!C$12</f>
        <v>0</v>
      </c>
      <c r="P150" s="61">
        <f>P131*'Demographic-Economic'!D$12</f>
        <v>0</v>
      </c>
      <c r="Q150" s="61">
        <f>Q131*'Demographic-Economic'!E$12</f>
        <v>0</v>
      </c>
      <c r="R150" s="61">
        <f>R131*'Demographic-Economic'!F$12</f>
        <v>0</v>
      </c>
      <c r="S150" s="61">
        <f>S131*'Demographic-Economic'!G$12</f>
        <v>0</v>
      </c>
      <c r="T150" s="61">
        <f>T131*'Demographic-Economic'!H$12</f>
        <v>0</v>
      </c>
      <c r="U150" s="407"/>
      <c r="W150">
        <v>2050</v>
      </c>
      <c r="X150" s="61">
        <f>X131*'Demographic-Economic'!C$12</f>
        <v>0</v>
      </c>
      <c r="Y150" s="61">
        <f>Y131*'Demographic-Economic'!D$12</f>
        <v>0</v>
      </c>
      <c r="Z150" s="61">
        <f>Z131*'Demographic-Economic'!E$12</f>
        <v>0</v>
      </c>
      <c r="AA150" s="61">
        <f>AA131*'Demographic-Economic'!F$12</f>
        <v>0</v>
      </c>
      <c r="AB150" s="61">
        <f>AB131*'Demographic-Economic'!G$12</f>
        <v>0</v>
      </c>
      <c r="AC150" s="61">
        <f>AC131*'Demographic-Economic'!H$12</f>
        <v>0</v>
      </c>
      <c r="AD150" s="407"/>
      <c r="AE150" s="61"/>
      <c r="AG150">
        <v>2050</v>
      </c>
      <c r="AH150" s="61">
        <f t="shared" ref="AH150:AH155" si="68">-AH36*$C$11</f>
        <v>0</v>
      </c>
      <c r="AI150" s="61">
        <f t="shared" ref="AI150:AI155" si="69">-AI36*$C$10</f>
        <v>0</v>
      </c>
      <c r="AJ150" s="61">
        <f t="shared" si="65"/>
        <v>0</v>
      </c>
      <c r="AK150" s="61">
        <f t="shared" si="65"/>
        <v>0</v>
      </c>
      <c r="AL150" s="61">
        <f t="shared" si="65"/>
        <v>0</v>
      </c>
      <c r="AM150" s="61">
        <f t="shared" si="65"/>
        <v>0</v>
      </c>
      <c r="AN150" s="407"/>
    </row>
    <row r="151" spans="5:43">
      <c r="E151">
        <v>2060</v>
      </c>
      <c r="F151" s="431">
        <f>F132*'Demographic-Economic'!C$12</f>
        <v>0</v>
      </c>
      <c r="G151" s="431">
        <f>G132*'Demographic-Economic'!D$12</f>
        <v>0</v>
      </c>
      <c r="H151" s="431">
        <f>H132*'Demographic-Economic'!E$12</f>
        <v>0</v>
      </c>
      <c r="I151" s="431">
        <f>I132*'Demographic-Economic'!F$12</f>
        <v>0</v>
      </c>
      <c r="J151" s="431">
        <f>J132*'Demographic-Economic'!G$12</f>
        <v>0</v>
      </c>
      <c r="K151" s="431">
        <f>K132*'Demographic-Economic'!H$12</f>
        <v>0</v>
      </c>
      <c r="L151" s="61"/>
      <c r="M151" s="61"/>
      <c r="N151">
        <v>2060</v>
      </c>
      <c r="O151" s="61">
        <f>O132*'Demographic-Economic'!C$12</f>
        <v>0</v>
      </c>
      <c r="P151" s="61">
        <f>P132*'Demographic-Economic'!D$12</f>
        <v>0</v>
      </c>
      <c r="Q151" s="61">
        <f>Q132*'Demographic-Economic'!E$12</f>
        <v>0</v>
      </c>
      <c r="R151" s="61">
        <f>R132*'Demographic-Economic'!F$12</f>
        <v>0</v>
      </c>
      <c r="S151" s="61">
        <f>S132*'Demographic-Economic'!G$12</f>
        <v>0</v>
      </c>
      <c r="T151" s="61">
        <f>T132*'Demographic-Economic'!H$12</f>
        <v>0</v>
      </c>
      <c r="U151" s="407"/>
      <c r="W151">
        <v>2060</v>
      </c>
      <c r="X151" s="61">
        <f>X132*'Demographic-Economic'!C$12</f>
        <v>0</v>
      </c>
      <c r="Y151" s="61">
        <f>Y132*'Demographic-Economic'!D$12</f>
        <v>0</v>
      </c>
      <c r="Z151" s="61">
        <f>Z132*'Demographic-Economic'!E$12</f>
        <v>0</v>
      </c>
      <c r="AA151" s="61">
        <f>AA132*'Demographic-Economic'!F$12</f>
        <v>0</v>
      </c>
      <c r="AB151" s="61">
        <f>AB132*'Demographic-Economic'!G$12</f>
        <v>0</v>
      </c>
      <c r="AC151" s="61">
        <f>AC132*'Demographic-Economic'!H$12</f>
        <v>0</v>
      </c>
      <c r="AD151" s="407"/>
      <c r="AE151" s="61"/>
      <c r="AG151">
        <v>2060</v>
      </c>
      <c r="AH151" s="61">
        <f t="shared" si="68"/>
        <v>0</v>
      </c>
      <c r="AI151" s="61">
        <f t="shared" si="69"/>
        <v>0</v>
      </c>
      <c r="AJ151" s="61">
        <f t="shared" si="65"/>
        <v>0</v>
      </c>
      <c r="AK151" s="61">
        <f t="shared" si="65"/>
        <v>0</v>
      </c>
      <c r="AL151" s="61">
        <f t="shared" si="65"/>
        <v>0</v>
      </c>
      <c r="AM151" s="61">
        <f t="shared" si="65"/>
        <v>0</v>
      </c>
      <c r="AN151" s="407"/>
    </row>
    <row r="152" spans="5:43">
      <c r="E152">
        <v>2070</v>
      </c>
      <c r="F152" s="431">
        <f>F133*'Demographic-Economic'!C$12</f>
        <v>0</v>
      </c>
      <c r="G152" s="431">
        <f>G133*'Demographic-Economic'!D$12</f>
        <v>0</v>
      </c>
      <c r="H152" s="431">
        <f>H133*'Demographic-Economic'!E$12</f>
        <v>0</v>
      </c>
      <c r="I152" s="431">
        <f>I133*'Demographic-Economic'!F$12</f>
        <v>0</v>
      </c>
      <c r="J152" s="431">
        <f>J133*'Demographic-Economic'!G$12</f>
        <v>0</v>
      </c>
      <c r="K152" s="431">
        <f>K133*'Demographic-Economic'!H$12</f>
        <v>0</v>
      </c>
      <c r="L152" s="61"/>
      <c r="M152" s="61"/>
      <c r="N152">
        <v>2070</v>
      </c>
      <c r="O152" s="61">
        <f>O133*'Demographic-Economic'!C$12</f>
        <v>0</v>
      </c>
      <c r="P152" s="61">
        <f>P133*'Demographic-Economic'!D$12</f>
        <v>0</v>
      </c>
      <c r="Q152" s="61">
        <f>Q133*'Demographic-Economic'!E$12</f>
        <v>0</v>
      </c>
      <c r="R152" s="61">
        <f>R133*'Demographic-Economic'!F$12</f>
        <v>0</v>
      </c>
      <c r="S152" s="61">
        <f>S133*'Demographic-Economic'!G$12</f>
        <v>0</v>
      </c>
      <c r="T152" s="61">
        <f>T133*'Demographic-Economic'!H$12</f>
        <v>0</v>
      </c>
      <c r="U152" s="407"/>
      <c r="W152">
        <v>2070</v>
      </c>
      <c r="X152" s="61">
        <f>X133*'Demographic-Economic'!C$12</f>
        <v>0</v>
      </c>
      <c r="Y152" s="61">
        <f>Y133*'Demographic-Economic'!D$12</f>
        <v>0</v>
      </c>
      <c r="Z152" s="61">
        <f>Z133*'Demographic-Economic'!E$12</f>
        <v>0</v>
      </c>
      <c r="AA152" s="61">
        <f>AA133*'Demographic-Economic'!F$12</f>
        <v>0</v>
      </c>
      <c r="AB152" s="61">
        <f>AB133*'Demographic-Economic'!G$12</f>
        <v>0</v>
      </c>
      <c r="AC152" s="61">
        <f>AC133*'Demographic-Economic'!H$12</f>
        <v>0</v>
      </c>
      <c r="AD152" s="407"/>
      <c r="AE152" s="61"/>
      <c r="AG152">
        <v>2070</v>
      </c>
      <c r="AH152" s="61">
        <f t="shared" si="68"/>
        <v>0</v>
      </c>
      <c r="AI152" s="61">
        <f t="shared" si="69"/>
        <v>0</v>
      </c>
      <c r="AJ152" s="61">
        <f t="shared" si="65"/>
        <v>0</v>
      </c>
      <c r="AK152" s="61">
        <f t="shared" si="65"/>
        <v>0</v>
      </c>
      <c r="AL152" s="61">
        <f t="shared" si="65"/>
        <v>0</v>
      </c>
      <c r="AM152" s="61">
        <f t="shared" si="65"/>
        <v>0</v>
      </c>
      <c r="AN152" s="407"/>
    </row>
    <row r="153" spans="5:43">
      <c r="E153">
        <v>2080</v>
      </c>
      <c r="F153" s="431">
        <f>F134*'Demographic-Economic'!C$12</f>
        <v>0</v>
      </c>
      <c r="G153" s="431">
        <f>G134*'Demographic-Economic'!D$12</f>
        <v>0</v>
      </c>
      <c r="H153" s="431">
        <f>H134*'Demographic-Economic'!E$12</f>
        <v>0</v>
      </c>
      <c r="I153" s="431">
        <f>I134*'Demographic-Economic'!F$12</f>
        <v>0</v>
      </c>
      <c r="J153" s="431">
        <f>J134*'Demographic-Economic'!G$12</f>
        <v>0</v>
      </c>
      <c r="K153" s="431">
        <f>K134*'Demographic-Economic'!H$12</f>
        <v>0</v>
      </c>
      <c r="L153" s="61"/>
      <c r="M153" s="61"/>
      <c r="N153">
        <v>2080</v>
      </c>
      <c r="O153" s="61">
        <f>O134*'Demographic-Economic'!C$12</f>
        <v>0</v>
      </c>
      <c r="P153" s="61">
        <f>P134*'Demographic-Economic'!D$12</f>
        <v>0</v>
      </c>
      <c r="Q153" s="61">
        <f>Q134*'Demographic-Economic'!E$12</f>
        <v>0</v>
      </c>
      <c r="R153" s="61">
        <f>R134*'Demographic-Economic'!F$12</f>
        <v>0</v>
      </c>
      <c r="S153" s="61">
        <f>S134*'Demographic-Economic'!G$12</f>
        <v>0</v>
      </c>
      <c r="T153" s="61">
        <f>T134*'Demographic-Economic'!H$12</f>
        <v>0</v>
      </c>
      <c r="U153" s="407"/>
      <c r="W153">
        <v>2080</v>
      </c>
      <c r="X153" s="61">
        <f>X134*'Demographic-Economic'!C$12</f>
        <v>0</v>
      </c>
      <c r="Y153" s="61">
        <f>Y134*'Demographic-Economic'!D$12</f>
        <v>0</v>
      </c>
      <c r="Z153" s="61">
        <f>Z134*'Demographic-Economic'!E$12</f>
        <v>0</v>
      </c>
      <c r="AA153" s="61">
        <f>AA134*'Demographic-Economic'!F$12</f>
        <v>0</v>
      </c>
      <c r="AB153" s="61">
        <f>AB134*'Demographic-Economic'!G$12</f>
        <v>0</v>
      </c>
      <c r="AC153" s="61">
        <f>AC134*'Demographic-Economic'!H$12</f>
        <v>0</v>
      </c>
      <c r="AD153" s="407"/>
      <c r="AE153" s="61"/>
      <c r="AG153">
        <v>2080</v>
      </c>
      <c r="AH153" s="61">
        <f t="shared" si="68"/>
        <v>0</v>
      </c>
      <c r="AI153" s="61">
        <f t="shared" si="69"/>
        <v>0</v>
      </c>
      <c r="AJ153" s="61">
        <f t="shared" si="65"/>
        <v>0</v>
      </c>
      <c r="AK153" s="61">
        <f t="shared" si="65"/>
        <v>0</v>
      </c>
      <c r="AL153" s="61">
        <f t="shared" si="65"/>
        <v>0</v>
      </c>
      <c r="AM153" s="61">
        <f t="shared" si="65"/>
        <v>0</v>
      </c>
      <c r="AN153" s="407"/>
    </row>
    <row r="154" spans="5:43" ht="15" customHeight="1">
      <c r="E154">
        <v>2090</v>
      </c>
      <c r="F154" s="431">
        <f>F135*'Demographic-Economic'!C$12</f>
        <v>0</v>
      </c>
      <c r="G154" s="431">
        <f>G135*'Demographic-Economic'!D$12</f>
        <v>0</v>
      </c>
      <c r="H154" s="431">
        <f>H135*'Demographic-Economic'!E$12</f>
        <v>0</v>
      </c>
      <c r="I154" s="431">
        <f>I135*'Demographic-Economic'!F$12</f>
        <v>0</v>
      </c>
      <c r="J154" s="431">
        <f>J135*'Demographic-Economic'!G$12</f>
        <v>0</v>
      </c>
      <c r="K154" s="431">
        <f>K135*'Demographic-Economic'!H$12</f>
        <v>0</v>
      </c>
      <c r="L154" s="61"/>
      <c r="M154" s="61"/>
      <c r="N154">
        <v>2090</v>
      </c>
      <c r="O154" s="61">
        <f>O135*'Demographic-Economic'!C$12</f>
        <v>0</v>
      </c>
      <c r="P154" s="61">
        <f>P135*'Demographic-Economic'!D$12</f>
        <v>0</v>
      </c>
      <c r="Q154" s="61">
        <f>Q135*'Demographic-Economic'!E$12</f>
        <v>0</v>
      </c>
      <c r="R154" s="61">
        <f>R135*'Demographic-Economic'!F$12</f>
        <v>0</v>
      </c>
      <c r="S154" s="61">
        <f>S135*'Demographic-Economic'!G$12</f>
        <v>0</v>
      </c>
      <c r="T154" s="61">
        <f>T135*'Demographic-Economic'!H$12</f>
        <v>0</v>
      </c>
      <c r="U154" s="407"/>
      <c r="W154">
        <v>2090</v>
      </c>
      <c r="X154" s="61">
        <f>X135*'Demographic-Economic'!C$12</f>
        <v>0</v>
      </c>
      <c r="Y154" s="61">
        <f>Y135*'Demographic-Economic'!D$12</f>
        <v>0</v>
      </c>
      <c r="Z154" s="61">
        <f>Z135*'Demographic-Economic'!E$12</f>
        <v>0</v>
      </c>
      <c r="AA154" s="61">
        <f>AA135*'Demographic-Economic'!F$12</f>
        <v>0</v>
      </c>
      <c r="AB154" s="61">
        <f>AB135*'Demographic-Economic'!G$12</f>
        <v>0</v>
      </c>
      <c r="AC154" s="61">
        <f>AC135*'Demographic-Economic'!H$12</f>
        <v>0</v>
      </c>
      <c r="AD154" s="407"/>
      <c r="AE154" s="61"/>
      <c r="AG154">
        <v>2090</v>
      </c>
      <c r="AH154" s="61">
        <f t="shared" si="68"/>
        <v>0</v>
      </c>
      <c r="AI154" s="61">
        <f t="shared" si="69"/>
        <v>0</v>
      </c>
      <c r="AJ154" s="61">
        <f t="shared" si="65"/>
        <v>0</v>
      </c>
      <c r="AK154" s="61">
        <f t="shared" si="65"/>
        <v>0</v>
      </c>
      <c r="AL154" s="61">
        <f t="shared" si="65"/>
        <v>0</v>
      </c>
      <c r="AM154" s="61">
        <f t="shared" si="65"/>
        <v>0</v>
      </c>
      <c r="AN154" s="407"/>
    </row>
    <row r="155" spans="5:43">
      <c r="E155">
        <v>2100</v>
      </c>
      <c r="F155" s="431">
        <f>F136*'Demographic-Economic'!C$12</f>
        <v>0</v>
      </c>
      <c r="G155" s="431">
        <f>G136*'Demographic-Economic'!D$12</f>
        <v>0</v>
      </c>
      <c r="H155" s="431">
        <f>H136*'Demographic-Economic'!E$12</f>
        <v>0</v>
      </c>
      <c r="I155" s="431">
        <f>I136*'Demographic-Economic'!F$12</f>
        <v>0</v>
      </c>
      <c r="J155" s="431">
        <f>J136*'Demographic-Economic'!G$12</f>
        <v>0</v>
      </c>
      <c r="K155" s="431">
        <f>K136*'Demographic-Economic'!H$12</f>
        <v>0</v>
      </c>
      <c r="L155" s="61"/>
      <c r="M155" s="61"/>
      <c r="N155">
        <v>2100</v>
      </c>
      <c r="O155" s="61">
        <f>O136*'Demographic-Economic'!C$12</f>
        <v>0</v>
      </c>
      <c r="P155" s="61">
        <f>P136*'Demographic-Economic'!D$12</f>
        <v>0</v>
      </c>
      <c r="Q155" s="61">
        <f>Q136*'Demographic-Economic'!E$12</f>
        <v>0</v>
      </c>
      <c r="R155" s="61">
        <f>R136*'Demographic-Economic'!F$12</f>
        <v>0</v>
      </c>
      <c r="S155" s="61">
        <f>S136*'Demographic-Economic'!G$12</f>
        <v>0</v>
      </c>
      <c r="T155" s="61">
        <f>T136*'Demographic-Economic'!H$12</f>
        <v>0</v>
      </c>
      <c r="U155" s="407"/>
      <c r="W155">
        <v>2100</v>
      </c>
      <c r="X155" s="61">
        <f>X136*'Demographic-Economic'!C$12</f>
        <v>0</v>
      </c>
      <c r="Y155" s="61">
        <f>Y136*'Demographic-Economic'!D$12</f>
        <v>0</v>
      </c>
      <c r="Z155" s="61">
        <f>Z136*'Demographic-Economic'!E$12</f>
        <v>0</v>
      </c>
      <c r="AA155" s="61">
        <f>AA136*'Demographic-Economic'!F$12</f>
        <v>0</v>
      </c>
      <c r="AB155" s="61">
        <f>AB136*'Demographic-Economic'!G$12</f>
        <v>0</v>
      </c>
      <c r="AC155" s="61">
        <f>AC136*'Demographic-Economic'!H$12</f>
        <v>0</v>
      </c>
      <c r="AD155" s="407"/>
      <c r="AE155" s="61"/>
      <c r="AG155">
        <v>2100</v>
      </c>
      <c r="AH155" s="61">
        <f t="shared" si="68"/>
        <v>0</v>
      </c>
      <c r="AI155" s="61">
        <f t="shared" si="69"/>
        <v>0</v>
      </c>
      <c r="AJ155" s="61">
        <f t="shared" si="65"/>
        <v>0</v>
      </c>
      <c r="AK155" s="61">
        <f t="shared" si="65"/>
        <v>0</v>
      </c>
      <c r="AL155" s="61">
        <f t="shared" si="65"/>
        <v>0</v>
      </c>
      <c r="AM155" s="61">
        <f t="shared" si="65"/>
        <v>0</v>
      </c>
      <c r="AN155" s="407"/>
    </row>
    <row r="156" spans="5:43">
      <c r="F156" s="581" t="s">
        <v>286</v>
      </c>
      <c r="G156" s="581"/>
      <c r="H156" s="581"/>
      <c r="I156" s="581"/>
      <c r="J156" s="581"/>
      <c r="K156" s="581"/>
      <c r="L156" s="61"/>
      <c r="M156" s="61"/>
      <c r="O156" s="581" t="s">
        <v>286</v>
      </c>
      <c r="P156" s="581"/>
      <c r="Q156" s="581"/>
      <c r="R156" s="581"/>
      <c r="S156" s="581"/>
      <c r="T156" s="581"/>
      <c r="U156" s="407"/>
      <c r="X156" s="581" t="s">
        <v>286</v>
      </c>
      <c r="Y156" s="581"/>
      <c r="Z156" s="581"/>
      <c r="AA156" s="581"/>
      <c r="AB156" s="581"/>
      <c r="AC156" s="581"/>
      <c r="AD156" s="407"/>
      <c r="AE156" s="61"/>
      <c r="AH156" s="581" t="s">
        <v>286</v>
      </c>
      <c r="AI156" s="581"/>
      <c r="AJ156" s="581"/>
      <c r="AK156" s="581"/>
      <c r="AL156" s="581"/>
      <c r="AM156" s="581"/>
      <c r="AN156" s="407"/>
    </row>
    <row r="157" spans="5:43">
      <c r="E157">
        <v>2020</v>
      </c>
      <c r="F157" s="431">
        <f t="shared" ref="F157:K166" si="70">F119-F138</f>
        <v>-3594.6525600000004</v>
      </c>
      <c r="G157" s="431">
        <f t="shared" si="70"/>
        <v>-3643.68102</v>
      </c>
      <c r="H157" s="431">
        <f t="shared" si="70"/>
        <v>4169.5848544476557</v>
      </c>
      <c r="I157" s="431">
        <f t="shared" si="70"/>
        <v>2054.4070999951819</v>
      </c>
      <c r="J157" s="431">
        <f t="shared" si="70"/>
        <v>1462.0167251671146</v>
      </c>
      <c r="K157" s="431">
        <f t="shared" si="70"/>
        <v>339.38298867010189</v>
      </c>
      <c r="L157" s="61"/>
      <c r="M157" s="61"/>
      <c r="N157">
        <v>2020</v>
      </c>
      <c r="O157" s="61">
        <f t="shared" ref="O157:T166" si="71">O119-O138</f>
        <v>-3594.6525600000004</v>
      </c>
      <c r="P157" s="61">
        <f t="shared" si="71"/>
        <v>-3643.68102</v>
      </c>
      <c r="Q157" s="61">
        <f t="shared" si="71"/>
        <v>4169.5848544476557</v>
      </c>
      <c r="R157" s="61">
        <f t="shared" si="71"/>
        <v>2054.4070999951819</v>
      </c>
      <c r="S157" s="61">
        <f t="shared" si="71"/>
        <v>1462.0167251671146</v>
      </c>
      <c r="T157" s="61">
        <f t="shared" si="71"/>
        <v>339.38298867010189</v>
      </c>
      <c r="U157" s="407"/>
      <c r="W157">
        <v>2020</v>
      </c>
      <c r="X157" s="61">
        <f t="shared" ref="X157:AC166" si="72">X119-X138</f>
        <v>-3594.6525600000004</v>
      </c>
      <c r="Y157" s="61">
        <f t="shared" si="72"/>
        <v>-3643.68102</v>
      </c>
      <c r="Z157" s="61">
        <f t="shared" si="72"/>
        <v>4169.5848544476557</v>
      </c>
      <c r="AA157" s="61">
        <f t="shared" si="72"/>
        <v>2054.4070999951819</v>
      </c>
      <c r="AB157" s="61">
        <f t="shared" si="72"/>
        <v>1462.0167251671146</v>
      </c>
      <c r="AC157" s="61">
        <f t="shared" si="72"/>
        <v>339.38298867010189</v>
      </c>
      <c r="AD157" s="407"/>
      <c r="AG157">
        <v>2020</v>
      </c>
      <c r="AH157" s="61">
        <f>-AH43*$C$4</f>
        <v>-3594.6525600000004</v>
      </c>
      <c r="AI157" s="61">
        <f>-AI43*$C$3</f>
        <v>-3643.6810200000018</v>
      </c>
      <c r="AJ157" s="61">
        <f t="shared" ref="AJ157:AM174" si="73">-SUM($AH157:$AI157) * (AJ100/SUM($AJ100:$AM100))</f>
        <v>3811.6906436009381</v>
      </c>
      <c r="AK157" s="61">
        <f t="shared" si="73"/>
        <v>1843.7654900256682</v>
      </c>
      <c r="AL157" s="61">
        <f t="shared" si="73"/>
        <v>1197.3038766927855</v>
      </c>
      <c r="AM157" s="61">
        <f t="shared" si="73"/>
        <v>385.57356968061038</v>
      </c>
      <c r="AN157" s="407"/>
    </row>
    <row r="158" spans="5:43">
      <c r="E158">
        <v>2021</v>
      </c>
      <c r="F158" s="431">
        <f t="shared" si="70"/>
        <v>-3612.8937619420049</v>
      </c>
      <c r="G158" s="431">
        <f t="shared" si="70"/>
        <v>-3657.5875756607675</v>
      </c>
      <c r="H158" s="431">
        <f t="shared" si="70"/>
        <v>4429.1805872230307</v>
      </c>
      <c r="I158" s="431">
        <f t="shared" si="70"/>
        <v>1881.6878387697707</v>
      </c>
      <c r="J158" s="431">
        <f t="shared" si="70"/>
        <v>1394.9660585886913</v>
      </c>
      <c r="K158" s="431">
        <f t="shared" si="70"/>
        <v>343.01913323327722</v>
      </c>
      <c r="L158" s="61"/>
      <c r="M158" s="61"/>
      <c r="N158">
        <v>2021</v>
      </c>
      <c r="O158" s="61">
        <f t="shared" si="71"/>
        <v>-3620.824204993758</v>
      </c>
      <c r="P158" s="61">
        <f t="shared" si="71"/>
        <v>-3665.6161233809144</v>
      </c>
      <c r="Q158" s="61">
        <f t="shared" si="71"/>
        <v>4423.7568166552683</v>
      </c>
      <c r="R158" s="61">
        <f t="shared" si="71"/>
        <v>1900.3083046569882</v>
      </c>
      <c r="S158" s="61">
        <f t="shared" si="71"/>
        <v>1396.5844324004947</v>
      </c>
      <c r="T158" s="61">
        <f t="shared" si="71"/>
        <v>345.55342623556771</v>
      </c>
      <c r="U158" s="407"/>
      <c r="W158">
        <v>2021</v>
      </c>
      <c r="X158" s="61">
        <f t="shared" si="72"/>
        <v>-3627.9258545322464</v>
      </c>
      <c r="Y158" s="61">
        <f t="shared" si="72"/>
        <v>-3672.8056248803186</v>
      </c>
      <c r="Z158" s="61">
        <f t="shared" si="72"/>
        <v>4418.3734858956959</v>
      </c>
      <c r="AA158" s="61">
        <f t="shared" si="72"/>
        <v>1917.4863770109387</v>
      </c>
      <c r="AB158" s="61">
        <f t="shared" si="72"/>
        <v>1397.9835012215271</v>
      </c>
      <c r="AC158" s="61">
        <f t="shared" si="72"/>
        <v>347.88477520102424</v>
      </c>
      <c r="AD158" s="407"/>
      <c r="AG158">
        <v>2021</v>
      </c>
      <c r="AH158" s="61">
        <f t="shared" ref="AH158:AH167" si="74">-AH44*$C$4</f>
        <v>-3613.9351333350992</v>
      </c>
      <c r="AI158" s="61">
        <f t="shared" ref="AI158:AI167" si="75">-AI44*$C$3</f>
        <v>-3658.6418294860937</v>
      </c>
      <c r="AJ158" s="61">
        <f t="shared" si="73"/>
        <v>4048.7317424108951</v>
      </c>
      <c r="AK158" s="61">
        <f t="shared" si="73"/>
        <v>1691.0654881073667</v>
      </c>
      <c r="AL158" s="61">
        <f t="shared" si="73"/>
        <v>1142.6681615062857</v>
      </c>
      <c r="AM158" s="61">
        <f t="shared" si="73"/>
        <v>390.1115707966444</v>
      </c>
      <c r="AN158" s="407"/>
    </row>
    <row r="159" spans="5:43">
      <c r="E159">
        <v>2022</v>
      </c>
      <c r="F159" s="431">
        <f t="shared" si="70"/>
        <v>-3631.083744234531</v>
      </c>
      <c r="G159" s="431">
        <f t="shared" si="70"/>
        <v>-3671.4018255368537</v>
      </c>
      <c r="H159" s="431">
        <f t="shared" si="70"/>
        <v>4666.5031422841057</v>
      </c>
      <c r="I159" s="431">
        <f t="shared" si="70"/>
        <v>1725.9375426308989</v>
      </c>
      <c r="J159" s="431">
        <f t="shared" si="70"/>
        <v>1334.3696324023267</v>
      </c>
      <c r="K159" s="431">
        <f t="shared" si="70"/>
        <v>346.38910713063024</v>
      </c>
      <c r="L159" s="61"/>
      <c r="M159" s="61"/>
      <c r="N159">
        <v>2022</v>
      </c>
      <c r="O159" s="61">
        <f t="shared" si="71"/>
        <v>-3646.9248042304062</v>
      </c>
      <c r="P159" s="61">
        <f t="shared" si="71"/>
        <v>-3687.4187782385488</v>
      </c>
      <c r="Q159" s="61">
        <f t="shared" si="71"/>
        <v>4665.3836956246596</v>
      </c>
      <c r="R159" s="61">
        <f t="shared" si="71"/>
        <v>1755.5741436835351</v>
      </c>
      <c r="S159" s="61">
        <f t="shared" si="71"/>
        <v>1335.0995740463277</v>
      </c>
      <c r="T159" s="61">
        <f t="shared" si="71"/>
        <v>351.38884772155552</v>
      </c>
      <c r="U159" s="407"/>
      <c r="W159">
        <v>2022</v>
      </c>
      <c r="X159" s="61">
        <f t="shared" si="72"/>
        <v>-3661.1103491835365</v>
      </c>
      <c r="Y159" s="61">
        <f t="shared" si="72"/>
        <v>-3701.7618337298591</v>
      </c>
      <c r="Z159" s="61">
        <f t="shared" si="72"/>
        <v>4662.9249978349908</v>
      </c>
      <c r="AA159" s="61">
        <f t="shared" si="72"/>
        <v>1783.6131956967347</v>
      </c>
      <c r="AB159" s="61">
        <f t="shared" si="72"/>
        <v>1335.4063299689042</v>
      </c>
      <c r="AC159" s="61">
        <f t="shared" si="72"/>
        <v>356.10319990536664</v>
      </c>
      <c r="AD159" s="407"/>
      <c r="AG159">
        <v>2022</v>
      </c>
      <c r="AH159" s="61">
        <f t="shared" si="74"/>
        <v>-3633.1638835922349</v>
      </c>
      <c r="AI159" s="61">
        <f t="shared" si="75"/>
        <v>-3673.5050619183808</v>
      </c>
      <c r="AJ159" s="61">
        <f t="shared" si="73"/>
        <v>4266.6381639585034</v>
      </c>
      <c r="AK159" s="61">
        <f t="shared" si="73"/>
        <v>1552.6484250861267</v>
      </c>
      <c r="AL159" s="61">
        <f t="shared" si="73"/>
        <v>1093.052602325203</v>
      </c>
      <c r="AM159" s="61">
        <f t="shared" si="73"/>
        <v>394.32975414078265</v>
      </c>
      <c r="AN159" s="407"/>
    </row>
    <row r="160" spans="5:43">
      <c r="E160">
        <v>2023</v>
      </c>
      <c r="F160" s="431">
        <f t="shared" si="70"/>
        <v>-3649.2226064248207</v>
      </c>
      <c r="G160" s="431">
        <f t="shared" si="70"/>
        <v>-3685.1241442412102</v>
      </c>
      <c r="H160" s="431">
        <f t="shared" si="70"/>
        <v>4884.2388458896057</v>
      </c>
      <c r="I160" s="431">
        <f t="shared" si="70"/>
        <v>1585.0954037055044</v>
      </c>
      <c r="J160" s="431">
        <f t="shared" si="70"/>
        <v>1279.4432594766708</v>
      </c>
      <c r="K160" s="431">
        <f t="shared" si="70"/>
        <v>349.52501730379595</v>
      </c>
      <c r="L160" s="61"/>
      <c r="M160" s="61"/>
      <c r="N160">
        <v>2023</v>
      </c>
      <c r="O160" s="61">
        <f t="shared" si="71"/>
        <v>-3672.9544944311438</v>
      </c>
      <c r="P160" s="61">
        <f t="shared" si="71"/>
        <v>-3709.0895097211214</v>
      </c>
      <c r="Q160" s="61">
        <f t="shared" si="71"/>
        <v>4895.0319807272608</v>
      </c>
      <c r="R160" s="61">
        <f t="shared" si="71"/>
        <v>1619.7687310218116</v>
      </c>
      <c r="S160" s="61">
        <f t="shared" si="71"/>
        <v>1277.3813370043727</v>
      </c>
      <c r="T160" s="61">
        <f t="shared" si="71"/>
        <v>356.90872187322157</v>
      </c>
      <c r="U160" s="407"/>
      <c r="W160">
        <v>2023</v>
      </c>
      <c r="X160" s="61">
        <f t="shared" si="72"/>
        <v>-3694.2062139640529</v>
      </c>
      <c r="Y160" s="61">
        <f t="shared" si="72"/>
        <v>-3730.5503064999975</v>
      </c>
      <c r="Z160" s="61">
        <f t="shared" si="72"/>
        <v>4902.6283912185318</v>
      </c>
      <c r="AA160" s="61">
        <f t="shared" si="72"/>
        <v>1653.2283765835391</v>
      </c>
      <c r="AB160" s="61">
        <f t="shared" si="72"/>
        <v>1274.4977131236296</v>
      </c>
      <c r="AC160" s="61">
        <f t="shared" si="72"/>
        <v>364.02928641730523</v>
      </c>
      <c r="AD160" s="407"/>
      <c r="AG160">
        <v>2023</v>
      </c>
      <c r="AH160" s="61">
        <f t="shared" si="74"/>
        <v>-3652.3389152000846</v>
      </c>
      <c r="AI160" s="61">
        <f t="shared" si="75"/>
        <v>-3688.2711116770702</v>
      </c>
      <c r="AJ160" s="61">
        <f t="shared" si="73"/>
        <v>4467.5647292150761</v>
      </c>
      <c r="AK160" s="61">
        <f t="shared" si="73"/>
        <v>1426.8934183291606</v>
      </c>
      <c r="AL160" s="61">
        <f t="shared" si="73"/>
        <v>1047.8874380848831</v>
      </c>
      <c r="AM160" s="61">
        <f t="shared" si="73"/>
        <v>398.26444124803533</v>
      </c>
      <c r="AN160" s="407"/>
    </row>
    <row r="161" spans="5:40">
      <c r="E161">
        <v>2024</v>
      </c>
      <c r="F161" s="431">
        <f t="shared" si="70"/>
        <v>-3667.3104478912865</v>
      </c>
      <c r="G161" s="431">
        <f t="shared" si="70"/>
        <v>-3698.7549050906382</v>
      </c>
      <c r="H161" s="431">
        <f t="shared" si="70"/>
        <v>5084.6826200930809</v>
      </c>
      <c r="I161" s="431">
        <f t="shared" si="70"/>
        <v>1457.4009278515814</v>
      </c>
      <c r="J161" s="431">
        <f t="shared" si="70"/>
        <v>1229.5169967011857</v>
      </c>
      <c r="K161" s="431">
        <f t="shared" si="70"/>
        <v>352.45432808605347</v>
      </c>
      <c r="L161" s="61"/>
      <c r="M161" s="61"/>
      <c r="N161">
        <v>2024</v>
      </c>
      <c r="O161" s="61">
        <f t="shared" si="71"/>
        <v>-3698.913412086371</v>
      </c>
      <c r="P161" s="61">
        <f t="shared" si="71"/>
        <v>-3730.628841178921</v>
      </c>
      <c r="Q161" s="61">
        <f t="shared" si="71"/>
        <v>5113.2763345511339</v>
      </c>
      <c r="R161" s="61">
        <f t="shared" si="71"/>
        <v>1492.4509454232129</v>
      </c>
      <c r="S161" s="61">
        <f t="shared" si="71"/>
        <v>1223.2460692287418</v>
      </c>
      <c r="T161" s="61">
        <f t="shared" si="71"/>
        <v>362.13212084653014</v>
      </c>
      <c r="U161" s="407"/>
      <c r="W161">
        <v>2024</v>
      </c>
      <c r="X161" s="61">
        <f t="shared" si="72"/>
        <v>-3727.2136185976942</v>
      </c>
      <c r="Y161" s="61">
        <f t="shared" si="72"/>
        <v>-3759.1717008948253</v>
      </c>
      <c r="Z161" s="61">
        <f t="shared" si="72"/>
        <v>5136.9626585177139</v>
      </c>
      <c r="AA161" s="61">
        <f t="shared" si="72"/>
        <v>1526.7064809700696</v>
      </c>
      <c r="AB161" s="61">
        <f t="shared" si="72"/>
        <v>1215.4379426972901</v>
      </c>
      <c r="AC161" s="61">
        <f t="shared" si="72"/>
        <v>371.65720372196211</v>
      </c>
      <c r="AD161" s="407"/>
      <c r="AG161">
        <v>2024</v>
      </c>
      <c r="AH161" s="61">
        <f t="shared" si="74"/>
        <v>-3671.4603324103427</v>
      </c>
      <c r="AI161" s="61">
        <f t="shared" si="75"/>
        <v>-3702.9403717803325</v>
      </c>
      <c r="AJ161" s="61">
        <f t="shared" si="73"/>
        <v>4653.3765357953625</v>
      </c>
      <c r="AK161" s="61">
        <f t="shared" si="73"/>
        <v>1312.3975927785878</v>
      </c>
      <c r="AL161" s="61">
        <f t="shared" si="73"/>
        <v>1006.6794845953644</v>
      </c>
      <c r="AM161" s="61">
        <f t="shared" si="73"/>
        <v>401.94709102136028</v>
      </c>
      <c r="AN161" s="407"/>
    </row>
    <row r="162" spans="5:40">
      <c r="E162">
        <v>2025</v>
      </c>
      <c r="F162" s="431">
        <f t="shared" si="70"/>
        <v>-3685.3473678437622</v>
      </c>
      <c r="G162" s="431">
        <f t="shared" si="70"/>
        <v>-3712.2944801099147</v>
      </c>
      <c r="H162" s="431">
        <f t="shared" si="70"/>
        <v>5269.8042235447829</v>
      </c>
      <c r="I162" s="431">
        <f t="shared" si="70"/>
        <v>1341.3431221089877</v>
      </c>
      <c r="J162" s="431">
        <f t="shared" si="70"/>
        <v>1184.015810997721</v>
      </c>
      <c r="K162" s="431">
        <f t="shared" si="70"/>
        <v>355.20063664538316</v>
      </c>
      <c r="L162" s="61"/>
      <c r="M162" s="61"/>
      <c r="N162">
        <v>2025</v>
      </c>
      <c r="O162" s="61">
        <f t="shared" si="71"/>
        <v>-3724.8016934560637</v>
      </c>
      <c r="P162" s="61">
        <f t="shared" si="71"/>
        <v>-3752.0372941699934</v>
      </c>
      <c r="Q162" s="61">
        <f t="shared" si="71"/>
        <v>5320.6918946211736</v>
      </c>
      <c r="R162" s="61">
        <f t="shared" si="71"/>
        <v>1373.1801791318494</v>
      </c>
      <c r="S162" s="61">
        <f t="shared" si="71"/>
        <v>1172.5097805293694</v>
      </c>
      <c r="T162" s="61">
        <f t="shared" si="71"/>
        <v>367.07757078167856</v>
      </c>
      <c r="U162" s="407"/>
      <c r="W162">
        <v>2025</v>
      </c>
      <c r="X162" s="61">
        <f t="shared" si="72"/>
        <v>-3760.1327325225448</v>
      </c>
      <c r="Y162" s="61">
        <f t="shared" si="72"/>
        <v>-3787.626672378261</v>
      </c>
      <c r="Z162" s="61">
        <f t="shared" si="72"/>
        <v>5365.4952498541679</v>
      </c>
      <c r="AA162" s="61">
        <f t="shared" si="72"/>
        <v>1404.3570672396909</v>
      </c>
      <c r="AB162" s="61">
        <f t="shared" si="72"/>
        <v>1158.3757413967605</v>
      </c>
      <c r="AC162" s="61">
        <f t="shared" si="72"/>
        <v>378.98404633839914</v>
      </c>
      <c r="AD162" s="407"/>
      <c r="AG162">
        <v>2025</v>
      </c>
      <c r="AH162" s="61">
        <f t="shared" si="74"/>
        <v>-3690.528239298023</v>
      </c>
      <c r="AI162" s="61">
        <f t="shared" si="75"/>
        <v>-3717.5132338886287</v>
      </c>
      <c r="AJ162" s="61">
        <f t="shared" si="73"/>
        <v>4825.6938186204425</v>
      </c>
      <c r="AK162" s="61">
        <f t="shared" si="73"/>
        <v>1207.9423316203815</v>
      </c>
      <c r="AL162" s="61">
        <f t="shared" si="73"/>
        <v>969.00027982561994</v>
      </c>
      <c r="AM162" s="61">
        <f t="shared" si="73"/>
        <v>405.40504312020744</v>
      </c>
      <c r="AN162" s="407"/>
    </row>
    <row r="163" spans="5:40">
      <c r="E163">
        <v>2026</v>
      </c>
      <c r="F163" s="431">
        <f t="shared" si="70"/>
        <v>-3703.3334653237835</v>
      </c>
      <c r="G163" s="431">
        <f t="shared" si="70"/>
        <v>-3725.7432400359394</v>
      </c>
      <c r="H163" s="431">
        <f t="shared" si="70"/>
        <v>5441.3017985555198</v>
      </c>
      <c r="I163" s="431">
        <f t="shared" si="70"/>
        <v>1235.6194163676892</v>
      </c>
      <c r="J163" s="431">
        <f t="shared" si="70"/>
        <v>1142.4439507264742</v>
      </c>
      <c r="K163" s="431">
        <f t="shared" si="70"/>
        <v>357.78430189950927</v>
      </c>
      <c r="L163" s="61"/>
      <c r="M163" s="61"/>
      <c r="N163">
        <v>2026</v>
      </c>
      <c r="O163" s="61">
        <f t="shared" si="71"/>
        <v>-3750.619474570125</v>
      </c>
      <c r="P163" s="61">
        <f t="shared" si="71"/>
        <v>-3773.3153884658532</v>
      </c>
      <c r="Q163" s="61">
        <f t="shared" si="71"/>
        <v>5517.8479798619592</v>
      </c>
      <c r="R163" s="61">
        <f t="shared" si="71"/>
        <v>1261.52102395785</v>
      </c>
      <c r="S163" s="61">
        <f t="shared" si="71"/>
        <v>1124.9901899907168</v>
      </c>
      <c r="T163" s="61">
        <f t="shared" si="71"/>
        <v>371.76293827949235</v>
      </c>
      <c r="U163" s="407"/>
      <c r="W163">
        <v>2026</v>
      </c>
      <c r="X163" s="61">
        <f t="shared" si="72"/>
        <v>-3792.9637248913041</v>
      </c>
      <c r="Y163" s="61">
        <f t="shared" si="72"/>
        <v>-3815.9158741811516</v>
      </c>
      <c r="Z163" s="61">
        <f t="shared" si="72"/>
        <v>5587.878936972309</v>
      </c>
      <c r="AA163" s="61">
        <f t="shared" si="72"/>
        <v>1286.4271099838052</v>
      </c>
      <c r="AB163" s="61">
        <f t="shared" si="72"/>
        <v>1103.4294643147759</v>
      </c>
      <c r="AC163" s="61">
        <f t="shared" si="72"/>
        <v>386.00958051955126</v>
      </c>
      <c r="AD163" s="407"/>
      <c r="AG163">
        <v>2026</v>
      </c>
      <c r="AH163" s="61">
        <f t="shared" si="74"/>
        <v>-3709.5427397617141</v>
      </c>
      <c r="AI163" s="61">
        <f t="shared" si="75"/>
        <v>-3731.990088309059</v>
      </c>
      <c r="AJ163" s="61">
        <f t="shared" si="73"/>
        <v>4985.9289938408028</v>
      </c>
      <c r="AK163" s="61">
        <f t="shared" si="73"/>
        <v>1112.4654055472761</v>
      </c>
      <c r="AL163" s="61">
        <f t="shared" si="73"/>
        <v>934.47629486802339</v>
      </c>
      <c r="AM163" s="61">
        <f t="shared" si="73"/>
        <v>408.66213381467003</v>
      </c>
      <c r="AN163" s="407"/>
    </row>
    <row r="164" spans="5:40">
      <c r="E164">
        <v>2027</v>
      </c>
      <c r="F164" s="431">
        <f t="shared" si="70"/>
        <v>-3721.2688392048422</v>
      </c>
      <c r="G164" s="431">
        <f t="shared" si="70"/>
        <v>-3739.1015543218346</v>
      </c>
      <c r="H164" s="431">
        <f t="shared" si="70"/>
        <v>5600.6454273049785</v>
      </c>
      <c r="I164" s="431">
        <f t="shared" si="70"/>
        <v>1139.1022471831766</v>
      </c>
      <c r="J164" s="431">
        <f t="shared" si="70"/>
        <v>1104.3722333729429</v>
      </c>
      <c r="K164" s="431">
        <f t="shared" si="70"/>
        <v>360.22295768547747</v>
      </c>
      <c r="L164" s="61"/>
      <c r="M164" s="61"/>
      <c r="N164">
        <v>2027</v>
      </c>
      <c r="O164" s="61">
        <f t="shared" si="71"/>
        <v>-3776.3668912287558</v>
      </c>
      <c r="P164" s="61">
        <f t="shared" si="71"/>
        <v>-3794.4636420571442</v>
      </c>
      <c r="Q164" s="61">
        <f t="shared" si="71"/>
        <v>5705.3030457727946</v>
      </c>
      <c r="R164" s="61">
        <f t="shared" si="71"/>
        <v>1157.0470143170787</v>
      </c>
      <c r="S164" s="61">
        <f t="shared" si="71"/>
        <v>1080.5083700129017</v>
      </c>
      <c r="T164" s="61">
        <f t="shared" si="71"/>
        <v>376.20534782151867</v>
      </c>
      <c r="U164" s="407"/>
      <c r="W164">
        <v>2027</v>
      </c>
      <c r="X164" s="61">
        <f t="shared" si="72"/>
        <v>-3825.7067645717452</v>
      </c>
      <c r="Y164" s="61">
        <f t="shared" si="72"/>
        <v>-3844.0399573083232</v>
      </c>
      <c r="Z164" s="61">
        <f t="shared" si="72"/>
        <v>5803.8473700044706</v>
      </c>
      <c r="AA164" s="61">
        <f t="shared" si="72"/>
        <v>1173.1043640192447</v>
      </c>
      <c r="AB164" s="61">
        <f t="shared" si="72"/>
        <v>1050.6887557738137</v>
      </c>
      <c r="AC164" s="61">
        <f t="shared" si="72"/>
        <v>392.73596778529895</v>
      </c>
      <c r="AD164" s="407"/>
      <c r="AG164">
        <v>2027</v>
      </c>
      <c r="AH164" s="61">
        <f t="shared" si="74"/>
        <v>-3728.5039375238703</v>
      </c>
      <c r="AI164" s="61">
        <f t="shared" si="75"/>
        <v>-3746.3713239996764</v>
      </c>
      <c r="AJ164" s="61">
        <f t="shared" si="73"/>
        <v>5135.3173927858907</v>
      </c>
      <c r="AK164" s="61">
        <f t="shared" si="73"/>
        <v>1025.0378478947393</v>
      </c>
      <c r="AL164" s="61">
        <f t="shared" si="73"/>
        <v>902.78081234864749</v>
      </c>
      <c r="AM164" s="61">
        <f t="shared" si="73"/>
        <v>411.73920849426804</v>
      </c>
      <c r="AN164" s="407"/>
    </row>
    <row r="165" spans="5:40">
      <c r="E165">
        <v>2028</v>
      </c>
      <c r="F165" s="431">
        <f t="shared" si="70"/>
        <v>-3739.1535881926575</v>
      </c>
      <c r="G165" s="431">
        <f t="shared" si="70"/>
        <v>-3752.3697911410491</v>
      </c>
      <c r="H165" s="431">
        <f t="shared" si="70"/>
        <v>5749.1127697213924</v>
      </c>
      <c r="I165" s="431">
        <f t="shared" si="70"/>
        <v>1050.8117147687349</v>
      </c>
      <c r="J165" s="431">
        <f t="shared" si="70"/>
        <v>1069.4276444661673</v>
      </c>
      <c r="K165" s="431">
        <f t="shared" si="70"/>
        <v>362.53193387667397</v>
      </c>
      <c r="L165" s="61"/>
      <c r="M165" s="61"/>
      <c r="N165">
        <v>2028</v>
      </c>
      <c r="O165" s="61">
        <f t="shared" si="71"/>
        <v>-3802.0440790028115</v>
      </c>
      <c r="P165" s="61">
        <f t="shared" si="71"/>
        <v>-3815.4825711593039</v>
      </c>
      <c r="Q165" s="61">
        <f t="shared" si="71"/>
        <v>5883.6007337284027</v>
      </c>
      <c r="R165" s="61">
        <f t="shared" si="71"/>
        <v>1059.3435453316238</v>
      </c>
      <c r="S165" s="61">
        <f t="shared" si="71"/>
        <v>1038.8900366066214</v>
      </c>
      <c r="T165" s="61">
        <f t="shared" si="71"/>
        <v>380.42112545701161</v>
      </c>
      <c r="U165" s="407"/>
      <c r="W165">
        <v>2028</v>
      </c>
      <c r="X165" s="61">
        <f t="shared" si="72"/>
        <v>-3858.3620201471676</v>
      </c>
      <c r="Y165" s="61">
        <f t="shared" si="72"/>
        <v>-3871.9995705456458</v>
      </c>
      <c r="Z165" s="61">
        <f t="shared" si="72"/>
        <v>6013.2096248456655</v>
      </c>
      <c r="AA165" s="61">
        <f t="shared" si="72"/>
        <v>1064.5214539977569</v>
      </c>
      <c r="AB165" s="61">
        <f t="shared" si="72"/>
        <v>1000.2165546914848</v>
      </c>
      <c r="AC165" s="61">
        <f t="shared" si="72"/>
        <v>399.16747625212429</v>
      </c>
      <c r="AD165" s="407"/>
      <c r="AG165">
        <v>2028</v>
      </c>
      <c r="AH165" s="61">
        <f t="shared" si="74"/>
        <v>-3747.4119361310918</v>
      </c>
      <c r="AI165" s="61">
        <f t="shared" si="75"/>
        <v>-3760.6573285737913</v>
      </c>
      <c r="AJ165" s="61">
        <f t="shared" si="73"/>
        <v>5274.942875543531</v>
      </c>
      <c r="AK165" s="61">
        <f t="shared" si="73"/>
        <v>944.84468126350328</v>
      </c>
      <c r="AL165" s="61">
        <f t="shared" si="73"/>
        <v>873.62715788857543</v>
      </c>
      <c r="AM165" s="61">
        <f t="shared" si="73"/>
        <v>414.6545500092729</v>
      </c>
      <c r="AN165" s="407"/>
    </row>
    <row r="166" spans="5:40">
      <c r="E166">
        <v>2029</v>
      </c>
      <c r="F166" s="431">
        <f t="shared" si="70"/>
        <v>-3756.9878108254416</v>
      </c>
      <c r="G166" s="431">
        <f t="shared" si="70"/>
        <v>-3765.5483173914508</v>
      </c>
      <c r="H166" s="431">
        <f t="shared" si="70"/>
        <v>5887.8183844080195</v>
      </c>
      <c r="I166" s="431">
        <f t="shared" si="70"/>
        <v>969.89308531347251</v>
      </c>
      <c r="J166" s="431">
        <f t="shared" si="70"/>
        <v>1037.2847802473407</v>
      </c>
      <c r="K166" s="431">
        <f t="shared" si="70"/>
        <v>364.72460382068948</v>
      </c>
      <c r="L166" s="61"/>
      <c r="M166" s="61"/>
      <c r="N166">
        <v>2029</v>
      </c>
      <c r="O166" s="61">
        <f t="shared" si="71"/>
        <v>-3827.6511732341623</v>
      </c>
      <c r="P166" s="61">
        <f t="shared" si="71"/>
        <v>-3836.3726902181879</v>
      </c>
      <c r="Q166" s="61">
        <f t="shared" si="71"/>
        <v>6053.2668662224314</v>
      </c>
      <c r="R166" s="61">
        <f t="shared" si="71"/>
        <v>968.01007890633218</v>
      </c>
      <c r="S166" s="61">
        <f t="shared" si="71"/>
        <v>999.96653358445747</v>
      </c>
      <c r="T166" s="61">
        <f t="shared" si="71"/>
        <v>384.42576445203622</v>
      </c>
      <c r="U166" s="407"/>
      <c r="W166">
        <v>2029</v>
      </c>
      <c r="X166" s="61">
        <f t="shared" si="72"/>
        <v>-3890.9296599168301</v>
      </c>
      <c r="Y166" s="61">
        <f t="shared" si="72"/>
        <v>-3899.7953604670511</v>
      </c>
      <c r="Z166" s="61">
        <f t="shared" si="72"/>
        <v>6215.8440280463983</v>
      </c>
      <c r="AA166" s="61">
        <f t="shared" si="72"/>
        <v>960.7604789396014</v>
      </c>
      <c r="AB166" s="61">
        <f t="shared" si="72"/>
        <v>952.05134618656666</v>
      </c>
      <c r="AC166" s="61">
        <f t="shared" si="72"/>
        <v>405.3101890436858</v>
      </c>
      <c r="AD166" s="407"/>
      <c r="AG166">
        <v>2029</v>
      </c>
      <c r="AH166" s="61">
        <f t="shared" si="74"/>
        <v>-3766.2668389543937</v>
      </c>
      <c r="AI166" s="61">
        <f t="shared" si="75"/>
        <v>-3774.8484883042588</v>
      </c>
      <c r="AJ166" s="61">
        <f t="shared" si="73"/>
        <v>5405.7592687741289</v>
      </c>
      <c r="AK166" s="61">
        <f t="shared" si="73"/>
        <v>871.16878536896684</v>
      </c>
      <c r="AL166" s="61">
        <f t="shared" si="73"/>
        <v>846.76303498129198</v>
      </c>
      <c r="AM166" s="61">
        <f t="shared" si="73"/>
        <v>417.42423813426342</v>
      </c>
      <c r="AN166" s="407"/>
    </row>
    <row r="167" spans="5:40">
      <c r="E167">
        <v>2030</v>
      </c>
      <c r="F167" s="431">
        <f t="shared" ref="F167:K174" si="76">F129-F148</f>
        <v>-3774.7716054741632</v>
      </c>
      <c r="G167" s="431">
        <f t="shared" si="76"/>
        <v>-3778.6374986994088</v>
      </c>
      <c r="H167" s="431">
        <f t="shared" si="76"/>
        <v>6017.737978894962</v>
      </c>
      <c r="I167" s="431">
        <f t="shared" si="76"/>
        <v>895.59818296703452</v>
      </c>
      <c r="J167" s="431">
        <f t="shared" si="76"/>
        <v>1007.6587702854445</v>
      </c>
      <c r="K167" s="431">
        <f t="shared" si="76"/>
        <v>366.81267244723995</v>
      </c>
      <c r="L167" s="61"/>
      <c r="M167" s="61"/>
      <c r="N167">
        <v>2030</v>
      </c>
      <c r="O167" s="61">
        <f t="shared" ref="O167:T174" si="77">O129-O148</f>
        <v>-3853.1883090360661</v>
      </c>
      <c r="P167" s="61">
        <f t="shared" si="77"/>
        <v>-3857.1345119157086</v>
      </c>
      <c r="Q167" s="61">
        <f t="shared" si="77"/>
        <v>6214.8072495972301</v>
      </c>
      <c r="R167" s="61">
        <f t="shared" si="77"/>
        <v>882.66174306176481</v>
      </c>
      <c r="S167" s="61">
        <f t="shared" si="77"/>
        <v>963.57555521599488</v>
      </c>
      <c r="T167" s="61">
        <f t="shared" si="77"/>
        <v>388.23390901749576</v>
      </c>
      <c r="U167" s="407"/>
      <c r="W167">
        <v>2030</v>
      </c>
      <c r="X167" s="61">
        <f t="shared" ref="X167:AC174" si="78">X129-X148</f>
        <v>-3923.4098518964129</v>
      </c>
      <c r="Y167" s="61">
        <f t="shared" si="78"/>
        <v>-3927.4279714415316</v>
      </c>
      <c r="Z167" s="61">
        <f t="shared" si="78"/>
        <v>6411.6915245788223</v>
      </c>
      <c r="AA167" s="61">
        <f t="shared" si="78"/>
        <v>861.8579373662642</v>
      </c>
      <c r="AB167" s="61">
        <f t="shared" si="78"/>
        <v>906.20956521090375</v>
      </c>
      <c r="AC167" s="61">
        <f t="shared" si="78"/>
        <v>411.17171768489698</v>
      </c>
      <c r="AD167" s="407"/>
      <c r="AG167">
        <v>2030</v>
      </c>
      <c r="AH167" s="61">
        <f t="shared" si="74"/>
        <v>-3785.0687491894864</v>
      </c>
      <c r="AI167" s="61">
        <f t="shared" si="75"/>
        <v>-3788.9451881277701</v>
      </c>
      <c r="AJ167" s="61">
        <f t="shared" si="73"/>
        <v>5528.6083819256401</v>
      </c>
      <c r="AK167" s="61">
        <f t="shared" si="73"/>
        <v>803.37733899633542</v>
      </c>
      <c r="AL167" s="61">
        <f t="shared" si="73"/>
        <v>821.96576398697198</v>
      </c>
      <c r="AM167" s="61">
        <f t="shared" si="73"/>
        <v>420.06245240830856</v>
      </c>
      <c r="AN167" s="407"/>
    </row>
    <row r="168" spans="5:40">
      <c r="E168">
        <v>2040</v>
      </c>
      <c r="F168" s="431">
        <f t="shared" si="76"/>
        <v>0</v>
      </c>
      <c r="G168" s="431">
        <f t="shared" si="76"/>
        <v>0</v>
      </c>
      <c r="H168" s="431">
        <f t="shared" si="76"/>
        <v>0</v>
      </c>
      <c r="I168" s="431">
        <f t="shared" si="76"/>
        <v>0</v>
      </c>
      <c r="J168" s="431">
        <f t="shared" si="76"/>
        <v>0</v>
      </c>
      <c r="K168" s="431">
        <f t="shared" si="76"/>
        <v>0</v>
      </c>
      <c r="L168" s="61"/>
      <c r="M168" s="61"/>
      <c r="N168">
        <v>2040</v>
      </c>
      <c r="O168" s="61">
        <f t="shared" si="77"/>
        <v>0</v>
      </c>
      <c r="P168" s="61">
        <f t="shared" si="77"/>
        <v>0</v>
      </c>
      <c r="Q168" s="61">
        <f t="shared" si="77"/>
        <v>0</v>
      </c>
      <c r="R168" s="61">
        <f t="shared" si="77"/>
        <v>0</v>
      </c>
      <c r="S168" s="61">
        <f t="shared" si="77"/>
        <v>0</v>
      </c>
      <c r="T168" s="61">
        <f t="shared" si="77"/>
        <v>0</v>
      </c>
      <c r="U168" s="407"/>
      <c r="W168">
        <v>2040</v>
      </c>
      <c r="X168" s="61">
        <f t="shared" si="78"/>
        <v>0</v>
      </c>
      <c r="Y168" s="61">
        <f t="shared" si="78"/>
        <v>0</v>
      </c>
      <c r="Z168" s="61">
        <f t="shared" si="78"/>
        <v>0</v>
      </c>
      <c r="AA168" s="61">
        <f t="shared" si="78"/>
        <v>0</v>
      </c>
      <c r="AB168" s="61">
        <f t="shared" si="78"/>
        <v>0</v>
      </c>
      <c r="AC168" s="61">
        <f t="shared" si="78"/>
        <v>0</v>
      </c>
      <c r="AD168" s="407"/>
      <c r="AG168">
        <v>2040</v>
      </c>
      <c r="AH168" s="61">
        <f>-AH54*$C$11</f>
        <v>0</v>
      </c>
      <c r="AI168" s="61">
        <f>-AI54*$C$10</f>
        <v>0</v>
      </c>
      <c r="AJ168" s="61">
        <f t="shared" si="73"/>
        <v>0</v>
      </c>
      <c r="AK168" s="61">
        <f t="shared" si="73"/>
        <v>0</v>
      </c>
      <c r="AL168" s="61">
        <f t="shared" si="73"/>
        <v>0</v>
      </c>
      <c r="AM168" s="61">
        <f t="shared" si="73"/>
        <v>0</v>
      </c>
      <c r="AN168" s="407"/>
    </row>
    <row r="169" spans="5:40">
      <c r="E169">
        <v>2050</v>
      </c>
      <c r="F169" s="431">
        <f t="shared" si="76"/>
        <v>0</v>
      </c>
      <c r="G169" s="431">
        <f t="shared" si="76"/>
        <v>0</v>
      </c>
      <c r="H169" s="431">
        <f t="shared" si="76"/>
        <v>0</v>
      </c>
      <c r="I169" s="431">
        <f t="shared" si="76"/>
        <v>0</v>
      </c>
      <c r="J169" s="431">
        <f t="shared" si="76"/>
        <v>0</v>
      </c>
      <c r="K169" s="431">
        <f t="shared" si="76"/>
        <v>0</v>
      </c>
      <c r="L169" s="61"/>
      <c r="M169" s="61"/>
      <c r="N169">
        <v>2050</v>
      </c>
      <c r="O169" s="61">
        <f t="shared" si="77"/>
        <v>0</v>
      </c>
      <c r="P169" s="61">
        <f t="shared" si="77"/>
        <v>0</v>
      </c>
      <c r="Q169" s="61">
        <f t="shared" si="77"/>
        <v>0</v>
      </c>
      <c r="R169" s="61">
        <f t="shared" si="77"/>
        <v>0</v>
      </c>
      <c r="S169" s="61">
        <f t="shared" si="77"/>
        <v>0</v>
      </c>
      <c r="T169" s="61">
        <f t="shared" si="77"/>
        <v>0</v>
      </c>
      <c r="U169" s="407"/>
      <c r="W169">
        <v>2050</v>
      </c>
      <c r="X169" s="61">
        <f t="shared" si="78"/>
        <v>0</v>
      </c>
      <c r="Y169" s="61">
        <f t="shared" si="78"/>
        <v>0</v>
      </c>
      <c r="Z169" s="61">
        <f t="shared" si="78"/>
        <v>0</v>
      </c>
      <c r="AA169" s="61">
        <f t="shared" si="78"/>
        <v>0</v>
      </c>
      <c r="AB169" s="61">
        <f t="shared" si="78"/>
        <v>0</v>
      </c>
      <c r="AC169" s="61">
        <f t="shared" si="78"/>
        <v>0</v>
      </c>
      <c r="AD169" s="407"/>
      <c r="AG169">
        <v>2050</v>
      </c>
      <c r="AH169" s="61">
        <f t="shared" ref="AH169:AH174" si="79">-AH55*$C$11</f>
        <v>0</v>
      </c>
      <c r="AI169" s="61">
        <f t="shared" ref="AI169:AI174" si="80">-AI55*$C$10</f>
        <v>0</v>
      </c>
      <c r="AJ169" s="61">
        <f t="shared" si="73"/>
        <v>0</v>
      </c>
      <c r="AK169" s="61">
        <f t="shared" si="73"/>
        <v>0</v>
      </c>
      <c r="AL169" s="61">
        <f t="shared" si="73"/>
        <v>0</v>
      </c>
      <c r="AM169" s="61">
        <f t="shared" si="73"/>
        <v>0</v>
      </c>
      <c r="AN169" s="407"/>
    </row>
    <row r="170" spans="5:40">
      <c r="E170">
        <v>2060</v>
      </c>
      <c r="F170" s="431">
        <f t="shared" si="76"/>
        <v>0</v>
      </c>
      <c r="G170" s="431">
        <f t="shared" si="76"/>
        <v>0</v>
      </c>
      <c r="H170" s="431">
        <f t="shared" si="76"/>
        <v>0</v>
      </c>
      <c r="I170" s="431">
        <f t="shared" si="76"/>
        <v>0</v>
      </c>
      <c r="J170" s="431">
        <f t="shared" si="76"/>
        <v>0</v>
      </c>
      <c r="K170" s="431">
        <f t="shared" si="76"/>
        <v>0</v>
      </c>
      <c r="L170" s="61"/>
      <c r="M170" s="61"/>
      <c r="N170">
        <v>2060</v>
      </c>
      <c r="O170" s="61">
        <f t="shared" si="77"/>
        <v>0</v>
      </c>
      <c r="P170" s="61">
        <f t="shared" si="77"/>
        <v>0</v>
      </c>
      <c r="Q170" s="61">
        <f t="shared" si="77"/>
        <v>0</v>
      </c>
      <c r="R170" s="61">
        <f t="shared" si="77"/>
        <v>0</v>
      </c>
      <c r="S170" s="61">
        <f t="shared" si="77"/>
        <v>0</v>
      </c>
      <c r="T170" s="61">
        <f t="shared" si="77"/>
        <v>0</v>
      </c>
      <c r="U170" s="407"/>
      <c r="W170">
        <v>2060</v>
      </c>
      <c r="X170" s="61">
        <f t="shared" si="78"/>
        <v>0</v>
      </c>
      <c r="Y170" s="61">
        <f t="shared" si="78"/>
        <v>0</v>
      </c>
      <c r="Z170" s="61">
        <f t="shared" si="78"/>
        <v>0</v>
      </c>
      <c r="AA170" s="61">
        <f t="shared" si="78"/>
        <v>0</v>
      </c>
      <c r="AB170" s="61">
        <f t="shared" si="78"/>
        <v>0</v>
      </c>
      <c r="AC170" s="61">
        <f t="shared" si="78"/>
        <v>0</v>
      </c>
      <c r="AD170" s="407"/>
      <c r="AG170">
        <v>2060</v>
      </c>
      <c r="AH170" s="61">
        <f t="shared" si="79"/>
        <v>0</v>
      </c>
      <c r="AI170" s="61">
        <f t="shared" si="80"/>
        <v>0</v>
      </c>
      <c r="AJ170" s="61">
        <f t="shared" si="73"/>
        <v>0</v>
      </c>
      <c r="AK170" s="61">
        <f t="shared" si="73"/>
        <v>0</v>
      </c>
      <c r="AL170" s="61">
        <f t="shared" si="73"/>
        <v>0</v>
      </c>
      <c r="AM170" s="61">
        <f t="shared" si="73"/>
        <v>0</v>
      </c>
      <c r="AN170" s="407"/>
    </row>
    <row r="171" spans="5:40">
      <c r="E171">
        <v>2070</v>
      </c>
      <c r="F171" s="431">
        <f t="shared" si="76"/>
        <v>0</v>
      </c>
      <c r="G171" s="431">
        <f t="shared" si="76"/>
        <v>0</v>
      </c>
      <c r="H171" s="431">
        <f t="shared" si="76"/>
        <v>0</v>
      </c>
      <c r="I171" s="431">
        <f t="shared" si="76"/>
        <v>0</v>
      </c>
      <c r="J171" s="431">
        <f t="shared" si="76"/>
        <v>0</v>
      </c>
      <c r="K171" s="431">
        <f t="shared" si="76"/>
        <v>0</v>
      </c>
      <c r="L171" s="61"/>
      <c r="M171" s="61"/>
      <c r="N171">
        <v>2070</v>
      </c>
      <c r="O171" s="61">
        <f t="shared" si="77"/>
        <v>0</v>
      </c>
      <c r="P171" s="61">
        <f t="shared" si="77"/>
        <v>0</v>
      </c>
      <c r="Q171" s="61">
        <f t="shared" si="77"/>
        <v>0</v>
      </c>
      <c r="R171" s="61">
        <f t="shared" si="77"/>
        <v>0</v>
      </c>
      <c r="S171" s="61">
        <f t="shared" si="77"/>
        <v>0</v>
      </c>
      <c r="T171" s="61">
        <f t="shared" si="77"/>
        <v>0</v>
      </c>
      <c r="U171" s="407"/>
      <c r="W171">
        <v>2070</v>
      </c>
      <c r="X171" s="61">
        <f t="shared" si="78"/>
        <v>0</v>
      </c>
      <c r="Y171" s="61">
        <f t="shared" si="78"/>
        <v>0</v>
      </c>
      <c r="Z171" s="61">
        <f t="shared" si="78"/>
        <v>0</v>
      </c>
      <c r="AA171" s="61">
        <f t="shared" si="78"/>
        <v>0</v>
      </c>
      <c r="AB171" s="61">
        <f t="shared" si="78"/>
        <v>0</v>
      </c>
      <c r="AC171" s="61">
        <f t="shared" si="78"/>
        <v>0</v>
      </c>
      <c r="AD171" s="407"/>
      <c r="AG171">
        <v>2070</v>
      </c>
      <c r="AH171" s="61">
        <f t="shared" si="79"/>
        <v>0</v>
      </c>
      <c r="AI171" s="61">
        <f t="shared" si="80"/>
        <v>0</v>
      </c>
      <c r="AJ171" s="61">
        <f t="shared" si="73"/>
        <v>0</v>
      </c>
      <c r="AK171" s="61">
        <f t="shared" si="73"/>
        <v>0</v>
      </c>
      <c r="AL171" s="61">
        <f t="shared" si="73"/>
        <v>0</v>
      </c>
      <c r="AM171" s="61">
        <f t="shared" si="73"/>
        <v>0</v>
      </c>
      <c r="AN171" s="407"/>
    </row>
    <row r="172" spans="5:40">
      <c r="E172">
        <v>2080</v>
      </c>
      <c r="F172" s="431">
        <f t="shared" si="76"/>
        <v>0</v>
      </c>
      <c r="G172" s="431">
        <f t="shared" si="76"/>
        <v>0</v>
      </c>
      <c r="H172" s="431">
        <f t="shared" si="76"/>
        <v>0</v>
      </c>
      <c r="I172" s="431">
        <f t="shared" si="76"/>
        <v>0</v>
      </c>
      <c r="J172" s="431">
        <f t="shared" si="76"/>
        <v>0</v>
      </c>
      <c r="K172" s="431">
        <f t="shared" si="76"/>
        <v>0</v>
      </c>
      <c r="L172" s="61"/>
      <c r="M172" s="61"/>
      <c r="N172">
        <v>2080</v>
      </c>
      <c r="O172" s="61">
        <f t="shared" si="77"/>
        <v>0</v>
      </c>
      <c r="P172" s="61">
        <f t="shared" si="77"/>
        <v>0</v>
      </c>
      <c r="Q172" s="61">
        <f t="shared" si="77"/>
        <v>0</v>
      </c>
      <c r="R172" s="61">
        <f t="shared" si="77"/>
        <v>0</v>
      </c>
      <c r="S172" s="61">
        <f t="shared" si="77"/>
        <v>0</v>
      </c>
      <c r="T172" s="61">
        <f t="shared" si="77"/>
        <v>0</v>
      </c>
      <c r="U172" s="407"/>
      <c r="W172">
        <v>2080</v>
      </c>
      <c r="X172" s="61">
        <f t="shared" si="78"/>
        <v>0</v>
      </c>
      <c r="Y172" s="61">
        <f t="shared" si="78"/>
        <v>0</v>
      </c>
      <c r="Z172" s="61">
        <f t="shared" si="78"/>
        <v>0</v>
      </c>
      <c r="AA172" s="61">
        <f t="shared" si="78"/>
        <v>0</v>
      </c>
      <c r="AB172" s="61">
        <f t="shared" si="78"/>
        <v>0</v>
      </c>
      <c r="AC172" s="61">
        <f t="shared" si="78"/>
        <v>0</v>
      </c>
      <c r="AD172" s="407"/>
      <c r="AG172">
        <v>2080</v>
      </c>
      <c r="AH172" s="61">
        <f t="shared" si="79"/>
        <v>0</v>
      </c>
      <c r="AI172" s="61">
        <f t="shared" si="80"/>
        <v>0</v>
      </c>
      <c r="AJ172" s="61">
        <f t="shared" si="73"/>
        <v>0</v>
      </c>
      <c r="AK172" s="61">
        <f t="shared" si="73"/>
        <v>0</v>
      </c>
      <c r="AL172" s="61">
        <f t="shared" si="73"/>
        <v>0</v>
      </c>
      <c r="AM172" s="61">
        <f t="shared" si="73"/>
        <v>0</v>
      </c>
      <c r="AN172" s="407"/>
    </row>
    <row r="173" spans="5:40">
      <c r="E173">
        <v>2090</v>
      </c>
      <c r="F173" s="431">
        <f t="shared" si="76"/>
        <v>0</v>
      </c>
      <c r="G173" s="431">
        <f t="shared" si="76"/>
        <v>0</v>
      </c>
      <c r="H173" s="431">
        <f t="shared" si="76"/>
        <v>0</v>
      </c>
      <c r="I173" s="431">
        <f t="shared" si="76"/>
        <v>0</v>
      </c>
      <c r="J173" s="431">
        <f t="shared" si="76"/>
        <v>0</v>
      </c>
      <c r="K173" s="431">
        <f t="shared" si="76"/>
        <v>0</v>
      </c>
      <c r="L173" s="61"/>
      <c r="M173" s="61"/>
      <c r="N173">
        <v>2090</v>
      </c>
      <c r="O173" s="61">
        <f t="shared" si="77"/>
        <v>0</v>
      </c>
      <c r="P173" s="61">
        <f t="shared" si="77"/>
        <v>0</v>
      </c>
      <c r="Q173" s="61">
        <f t="shared" si="77"/>
        <v>0</v>
      </c>
      <c r="R173" s="61">
        <f t="shared" si="77"/>
        <v>0</v>
      </c>
      <c r="S173" s="61">
        <f t="shared" si="77"/>
        <v>0</v>
      </c>
      <c r="T173" s="61">
        <f t="shared" si="77"/>
        <v>0</v>
      </c>
      <c r="U173" s="407"/>
      <c r="W173">
        <v>2090</v>
      </c>
      <c r="X173" s="61">
        <f t="shared" si="78"/>
        <v>0</v>
      </c>
      <c r="Y173" s="61">
        <f t="shared" si="78"/>
        <v>0</v>
      </c>
      <c r="Z173" s="61">
        <f t="shared" si="78"/>
        <v>0</v>
      </c>
      <c r="AA173" s="61">
        <f t="shared" si="78"/>
        <v>0</v>
      </c>
      <c r="AB173" s="61">
        <f t="shared" si="78"/>
        <v>0</v>
      </c>
      <c r="AC173" s="61">
        <f t="shared" si="78"/>
        <v>0</v>
      </c>
      <c r="AD173" s="407"/>
      <c r="AG173">
        <v>2090</v>
      </c>
      <c r="AH173" s="61">
        <f t="shared" si="79"/>
        <v>0</v>
      </c>
      <c r="AI173" s="61">
        <f t="shared" si="80"/>
        <v>0</v>
      </c>
      <c r="AJ173" s="61">
        <f t="shared" si="73"/>
        <v>0</v>
      </c>
      <c r="AK173" s="61">
        <f t="shared" si="73"/>
        <v>0</v>
      </c>
      <c r="AL173" s="61">
        <f t="shared" si="73"/>
        <v>0</v>
      </c>
      <c r="AM173" s="61">
        <f t="shared" si="73"/>
        <v>0</v>
      </c>
      <c r="AN173" s="407"/>
    </row>
    <row r="174" spans="5:40">
      <c r="E174">
        <v>2100</v>
      </c>
      <c r="F174" s="431">
        <f t="shared" si="76"/>
        <v>0</v>
      </c>
      <c r="G174" s="431">
        <f t="shared" si="76"/>
        <v>0</v>
      </c>
      <c r="H174" s="431">
        <f t="shared" si="76"/>
        <v>0</v>
      </c>
      <c r="I174" s="431">
        <f t="shared" si="76"/>
        <v>0</v>
      </c>
      <c r="J174" s="431">
        <f t="shared" si="76"/>
        <v>0</v>
      </c>
      <c r="K174" s="431">
        <f t="shared" si="76"/>
        <v>0</v>
      </c>
      <c r="L174" s="61"/>
      <c r="M174" s="61"/>
      <c r="N174">
        <v>2100</v>
      </c>
      <c r="O174" s="61">
        <f t="shared" si="77"/>
        <v>0</v>
      </c>
      <c r="P174" s="61">
        <f t="shared" si="77"/>
        <v>0</v>
      </c>
      <c r="Q174" s="61">
        <f t="shared" si="77"/>
        <v>0</v>
      </c>
      <c r="R174" s="61">
        <f t="shared" si="77"/>
        <v>0</v>
      </c>
      <c r="S174" s="61">
        <f t="shared" si="77"/>
        <v>0</v>
      </c>
      <c r="T174" s="61">
        <f t="shared" si="77"/>
        <v>0</v>
      </c>
      <c r="U174" s="407"/>
      <c r="W174">
        <v>2100</v>
      </c>
      <c r="X174" s="61">
        <f t="shared" si="78"/>
        <v>0</v>
      </c>
      <c r="Y174" s="61">
        <f t="shared" si="78"/>
        <v>0</v>
      </c>
      <c r="Z174" s="61">
        <f t="shared" si="78"/>
        <v>0</v>
      </c>
      <c r="AA174" s="61">
        <f t="shared" si="78"/>
        <v>0</v>
      </c>
      <c r="AB174" s="61">
        <f t="shared" si="78"/>
        <v>0</v>
      </c>
      <c r="AC174" s="61">
        <f t="shared" si="78"/>
        <v>0</v>
      </c>
      <c r="AD174" s="407"/>
      <c r="AG174">
        <v>2100</v>
      </c>
      <c r="AH174" s="61">
        <f t="shared" si="79"/>
        <v>0</v>
      </c>
      <c r="AI174" s="61">
        <f t="shared" si="80"/>
        <v>0</v>
      </c>
      <c r="AJ174" s="61">
        <f t="shared" si="73"/>
        <v>0</v>
      </c>
      <c r="AK174" s="61">
        <f t="shared" si="73"/>
        <v>0</v>
      </c>
      <c r="AL174" s="61">
        <f t="shared" si="73"/>
        <v>0</v>
      </c>
      <c r="AM174" s="61">
        <f t="shared" si="73"/>
        <v>0</v>
      </c>
      <c r="AN174" s="407"/>
    </row>
    <row r="175" spans="5:40">
      <c r="F175" s="581" t="s">
        <v>243</v>
      </c>
      <c r="G175" s="581"/>
      <c r="H175" s="581"/>
      <c r="I175" s="581"/>
      <c r="J175" s="581"/>
      <c r="K175" s="581"/>
      <c r="O175" s="581" t="s">
        <v>243</v>
      </c>
      <c r="P175" s="581"/>
      <c r="Q175" s="581"/>
      <c r="R175" s="581"/>
      <c r="S175" s="581"/>
      <c r="T175" s="581"/>
      <c r="X175" s="581" t="s">
        <v>243</v>
      </c>
      <c r="Y175" s="581"/>
      <c r="Z175" s="581"/>
      <c r="AA175" s="581"/>
      <c r="AB175" s="581"/>
      <c r="AC175" s="581"/>
      <c r="AH175" s="581" t="s">
        <v>243</v>
      </c>
      <c r="AI175" s="581"/>
      <c r="AJ175" s="581"/>
      <c r="AK175" s="581"/>
      <c r="AL175" s="581"/>
      <c r="AM175" s="581"/>
    </row>
    <row r="176" spans="5:40">
      <c r="E176">
        <v>2020</v>
      </c>
      <c r="F176" s="61">
        <f>'Demographic-Economic'!C$56*$C$7</f>
        <v>36037.614999999998</v>
      </c>
      <c r="G176" s="61">
        <f>'Demographic-Economic'!D$56*$C$7</f>
        <v>31430.830000000005</v>
      </c>
      <c r="H176" s="61">
        <f>'Demographic-Economic'!E$56*$C$7</f>
        <v>30325.600000000002</v>
      </c>
      <c r="I176" s="61">
        <f>'Demographic-Economic'!F$56*$C$7</f>
        <v>19163.370000000003</v>
      </c>
      <c r="J176" s="61">
        <f>'Demographic-Economic'!G$56*$C$7</f>
        <v>20890.34</v>
      </c>
      <c r="K176" s="61">
        <f>'Demographic-Economic'!H$56*$C$7</f>
        <v>24903.495000000003</v>
      </c>
      <c r="N176">
        <v>2020</v>
      </c>
      <c r="O176" s="61">
        <f>'Demographic-Economic'!C$56*$C$7</f>
        <v>36037.614999999998</v>
      </c>
      <c r="P176" s="61">
        <f>'Demographic-Economic'!D$56*$C$7</f>
        <v>31430.830000000005</v>
      </c>
      <c r="Q176" s="61">
        <f>'Demographic-Economic'!E$56*$C$7</f>
        <v>30325.600000000002</v>
      </c>
      <c r="R176" s="61">
        <f>'Demographic-Economic'!F$56*$C$7</f>
        <v>19163.370000000003</v>
      </c>
      <c r="S176" s="61">
        <f>'Demographic-Economic'!G$56*$C$7</f>
        <v>20890.34</v>
      </c>
      <c r="T176" s="61">
        <f>'Demographic-Economic'!H$56*$C$7</f>
        <v>24903.495000000003</v>
      </c>
      <c r="W176">
        <v>2020</v>
      </c>
      <c r="X176" s="61">
        <f>'Demographic-Economic'!C$56*$C$7</f>
        <v>36037.614999999998</v>
      </c>
      <c r="Y176" s="61">
        <f>'Demographic-Economic'!D$56*$C$7</f>
        <v>31430.830000000005</v>
      </c>
      <c r="Z176" s="61">
        <f>'Demographic-Economic'!E$56*$C$7</f>
        <v>30325.600000000002</v>
      </c>
      <c r="AA176" s="61">
        <f>'Demographic-Economic'!F$56*$C$7</f>
        <v>19163.370000000003</v>
      </c>
      <c r="AB176" s="61">
        <f>'Demographic-Economic'!G$56*$C$7</f>
        <v>20890.34</v>
      </c>
      <c r="AC176" s="61">
        <f>'Demographic-Economic'!H$56*$C$7</f>
        <v>24903.495000000003</v>
      </c>
      <c r="AG176">
        <v>2020</v>
      </c>
      <c r="AH176" s="61">
        <f>'Demographic-Economic'!C$56*$C$7</f>
        <v>36037.614999999998</v>
      </c>
      <c r="AI176" s="61">
        <f>'Demographic-Economic'!D$56*$C$7</f>
        <v>31430.830000000005</v>
      </c>
      <c r="AJ176" s="61">
        <f>'Demographic-Economic'!E$56*$C$7</f>
        <v>30325.600000000002</v>
      </c>
      <c r="AK176" s="61">
        <f>'Demographic-Economic'!F$56*$C$7</f>
        <v>19163.370000000003</v>
      </c>
      <c r="AL176" s="61">
        <f>'Demographic-Economic'!G$56*$C$7</f>
        <v>20890.34</v>
      </c>
      <c r="AM176" s="61">
        <f>'Demographic-Economic'!H$56*$C$7</f>
        <v>24903.495000000003</v>
      </c>
    </row>
    <row r="177" spans="5:39">
      <c r="E177">
        <v>2021</v>
      </c>
      <c r="F177" s="61">
        <f>(1+$C$6)*F176</f>
        <v>37390.437035754163</v>
      </c>
      <c r="G177" s="61">
        <f t="shared" ref="G177:K186" si="81">(1+$C$6)*G176</f>
        <v>32610.717165841674</v>
      </c>
      <c r="H177" s="61">
        <f t="shared" si="81"/>
        <v>31463.99775266667</v>
      </c>
      <c r="I177" s="61">
        <f t="shared" si="81"/>
        <v>19882.746940325003</v>
      </c>
      <c r="J177" s="61">
        <f t="shared" si="81"/>
        <v>21674.545954983332</v>
      </c>
      <c r="K177" s="61">
        <f t="shared" si="81"/>
        <v>25838.351449387505</v>
      </c>
      <c r="N177">
        <v>2021</v>
      </c>
      <c r="O177" s="61">
        <f>(1+$C$6)*O176</f>
        <v>37390.437035754163</v>
      </c>
      <c r="P177" s="61">
        <f t="shared" ref="P177:T186" si="82">(1+$C$6)*P176</f>
        <v>32610.717165841674</v>
      </c>
      <c r="Q177" s="61">
        <f t="shared" si="82"/>
        <v>31463.99775266667</v>
      </c>
      <c r="R177" s="61">
        <f t="shared" si="82"/>
        <v>19882.746940325003</v>
      </c>
      <c r="S177" s="61">
        <f t="shared" si="82"/>
        <v>21674.545954983332</v>
      </c>
      <c r="T177" s="61">
        <f t="shared" si="82"/>
        <v>25838.351449387505</v>
      </c>
      <c r="W177">
        <v>2021</v>
      </c>
      <c r="X177" s="61">
        <f>(1+$C$6)*X176</f>
        <v>37390.437035754163</v>
      </c>
      <c r="Y177" s="61">
        <f t="shared" ref="Y177:AC177" si="83">(1+$C$6)*Y176</f>
        <v>32610.717165841674</v>
      </c>
      <c r="Z177" s="61">
        <f t="shared" si="83"/>
        <v>31463.99775266667</v>
      </c>
      <c r="AA177" s="61">
        <f t="shared" si="83"/>
        <v>19882.746940325003</v>
      </c>
      <c r="AB177" s="61">
        <f t="shared" si="83"/>
        <v>21674.545954983332</v>
      </c>
      <c r="AC177" s="61">
        <f t="shared" si="83"/>
        <v>25838.351449387505</v>
      </c>
      <c r="AG177">
        <v>2021</v>
      </c>
      <c r="AH177" s="61">
        <f>(1+$C$6)*AH176</f>
        <v>37390.437035754163</v>
      </c>
      <c r="AI177" s="61">
        <f t="shared" ref="AI177:AM177" si="84">(1+$C$6)*AI176</f>
        <v>32610.717165841674</v>
      </c>
      <c r="AJ177" s="61">
        <f t="shared" si="84"/>
        <v>31463.99775266667</v>
      </c>
      <c r="AK177" s="61">
        <f t="shared" si="84"/>
        <v>19882.746940325003</v>
      </c>
      <c r="AL177" s="61">
        <f t="shared" si="84"/>
        <v>21674.545954983332</v>
      </c>
      <c r="AM177" s="61">
        <f t="shared" si="84"/>
        <v>25838.351449387505</v>
      </c>
    </row>
    <row r="178" spans="5:39">
      <c r="E178">
        <v>2022</v>
      </c>
      <c r="F178" s="61">
        <f t="shared" ref="F178:F186" si="85">(1+$C$6)*F177</f>
        <v>38794.042883378846</v>
      </c>
      <c r="G178" s="61">
        <f t="shared" si="81"/>
        <v>33834.896312649733</v>
      </c>
      <c r="H178" s="61">
        <f t="shared" si="81"/>
        <v>32645.130008303651</v>
      </c>
      <c r="I178" s="61">
        <f t="shared" si="81"/>
        <v>20629.12869150902</v>
      </c>
      <c r="J178" s="61">
        <f t="shared" si="81"/>
        <v>22488.190348011776</v>
      </c>
      <c r="K178" s="61">
        <f t="shared" si="81"/>
        <v>26808.30163083797</v>
      </c>
      <c r="N178">
        <v>2022</v>
      </c>
      <c r="O178" s="61">
        <f t="shared" ref="O178:O186" si="86">(1+$C$6)*O177</f>
        <v>38794.042883378846</v>
      </c>
      <c r="P178" s="61">
        <f t="shared" si="82"/>
        <v>33834.896312649733</v>
      </c>
      <c r="Q178" s="61">
        <f t="shared" si="82"/>
        <v>32645.130008303651</v>
      </c>
      <c r="R178" s="61">
        <f t="shared" si="82"/>
        <v>20629.12869150902</v>
      </c>
      <c r="S178" s="61">
        <f t="shared" si="82"/>
        <v>22488.190348011776</v>
      </c>
      <c r="T178" s="61">
        <f t="shared" si="82"/>
        <v>26808.30163083797</v>
      </c>
      <c r="W178">
        <v>2022</v>
      </c>
      <c r="X178" s="61">
        <f t="shared" ref="X178:AC186" si="87">(1+$C$6)*X177</f>
        <v>38794.042883378846</v>
      </c>
      <c r="Y178" s="61">
        <f t="shared" si="87"/>
        <v>33834.896312649733</v>
      </c>
      <c r="Z178" s="61">
        <f t="shared" si="87"/>
        <v>32645.130008303651</v>
      </c>
      <c r="AA178" s="61">
        <f t="shared" si="87"/>
        <v>20629.12869150902</v>
      </c>
      <c r="AB178" s="61">
        <f t="shared" si="87"/>
        <v>22488.190348011776</v>
      </c>
      <c r="AC178" s="61">
        <f t="shared" si="87"/>
        <v>26808.30163083797</v>
      </c>
      <c r="AG178">
        <v>2022</v>
      </c>
      <c r="AH178" s="61">
        <f t="shared" ref="AH178:AM186" si="88">(1+$C$6)*AH177</f>
        <v>38794.042883378846</v>
      </c>
      <c r="AI178" s="61">
        <f t="shared" si="88"/>
        <v>33834.896312649733</v>
      </c>
      <c r="AJ178" s="61">
        <f t="shared" si="88"/>
        <v>32645.130008303651</v>
      </c>
      <c r="AK178" s="61">
        <f t="shared" si="88"/>
        <v>20629.12869150902</v>
      </c>
      <c r="AL178" s="61">
        <f t="shared" si="88"/>
        <v>22488.190348011776</v>
      </c>
      <c r="AM178" s="61">
        <f t="shared" si="88"/>
        <v>26808.30163083797</v>
      </c>
    </row>
    <row r="179" spans="5:39">
      <c r="E179">
        <v>2023</v>
      </c>
      <c r="F179" s="61">
        <f t="shared" si="85"/>
        <v>40250.338924851822</v>
      </c>
      <c r="G179" s="61">
        <f t="shared" si="81"/>
        <v>35105.030124479679</v>
      </c>
      <c r="H179" s="61">
        <f t="shared" si="81"/>
        <v>33870.600984540361</v>
      </c>
      <c r="I179" s="61">
        <f t="shared" si="81"/>
        <v>21403.528991647694</v>
      </c>
      <c r="J179" s="61">
        <f t="shared" si="81"/>
        <v>23332.378273517515</v>
      </c>
      <c r="K179" s="61">
        <f t="shared" si="81"/>
        <v>27814.662933808268</v>
      </c>
      <c r="N179">
        <v>2023</v>
      </c>
      <c r="O179" s="61">
        <f t="shared" si="86"/>
        <v>40250.338924851822</v>
      </c>
      <c r="P179" s="61">
        <f t="shared" si="82"/>
        <v>35105.030124479679</v>
      </c>
      <c r="Q179" s="61">
        <f t="shared" si="82"/>
        <v>33870.600984540361</v>
      </c>
      <c r="R179" s="61">
        <f t="shared" si="82"/>
        <v>21403.528991647694</v>
      </c>
      <c r="S179" s="61">
        <f t="shared" si="82"/>
        <v>23332.378273517515</v>
      </c>
      <c r="T179" s="61">
        <f t="shared" si="82"/>
        <v>27814.662933808268</v>
      </c>
      <c r="W179">
        <v>2023</v>
      </c>
      <c r="X179" s="61">
        <f t="shared" si="87"/>
        <v>40250.338924851822</v>
      </c>
      <c r="Y179" s="61">
        <f t="shared" si="87"/>
        <v>35105.030124479679</v>
      </c>
      <c r="Z179" s="61">
        <f t="shared" si="87"/>
        <v>33870.600984540361</v>
      </c>
      <c r="AA179" s="61">
        <f t="shared" si="87"/>
        <v>21403.528991647694</v>
      </c>
      <c r="AB179" s="61">
        <f t="shared" si="87"/>
        <v>23332.378273517515</v>
      </c>
      <c r="AC179" s="61">
        <f t="shared" si="87"/>
        <v>27814.662933808268</v>
      </c>
      <c r="AG179">
        <v>2023</v>
      </c>
      <c r="AH179" s="61">
        <f t="shared" si="88"/>
        <v>40250.338924851822</v>
      </c>
      <c r="AI179" s="61">
        <f t="shared" si="88"/>
        <v>35105.030124479679</v>
      </c>
      <c r="AJ179" s="61">
        <f t="shared" si="88"/>
        <v>33870.600984540361</v>
      </c>
      <c r="AK179" s="61">
        <f t="shared" si="88"/>
        <v>21403.528991647694</v>
      </c>
      <c r="AL179" s="61">
        <f t="shared" si="88"/>
        <v>23332.378273517515</v>
      </c>
      <c r="AM179" s="61">
        <f t="shared" si="88"/>
        <v>27814.662933808268</v>
      </c>
    </row>
    <row r="180" spans="5:39">
      <c r="E180">
        <v>2024</v>
      </c>
      <c r="F180" s="61">
        <f>(1+$C$6)*F179</f>
        <v>41761.303106141655</v>
      </c>
      <c r="G180" s="61">
        <f t="shared" si="81"/>
        <v>36422.843701160877</v>
      </c>
      <c r="H180" s="61">
        <f t="shared" si="81"/>
        <v>35142.075119999186</v>
      </c>
      <c r="I180" s="61">
        <f t="shared" si="81"/>
        <v>22206.999633719988</v>
      </c>
      <c r="J180" s="61">
        <f t="shared" si="81"/>
        <v>24208.256310256802</v>
      </c>
      <c r="K180" s="61">
        <f t="shared" si="81"/>
        <v>28858.802201457653</v>
      </c>
      <c r="N180">
        <v>2024</v>
      </c>
      <c r="O180" s="61">
        <f t="shared" si="86"/>
        <v>41761.303106141655</v>
      </c>
      <c r="P180" s="61">
        <f t="shared" si="82"/>
        <v>36422.843701160877</v>
      </c>
      <c r="Q180" s="61">
        <f t="shared" si="82"/>
        <v>35142.075119999186</v>
      </c>
      <c r="R180" s="61">
        <f t="shared" si="82"/>
        <v>22206.999633719988</v>
      </c>
      <c r="S180" s="61">
        <f t="shared" si="82"/>
        <v>24208.256310256802</v>
      </c>
      <c r="T180" s="61">
        <f t="shared" si="82"/>
        <v>28858.802201457653</v>
      </c>
      <c r="W180">
        <v>2024</v>
      </c>
      <c r="X180" s="61">
        <f t="shared" si="87"/>
        <v>41761.303106141655</v>
      </c>
      <c r="Y180" s="61">
        <f t="shared" si="87"/>
        <v>36422.843701160877</v>
      </c>
      <c r="Z180" s="61">
        <f t="shared" si="87"/>
        <v>35142.075119999186</v>
      </c>
      <c r="AA180" s="61">
        <f t="shared" si="87"/>
        <v>22206.999633719988</v>
      </c>
      <c r="AB180" s="61">
        <f t="shared" si="87"/>
        <v>24208.256310256802</v>
      </c>
      <c r="AC180" s="61">
        <f t="shared" si="87"/>
        <v>28858.802201457653</v>
      </c>
      <c r="AG180">
        <v>2024</v>
      </c>
      <c r="AH180" s="61">
        <f t="shared" si="88"/>
        <v>41761.303106141655</v>
      </c>
      <c r="AI180" s="61">
        <f t="shared" si="88"/>
        <v>36422.843701160877</v>
      </c>
      <c r="AJ180" s="61">
        <f t="shared" si="88"/>
        <v>35142.075119999186</v>
      </c>
      <c r="AK180" s="61">
        <f t="shared" si="88"/>
        <v>22206.999633719988</v>
      </c>
      <c r="AL180" s="61">
        <f t="shared" si="88"/>
        <v>24208.256310256802</v>
      </c>
      <c r="AM180" s="61">
        <f t="shared" si="88"/>
        <v>28858.802201457653</v>
      </c>
    </row>
    <row r="181" spans="5:39">
      <c r="E181">
        <v>2025</v>
      </c>
      <c r="F181" s="61">
        <f t="shared" si="85"/>
        <v>43328.987623660294</v>
      </c>
      <c r="G181" s="61">
        <f t="shared" si="81"/>
        <v>37790.126901332704</v>
      </c>
      <c r="H181" s="61">
        <f t="shared" si="81"/>
        <v>36461.279334941355</v>
      </c>
      <c r="I181" s="61">
        <f t="shared" si="81"/>
        <v>23040.631894136808</v>
      </c>
      <c r="J181" s="61">
        <f t="shared" si="81"/>
        <v>25117.014078596916</v>
      </c>
      <c r="K181" s="61">
        <f t="shared" si="81"/>
        <v>29942.137587098539</v>
      </c>
      <c r="N181">
        <v>2025</v>
      </c>
      <c r="O181" s="61">
        <f t="shared" si="86"/>
        <v>43328.987623660294</v>
      </c>
      <c r="P181" s="61">
        <f t="shared" si="82"/>
        <v>37790.126901332704</v>
      </c>
      <c r="Q181" s="61">
        <f t="shared" si="82"/>
        <v>36461.279334941355</v>
      </c>
      <c r="R181" s="61">
        <f t="shared" si="82"/>
        <v>23040.631894136808</v>
      </c>
      <c r="S181" s="61">
        <f t="shared" si="82"/>
        <v>25117.014078596916</v>
      </c>
      <c r="T181" s="61">
        <f t="shared" si="82"/>
        <v>29942.137587098539</v>
      </c>
      <c r="W181">
        <v>2025</v>
      </c>
      <c r="X181" s="61">
        <f t="shared" si="87"/>
        <v>43328.987623660294</v>
      </c>
      <c r="Y181" s="61">
        <f t="shared" si="87"/>
        <v>37790.126901332704</v>
      </c>
      <c r="Z181" s="61">
        <f t="shared" si="87"/>
        <v>36461.279334941355</v>
      </c>
      <c r="AA181" s="61">
        <f t="shared" si="87"/>
        <v>23040.631894136808</v>
      </c>
      <c r="AB181" s="61">
        <f t="shared" si="87"/>
        <v>25117.014078596916</v>
      </c>
      <c r="AC181" s="61">
        <f t="shared" si="87"/>
        <v>29942.137587098539</v>
      </c>
      <c r="AG181">
        <v>2025</v>
      </c>
      <c r="AH181" s="61">
        <f t="shared" si="88"/>
        <v>43328.987623660294</v>
      </c>
      <c r="AI181" s="61">
        <f t="shared" si="88"/>
        <v>37790.126901332704</v>
      </c>
      <c r="AJ181" s="61">
        <f t="shared" si="88"/>
        <v>36461.279334941355</v>
      </c>
      <c r="AK181" s="61">
        <f t="shared" si="88"/>
        <v>23040.631894136808</v>
      </c>
      <c r="AL181" s="61">
        <f t="shared" si="88"/>
        <v>25117.014078596916</v>
      </c>
      <c r="AM181" s="61">
        <f t="shared" si="88"/>
        <v>29942.137587098539</v>
      </c>
    </row>
    <row r="182" spans="5:39">
      <c r="E182">
        <v>2026</v>
      </c>
      <c r="F182" s="61">
        <f t="shared" si="85"/>
        <v>44955.521711562818</v>
      </c>
      <c r="G182" s="61">
        <f t="shared" si="81"/>
        <v>39208.736773436314</v>
      </c>
      <c r="H182" s="61">
        <f t="shared" si="81"/>
        <v>37830.005376775611</v>
      </c>
      <c r="I182" s="61">
        <f t="shared" si="81"/>
        <v>23905.558014916125</v>
      </c>
      <c r="J182" s="61">
        <f t="shared" si="81"/>
        <v>26059.885856262379</v>
      </c>
      <c r="K182" s="61">
        <f t="shared" si="81"/>
        <v>31066.140480336897</v>
      </c>
      <c r="N182">
        <v>2026</v>
      </c>
      <c r="O182" s="61">
        <f t="shared" si="86"/>
        <v>44955.521711562818</v>
      </c>
      <c r="P182" s="61">
        <f t="shared" si="82"/>
        <v>39208.736773436314</v>
      </c>
      <c r="Q182" s="61">
        <f t="shared" si="82"/>
        <v>37830.005376775611</v>
      </c>
      <c r="R182" s="61">
        <f t="shared" si="82"/>
        <v>23905.558014916125</v>
      </c>
      <c r="S182" s="61">
        <f t="shared" si="82"/>
        <v>26059.885856262379</v>
      </c>
      <c r="T182" s="61">
        <f t="shared" si="82"/>
        <v>31066.140480336897</v>
      </c>
      <c r="W182">
        <v>2026</v>
      </c>
      <c r="X182" s="61">
        <f t="shared" si="87"/>
        <v>44955.521711562818</v>
      </c>
      <c r="Y182" s="61">
        <f t="shared" si="87"/>
        <v>39208.736773436314</v>
      </c>
      <c r="Z182" s="61">
        <f t="shared" si="87"/>
        <v>37830.005376775611</v>
      </c>
      <c r="AA182" s="61">
        <f t="shared" si="87"/>
        <v>23905.558014916125</v>
      </c>
      <c r="AB182" s="61">
        <f t="shared" si="87"/>
        <v>26059.885856262379</v>
      </c>
      <c r="AC182" s="61">
        <f t="shared" si="87"/>
        <v>31066.140480336897</v>
      </c>
      <c r="AG182">
        <v>2026</v>
      </c>
      <c r="AH182" s="61">
        <f t="shared" si="88"/>
        <v>44955.521711562818</v>
      </c>
      <c r="AI182" s="61">
        <f t="shared" si="88"/>
        <v>39208.736773436314</v>
      </c>
      <c r="AJ182" s="61">
        <f t="shared" si="88"/>
        <v>37830.005376775611</v>
      </c>
      <c r="AK182" s="61">
        <f t="shared" si="88"/>
        <v>23905.558014916125</v>
      </c>
      <c r="AL182" s="61">
        <f t="shared" si="88"/>
        <v>26059.885856262379</v>
      </c>
      <c r="AM182" s="61">
        <f t="shared" si="88"/>
        <v>31066.140480336897</v>
      </c>
    </row>
    <row r="183" spans="5:39">
      <c r="E183">
        <v>2027</v>
      </c>
      <c r="F183" s="61">
        <f t="shared" si="85"/>
        <v>46643.114533680127</v>
      </c>
      <c r="G183" s="61">
        <f t="shared" si="81"/>
        <v>40680.600077963805</v>
      </c>
      <c r="H183" s="61">
        <f t="shared" si="81"/>
        <v>39250.112253615283</v>
      </c>
      <c r="I183" s="61">
        <f t="shared" si="81"/>
        <v>24802.952741497731</v>
      </c>
      <c r="J183" s="61">
        <f t="shared" si="81"/>
        <v>27038.152254734923</v>
      </c>
      <c r="K183" s="61">
        <f t="shared" si="81"/>
        <v>32232.337505518342</v>
      </c>
      <c r="N183">
        <v>2027</v>
      </c>
      <c r="O183" s="61">
        <f t="shared" si="86"/>
        <v>46643.114533680127</v>
      </c>
      <c r="P183" s="61">
        <f t="shared" si="82"/>
        <v>40680.600077963805</v>
      </c>
      <c r="Q183" s="61">
        <f t="shared" si="82"/>
        <v>39250.112253615283</v>
      </c>
      <c r="R183" s="61">
        <f t="shared" si="82"/>
        <v>24802.952741497731</v>
      </c>
      <c r="S183" s="61">
        <f t="shared" si="82"/>
        <v>27038.152254734923</v>
      </c>
      <c r="T183" s="61">
        <f t="shared" si="82"/>
        <v>32232.337505518342</v>
      </c>
      <c r="W183">
        <v>2027</v>
      </c>
      <c r="X183" s="61">
        <f t="shared" si="87"/>
        <v>46643.114533680127</v>
      </c>
      <c r="Y183" s="61">
        <f t="shared" si="87"/>
        <v>40680.600077963805</v>
      </c>
      <c r="Z183" s="61">
        <f t="shared" si="87"/>
        <v>39250.112253615283</v>
      </c>
      <c r="AA183" s="61">
        <f t="shared" si="87"/>
        <v>24802.952741497731</v>
      </c>
      <c r="AB183" s="61">
        <f t="shared" si="87"/>
        <v>27038.152254734923</v>
      </c>
      <c r="AC183" s="61">
        <f t="shared" si="87"/>
        <v>32232.337505518342</v>
      </c>
      <c r="AG183">
        <v>2027</v>
      </c>
      <c r="AH183" s="61">
        <f t="shared" si="88"/>
        <v>46643.114533680127</v>
      </c>
      <c r="AI183" s="61">
        <f t="shared" si="88"/>
        <v>40680.600077963805</v>
      </c>
      <c r="AJ183" s="61">
        <f t="shared" si="88"/>
        <v>39250.112253615283</v>
      </c>
      <c r="AK183" s="61">
        <f t="shared" si="88"/>
        <v>24802.952741497731</v>
      </c>
      <c r="AL183" s="61">
        <f t="shared" si="88"/>
        <v>27038.152254734923</v>
      </c>
      <c r="AM183" s="61">
        <f t="shared" si="88"/>
        <v>32232.337505518342</v>
      </c>
    </row>
    <row r="184" spans="5:39">
      <c r="E184">
        <v>2028</v>
      </c>
      <c r="F184" s="61">
        <f t="shared" si="85"/>
        <v>48394.05818401237</v>
      </c>
      <c r="G184" s="61">
        <f t="shared" si="81"/>
        <v>42207.715904390505</v>
      </c>
      <c r="H184" s="61">
        <f t="shared" si="81"/>
        <v>40723.528759189125</v>
      </c>
      <c r="I184" s="61">
        <f t="shared" si="81"/>
        <v>25734.03491828627</v>
      </c>
      <c r="J184" s="61">
        <f t="shared" si="81"/>
        <v>28053.141958584129</v>
      </c>
      <c r="K184" s="61">
        <f t="shared" si="81"/>
        <v>33442.312595194249</v>
      </c>
      <c r="N184">
        <v>2028</v>
      </c>
      <c r="O184" s="61">
        <f t="shared" si="86"/>
        <v>48394.05818401237</v>
      </c>
      <c r="P184" s="61">
        <f t="shared" si="82"/>
        <v>42207.715904390505</v>
      </c>
      <c r="Q184" s="61">
        <f t="shared" si="82"/>
        <v>40723.528759189125</v>
      </c>
      <c r="R184" s="61">
        <f t="shared" si="82"/>
        <v>25734.03491828627</v>
      </c>
      <c r="S184" s="61">
        <f t="shared" si="82"/>
        <v>28053.141958584129</v>
      </c>
      <c r="T184" s="61">
        <f t="shared" si="82"/>
        <v>33442.312595194249</v>
      </c>
      <c r="W184">
        <v>2028</v>
      </c>
      <c r="X184" s="61">
        <f t="shared" si="87"/>
        <v>48394.05818401237</v>
      </c>
      <c r="Y184" s="61">
        <f t="shared" si="87"/>
        <v>42207.715904390505</v>
      </c>
      <c r="Z184" s="61">
        <f t="shared" si="87"/>
        <v>40723.528759189125</v>
      </c>
      <c r="AA184" s="61">
        <f t="shared" si="87"/>
        <v>25734.03491828627</v>
      </c>
      <c r="AB184" s="61">
        <f t="shared" si="87"/>
        <v>28053.141958584129</v>
      </c>
      <c r="AC184" s="61">
        <f t="shared" si="87"/>
        <v>33442.312595194249</v>
      </c>
      <c r="AG184">
        <v>2028</v>
      </c>
      <c r="AH184" s="61">
        <f t="shared" si="88"/>
        <v>48394.05818401237</v>
      </c>
      <c r="AI184" s="61">
        <f t="shared" si="88"/>
        <v>42207.715904390505</v>
      </c>
      <c r="AJ184" s="61">
        <f t="shared" si="88"/>
        <v>40723.528759189125</v>
      </c>
      <c r="AK184" s="61">
        <f t="shared" si="88"/>
        <v>25734.03491828627</v>
      </c>
      <c r="AL184" s="61">
        <f t="shared" si="88"/>
        <v>28053.141958584129</v>
      </c>
      <c r="AM184" s="61">
        <f t="shared" si="88"/>
        <v>33442.312595194249</v>
      </c>
    </row>
    <row r="185" spans="5:39">
      <c r="E185">
        <v>2029</v>
      </c>
      <c r="F185" s="61">
        <f t="shared" si="85"/>
        <v>50210.730799858378</v>
      </c>
      <c r="G185" s="61">
        <f t="shared" si="81"/>
        <v>43792.158386344738</v>
      </c>
      <c r="H185" s="61">
        <f t="shared" si="81"/>
        <v>42252.256092535121</v>
      </c>
      <c r="I185" s="61">
        <f t="shared" si="81"/>
        <v>26700.069144089637</v>
      </c>
      <c r="J185" s="61">
        <f t="shared" si="81"/>
        <v>29106.233530091078</v>
      </c>
      <c r="K185" s="61">
        <f t="shared" si="81"/>
        <v>34697.709141424013</v>
      </c>
      <c r="N185">
        <v>2029</v>
      </c>
      <c r="O185" s="61">
        <f t="shared" si="86"/>
        <v>50210.730799858378</v>
      </c>
      <c r="P185" s="61">
        <f t="shared" si="82"/>
        <v>43792.158386344738</v>
      </c>
      <c r="Q185" s="61">
        <f t="shared" si="82"/>
        <v>42252.256092535121</v>
      </c>
      <c r="R185" s="61">
        <f t="shared" si="82"/>
        <v>26700.069144089637</v>
      </c>
      <c r="S185" s="61">
        <f t="shared" si="82"/>
        <v>29106.233530091078</v>
      </c>
      <c r="T185" s="61">
        <f t="shared" si="82"/>
        <v>34697.709141424013</v>
      </c>
      <c r="W185">
        <v>2029</v>
      </c>
      <c r="X185" s="61">
        <f t="shared" si="87"/>
        <v>50210.730799858378</v>
      </c>
      <c r="Y185" s="61">
        <f t="shared" si="87"/>
        <v>43792.158386344738</v>
      </c>
      <c r="Z185" s="61">
        <f t="shared" si="87"/>
        <v>42252.256092535121</v>
      </c>
      <c r="AA185" s="61">
        <f t="shared" si="87"/>
        <v>26700.069144089637</v>
      </c>
      <c r="AB185" s="61">
        <f t="shared" si="87"/>
        <v>29106.233530091078</v>
      </c>
      <c r="AC185" s="61">
        <f t="shared" si="87"/>
        <v>34697.709141424013</v>
      </c>
      <c r="AG185">
        <v>2029</v>
      </c>
      <c r="AH185" s="61">
        <f t="shared" si="88"/>
        <v>50210.730799858378</v>
      </c>
      <c r="AI185" s="61">
        <f t="shared" si="88"/>
        <v>43792.158386344738</v>
      </c>
      <c r="AJ185" s="61">
        <f t="shared" si="88"/>
        <v>42252.256092535121</v>
      </c>
      <c r="AK185" s="61">
        <f t="shared" si="88"/>
        <v>26700.069144089637</v>
      </c>
      <c r="AL185" s="61">
        <f t="shared" si="88"/>
        <v>29106.233530091078</v>
      </c>
      <c r="AM185" s="61">
        <f t="shared" si="88"/>
        <v>34697.709141424013</v>
      </c>
    </row>
    <row r="186" spans="5:39">
      <c r="E186">
        <v>2030</v>
      </c>
      <c r="F186" s="61">
        <f t="shared" si="85"/>
        <v>52095.599791809393</v>
      </c>
      <c r="G186" s="61">
        <f t="shared" si="81"/>
        <v>45436.079518702798</v>
      </c>
      <c r="H186" s="61">
        <f t="shared" si="81"/>
        <v>43838.370576035479</v>
      </c>
      <c r="I186" s="61">
        <f t="shared" si="81"/>
        <v>27702.367489701141</v>
      </c>
      <c r="J186" s="61">
        <f t="shared" si="81"/>
        <v>30198.857281616089</v>
      </c>
      <c r="K186" s="61">
        <f t="shared" si="81"/>
        <v>36000.232227835455</v>
      </c>
      <c r="N186">
        <v>2030</v>
      </c>
      <c r="O186" s="61">
        <f t="shared" si="86"/>
        <v>52095.599791809393</v>
      </c>
      <c r="P186" s="61">
        <f t="shared" si="82"/>
        <v>45436.079518702798</v>
      </c>
      <c r="Q186" s="61">
        <f t="shared" si="82"/>
        <v>43838.370576035479</v>
      </c>
      <c r="R186" s="61">
        <f t="shared" si="82"/>
        <v>27702.367489701141</v>
      </c>
      <c r="S186" s="61">
        <f t="shared" si="82"/>
        <v>30198.857281616089</v>
      </c>
      <c r="T186" s="61">
        <f t="shared" si="82"/>
        <v>36000.232227835455</v>
      </c>
      <c r="W186">
        <v>2030</v>
      </c>
      <c r="X186" s="61">
        <f t="shared" si="87"/>
        <v>52095.599791809393</v>
      </c>
      <c r="Y186" s="61">
        <f t="shared" si="87"/>
        <v>45436.079518702798</v>
      </c>
      <c r="Z186" s="61">
        <f t="shared" si="87"/>
        <v>43838.370576035479</v>
      </c>
      <c r="AA186" s="61">
        <f t="shared" si="87"/>
        <v>27702.367489701141</v>
      </c>
      <c r="AB186" s="61">
        <f t="shared" si="87"/>
        <v>30198.857281616089</v>
      </c>
      <c r="AC186" s="61">
        <f t="shared" si="87"/>
        <v>36000.232227835455</v>
      </c>
      <c r="AG186">
        <v>2030</v>
      </c>
      <c r="AH186" s="61">
        <f t="shared" si="88"/>
        <v>52095.599791809393</v>
      </c>
      <c r="AI186" s="61">
        <f t="shared" si="88"/>
        <v>45436.079518702798</v>
      </c>
      <c r="AJ186" s="61">
        <f t="shared" si="88"/>
        <v>43838.370576035479</v>
      </c>
      <c r="AK186" s="61">
        <f t="shared" si="88"/>
        <v>27702.367489701141</v>
      </c>
      <c r="AL186" s="61">
        <f t="shared" si="88"/>
        <v>30198.857281616089</v>
      </c>
      <c r="AM186" s="61">
        <f t="shared" si="88"/>
        <v>36000.232227835455</v>
      </c>
    </row>
    <row r="187" spans="5:39">
      <c r="E187">
        <v>2040</v>
      </c>
      <c r="F187" s="61">
        <f>(1+$C$6)^10*F186</f>
        <v>75308.854863685367</v>
      </c>
      <c r="G187" s="61">
        <f t="shared" ref="G187:K193" si="89">(1+$C$6)^10*G186</f>
        <v>65681.921922834474</v>
      </c>
      <c r="H187" s="61">
        <f t="shared" si="89"/>
        <v>63372.290565126925</v>
      </c>
      <c r="I187" s="61">
        <f t="shared" si="89"/>
        <v>40046.253061671865</v>
      </c>
      <c r="J187" s="61">
        <f t="shared" si="89"/>
        <v>43655.152626305615</v>
      </c>
      <c r="K187" s="61">
        <f t="shared" si="89"/>
        <v>52041.559646872149</v>
      </c>
      <c r="N187">
        <v>2040</v>
      </c>
      <c r="O187" s="61">
        <f>(1+$C$6)^10*O186</f>
        <v>75308.854863685367</v>
      </c>
      <c r="P187" s="61">
        <f t="shared" ref="P187:T193" si="90">(1+$C$6)^10*P186</f>
        <v>65681.921922834474</v>
      </c>
      <c r="Q187" s="61">
        <f t="shared" si="90"/>
        <v>63372.290565126925</v>
      </c>
      <c r="R187" s="61">
        <f t="shared" si="90"/>
        <v>40046.253061671865</v>
      </c>
      <c r="S187" s="61">
        <f t="shared" si="90"/>
        <v>43655.152626305615</v>
      </c>
      <c r="T187" s="61">
        <f t="shared" si="90"/>
        <v>52041.559646872149</v>
      </c>
      <c r="W187">
        <v>2040</v>
      </c>
      <c r="X187" s="61">
        <f>(1+$C$6)^10*X186</f>
        <v>75308.854863685367</v>
      </c>
      <c r="Y187" s="61">
        <f t="shared" ref="Y187:AC187" si="91">(1+$C$6)^10*Y186</f>
        <v>65681.921922834474</v>
      </c>
      <c r="Z187" s="61">
        <f t="shared" si="91"/>
        <v>63372.290565126925</v>
      </c>
      <c r="AA187" s="61">
        <f t="shared" si="91"/>
        <v>40046.253061671865</v>
      </c>
      <c r="AB187" s="61">
        <f t="shared" si="91"/>
        <v>43655.152626305615</v>
      </c>
      <c r="AC187" s="61">
        <f t="shared" si="91"/>
        <v>52041.559646872149</v>
      </c>
      <c r="AG187">
        <v>2040</v>
      </c>
      <c r="AH187" s="61">
        <f>(1+$C$6)^10*AH186</f>
        <v>75308.854863685367</v>
      </c>
      <c r="AI187" s="61">
        <f t="shared" ref="AI187:AM187" si="92">(1+$C$6)^10*AI186</f>
        <v>65681.921922834474</v>
      </c>
      <c r="AJ187" s="61">
        <f t="shared" si="92"/>
        <v>63372.290565126925</v>
      </c>
      <c r="AK187" s="61">
        <f t="shared" si="92"/>
        <v>40046.253061671865</v>
      </c>
      <c r="AL187" s="61">
        <f t="shared" si="92"/>
        <v>43655.152626305615</v>
      </c>
      <c r="AM187" s="61">
        <f t="shared" si="92"/>
        <v>52041.559646872149</v>
      </c>
    </row>
    <row r="188" spans="5:39">
      <c r="E188">
        <v>2050</v>
      </c>
      <c r="F188" s="61">
        <f t="shared" ref="F188:F193" si="93">(1+$C$6)^10*F187</f>
        <v>108865.69390782411</v>
      </c>
      <c r="G188" s="61">
        <f t="shared" si="89"/>
        <v>94949.100212343576</v>
      </c>
      <c r="H188" s="61">
        <f t="shared" si="89"/>
        <v>91610.321248259919</v>
      </c>
      <c r="I188" s="61">
        <f t="shared" si="89"/>
        <v>57890.44509916594</v>
      </c>
      <c r="J188" s="61">
        <f t="shared" si="89"/>
        <v>63107.432610908734</v>
      </c>
      <c r="K188" s="61">
        <f t="shared" si="89"/>
        <v>75230.734994672326</v>
      </c>
      <c r="N188">
        <v>2050</v>
      </c>
      <c r="O188" s="61">
        <f t="shared" ref="O188:O193" si="94">(1+$C$6)^10*O187</f>
        <v>108865.69390782411</v>
      </c>
      <c r="P188" s="61">
        <f t="shared" si="90"/>
        <v>94949.100212343576</v>
      </c>
      <c r="Q188" s="61">
        <f t="shared" si="90"/>
        <v>91610.321248259919</v>
      </c>
      <c r="R188" s="61">
        <f t="shared" si="90"/>
        <v>57890.44509916594</v>
      </c>
      <c r="S188" s="61">
        <f t="shared" si="90"/>
        <v>63107.432610908734</v>
      </c>
      <c r="T188" s="61">
        <f t="shared" si="90"/>
        <v>75230.734994672326</v>
      </c>
      <c r="W188">
        <v>2050</v>
      </c>
      <c r="X188" s="61">
        <f t="shared" ref="X188:AC193" si="95">(1+$C$6)^10*X187</f>
        <v>108865.69390782411</v>
      </c>
      <c r="Y188" s="61">
        <f t="shared" si="95"/>
        <v>94949.100212343576</v>
      </c>
      <c r="Z188" s="61">
        <f t="shared" si="95"/>
        <v>91610.321248259919</v>
      </c>
      <c r="AA188" s="61">
        <f t="shared" si="95"/>
        <v>57890.44509916594</v>
      </c>
      <c r="AB188" s="61">
        <f t="shared" si="95"/>
        <v>63107.432610908734</v>
      </c>
      <c r="AC188" s="61">
        <f t="shared" si="95"/>
        <v>75230.734994672326</v>
      </c>
      <c r="AG188">
        <v>2050</v>
      </c>
      <c r="AH188" s="61">
        <f t="shared" ref="AH188:AM193" si="96">(1+$C$6)^10*AH187</f>
        <v>108865.69390782411</v>
      </c>
      <c r="AI188" s="61">
        <f t="shared" si="96"/>
        <v>94949.100212343576</v>
      </c>
      <c r="AJ188" s="61">
        <f t="shared" si="96"/>
        <v>91610.321248259919</v>
      </c>
      <c r="AK188" s="61">
        <f t="shared" si="96"/>
        <v>57890.44509916594</v>
      </c>
      <c r="AL188" s="61">
        <f t="shared" si="96"/>
        <v>63107.432610908734</v>
      </c>
      <c r="AM188" s="61">
        <f t="shared" si="96"/>
        <v>75230.734994672326</v>
      </c>
    </row>
    <row r="189" spans="5:39">
      <c r="E189">
        <v>2060</v>
      </c>
      <c r="F189" s="61">
        <f t="shared" si="93"/>
        <v>157375.10989225082</v>
      </c>
      <c r="G189" s="61">
        <f t="shared" si="89"/>
        <v>137257.42742006248</v>
      </c>
      <c r="H189" s="61">
        <f t="shared" si="89"/>
        <v>132430.92342677063</v>
      </c>
      <c r="I189" s="61">
        <f t="shared" si="89"/>
        <v>83685.822706521009</v>
      </c>
      <c r="J189" s="61">
        <f t="shared" si="89"/>
        <v>91227.445356372278</v>
      </c>
      <c r="K189" s="61">
        <f t="shared" si="89"/>
        <v>108752.76464122608</v>
      </c>
      <c r="N189">
        <v>2060</v>
      </c>
      <c r="O189" s="61">
        <f t="shared" si="94"/>
        <v>157375.10989225082</v>
      </c>
      <c r="P189" s="61">
        <f t="shared" si="90"/>
        <v>137257.42742006248</v>
      </c>
      <c r="Q189" s="61">
        <f t="shared" si="90"/>
        <v>132430.92342677063</v>
      </c>
      <c r="R189" s="61">
        <f t="shared" si="90"/>
        <v>83685.822706521009</v>
      </c>
      <c r="S189" s="61">
        <f t="shared" si="90"/>
        <v>91227.445356372278</v>
      </c>
      <c r="T189" s="61">
        <f t="shared" si="90"/>
        <v>108752.76464122608</v>
      </c>
      <c r="W189">
        <v>2060</v>
      </c>
      <c r="X189" s="61">
        <f t="shared" si="95"/>
        <v>157375.10989225082</v>
      </c>
      <c r="Y189" s="61">
        <f t="shared" si="95"/>
        <v>137257.42742006248</v>
      </c>
      <c r="Z189" s="61">
        <f t="shared" si="95"/>
        <v>132430.92342677063</v>
      </c>
      <c r="AA189" s="61">
        <f t="shared" si="95"/>
        <v>83685.822706521009</v>
      </c>
      <c r="AB189" s="61">
        <f t="shared" si="95"/>
        <v>91227.445356372278</v>
      </c>
      <c r="AC189" s="61">
        <f t="shared" si="95"/>
        <v>108752.76464122608</v>
      </c>
      <c r="AG189">
        <v>2060</v>
      </c>
      <c r="AH189" s="61">
        <f t="shared" si="96"/>
        <v>157375.10989225082</v>
      </c>
      <c r="AI189" s="61">
        <f t="shared" si="96"/>
        <v>137257.42742006248</v>
      </c>
      <c r="AJ189" s="61">
        <f t="shared" si="96"/>
        <v>132430.92342677063</v>
      </c>
      <c r="AK189" s="61">
        <f t="shared" si="96"/>
        <v>83685.822706521009</v>
      </c>
      <c r="AL189" s="61">
        <f t="shared" si="96"/>
        <v>91227.445356372278</v>
      </c>
      <c r="AM189" s="61">
        <f t="shared" si="96"/>
        <v>108752.76464122608</v>
      </c>
    </row>
    <row r="190" spans="5:39">
      <c r="E190">
        <v>2070</v>
      </c>
      <c r="F190" s="61">
        <f t="shared" si="93"/>
        <v>227499.81490558467</v>
      </c>
      <c r="G190" s="61">
        <f t="shared" si="89"/>
        <v>198417.90327492257</v>
      </c>
      <c r="H190" s="61">
        <f t="shared" si="89"/>
        <v>191440.75952031778</v>
      </c>
      <c r="I190" s="61">
        <f t="shared" si="89"/>
        <v>120975.35111486244</v>
      </c>
      <c r="J190" s="61">
        <f t="shared" si="89"/>
        <v>131877.44203701409</v>
      </c>
      <c r="K190" s="61">
        <f t="shared" si="89"/>
        <v>157211.86052412604</v>
      </c>
      <c r="N190">
        <v>2070</v>
      </c>
      <c r="O190" s="61">
        <f t="shared" si="94"/>
        <v>227499.81490558467</v>
      </c>
      <c r="P190" s="61">
        <f t="shared" si="90"/>
        <v>198417.90327492257</v>
      </c>
      <c r="Q190" s="61">
        <f t="shared" si="90"/>
        <v>191440.75952031778</v>
      </c>
      <c r="R190" s="61">
        <f t="shared" si="90"/>
        <v>120975.35111486244</v>
      </c>
      <c r="S190" s="61">
        <f t="shared" si="90"/>
        <v>131877.44203701409</v>
      </c>
      <c r="T190" s="61">
        <f t="shared" si="90"/>
        <v>157211.86052412604</v>
      </c>
      <c r="W190">
        <v>2070</v>
      </c>
      <c r="X190" s="61">
        <f t="shared" si="95"/>
        <v>227499.81490558467</v>
      </c>
      <c r="Y190" s="61">
        <f t="shared" si="95"/>
        <v>198417.90327492257</v>
      </c>
      <c r="Z190" s="61">
        <f t="shared" si="95"/>
        <v>191440.75952031778</v>
      </c>
      <c r="AA190" s="61">
        <f t="shared" si="95"/>
        <v>120975.35111486244</v>
      </c>
      <c r="AB190" s="61">
        <f t="shared" si="95"/>
        <v>131877.44203701409</v>
      </c>
      <c r="AC190" s="61">
        <f t="shared" si="95"/>
        <v>157211.86052412604</v>
      </c>
      <c r="AG190">
        <v>2070</v>
      </c>
      <c r="AH190" s="61">
        <f t="shared" si="96"/>
        <v>227499.81490558467</v>
      </c>
      <c r="AI190" s="61">
        <f t="shared" si="96"/>
        <v>198417.90327492257</v>
      </c>
      <c r="AJ190" s="61">
        <f t="shared" si="96"/>
        <v>191440.75952031778</v>
      </c>
      <c r="AK190" s="61">
        <f t="shared" si="96"/>
        <v>120975.35111486244</v>
      </c>
      <c r="AL190" s="61">
        <f t="shared" si="96"/>
        <v>131877.44203701409</v>
      </c>
      <c r="AM190" s="61">
        <f t="shared" si="96"/>
        <v>157211.86052412604</v>
      </c>
    </row>
    <row r="191" spans="5:39">
      <c r="E191">
        <v>2080</v>
      </c>
      <c r="F191" s="61">
        <f t="shared" si="93"/>
        <v>328871.35594383953</v>
      </c>
      <c r="G191" s="61">
        <f t="shared" si="89"/>
        <v>286830.8482828376</v>
      </c>
      <c r="H191" s="61">
        <f t="shared" si="89"/>
        <v>276744.76215505652</v>
      </c>
      <c r="I191" s="61">
        <f t="shared" si="89"/>
        <v>174880.70385216933</v>
      </c>
      <c r="J191" s="61">
        <f t="shared" si="89"/>
        <v>190640.65260500245</v>
      </c>
      <c r="K191" s="61">
        <f t="shared" si="89"/>
        <v>227263.82332434115</v>
      </c>
      <c r="N191">
        <v>2080</v>
      </c>
      <c r="O191" s="61">
        <f t="shared" si="94"/>
        <v>328871.35594383953</v>
      </c>
      <c r="P191" s="61">
        <f t="shared" si="90"/>
        <v>286830.8482828376</v>
      </c>
      <c r="Q191" s="61">
        <f t="shared" si="90"/>
        <v>276744.76215505652</v>
      </c>
      <c r="R191" s="61">
        <f t="shared" si="90"/>
        <v>174880.70385216933</v>
      </c>
      <c r="S191" s="61">
        <f t="shared" si="90"/>
        <v>190640.65260500245</v>
      </c>
      <c r="T191" s="61">
        <f t="shared" si="90"/>
        <v>227263.82332434115</v>
      </c>
      <c r="W191">
        <v>2080</v>
      </c>
      <c r="X191" s="61">
        <f t="shared" si="95"/>
        <v>328871.35594383953</v>
      </c>
      <c r="Y191" s="61">
        <f t="shared" si="95"/>
        <v>286830.8482828376</v>
      </c>
      <c r="Z191" s="61">
        <f t="shared" si="95"/>
        <v>276744.76215505652</v>
      </c>
      <c r="AA191" s="61">
        <f t="shared" si="95"/>
        <v>174880.70385216933</v>
      </c>
      <c r="AB191" s="61">
        <f t="shared" si="95"/>
        <v>190640.65260500245</v>
      </c>
      <c r="AC191" s="61">
        <f t="shared" si="95"/>
        <v>227263.82332434115</v>
      </c>
      <c r="AG191">
        <v>2080</v>
      </c>
      <c r="AH191" s="61">
        <f t="shared" si="96"/>
        <v>328871.35594383953</v>
      </c>
      <c r="AI191" s="61">
        <f t="shared" si="96"/>
        <v>286830.8482828376</v>
      </c>
      <c r="AJ191" s="61">
        <f t="shared" si="96"/>
        <v>276744.76215505652</v>
      </c>
      <c r="AK191" s="61">
        <f t="shared" si="96"/>
        <v>174880.70385216933</v>
      </c>
      <c r="AL191" s="61">
        <f t="shared" si="96"/>
        <v>190640.65260500245</v>
      </c>
      <c r="AM191" s="61">
        <f t="shared" si="96"/>
        <v>227263.82332434115</v>
      </c>
    </row>
    <row r="192" spans="5:39">
      <c r="E192">
        <v>2090</v>
      </c>
      <c r="F192" s="61">
        <f t="shared" si="93"/>
        <v>475412.99673244072</v>
      </c>
      <c r="G192" s="61">
        <f t="shared" si="89"/>
        <v>414639.67801664746</v>
      </c>
      <c r="H192" s="61">
        <f t="shared" si="89"/>
        <v>400059.33727049641</v>
      </c>
      <c r="I192" s="61">
        <f t="shared" si="89"/>
        <v>252805.71866902267</v>
      </c>
      <c r="J192" s="61">
        <f t="shared" si="89"/>
        <v>275588.13595626602</v>
      </c>
      <c r="K192" s="61">
        <f t="shared" si="89"/>
        <v>328530.20897918334</v>
      </c>
      <c r="N192">
        <v>2090</v>
      </c>
      <c r="O192" s="61">
        <f t="shared" si="94"/>
        <v>475412.99673244072</v>
      </c>
      <c r="P192" s="61">
        <f t="shared" si="90"/>
        <v>414639.67801664746</v>
      </c>
      <c r="Q192" s="61">
        <f t="shared" si="90"/>
        <v>400059.33727049641</v>
      </c>
      <c r="R192" s="61">
        <f t="shared" si="90"/>
        <v>252805.71866902267</v>
      </c>
      <c r="S192" s="61">
        <f t="shared" si="90"/>
        <v>275588.13595626602</v>
      </c>
      <c r="T192" s="61">
        <f t="shared" si="90"/>
        <v>328530.20897918334</v>
      </c>
      <c r="W192">
        <v>2090</v>
      </c>
      <c r="X192" s="61">
        <f t="shared" si="95"/>
        <v>475412.99673244072</v>
      </c>
      <c r="Y192" s="61">
        <f t="shared" si="95"/>
        <v>414639.67801664746</v>
      </c>
      <c r="Z192" s="61">
        <f t="shared" si="95"/>
        <v>400059.33727049641</v>
      </c>
      <c r="AA192" s="61">
        <f t="shared" si="95"/>
        <v>252805.71866902267</v>
      </c>
      <c r="AB192" s="61">
        <f t="shared" si="95"/>
        <v>275588.13595626602</v>
      </c>
      <c r="AC192" s="61">
        <f t="shared" si="95"/>
        <v>328530.20897918334</v>
      </c>
      <c r="AG192">
        <v>2090</v>
      </c>
      <c r="AH192" s="61">
        <f t="shared" si="96"/>
        <v>475412.99673244072</v>
      </c>
      <c r="AI192" s="61">
        <f t="shared" si="96"/>
        <v>414639.67801664746</v>
      </c>
      <c r="AJ192" s="61">
        <f t="shared" si="96"/>
        <v>400059.33727049641</v>
      </c>
      <c r="AK192" s="61">
        <f t="shared" si="96"/>
        <v>252805.71866902267</v>
      </c>
      <c r="AL192" s="61">
        <f t="shared" si="96"/>
        <v>275588.13595626602</v>
      </c>
      <c r="AM192" s="61">
        <f t="shared" si="96"/>
        <v>328530.20897918334</v>
      </c>
    </row>
    <row r="193" spans="2:40">
      <c r="E193">
        <v>2100</v>
      </c>
      <c r="F193" s="61">
        <f t="shared" si="93"/>
        <v>687252.06186918903</v>
      </c>
      <c r="G193" s="61">
        <f t="shared" si="89"/>
        <v>599398.78717723058</v>
      </c>
      <c r="H193" s="61">
        <f t="shared" si="89"/>
        <v>578321.59890215471</v>
      </c>
      <c r="I193" s="61">
        <f t="shared" si="89"/>
        <v>365453.30607650254</v>
      </c>
      <c r="J193" s="61">
        <f t="shared" si="89"/>
        <v>398387.33051974693</v>
      </c>
      <c r="K193" s="61">
        <f t="shared" si="89"/>
        <v>474919.83824398584</v>
      </c>
      <c r="N193">
        <v>2100</v>
      </c>
      <c r="O193" s="61">
        <f t="shared" si="94"/>
        <v>687252.06186918903</v>
      </c>
      <c r="P193" s="61">
        <f t="shared" si="90"/>
        <v>599398.78717723058</v>
      </c>
      <c r="Q193" s="61">
        <f t="shared" si="90"/>
        <v>578321.59890215471</v>
      </c>
      <c r="R193" s="61">
        <f t="shared" si="90"/>
        <v>365453.30607650254</v>
      </c>
      <c r="S193" s="61">
        <f t="shared" si="90"/>
        <v>398387.33051974693</v>
      </c>
      <c r="T193" s="61">
        <f t="shared" si="90"/>
        <v>474919.83824398584</v>
      </c>
      <c r="W193">
        <v>2100</v>
      </c>
      <c r="X193" s="61">
        <f t="shared" si="95"/>
        <v>687252.06186918903</v>
      </c>
      <c r="Y193" s="61">
        <f t="shared" si="95"/>
        <v>599398.78717723058</v>
      </c>
      <c r="Z193" s="61">
        <f t="shared" si="95"/>
        <v>578321.59890215471</v>
      </c>
      <c r="AA193" s="61">
        <f t="shared" si="95"/>
        <v>365453.30607650254</v>
      </c>
      <c r="AB193" s="61">
        <f t="shared" si="95"/>
        <v>398387.33051974693</v>
      </c>
      <c r="AC193" s="61">
        <f t="shared" si="95"/>
        <v>474919.83824398584</v>
      </c>
      <c r="AG193">
        <v>2100</v>
      </c>
      <c r="AH193" s="61">
        <f t="shared" si="96"/>
        <v>687252.06186918903</v>
      </c>
      <c r="AI193" s="61">
        <f t="shared" si="96"/>
        <v>599398.78717723058</v>
      </c>
      <c r="AJ193" s="61">
        <f t="shared" si="96"/>
        <v>578321.59890215471</v>
      </c>
      <c r="AK193" s="61">
        <f t="shared" si="96"/>
        <v>365453.30607650254</v>
      </c>
      <c r="AL193" s="61">
        <f t="shared" si="96"/>
        <v>398387.33051974693</v>
      </c>
      <c r="AM193" s="61">
        <f t="shared" si="96"/>
        <v>474919.83824398584</v>
      </c>
    </row>
    <row r="194" spans="2:40">
      <c r="B194" s="383"/>
      <c r="F194" s="581" t="s">
        <v>244</v>
      </c>
      <c r="G194" s="581"/>
      <c r="H194" s="581"/>
      <c r="I194" s="581"/>
      <c r="J194" s="581"/>
      <c r="K194" s="581"/>
      <c r="O194" s="581" t="s">
        <v>244</v>
      </c>
      <c r="P194" s="581"/>
      <c r="Q194" s="581"/>
      <c r="R194" s="581"/>
      <c r="S194" s="581"/>
      <c r="T194" s="581"/>
      <c r="X194" s="581" t="s">
        <v>244</v>
      </c>
      <c r="Y194" s="581"/>
      <c r="Z194" s="581"/>
      <c r="AA194" s="581"/>
      <c r="AB194" s="581"/>
      <c r="AC194" s="581"/>
      <c r="AH194" s="581" t="s">
        <v>244</v>
      </c>
      <c r="AI194" s="581"/>
      <c r="AJ194" s="581"/>
      <c r="AK194" s="581"/>
      <c r="AL194" s="581"/>
      <c r="AM194" s="581"/>
    </row>
    <row r="195" spans="2:40">
      <c r="E195">
        <v>2020</v>
      </c>
      <c r="F195" s="320" t="s">
        <v>240</v>
      </c>
      <c r="G195" s="320" t="s">
        <v>240</v>
      </c>
      <c r="H195" s="61">
        <f>H119*H176/'Demographic-Economic'!E$29</f>
        <v>238104062.63447481</v>
      </c>
      <c r="I195" s="61">
        <f>I119*I176/'Demographic-Economic'!F$29</f>
        <v>71907513.037140951</v>
      </c>
      <c r="J195" s="61">
        <f>J119*J176/'Demographic-Economic'!G$29</f>
        <v>50903377.457379296</v>
      </c>
      <c r="K195" s="61">
        <f>K119*K176/'Demographic-Economic'!H$29</f>
        <v>18435647.423777811</v>
      </c>
      <c r="L195" s="194">
        <f t="shared" ref="L195:L212" si="97">SUM(H195:K195)/(SUM(F404:K404)*1000)</f>
        <v>2.9249688949713925E-4</v>
      </c>
      <c r="M195" s="194"/>
      <c r="N195">
        <v>2020</v>
      </c>
      <c r="O195" t="s">
        <v>240</v>
      </c>
      <c r="P195" t="s">
        <v>240</v>
      </c>
      <c r="Q195" s="61">
        <f>Q119*Q176/'Demographic-Economic'!E$29</f>
        <v>238104062.63447481</v>
      </c>
      <c r="R195" s="61">
        <f>R119*R176/'Demographic-Economic'!F$29</f>
        <v>71907513.037140951</v>
      </c>
      <c r="S195" s="61">
        <f>S119*S176/'Demographic-Economic'!G$29</f>
        <v>50903377.457379296</v>
      </c>
      <c r="T195" s="61">
        <f>T119*T176/'Demographic-Economic'!H$29</f>
        <v>18435647.423777811</v>
      </c>
      <c r="U195" s="194">
        <f t="shared" ref="U195:U212" si="98">SUM(Q195:T195)/(SUM(O404:T404)*1000)</f>
        <v>2.9249688949713925E-4</v>
      </c>
      <c r="W195">
        <v>2020</v>
      </c>
      <c r="X195" t="s">
        <v>240</v>
      </c>
      <c r="Y195" t="s">
        <v>240</v>
      </c>
      <c r="Z195" s="61">
        <f>Z119*Z176/'Demographic-Economic'!E$29</f>
        <v>238104062.63447481</v>
      </c>
      <c r="AA195" s="61">
        <f>AA119*AA176/'Demographic-Economic'!F$29</f>
        <v>71907513.037140951</v>
      </c>
      <c r="AB195" s="61">
        <f>AB119*AB176/'Demographic-Economic'!G$29</f>
        <v>50903377.457379296</v>
      </c>
      <c r="AC195" s="61">
        <f>AC119*AC176/'Demographic-Economic'!H$29</f>
        <v>18435647.423777811</v>
      </c>
      <c r="AD195" s="194">
        <f t="shared" ref="AD195:AD212" si="99">SUM(Z195:AC195)/(SUM(X404:AC404)*1000)</f>
        <v>2.9249688949713925E-4</v>
      </c>
      <c r="AG195">
        <v>2020</v>
      </c>
      <c r="AH195" t="s">
        <v>240</v>
      </c>
      <c r="AI195" t="s">
        <v>240</v>
      </c>
      <c r="AJ195" s="61">
        <f>AJ119*AJ176/'Demographic-Economic'!E$29</f>
        <v>238104062.63447481</v>
      </c>
      <c r="AK195" s="61">
        <f>AK119*AK176/'Demographic-Economic'!F$29</f>
        <v>71907513.037140951</v>
      </c>
      <c r="AL195" s="61">
        <f>AL119*AL176/'Demographic-Economic'!G$29</f>
        <v>50903377.457379296</v>
      </c>
      <c r="AM195" s="61">
        <f>AM119*AM176/'Demographic-Economic'!H$29</f>
        <v>18435647.423777811</v>
      </c>
      <c r="AN195" s="194">
        <f t="shared" ref="AN195:AN212" si="100">SUM(AJ195:AM195)/(SUM(AH404:AM404)*1000)</f>
        <v>2.9249688949713925E-4</v>
      </c>
    </row>
    <row r="196" spans="2:40">
      <c r="E196">
        <v>2021</v>
      </c>
      <c r="F196" s="320" t="s">
        <v>240</v>
      </c>
      <c r="G196" s="320" t="s">
        <v>240</v>
      </c>
      <c r="H196" s="61">
        <f>H120*H177/'Demographic-Economic'!E$29</f>
        <v>262422988.49927562</v>
      </c>
      <c r="I196" s="61">
        <f>I120*I177/'Demographic-Economic'!F$29</f>
        <v>68334471.450130463</v>
      </c>
      <c r="J196" s="61">
        <f>J120*J177/'Demographic-Economic'!G$29</f>
        <v>50392093.237537593</v>
      </c>
      <c r="K196" s="61">
        <f>K120*K177/'Demographic-Economic'!H$29</f>
        <v>19332640.240692973</v>
      </c>
      <c r="L196" s="194">
        <f t="shared" si="97"/>
        <v>2.932302870099591E-4</v>
      </c>
      <c r="M196" s="194"/>
      <c r="N196">
        <v>2021</v>
      </c>
      <c r="O196" t="s">
        <v>240</v>
      </c>
      <c r="P196" t="s">
        <v>240</v>
      </c>
      <c r="Q196" s="61">
        <f>Q120*Q177/'Demographic-Economic'!E$29</f>
        <v>262101637.39306134</v>
      </c>
      <c r="R196" s="61">
        <f>R120*R177/'Demographic-Economic'!F$29</f>
        <v>69010683.342635497</v>
      </c>
      <c r="S196" s="61">
        <f>S120*S177/'Demographic-Economic'!G$29</f>
        <v>50450555.766798072</v>
      </c>
      <c r="T196" s="61">
        <f>T120*T177/'Demographic-Economic'!H$29</f>
        <v>19475473.599333841</v>
      </c>
      <c r="U196" s="194">
        <f t="shared" si="98"/>
        <v>2.9696874805662575E-4</v>
      </c>
      <c r="W196">
        <v>2021</v>
      </c>
      <c r="X196" t="s">
        <v>240</v>
      </c>
      <c r="Y196" t="s">
        <v>240</v>
      </c>
      <c r="Z196" s="61">
        <f>Z120*Z177/'Demographic-Economic'!E$29</f>
        <v>261782682.29105389</v>
      </c>
      <c r="AA196" s="61">
        <f>AA120*AA177/'Demographic-Economic'!F$29</f>
        <v>69634513.964619398</v>
      </c>
      <c r="AB196" s="61">
        <f>AB120*AB177/'Demographic-Economic'!G$29</f>
        <v>50501096.069224134</v>
      </c>
      <c r="AC196" s="61">
        <f>AC120*AC177/'Demographic-Economic'!H$29</f>
        <v>19606868.983608313</v>
      </c>
      <c r="AD196" s="194">
        <f t="shared" si="99"/>
        <v>2.9949946482549212E-4</v>
      </c>
      <c r="AG196">
        <v>2021</v>
      </c>
      <c r="AH196" t="s">
        <v>240</v>
      </c>
      <c r="AI196" t="s">
        <v>240</v>
      </c>
      <c r="AJ196" s="61">
        <f>AJ120*AJ177/'Demographic-Economic'!E$29</f>
        <v>262382821.40683934</v>
      </c>
      <c r="AK196" s="61">
        <f>AK120*AK177/'Demographic-Economic'!F$29</f>
        <v>68422076.274092913</v>
      </c>
      <c r="AL196" s="61">
        <f>AL120*AL177/'Demographic-Economic'!G$29</f>
        <v>50399888.137652487</v>
      </c>
      <c r="AM196" s="61">
        <f>AM120*AM177/'Demographic-Economic'!H$29</f>
        <v>19351168.965131368</v>
      </c>
      <c r="AN196" s="194">
        <f t="shared" si="100"/>
        <v>2.9062267699714626E-4</v>
      </c>
    </row>
    <row r="197" spans="2:40">
      <c r="E197">
        <v>2022</v>
      </c>
      <c r="F197" s="320" t="s">
        <v>240</v>
      </c>
      <c r="G197" s="320" t="s">
        <v>240</v>
      </c>
      <c r="H197" s="61">
        <f>H121*H178/'Demographic-Economic'!E$29</f>
        <v>286863010.57155097</v>
      </c>
      <c r="I197" s="61">
        <f>I121*I178/'Demographic-Economic'!F$29</f>
        <v>65031210.375232257</v>
      </c>
      <c r="J197" s="61">
        <f>J121*J178/'Demographic-Economic'!G$29</f>
        <v>50012597.146783389</v>
      </c>
      <c r="K197" s="61">
        <f>K121*K178/'Demographic-Economic'!H$29</f>
        <v>20255433.887216881</v>
      </c>
      <c r="L197" s="194">
        <f t="shared" si="97"/>
        <v>2.9427563572179198E-4</v>
      </c>
      <c r="M197" s="194"/>
      <c r="N197">
        <v>2022</v>
      </c>
      <c r="O197" t="s">
        <v>240</v>
      </c>
      <c r="P197" t="s">
        <v>240</v>
      </c>
      <c r="Q197" s="61">
        <f>Q121*Q178/'Demographic-Economic'!E$29</f>
        <v>286794195.05185413</v>
      </c>
      <c r="R197" s="61">
        <f>R121*R178/'Demographic-Economic'!F$29</f>
        <v>66147881.164444581</v>
      </c>
      <c r="S197" s="61">
        <f>S121*S178/'Demographic-Economic'!G$29</f>
        <v>50039955.591172084</v>
      </c>
      <c r="T197" s="61">
        <f>T121*T178/'Demographic-Economic'!H$29</f>
        <v>20547798.493689712</v>
      </c>
      <c r="U197" s="194">
        <f t="shared" si="98"/>
        <v>3.0167226600710584E-4</v>
      </c>
      <c r="W197">
        <v>2022</v>
      </c>
      <c r="X197" t="s">
        <v>240</v>
      </c>
      <c r="Y197" t="s">
        <v>240</v>
      </c>
      <c r="Z197" s="61">
        <f>Z121*Z178/'Demographic-Economic'!E$29</f>
        <v>286643052.01636821</v>
      </c>
      <c r="AA197" s="61">
        <f>AA121*AA178/'Demographic-Economic'!F$29</f>
        <v>67204358.264660463</v>
      </c>
      <c r="AB197" s="61">
        <f>AB121*AB178/'Demographic-Economic'!G$29</f>
        <v>50051452.90046756</v>
      </c>
      <c r="AC197" s="61">
        <f>AC121*AC178/'Demographic-Economic'!H$29</f>
        <v>20823474.740472589</v>
      </c>
      <c r="AD197" s="194">
        <f t="shared" si="99"/>
        <v>3.0679847795252527E-4</v>
      </c>
      <c r="AG197">
        <v>2022</v>
      </c>
      <c r="AH197" t="s">
        <v>240</v>
      </c>
      <c r="AI197" t="s">
        <v>240</v>
      </c>
      <c r="AJ197" s="61">
        <f>AJ121*AJ178/'Demographic-Economic'!E$29</f>
        <v>286859634.68150991</v>
      </c>
      <c r="AK197" s="61">
        <f>AK121*AK178/'Demographic-Economic'!F$29</f>
        <v>65174270.931644842</v>
      </c>
      <c r="AL197" s="61">
        <f>AL121*AL178/'Demographic-Economic'!G$29</f>
        <v>50017011.65581429</v>
      </c>
      <c r="AM197" s="61">
        <f>AM121*AM178/'Demographic-Economic'!H$29</f>
        <v>20292948.508386187</v>
      </c>
      <c r="AN197" s="194">
        <f t="shared" si="100"/>
        <v>2.8935644932452333E-4</v>
      </c>
    </row>
    <row r="198" spans="2:40">
      <c r="E198">
        <v>2023</v>
      </c>
      <c r="F198" s="320" t="s">
        <v>240</v>
      </c>
      <c r="G198" s="320" t="s">
        <v>240</v>
      </c>
      <c r="H198" s="61">
        <f>H122*H179/'Demographic-Economic'!E$29</f>
        <v>311518887.22779167</v>
      </c>
      <c r="I198" s="61">
        <f>I122*I179/'Demographic-Economic'!F$29</f>
        <v>61966457.402261674</v>
      </c>
      <c r="J198" s="61">
        <f>J122*J179/'Demographic-Economic'!G$29</f>
        <v>49754090.182686523</v>
      </c>
      <c r="K198" s="61">
        <f>K122*K179/'Demographic-Economic'!H$29</f>
        <v>21206065.095950667</v>
      </c>
      <c r="L198" s="194">
        <f t="shared" si="97"/>
        <v>2.9562649507620817E-4</v>
      </c>
      <c r="M198" s="194"/>
      <c r="N198">
        <v>2023</v>
      </c>
      <c r="O198" t="s">
        <v>240</v>
      </c>
      <c r="P198" t="s">
        <v>240</v>
      </c>
      <c r="Q198" s="61">
        <f>Q122*Q179/'Demographic-Economic'!E$29</f>
        <v>312207278.08262372</v>
      </c>
      <c r="R198" s="61">
        <f>R122*R179/'Demographic-Economic'!F$29</f>
        <v>63321948.847835168</v>
      </c>
      <c r="S198" s="61">
        <f>S122*S179/'Demographic-Economic'!G$29</f>
        <v>49673907.590862632</v>
      </c>
      <c r="T198" s="61">
        <f>T122*T179/'Demographic-Economic'!H$29</f>
        <v>21654042.528170966</v>
      </c>
      <c r="U198" s="194">
        <f t="shared" si="98"/>
        <v>3.0660398119251517E-4</v>
      </c>
      <c r="W198">
        <v>2023</v>
      </c>
      <c r="X198" t="s">
        <v>240</v>
      </c>
      <c r="Y198" t="s">
        <v>240</v>
      </c>
      <c r="Z198" s="61">
        <f>Z122*Z179/'Demographic-Economic'!E$29</f>
        <v>312691780.46218234</v>
      </c>
      <c r="AA198" s="61">
        <f>AA122*AA179/'Demographic-Economic'!F$29</f>
        <v>64629993.585425451</v>
      </c>
      <c r="AB198" s="61">
        <f>AB122*AB179/'Demographic-Economic'!G$29</f>
        <v>49561771.252222568</v>
      </c>
      <c r="AC198" s="61">
        <f>AC122*AC179/'Demographic-Economic'!H$29</f>
        <v>22086054.967241995</v>
      </c>
      <c r="AD198" s="194">
        <f t="shared" si="99"/>
        <v>3.143859415707313E-4</v>
      </c>
      <c r="AG198">
        <v>2023</v>
      </c>
      <c r="AH198" t="s">
        <v>240</v>
      </c>
      <c r="AI198" t="s">
        <v>240</v>
      </c>
      <c r="AJ198" s="61">
        <f>AJ122*AJ179/'Demographic-Economic'!E$29</f>
        <v>311617407.12290496</v>
      </c>
      <c r="AK198" s="61">
        <f>AK122*AK179/'Demographic-Economic'!F$29</f>
        <v>62138650.612756923</v>
      </c>
      <c r="AL198" s="61">
        <f>AL122*AL179/'Demographic-Economic'!G$29</f>
        <v>49746042.993546203</v>
      </c>
      <c r="AM198" s="61">
        <f>AM122*AM179/'Demographic-Economic'!H$29</f>
        <v>21262991.549412064</v>
      </c>
      <c r="AN198" s="194">
        <f t="shared" si="100"/>
        <v>2.886348796949972E-4</v>
      </c>
    </row>
    <row r="199" spans="2:40">
      <c r="E199">
        <v>2024</v>
      </c>
      <c r="F199" s="320" t="s">
        <v>240</v>
      </c>
      <c r="G199" s="320" t="s">
        <v>240</v>
      </c>
      <c r="H199" s="61">
        <f>H123*H180/'Demographic-Economic'!E$29</f>
        <v>336477353.53858459</v>
      </c>
      <c r="I199" s="61">
        <f>I123*I180/'Demographic-Economic'!F$29</f>
        <v>59113245.426453397</v>
      </c>
      <c r="J199" s="61">
        <f>J123*J180/'Demographic-Economic'!G$29</f>
        <v>49607437.656599127</v>
      </c>
      <c r="K199" s="61">
        <f>K123*K180/'Demographic-Economic'!H$29</f>
        <v>22186519.226269111</v>
      </c>
      <c r="L199" s="194">
        <f t="shared" si="97"/>
        <v>2.9727621330244143E-4</v>
      </c>
      <c r="M199" s="194"/>
      <c r="N199">
        <v>2024</v>
      </c>
      <c r="O199" t="s">
        <v>240</v>
      </c>
      <c r="P199" t="s">
        <v>240</v>
      </c>
      <c r="Q199" s="61">
        <f>Q123*Q180/'Demographic-Economic'!E$29</f>
        <v>338369534.0516147</v>
      </c>
      <c r="R199" s="61">
        <f>R123*R180/'Demographic-Economic'!F$29</f>
        <v>60534899.723028921</v>
      </c>
      <c r="S199" s="61">
        <f>S123*S180/'Demographic-Economic'!G$29</f>
        <v>49354423.957339205</v>
      </c>
      <c r="T199" s="61">
        <f>T123*T180/'Demographic-Economic'!H$29</f>
        <v>22795723.080607206</v>
      </c>
      <c r="U199" s="194">
        <f t="shared" si="98"/>
        <v>3.1176228161275106E-4</v>
      </c>
      <c r="W199">
        <v>2024</v>
      </c>
      <c r="X199" t="s">
        <v>240</v>
      </c>
      <c r="Y199" t="s">
        <v>240</v>
      </c>
      <c r="Z199" s="61">
        <f>Z123*Z180/'Demographic-Economic'!E$29</f>
        <v>339936969.46475899</v>
      </c>
      <c r="AA199" s="61">
        <f>AA123*AA180/'Demographic-Economic'!F$29</f>
        <v>61924329.248767629</v>
      </c>
      <c r="AB199" s="61">
        <f>AB123*AB180/'Demographic-Economic'!G$29</f>
        <v>49039388.743378706</v>
      </c>
      <c r="AC199" s="61">
        <f>AC123*AC180/'Demographic-Economic'!H$29</f>
        <v>23395314.055968922</v>
      </c>
      <c r="AD199" s="194">
        <f t="shared" si="99"/>
        <v>3.222558930772116E-4</v>
      </c>
      <c r="AG199">
        <v>2024</v>
      </c>
      <c r="AH199" t="s">
        <v>240</v>
      </c>
      <c r="AI199" t="s">
        <v>240</v>
      </c>
      <c r="AJ199" s="61">
        <f>AJ123*AJ180/'Demographic-Economic'!E$29</f>
        <v>336733463.18924272</v>
      </c>
      <c r="AK199" s="61">
        <f>AK123*AK180/'Demographic-Economic'!F$29</f>
        <v>59292932.980956435</v>
      </c>
      <c r="AL199" s="61">
        <f>AL123*AL180/'Demographic-Economic'!G$29</f>
        <v>49579523.682002306</v>
      </c>
      <c r="AM199" s="61">
        <f>AM123*AM180/'Demographic-Economic'!H$29</f>
        <v>22263269.796759605</v>
      </c>
      <c r="AN199" s="194">
        <f t="shared" si="100"/>
        <v>2.8840659866951463E-4</v>
      </c>
    </row>
    <row r="200" spans="2:40">
      <c r="E200">
        <v>2025</v>
      </c>
      <c r="F200" s="320" t="s">
        <v>240</v>
      </c>
      <c r="G200" s="320" t="s">
        <v>240</v>
      </c>
      <c r="H200" s="61">
        <f>H124*H181/'Demographic-Economic'!E$29</f>
        <v>361818668.36478698</v>
      </c>
      <c r="I200" s="61">
        <f>I124*I181/'Demographic-Economic'!F$29</f>
        <v>56448206.612320364</v>
      </c>
      <c r="J200" s="61">
        <f>J124*J181/'Demographic-Economic'!G$29</f>
        <v>49564902.990185186</v>
      </c>
      <c r="K200" s="61">
        <f>K124*K181/'Demographic-Economic'!H$29</f>
        <v>23198748.682432227</v>
      </c>
      <c r="L200" s="194">
        <f t="shared" si="97"/>
        <v>2.9921833322690269E-4</v>
      </c>
      <c r="M200" s="194"/>
      <c r="N200">
        <v>2025</v>
      </c>
      <c r="O200" t="s">
        <v>240</v>
      </c>
      <c r="P200" t="s">
        <v>240</v>
      </c>
      <c r="Q200" s="61">
        <f>Q124*Q181/'Demographic-Economic'!E$29</f>
        <v>365312557.05666316</v>
      </c>
      <c r="R200" s="61">
        <f>R124*R181/'Demographic-Economic'!F$29</f>
        <v>57788016.496258974</v>
      </c>
      <c r="S200" s="61">
        <f>S124*S181/'Demographic-Economic'!G$29</f>
        <v>49083241.108081259</v>
      </c>
      <c r="T200" s="61">
        <f>T124*T181/'Demographic-Economic'!H$29</f>
        <v>23974451.149488315</v>
      </c>
      <c r="U200" s="194">
        <f t="shared" si="98"/>
        <v>3.1714707576269868E-4</v>
      </c>
      <c r="W200">
        <v>2025</v>
      </c>
      <c r="X200" t="s">
        <v>240</v>
      </c>
      <c r="Y200" t="s">
        <v>240</v>
      </c>
      <c r="Z200" s="61">
        <f>Z124*Z181/'Demographic-Economic'!E$29</f>
        <v>368388703.65358025</v>
      </c>
      <c r="AA200" s="61">
        <f>AA124*AA181/'Demographic-Economic'!F$29</f>
        <v>59100044.263377644</v>
      </c>
      <c r="AB200" s="61">
        <f>AB124*AB181/'Demographic-Economic'!G$29</f>
        <v>48491566.341612622</v>
      </c>
      <c r="AC200" s="61">
        <f>AC124*AC181/'Demographic-Economic'!H$29</f>
        <v>24752083.016206067</v>
      </c>
      <c r="AD200" s="194">
        <f t="shared" si="99"/>
        <v>3.3040424716524629E-4</v>
      </c>
      <c r="AG200">
        <v>2025</v>
      </c>
      <c r="AH200" t="s">
        <v>240</v>
      </c>
      <c r="AI200" t="s">
        <v>240</v>
      </c>
      <c r="AJ200" s="61">
        <f>AJ124*AJ181/'Demographic-Economic'!E$29</f>
        <v>362280590.09226358</v>
      </c>
      <c r="AK200" s="61">
        <f>AK124*AK181/'Demographic-Economic'!F$29</f>
        <v>56617531.651577152</v>
      </c>
      <c r="AL200" s="61">
        <f>AL124*AL181/'Demographic-Economic'!G$29</f>
        <v>49511063.646200664</v>
      </c>
      <c r="AM200" s="61">
        <f>AM124*AM181/'Demographic-Economic'!H$29</f>
        <v>23295735.580284353</v>
      </c>
      <c r="AN200" s="194">
        <f t="shared" si="100"/>
        <v>2.88629581252516E-4</v>
      </c>
    </row>
    <row r="201" spans="2:40">
      <c r="E201">
        <v>2026</v>
      </c>
      <c r="F201" s="320" t="s">
        <v>240</v>
      </c>
      <c r="G201" s="320" t="s">
        <v>240</v>
      </c>
      <c r="H201" s="61">
        <f>H125*H182/'Demographic-Economic'!E$29</f>
        <v>387617882.11282194</v>
      </c>
      <c r="I201" s="61">
        <f>I125*I182/'Demographic-Economic'!F$29</f>
        <v>53950998.433487847</v>
      </c>
      <c r="J201" s="61">
        <f>J125*J182/'Demographic-Economic'!G$29</f>
        <v>49619931.588515595</v>
      </c>
      <c r="K201" s="61">
        <f>K125*K182/'Demographic-Economic'!H$29</f>
        <v>24244688.372711137</v>
      </c>
      <c r="L201" s="194">
        <f t="shared" si="97"/>
        <v>3.0144684151235619E-4</v>
      </c>
      <c r="M201" s="194"/>
      <c r="N201">
        <v>2026</v>
      </c>
      <c r="O201" t="s">
        <v>240</v>
      </c>
      <c r="P201" t="s">
        <v>240</v>
      </c>
      <c r="Q201" s="61">
        <f>Q125*Q182/'Demographic-Economic'!E$29</f>
        <v>393070744.27343643</v>
      </c>
      <c r="R201" s="61">
        <f>R125*R182/'Demographic-Economic'!F$29</f>
        <v>55081943.425133862</v>
      </c>
      <c r="S201" s="61">
        <f>S125*S182/'Demographic-Economic'!G$29</f>
        <v>48861859.900955006</v>
      </c>
      <c r="T201" s="61">
        <f>T125*T182/'Demographic-Economic'!H$29</f>
        <v>25191928.598480798</v>
      </c>
      <c r="U201" s="194">
        <f t="shared" si="98"/>
        <v>3.2275953269914276E-4</v>
      </c>
      <c r="W201">
        <v>2026</v>
      </c>
      <c r="X201" t="s">
        <v>240</v>
      </c>
      <c r="Y201" t="s">
        <v>240</v>
      </c>
      <c r="Z201" s="61">
        <f>Z125*Z182/'Demographic-Economic'!E$29</f>
        <v>398059486.35803336</v>
      </c>
      <c r="AA201" s="61">
        <f>AA125*AA182/'Demographic-Economic'!F$29</f>
        <v>56169420.839595877</v>
      </c>
      <c r="AB201" s="61">
        <f>AB125*AB182/'Demographic-Economic'!G$29</f>
        <v>47925409.817466341</v>
      </c>
      <c r="AC201" s="61">
        <f>AC125*AC182/'Demographic-Economic'!H$29</f>
        <v>26157329.818249092</v>
      </c>
      <c r="AD201" s="194">
        <f t="shared" si="99"/>
        <v>3.3882866171183322E-4</v>
      </c>
      <c r="AG201">
        <v>2026</v>
      </c>
      <c r="AH201" t="s">
        <v>240</v>
      </c>
      <c r="AI201" t="s">
        <v>240</v>
      </c>
      <c r="AJ201" s="61">
        <f>AJ125*AJ182/'Demographic-Economic'!E$29</f>
        <v>388327915.02343059</v>
      </c>
      <c r="AK201" s="61">
        <f>AK125*AK182/'Demographic-Economic'!F$29</f>
        <v>54095166.706298515</v>
      </c>
      <c r="AL201" s="61">
        <f>AL125*AL182/'Demographic-Economic'!G$29</f>
        <v>49535193.225183517</v>
      </c>
      <c r="AM201" s="61">
        <f>AM125*AM182/'Demographic-Economic'!H$29</f>
        <v>24362334.291074231</v>
      </c>
      <c r="AN201" s="194">
        <f t="shared" si="100"/>
        <v>2.8926921532687665E-4</v>
      </c>
    </row>
    <row r="202" spans="2:40">
      <c r="E202">
        <v>2027</v>
      </c>
      <c r="F202" s="320" t="s">
        <v>240</v>
      </c>
      <c r="G202" s="320" t="s">
        <v>240</v>
      </c>
      <c r="H202" s="61">
        <f>H126*H183/'Demographic-Economic'!E$29</f>
        <v>413945884.03053862</v>
      </c>
      <c r="I202" s="61">
        <f>I126*I183/'Demographic-Economic'!F$29</f>
        <v>51603834.163686216</v>
      </c>
      <c r="J202" s="61">
        <f>J126*J183/'Demographic-Economic'!G$29</f>
        <v>49766974.31973213</v>
      </c>
      <c r="K202" s="61">
        <f>K126*K183/'Demographic-Economic'!H$29</f>
        <v>25326268.839250438</v>
      </c>
      <c r="L202" s="194">
        <f t="shared" si="97"/>
        <v>3.0395631577206315E-4</v>
      </c>
      <c r="M202" s="194"/>
      <c r="N202">
        <v>2027</v>
      </c>
      <c r="O202" t="s">
        <v>240</v>
      </c>
      <c r="P202" t="s">
        <v>240</v>
      </c>
      <c r="Q202" s="61">
        <f>Q126*Q183/'Demographic-Economic'!E$29</f>
        <v>421681169.35782963</v>
      </c>
      <c r="R202" s="61">
        <f>R126*R183/'Demographic-Economic'!F$29</f>
        <v>52416771.535703294</v>
      </c>
      <c r="S202" s="61">
        <f>S126*S183/'Demographic-Economic'!G$29</f>
        <v>48691583.034873828</v>
      </c>
      <c r="T202" s="61">
        <f>T126*T183/'Demographic-Economic'!H$29</f>
        <v>26449945.997086067</v>
      </c>
      <c r="U202" s="194">
        <f t="shared" si="98"/>
        <v>3.286018766233255E-4</v>
      </c>
      <c r="W202">
        <v>2027</v>
      </c>
      <c r="X202" t="s">
        <v>240</v>
      </c>
      <c r="Y202" t="s">
        <v>240</v>
      </c>
      <c r="Z202" s="61">
        <f>Z126*Z183/'Demographic-Economic'!E$29</f>
        <v>428964618.72803932</v>
      </c>
      <c r="AA202" s="61">
        <f>AA126*AA183/'Demographic-Economic'!F$29</f>
        <v>53144204.751806542</v>
      </c>
      <c r="AB202" s="61">
        <f>AB126*AB183/'Demographic-Economic'!G$29</f>
        <v>47347804.251583949</v>
      </c>
      <c r="AC202" s="61">
        <f>AC126*AC183/'Demographic-Economic'!H$29</f>
        <v>27612167.661058202</v>
      </c>
      <c r="AD202" s="194">
        <f t="shared" si="99"/>
        <v>3.47528413781482E-4</v>
      </c>
      <c r="AG202">
        <v>2027</v>
      </c>
      <c r="AH202" t="s">
        <v>240</v>
      </c>
      <c r="AI202" t="s">
        <v>240</v>
      </c>
      <c r="AJ202" s="61">
        <f>AJ126*AJ183/'Demographic-Economic'!E$29</f>
        <v>414941648.12601113</v>
      </c>
      <c r="AK202" s="61">
        <f>AK126*AK183/'Demographic-Economic'!F$29</f>
        <v>51710539.097498521</v>
      </c>
      <c r="AL202" s="61">
        <f>AL126*AL183/'Demographic-Economic'!G$29</f>
        <v>49647239.717909902</v>
      </c>
      <c r="AM202" s="61">
        <f>AM126*AM183/'Demographic-Economic'!H$29</f>
        <v>25465015.232895002</v>
      </c>
      <c r="AN202" s="194">
        <f t="shared" si="100"/>
        <v>2.9029684973065661E-4</v>
      </c>
    </row>
    <row r="203" spans="2:40">
      <c r="E203">
        <v>2028</v>
      </c>
      <c r="F203" s="320" t="s">
        <v>240</v>
      </c>
      <c r="G203" s="320" t="s">
        <v>240</v>
      </c>
      <c r="H203" s="61">
        <f>H127*H184/'Demographic-Economic'!E$29</f>
        <v>440870274.3951993</v>
      </c>
      <c r="I203" s="61">
        <f>I127*I184/'Demographic-Economic'!F$29</f>
        <v>49391096.548681095</v>
      </c>
      <c r="J203" s="61">
        <f>J127*J184/'Demographic-Economic'!G$29</f>
        <v>50001342.541072711</v>
      </c>
      <c r="K203" s="61">
        <f>K127*K184/'Demographic-Economic'!H$29</f>
        <v>26445427.545957066</v>
      </c>
      <c r="L203" s="194">
        <f t="shared" si="97"/>
        <v>3.0674200512405037E-4</v>
      </c>
      <c r="M203" s="194"/>
      <c r="N203">
        <v>2028</v>
      </c>
      <c r="O203" t="s">
        <v>240</v>
      </c>
      <c r="P203" t="s">
        <v>240</v>
      </c>
      <c r="Q203" s="61">
        <f>Q127*Q184/'Demographic-Economic'!E$29</f>
        <v>451183473.66081321</v>
      </c>
      <c r="R203" s="61">
        <f>R127*R184/'Demographic-Economic'!F$29</f>
        <v>49792116.504155591</v>
      </c>
      <c r="S203" s="61">
        <f>S127*S184/'Demographic-Economic'!G$29</f>
        <v>48573549.460473686</v>
      </c>
      <c r="T203" s="61">
        <f>T127*T184/'Demographic-Economic'!H$29</f>
        <v>27750381.0564925</v>
      </c>
      <c r="U203" s="194">
        <f t="shared" si="98"/>
        <v>3.3467722437625436E-4</v>
      </c>
      <c r="W203">
        <v>2028</v>
      </c>
      <c r="X203" t="s">
        <v>240</v>
      </c>
      <c r="Y203" t="s">
        <v>240</v>
      </c>
      <c r="Z203" s="61">
        <f>Z127*Z184/'Demographic-Economic'!E$29</f>
        <v>461122521.59388995</v>
      </c>
      <c r="AA203" s="61">
        <f>AA127*AA184/'Demographic-Economic'!F$29</f>
        <v>50035492.727750048</v>
      </c>
      <c r="AB203" s="61">
        <f>AB127*AB184/'Demographic-Economic'!G$29</f>
        <v>46765361.663476914</v>
      </c>
      <c r="AC203" s="61">
        <f>AC127*AC184/'Demographic-Economic'!H$29</f>
        <v>29117861.312374987</v>
      </c>
      <c r="AD203" s="194">
        <f t="shared" si="99"/>
        <v>3.5650428381803234E-4</v>
      </c>
      <c r="AG203">
        <v>2028</v>
      </c>
      <c r="AH203" t="s">
        <v>240</v>
      </c>
      <c r="AI203" t="s">
        <v>240</v>
      </c>
      <c r="AJ203" s="61">
        <f>AJ127*AJ184/'Demographic-Economic'!E$29</f>
        <v>442185716.22716027</v>
      </c>
      <c r="AK203" s="61">
        <f>AK127*AK184/'Demographic-Economic'!F$29</f>
        <v>49450057.241753213</v>
      </c>
      <c r="AL203" s="61">
        <f>AL127*AL184/'Demographic-Economic'!G$29</f>
        <v>49843223.968870029</v>
      </c>
      <c r="AM203" s="61">
        <f>AM127*AM184/'Demographic-Economic'!H$29</f>
        <v>26605741.18902608</v>
      </c>
      <c r="AN203" s="194">
        <f t="shared" si="100"/>
        <v>2.9168868645785862E-4</v>
      </c>
    </row>
    <row r="204" spans="2:40">
      <c r="E204">
        <v>2029</v>
      </c>
      <c r="F204" s="320" t="s">
        <v>240</v>
      </c>
      <c r="G204" s="320" t="s">
        <v>240</v>
      </c>
      <c r="H204" s="61">
        <f>H128*H185/'Demographic-Economic'!E$29</f>
        <v>468456096.7975598</v>
      </c>
      <c r="I204" s="61">
        <f>I128*I185/'Demographic-Economic'!F$29</f>
        <v>47299018.155697085</v>
      </c>
      <c r="J204" s="61">
        <f>J128*J185/'Demographic-Economic'!G$29</f>
        <v>50319088.418480515</v>
      </c>
      <c r="K204" s="61">
        <f>K128*K185/'Demographic-Economic'!H$29</f>
        <v>27604118.704529136</v>
      </c>
      <c r="L204" s="194">
        <f t="shared" si="97"/>
        <v>3.0979986761202864E-4</v>
      </c>
      <c r="M204" s="194"/>
      <c r="N204">
        <v>2029</v>
      </c>
      <c r="O204" t="s">
        <v>240</v>
      </c>
      <c r="P204" t="s">
        <v>240</v>
      </c>
      <c r="Q204" s="61">
        <f>Q128*Q185/'Demographic-Economic'!E$29</f>
        <v>481619775.59191751</v>
      </c>
      <c r="R204" s="61">
        <f>R128*R185/'Demographic-Economic'!F$29</f>
        <v>47207189.112282619</v>
      </c>
      <c r="S204" s="61">
        <f>S128*S185/'Demographic-Economic'!G$29</f>
        <v>48508765.747974806</v>
      </c>
      <c r="T204" s="61">
        <f>T128*T185/'Demographic-Economic'!H$29</f>
        <v>29095197.647347216</v>
      </c>
      <c r="U204" s="194">
        <f t="shared" si="98"/>
        <v>3.4098945691097399E-4</v>
      </c>
      <c r="W204">
        <v>2029</v>
      </c>
      <c r="X204" t="s">
        <v>240</v>
      </c>
      <c r="Y204" t="s">
        <v>240</v>
      </c>
      <c r="Z204" s="61">
        <f>Z128*Z185/'Demographic-Economic'!E$29</f>
        <v>494555001.79695219</v>
      </c>
      <c r="AA204" s="61">
        <f>AA128*AA185/'Demographic-Economic'!F$29</f>
        <v>46853646.061362632</v>
      </c>
      <c r="AB204" s="61">
        <f>AB128*AB185/'Demographic-Economic'!G$29</f>
        <v>46184381.357906327</v>
      </c>
      <c r="AC204" s="61">
        <f>AC128*AC185/'Demographic-Economic'!H$29</f>
        <v>30675831.718820784</v>
      </c>
      <c r="AD204" s="194">
        <f t="shared" si="99"/>
        <v>3.6575844696943866E-4</v>
      </c>
      <c r="AG204">
        <v>2029</v>
      </c>
      <c r="AH204" t="s">
        <v>240</v>
      </c>
      <c r="AI204" t="s">
        <v>240</v>
      </c>
      <c r="AJ204" s="61">
        <f>AJ128*AJ185/'Demographic-Economic'!E$29</f>
        <v>470122307.32539392</v>
      </c>
      <c r="AK204" s="61">
        <f>AK128*AK185/'Demographic-Economic'!F$29</f>
        <v>47301606.456659414</v>
      </c>
      <c r="AL204" s="61">
        <f>AL128*AL185/'Demographic-Economic'!G$29</f>
        <v>50119773.411078632</v>
      </c>
      <c r="AM204" s="61">
        <f>AM128*AM185/'Demographic-Economic'!H$29</f>
        <v>27786496.948868554</v>
      </c>
      <c r="AN204" s="194">
        <f t="shared" si="100"/>
        <v>2.9342492402668625E-4</v>
      </c>
    </row>
    <row r="205" spans="2:40">
      <c r="E205">
        <v>2030</v>
      </c>
      <c r="F205" s="320" t="s">
        <v>240</v>
      </c>
      <c r="G205" s="320" t="s">
        <v>240</v>
      </c>
      <c r="H205" s="61">
        <f>H129*H186/'Demographic-Economic'!E$29</f>
        <v>496766458.05155849</v>
      </c>
      <c r="I205" s="61">
        <f>I129*I186/'Demographic-Economic'!F$29</f>
        <v>45315415.502577886</v>
      </c>
      <c r="J205" s="61">
        <f>J129*J186/'Demographic-Economic'!G$29</f>
        <v>50716905.654031523</v>
      </c>
      <c r="K205" s="61">
        <f>K129*K186/'Demographic-Economic'!H$29</f>
        <v>28804321.937427364</v>
      </c>
      <c r="L205" s="194">
        <f t="shared" si="97"/>
        <v>3.1312658002033981E-4</v>
      </c>
      <c r="M205" s="194"/>
      <c r="N205">
        <v>2030</v>
      </c>
      <c r="O205" t="s">
        <v>240</v>
      </c>
      <c r="P205" t="s">
        <v>240</v>
      </c>
      <c r="Q205" s="61">
        <f>Q129*Q186/'Demographic-Economic'!E$29</f>
        <v>513034597.99731702</v>
      </c>
      <c r="R205" s="61">
        <f>R129*R186/'Demographic-Economic'!F$29</f>
        <v>44660858.402551912</v>
      </c>
      <c r="S205" s="61">
        <f>S129*S186/'Demographic-Economic'!G$29</f>
        <v>48498134.453369692</v>
      </c>
      <c r="T205" s="61">
        <f>T129*T186/'Demographic-Economic'!H$29</f>
        <v>30486445.377577025</v>
      </c>
      <c r="U205" s="194">
        <f t="shared" si="98"/>
        <v>3.4754311780193353E-4</v>
      </c>
      <c r="W205">
        <v>2030</v>
      </c>
      <c r="X205" t="s">
        <v>240</v>
      </c>
      <c r="Y205" t="s">
        <v>240</v>
      </c>
      <c r="Z205" s="61">
        <f>Z129*Z186/'Demographic-Economic'!E$29</f>
        <v>529287466.479074</v>
      </c>
      <c r="AA205" s="61">
        <f>AA129*AA186/'Demographic-Economic'!F$29</f>
        <v>43608228.867280528</v>
      </c>
      <c r="AB205" s="61">
        <f>AB129*AB186/'Demographic-Economic'!G$29</f>
        <v>45610822.211732425</v>
      </c>
      <c r="AC205" s="61">
        <f>AC129*AC186/'Demographic-Economic'!H$29</f>
        <v>32287659.116968676</v>
      </c>
      <c r="AD205" s="194">
        <f t="shared" si="99"/>
        <v>3.7529437107097183E-4</v>
      </c>
      <c r="AG205">
        <v>2030</v>
      </c>
      <c r="AH205" t="s">
        <v>240</v>
      </c>
      <c r="AI205" t="s">
        <v>240</v>
      </c>
      <c r="AJ205" s="61">
        <f>AJ129*AJ186/'Demographic-Economic'!E$29</f>
        <v>498812341.90855062</v>
      </c>
      <c r="AK205" s="61">
        <f>AK129*AK186/'Demographic-Economic'!F$29</f>
        <v>45254353.735125259</v>
      </c>
      <c r="AL205" s="61">
        <f>AL129*AL186/'Demographic-Economic'!G$29</f>
        <v>50474048.690089658</v>
      </c>
      <c r="AM205" s="61">
        <f>AM129*AM186/'Demographic-Economic'!H$29</f>
        <v>29009296.992070764</v>
      </c>
      <c r="AN205" s="194">
        <f t="shared" si="100"/>
        <v>2.9548908704607539E-4</v>
      </c>
    </row>
    <row r="206" spans="2:40">
      <c r="E206">
        <v>2040</v>
      </c>
      <c r="F206" s="320" t="s">
        <v>240</v>
      </c>
      <c r="G206" s="320" t="s">
        <v>240</v>
      </c>
      <c r="H206" s="61">
        <f>H130*H187/'Demographic-Economic'!E$29</f>
        <v>0</v>
      </c>
      <c r="I206" s="61">
        <f>I130*I187/'Demographic-Economic'!F$29</f>
        <v>0</v>
      </c>
      <c r="J206" s="61">
        <f>J130*J187/'Demographic-Economic'!G$29</f>
        <v>0</v>
      </c>
      <c r="K206" s="61">
        <f>K130*K187/'Demographic-Economic'!H$29</f>
        <v>0</v>
      </c>
      <c r="L206" s="194">
        <f t="shared" si="97"/>
        <v>0</v>
      </c>
      <c r="M206" s="194"/>
      <c r="N206">
        <v>2040</v>
      </c>
      <c r="O206" t="s">
        <v>240</v>
      </c>
      <c r="P206" t="s">
        <v>240</v>
      </c>
      <c r="Q206" s="61">
        <f>Q130*Q187/'Demographic-Economic'!E$29</f>
        <v>0</v>
      </c>
      <c r="R206" s="61">
        <f>R130*R187/'Demographic-Economic'!F$29</f>
        <v>0</v>
      </c>
      <c r="S206" s="61">
        <f>S130*S187/'Demographic-Economic'!G$29</f>
        <v>0</v>
      </c>
      <c r="T206" s="61">
        <f>T130*T187/'Demographic-Economic'!H$29</f>
        <v>0</v>
      </c>
      <c r="U206" s="194">
        <f t="shared" si="98"/>
        <v>0</v>
      </c>
      <c r="W206">
        <v>2040</v>
      </c>
      <c r="X206" t="s">
        <v>240</v>
      </c>
      <c r="Y206" t="s">
        <v>240</v>
      </c>
      <c r="Z206" s="61">
        <f>Z130*Z187/'Demographic-Economic'!E$29</f>
        <v>0</v>
      </c>
      <c r="AA206" s="61">
        <f>AA130*AA187/'Demographic-Economic'!F$29</f>
        <v>0</v>
      </c>
      <c r="AB206" s="61">
        <f>AB130*AB187/'Demographic-Economic'!G$29</f>
        <v>0</v>
      </c>
      <c r="AC206" s="61">
        <f>AC130*AC187/'Demographic-Economic'!H$29</f>
        <v>0</v>
      </c>
      <c r="AD206" s="194">
        <f t="shared" si="99"/>
        <v>0</v>
      </c>
      <c r="AG206">
        <v>2040</v>
      </c>
      <c r="AH206" t="s">
        <v>240</v>
      </c>
      <c r="AI206" t="s">
        <v>240</v>
      </c>
      <c r="AJ206" s="61">
        <f>AJ130*AJ187/'Demographic-Economic'!E$29</f>
        <v>0</v>
      </c>
      <c r="AK206" s="61">
        <f>AK130*AK187/'Demographic-Economic'!F$29</f>
        <v>0</v>
      </c>
      <c r="AL206" s="61">
        <f>AL130*AL187/'Demographic-Economic'!G$29</f>
        <v>0</v>
      </c>
      <c r="AM206" s="61">
        <f>AM130*AM187/'Demographic-Economic'!H$29</f>
        <v>0</v>
      </c>
      <c r="AN206" s="194">
        <f t="shared" si="100"/>
        <v>0</v>
      </c>
    </row>
    <row r="207" spans="2:40">
      <c r="E207">
        <v>2050</v>
      </c>
      <c r="F207" s="320" t="s">
        <v>240</v>
      </c>
      <c r="G207" s="320" t="s">
        <v>240</v>
      </c>
      <c r="H207" s="61">
        <f>H131*H188/'Demographic-Economic'!E$29</f>
        <v>0</v>
      </c>
      <c r="I207" s="61">
        <f>I131*I188/'Demographic-Economic'!F$29</f>
        <v>0</v>
      </c>
      <c r="J207" s="61">
        <f>J131*J188/'Demographic-Economic'!G$29</f>
        <v>0</v>
      </c>
      <c r="K207" s="61">
        <f>K131*K188/'Demographic-Economic'!H$29</f>
        <v>0</v>
      </c>
      <c r="L207" s="194">
        <f t="shared" si="97"/>
        <v>0</v>
      </c>
      <c r="M207" s="194"/>
      <c r="N207">
        <v>2050</v>
      </c>
      <c r="O207" t="s">
        <v>240</v>
      </c>
      <c r="P207" t="s">
        <v>240</v>
      </c>
      <c r="Q207" s="61">
        <f>Q131*Q188/'Demographic-Economic'!E$29</f>
        <v>0</v>
      </c>
      <c r="R207" s="61">
        <f>R131*R188/'Demographic-Economic'!F$29</f>
        <v>0</v>
      </c>
      <c r="S207" s="61">
        <f>S131*S188/'Demographic-Economic'!G$29</f>
        <v>0</v>
      </c>
      <c r="T207" s="61">
        <f>T131*T188/'Demographic-Economic'!H$29</f>
        <v>0</v>
      </c>
      <c r="U207" s="194">
        <f t="shared" si="98"/>
        <v>0</v>
      </c>
      <c r="W207">
        <v>2050</v>
      </c>
      <c r="X207" t="s">
        <v>240</v>
      </c>
      <c r="Y207" t="s">
        <v>240</v>
      </c>
      <c r="Z207" s="61">
        <f>Z131*Z188/'Demographic-Economic'!E$29</f>
        <v>0</v>
      </c>
      <c r="AA207" s="61">
        <f>AA131*AA188/'Demographic-Economic'!F$29</f>
        <v>0</v>
      </c>
      <c r="AB207" s="61">
        <f>AB131*AB188/'Demographic-Economic'!G$29</f>
        <v>0</v>
      </c>
      <c r="AC207" s="61">
        <f>AC131*AC188/'Demographic-Economic'!H$29</f>
        <v>0</v>
      </c>
      <c r="AD207" s="194">
        <f t="shared" si="99"/>
        <v>0</v>
      </c>
      <c r="AG207">
        <v>2050</v>
      </c>
      <c r="AH207" t="s">
        <v>240</v>
      </c>
      <c r="AI207" t="s">
        <v>240</v>
      </c>
      <c r="AJ207" s="61">
        <f>AJ131*AJ188/'Demographic-Economic'!E$29</f>
        <v>0</v>
      </c>
      <c r="AK207" s="61">
        <f>AK131*AK188/'Demographic-Economic'!F$29</f>
        <v>0</v>
      </c>
      <c r="AL207" s="61">
        <f>AL131*AL188/'Demographic-Economic'!G$29</f>
        <v>0</v>
      </c>
      <c r="AM207" s="61">
        <f>AM131*AM188/'Demographic-Economic'!H$29</f>
        <v>0</v>
      </c>
      <c r="AN207" s="194">
        <f t="shared" si="100"/>
        <v>0</v>
      </c>
    </row>
    <row r="208" spans="2:40">
      <c r="E208">
        <v>2060</v>
      </c>
      <c r="F208" s="320" t="s">
        <v>240</v>
      </c>
      <c r="G208" s="320" t="s">
        <v>240</v>
      </c>
      <c r="H208" s="61">
        <f>H132*H189/'Demographic-Economic'!E$29</f>
        <v>0</v>
      </c>
      <c r="I208" s="61">
        <f>I132*I189/'Demographic-Economic'!F$29</f>
        <v>0</v>
      </c>
      <c r="J208" s="61">
        <f>J132*J189/'Demographic-Economic'!G$29</f>
        <v>0</v>
      </c>
      <c r="K208" s="61">
        <f>K132*K189/'Demographic-Economic'!H$29</f>
        <v>0</v>
      </c>
      <c r="L208" s="194">
        <f t="shared" si="97"/>
        <v>0</v>
      </c>
      <c r="M208" s="194"/>
      <c r="N208">
        <v>2060</v>
      </c>
      <c r="O208" t="s">
        <v>240</v>
      </c>
      <c r="P208" t="s">
        <v>240</v>
      </c>
      <c r="Q208" s="61">
        <f>Q132*Q189/'Demographic-Economic'!E$29</f>
        <v>0</v>
      </c>
      <c r="R208" s="61">
        <f>R132*R189/'Demographic-Economic'!F$29</f>
        <v>0</v>
      </c>
      <c r="S208" s="61">
        <f>S132*S189/'Demographic-Economic'!G$29</f>
        <v>0</v>
      </c>
      <c r="T208" s="61">
        <f>T132*T189/'Demographic-Economic'!H$29</f>
        <v>0</v>
      </c>
      <c r="U208" s="194">
        <f t="shared" si="98"/>
        <v>0</v>
      </c>
      <c r="W208">
        <v>2060</v>
      </c>
      <c r="X208" t="s">
        <v>240</v>
      </c>
      <c r="Y208" t="s">
        <v>240</v>
      </c>
      <c r="Z208" s="61">
        <f>Z132*Z189/'Demographic-Economic'!E$29</f>
        <v>0</v>
      </c>
      <c r="AA208" s="61">
        <f>AA132*AA189/'Demographic-Economic'!F$29</f>
        <v>0</v>
      </c>
      <c r="AB208" s="61">
        <f>AB132*AB189/'Demographic-Economic'!G$29</f>
        <v>0</v>
      </c>
      <c r="AC208" s="61">
        <f>AC132*AC189/'Demographic-Economic'!H$29</f>
        <v>0</v>
      </c>
      <c r="AD208" s="194">
        <f t="shared" si="99"/>
        <v>0</v>
      </c>
      <c r="AG208">
        <v>2060</v>
      </c>
      <c r="AH208" t="s">
        <v>240</v>
      </c>
      <c r="AI208" t="s">
        <v>240</v>
      </c>
      <c r="AJ208" s="61">
        <f>AJ132*AJ189/'Demographic-Economic'!E$29</f>
        <v>0</v>
      </c>
      <c r="AK208" s="61">
        <f>AK132*AK189/'Demographic-Economic'!F$29</f>
        <v>0</v>
      </c>
      <c r="AL208" s="61">
        <f>AL132*AL189/'Demographic-Economic'!G$29</f>
        <v>0</v>
      </c>
      <c r="AM208" s="61">
        <f>AM132*AM189/'Demographic-Economic'!H$29</f>
        <v>0</v>
      </c>
      <c r="AN208" s="194">
        <f t="shared" si="100"/>
        <v>0</v>
      </c>
    </row>
    <row r="209" spans="5:40">
      <c r="E209">
        <v>2070</v>
      </c>
      <c r="F209" s="320" t="s">
        <v>240</v>
      </c>
      <c r="G209" s="320" t="s">
        <v>240</v>
      </c>
      <c r="H209" s="61">
        <f>H133*H190/'Demographic-Economic'!E$29</f>
        <v>0</v>
      </c>
      <c r="I209" s="61">
        <f>I133*I190/'Demographic-Economic'!F$29</f>
        <v>0</v>
      </c>
      <c r="J209" s="61">
        <f>J133*J190/'Demographic-Economic'!G$29</f>
        <v>0</v>
      </c>
      <c r="K209" s="61">
        <f>K133*K190/'Demographic-Economic'!H$29</f>
        <v>0</v>
      </c>
      <c r="L209" s="194">
        <f t="shared" si="97"/>
        <v>0</v>
      </c>
      <c r="M209" s="194"/>
      <c r="N209">
        <v>2070</v>
      </c>
      <c r="O209" t="s">
        <v>240</v>
      </c>
      <c r="P209" t="s">
        <v>240</v>
      </c>
      <c r="Q209" s="61">
        <f>Q133*Q190/'Demographic-Economic'!E$29</f>
        <v>0</v>
      </c>
      <c r="R209" s="61">
        <f>R133*R190/'Demographic-Economic'!F$29</f>
        <v>0</v>
      </c>
      <c r="S209" s="61">
        <f>S133*S190/'Demographic-Economic'!G$29</f>
        <v>0</v>
      </c>
      <c r="T209" s="61">
        <f>T133*T190/'Demographic-Economic'!H$29</f>
        <v>0</v>
      </c>
      <c r="U209" s="194">
        <f t="shared" si="98"/>
        <v>0</v>
      </c>
      <c r="W209">
        <v>2070</v>
      </c>
      <c r="X209" t="s">
        <v>240</v>
      </c>
      <c r="Y209" t="s">
        <v>240</v>
      </c>
      <c r="Z209" s="61">
        <f>Z133*Z190/'Demographic-Economic'!E$29</f>
        <v>0</v>
      </c>
      <c r="AA209" s="61">
        <f>AA133*AA190/'Demographic-Economic'!F$29</f>
        <v>0</v>
      </c>
      <c r="AB209" s="61">
        <f>AB133*AB190/'Demographic-Economic'!G$29</f>
        <v>0</v>
      </c>
      <c r="AC209" s="61">
        <f>AC133*AC190/'Demographic-Economic'!H$29</f>
        <v>0</v>
      </c>
      <c r="AD209" s="194">
        <f t="shared" si="99"/>
        <v>0</v>
      </c>
      <c r="AG209">
        <v>2070</v>
      </c>
      <c r="AH209" t="s">
        <v>240</v>
      </c>
      <c r="AI209" t="s">
        <v>240</v>
      </c>
      <c r="AJ209" s="61">
        <f>AJ133*AJ190/'Demographic-Economic'!E$29</f>
        <v>0</v>
      </c>
      <c r="AK209" s="61">
        <f>AK133*AK190/'Demographic-Economic'!F$29</f>
        <v>0</v>
      </c>
      <c r="AL209" s="61">
        <f>AL133*AL190/'Demographic-Economic'!G$29</f>
        <v>0</v>
      </c>
      <c r="AM209" s="61">
        <f>AM133*AM190/'Demographic-Economic'!H$29</f>
        <v>0</v>
      </c>
      <c r="AN209" s="194">
        <f t="shared" si="100"/>
        <v>0</v>
      </c>
    </row>
    <row r="210" spans="5:40">
      <c r="E210">
        <v>2080</v>
      </c>
      <c r="F210" s="320" t="s">
        <v>240</v>
      </c>
      <c r="G210" s="320" t="s">
        <v>240</v>
      </c>
      <c r="H210" s="61">
        <f>H134*H191/'Demographic-Economic'!E$29</f>
        <v>0</v>
      </c>
      <c r="I210" s="61">
        <f>I134*I191/'Demographic-Economic'!F$29</f>
        <v>0</v>
      </c>
      <c r="J210" s="61">
        <f>J134*J191/'Demographic-Economic'!G$29</f>
        <v>0</v>
      </c>
      <c r="K210" s="61">
        <f>K134*K191/'Demographic-Economic'!H$29</f>
        <v>0</v>
      </c>
      <c r="L210" s="194">
        <f t="shared" si="97"/>
        <v>0</v>
      </c>
      <c r="M210" s="194"/>
      <c r="N210">
        <v>2080</v>
      </c>
      <c r="O210" t="s">
        <v>240</v>
      </c>
      <c r="P210" t="s">
        <v>240</v>
      </c>
      <c r="Q210" s="61">
        <f>Q134*Q191/'Demographic-Economic'!E$29</f>
        <v>0</v>
      </c>
      <c r="R210" s="61">
        <f>R134*R191/'Demographic-Economic'!F$29</f>
        <v>0</v>
      </c>
      <c r="S210" s="61">
        <f>S134*S191/'Demographic-Economic'!G$29</f>
        <v>0</v>
      </c>
      <c r="T210" s="61">
        <f>T134*T191/'Demographic-Economic'!H$29</f>
        <v>0</v>
      </c>
      <c r="U210" s="194">
        <f t="shared" si="98"/>
        <v>0</v>
      </c>
      <c r="W210">
        <v>2080</v>
      </c>
      <c r="X210" t="s">
        <v>240</v>
      </c>
      <c r="Y210" t="s">
        <v>240</v>
      </c>
      <c r="Z210" s="61">
        <f>Z134*Z191/'Demographic-Economic'!E$29</f>
        <v>0</v>
      </c>
      <c r="AA210" s="61">
        <f>AA134*AA191/'Demographic-Economic'!F$29</f>
        <v>0</v>
      </c>
      <c r="AB210" s="61">
        <f>AB134*AB191/'Demographic-Economic'!G$29</f>
        <v>0</v>
      </c>
      <c r="AC210" s="61">
        <f>AC134*AC191/'Demographic-Economic'!H$29</f>
        <v>0</v>
      </c>
      <c r="AD210" s="194">
        <f t="shared" si="99"/>
        <v>0</v>
      </c>
      <c r="AG210">
        <v>2080</v>
      </c>
      <c r="AH210" t="s">
        <v>240</v>
      </c>
      <c r="AI210" t="s">
        <v>240</v>
      </c>
      <c r="AJ210" s="61">
        <f>AJ134*AJ191/'Demographic-Economic'!E$29</f>
        <v>0</v>
      </c>
      <c r="AK210" s="61">
        <f>AK134*AK191/'Demographic-Economic'!F$29</f>
        <v>0</v>
      </c>
      <c r="AL210" s="61">
        <f>AL134*AL191/'Demographic-Economic'!G$29</f>
        <v>0</v>
      </c>
      <c r="AM210" s="61">
        <f>AM134*AM191/'Demographic-Economic'!H$29</f>
        <v>0</v>
      </c>
      <c r="AN210" s="194">
        <f t="shared" si="100"/>
        <v>0</v>
      </c>
    </row>
    <row r="211" spans="5:40">
      <c r="E211">
        <v>2090</v>
      </c>
      <c r="F211" s="320" t="s">
        <v>240</v>
      </c>
      <c r="G211" s="320" t="s">
        <v>240</v>
      </c>
      <c r="H211" s="61">
        <f>H135*H192/'Demographic-Economic'!E$29</f>
        <v>0</v>
      </c>
      <c r="I211" s="61">
        <f>I135*I192/'Demographic-Economic'!F$29</f>
        <v>0</v>
      </c>
      <c r="J211" s="61">
        <f>J135*J192/'Demographic-Economic'!G$29</f>
        <v>0</v>
      </c>
      <c r="K211" s="61">
        <f>K135*K192/'Demographic-Economic'!H$29</f>
        <v>0</v>
      </c>
      <c r="L211" s="194">
        <f t="shared" si="97"/>
        <v>0</v>
      </c>
      <c r="M211" s="194"/>
      <c r="N211">
        <v>2090</v>
      </c>
      <c r="O211" t="s">
        <v>240</v>
      </c>
      <c r="P211" t="s">
        <v>240</v>
      </c>
      <c r="Q211" s="61">
        <f>Q135*Q192/'Demographic-Economic'!E$29</f>
        <v>0</v>
      </c>
      <c r="R211" s="61">
        <f>R135*R192/'Demographic-Economic'!F$29</f>
        <v>0</v>
      </c>
      <c r="S211" s="61">
        <f>S135*S192/'Demographic-Economic'!G$29</f>
        <v>0</v>
      </c>
      <c r="T211" s="61">
        <f>T135*T192/'Demographic-Economic'!H$29</f>
        <v>0</v>
      </c>
      <c r="U211" s="194">
        <f t="shared" si="98"/>
        <v>0</v>
      </c>
      <c r="W211">
        <v>2090</v>
      </c>
      <c r="X211" t="s">
        <v>240</v>
      </c>
      <c r="Y211" t="s">
        <v>240</v>
      </c>
      <c r="Z211" s="61">
        <f>Z135*Z192/'Demographic-Economic'!E$29</f>
        <v>0</v>
      </c>
      <c r="AA211" s="61">
        <f>AA135*AA192/'Demographic-Economic'!F$29</f>
        <v>0</v>
      </c>
      <c r="AB211" s="61">
        <f>AB135*AB192/'Demographic-Economic'!G$29</f>
        <v>0</v>
      </c>
      <c r="AC211" s="61">
        <f>AC135*AC192/'Demographic-Economic'!H$29</f>
        <v>0</v>
      </c>
      <c r="AD211" s="194">
        <f t="shared" si="99"/>
        <v>0</v>
      </c>
      <c r="AG211">
        <v>2090</v>
      </c>
      <c r="AH211" t="s">
        <v>240</v>
      </c>
      <c r="AI211" t="s">
        <v>240</v>
      </c>
      <c r="AJ211" s="61">
        <f>AJ135*AJ192/'Demographic-Economic'!E$29</f>
        <v>0</v>
      </c>
      <c r="AK211" s="61">
        <f>AK135*AK192/'Demographic-Economic'!F$29</f>
        <v>0</v>
      </c>
      <c r="AL211" s="61">
        <f>AL135*AL192/'Demographic-Economic'!G$29</f>
        <v>0</v>
      </c>
      <c r="AM211" s="61">
        <f>AM135*AM192/'Demographic-Economic'!H$29</f>
        <v>0</v>
      </c>
      <c r="AN211" s="194">
        <f t="shared" si="100"/>
        <v>0</v>
      </c>
    </row>
    <row r="212" spans="5:40">
      <c r="E212">
        <v>2100</v>
      </c>
      <c r="F212" s="320" t="s">
        <v>240</v>
      </c>
      <c r="G212" s="320" t="s">
        <v>240</v>
      </c>
      <c r="H212" s="61">
        <f>H136*H193/'Demographic-Economic'!E$29</f>
        <v>0</v>
      </c>
      <c r="I212" s="61">
        <f>I136*I193/'Demographic-Economic'!F$29</f>
        <v>0</v>
      </c>
      <c r="J212" s="61">
        <f>J136*J193/'Demographic-Economic'!G$29</f>
        <v>0</v>
      </c>
      <c r="K212" s="61">
        <f>K136*K193/'Demographic-Economic'!H$29</f>
        <v>0</v>
      </c>
      <c r="L212" s="194">
        <f t="shared" si="97"/>
        <v>0</v>
      </c>
      <c r="M212" s="194"/>
      <c r="N212">
        <v>2100</v>
      </c>
      <c r="O212" t="s">
        <v>240</v>
      </c>
      <c r="P212" t="s">
        <v>240</v>
      </c>
      <c r="Q212" s="61">
        <f>Q136*Q193/'Demographic-Economic'!E$29</f>
        <v>0</v>
      </c>
      <c r="R212" s="61">
        <f>R136*R193/'Demographic-Economic'!F$29</f>
        <v>0</v>
      </c>
      <c r="S212" s="61">
        <f>S136*S193/'Demographic-Economic'!G$29</f>
        <v>0</v>
      </c>
      <c r="T212" s="61">
        <f>T136*T193/'Demographic-Economic'!H$29</f>
        <v>0</v>
      </c>
      <c r="U212" s="194">
        <f t="shared" si="98"/>
        <v>0</v>
      </c>
      <c r="W212">
        <v>2100</v>
      </c>
      <c r="X212" t="s">
        <v>240</v>
      </c>
      <c r="Y212" t="s">
        <v>240</v>
      </c>
      <c r="Z212" s="61">
        <f>Z136*Z193/'Demographic-Economic'!E$29</f>
        <v>0</v>
      </c>
      <c r="AA212" s="61">
        <f>AA136*AA193/'Demographic-Economic'!F$29</f>
        <v>0</v>
      </c>
      <c r="AB212" s="61">
        <f>AB136*AB193/'Demographic-Economic'!G$29</f>
        <v>0</v>
      </c>
      <c r="AC212" s="61">
        <f>AC136*AC193/'Demographic-Economic'!H$29</f>
        <v>0</v>
      </c>
      <c r="AD212" s="194">
        <f t="shared" si="99"/>
        <v>0</v>
      </c>
      <c r="AG212">
        <v>2100</v>
      </c>
      <c r="AH212" t="s">
        <v>240</v>
      </c>
      <c r="AI212" t="s">
        <v>240</v>
      </c>
      <c r="AJ212" s="61">
        <f>AJ136*AJ193/'Demographic-Economic'!E$29</f>
        <v>0</v>
      </c>
      <c r="AK212" s="61">
        <f>AK136*AK193/'Demographic-Economic'!F$29</f>
        <v>0</v>
      </c>
      <c r="AL212" s="61">
        <f>AL136*AL193/'Demographic-Economic'!G$29</f>
        <v>0</v>
      </c>
      <c r="AM212" s="61">
        <f>AM136*AM193/'Demographic-Economic'!H$29</f>
        <v>0</v>
      </c>
      <c r="AN212" s="194">
        <f t="shared" si="100"/>
        <v>0</v>
      </c>
    </row>
    <row r="213" spans="5:40">
      <c r="F213" s="581" t="s">
        <v>287</v>
      </c>
      <c r="G213" s="581"/>
      <c r="H213" s="581"/>
      <c r="I213" s="581"/>
      <c r="J213" s="581"/>
      <c r="K213" s="581"/>
      <c r="O213" s="581" t="s">
        <v>287</v>
      </c>
      <c r="P213" s="581"/>
      <c r="Q213" s="581"/>
      <c r="R213" s="581"/>
      <c r="S213" s="581"/>
      <c r="T213" s="581"/>
      <c r="X213" s="581" t="s">
        <v>288</v>
      </c>
      <c r="Y213" s="581"/>
      <c r="Z213" s="581"/>
      <c r="AA213" s="581"/>
      <c r="AB213" s="581"/>
      <c r="AC213" s="581"/>
      <c r="AH213" s="581" t="s">
        <v>288</v>
      </c>
      <c r="AI213" s="581"/>
      <c r="AJ213" s="581"/>
      <c r="AK213" s="581"/>
      <c r="AL213" s="581"/>
      <c r="AM213" s="581"/>
    </row>
    <row r="214" spans="5:40">
      <c r="E214">
        <v>2020</v>
      </c>
      <c r="F214" s="320" t="s">
        <v>240</v>
      </c>
      <c r="G214" s="320" t="s">
        <v>240</v>
      </c>
      <c r="H214" s="62">
        <f>(('Demographic-Economic'!E$23*1000*(1+'Inflation-Interest'!$C$65)*(1+'Inflation-Interest'!$C$66)*(1+'Inflation-Interest'!$C$67)) * AVERAGE('Demographic-Economic'!$C12:$H12)/'Voluntary Costs (2)'!H24)*$C$5</f>
        <v>2970.1645687605055</v>
      </c>
      <c r="I214" s="62">
        <f>(('Demographic-Economic'!F$23*1000*(1+'Inflation-Interest'!$C$65)*(1+'Inflation-Interest'!$C$66)*(1+'Inflation-Interest'!$C$67)) * AVERAGE('Demographic-Economic'!$C12:$H12)/'Voluntary Costs (2)'!I24)*$C$5</f>
        <v>1400.1123473199721</v>
      </c>
      <c r="J214" s="62">
        <f>(('Demographic-Economic'!G$23*1000*(1+'Inflation-Interest'!$C$65)*(1+'Inflation-Interest'!$C$66)*(1+'Inflation-Interest'!$C$67)) * AVERAGE('Demographic-Economic'!$C12:$H12)/'Voluntary Costs (2)'!J24)*$C$5</f>
        <v>1645.2633677887811</v>
      </c>
      <c r="K214" s="62">
        <f>(('Demographic-Economic'!H$23*1000*(1+'Inflation-Interest'!$C$65)*(1+'Inflation-Interest'!$C$66)*(1+'Inflation-Interest'!$C$67)) * AVERAGE('Demographic-Economic'!$C12:$H12)/'Voluntary Costs (2)'!K24)*$C$5</f>
        <v>454.88292332820942</v>
      </c>
      <c r="L214" s="329">
        <f t="shared" ref="L214:L231" si="101">SUMPRODUCT(H214:K214, H24:K24)/SUM(H24:K24)</f>
        <v>2437.7993803358172</v>
      </c>
      <c r="M214" s="329"/>
      <c r="N214">
        <v>2020</v>
      </c>
      <c r="O214" s="320" t="s">
        <v>240</v>
      </c>
      <c r="P214" s="320" t="s">
        <v>240</v>
      </c>
      <c r="Q214" s="170">
        <f>(('Demographic-Economic'!E$23*1000*(1+'Inflation-Interest'!$C$65)*(1+'Inflation-Interest'!$C$66)*(1+'Inflation-Interest'!$C$67)) * AVERAGE('Demographic-Economic'!$C12:$H12)/'Voluntary Costs (2)'!Q24)*$C$5</f>
        <v>2970.1645687605055</v>
      </c>
      <c r="R214" s="170">
        <f>(('Demographic-Economic'!F$23*1000*(1+'Inflation-Interest'!$C$65)*(1+'Inflation-Interest'!$C$66)*(1+'Inflation-Interest'!$C$67)) * AVERAGE('Demographic-Economic'!$C12:$H12)/'Voluntary Costs (2)'!R24)*$C$5</f>
        <v>1400.1123473199721</v>
      </c>
      <c r="S214" s="170">
        <f>(('Demographic-Economic'!G$23*1000*(1+'Inflation-Interest'!$C$65)*(1+'Inflation-Interest'!$C$66)*(1+'Inflation-Interest'!$C$67)) * AVERAGE('Demographic-Economic'!$C12:$H12)/'Voluntary Costs (2)'!S24)*$C$5</f>
        <v>1645.2633677887811</v>
      </c>
      <c r="T214" s="170">
        <f>(('Demographic-Economic'!H$23*1000*(1+'Inflation-Interest'!$C$65)*(1+'Inflation-Interest'!$C$66)*(1+'Inflation-Interest'!$C$67)) * AVERAGE('Demographic-Economic'!$C12:$H12)/'Voluntary Costs (2)'!T24)*$C$5</f>
        <v>454.88292332820942</v>
      </c>
      <c r="U214" s="172">
        <f t="shared" ref="U214:U231" si="102">SUMPRODUCT(Q214:T214, Q24:T24)/SUM(Q24:T24)</f>
        <v>2437.7993803358172</v>
      </c>
      <c r="W214">
        <v>2020</v>
      </c>
      <c r="Z214" s="170">
        <f>(('Demographic-Economic'!E$23*1000*(1+'Inflation-Interest'!$C$65)*(1+'Inflation-Interest'!$C$66)*(1+'Inflation-Interest'!$C$67)) * AVERAGE('Demographic-Economic'!$C12:$H12)/'Voluntary Costs (2)'!Z24)*$C$5</f>
        <v>2970.1645687605055</v>
      </c>
      <c r="AA214" s="170">
        <f>(('Demographic-Economic'!F$23*1000*(1+'Inflation-Interest'!$C$65)*(1+'Inflation-Interest'!$C$66)*(1+'Inflation-Interest'!$C$67)) * AVERAGE('Demographic-Economic'!$C12:$H12)/'Voluntary Costs (2)'!AA24)*$C$5</f>
        <v>1400.1123473199721</v>
      </c>
      <c r="AB214" s="170">
        <f>(('Demographic-Economic'!G$23*1000*(1+'Inflation-Interest'!$C$65)*(1+'Inflation-Interest'!$C$66)*(1+'Inflation-Interest'!$C$67)) * AVERAGE('Demographic-Economic'!$C12:$H12)/'Voluntary Costs (2)'!AB24)*$C$5</f>
        <v>1645.2633677887811</v>
      </c>
      <c r="AC214" s="170">
        <f>(('Demographic-Economic'!H$23*1000*(1+'Inflation-Interest'!$C$65)*(1+'Inflation-Interest'!$C$66)*(1+'Inflation-Interest'!$C$67)) * AVERAGE('Demographic-Economic'!$C12:$H12)/'Voluntary Costs (2)'!AC24)*$C$5</f>
        <v>454.88292332820942</v>
      </c>
      <c r="AD214" s="172">
        <f t="shared" ref="AD214:AD231" si="103">SUMPRODUCT(Z214:AC214, Z24:AC24)/SUM(Z24:AC24)</f>
        <v>2437.7993803358172</v>
      </c>
      <c r="AG214">
        <v>2020</v>
      </c>
      <c r="AH214" t="s">
        <v>240</v>
      </c>
      <c r="AI214" t="s">
        <v>240</v>
      </c>
      <c r="AJ214" s="170">
        <f>(('Demographic-Economic'!E$23*1000*(1+'Inflation-Interest'!$C$65)*(1+'Inflation-Interest'!$C$66)*(1+'Inflation-Interest'!$C$67)) * AVERAGE('Demographic-Economic'!$C12:$H12)/'Voluntary Costs (2)'!AJ24)*$C$5</f>
        <v>2970.1645687605055</v>
      </c>
      <c r="AK214" s="170">
        <f>(('Demographic-Economic'!F$23*1000*(1+'Inflation-Interest'!$C$65)*(1+'Inflation-Interest'!$C$66)*(1+'Inflation-Interest'!$C$67)) * AVERAGE('Demographic-Economic'!$C12:$H12)/'Voluntary Costs (2)'!AK24)*$C$5</f>
        <v>1400.1123473199721</v>
      </c>
      <c r="AL214" s="170">
        <f>(('Demographic-Economic'!G$23*1000*(1+'Inflation-Interest'!$C$65)*(1+'Inflation-Interest'!$C$66)*(1+'Inflation-Interest'!$C$67)) * AVERAGE('Demographic-Economic'!$C12:$H12)/'Voluntary Costs (2)'!AL24)*$C$5</f>
        <v>1645.2633677887811</v>
      </c>
      <c r="AM214" s="170">
        <f>(('Demographic-Economic'!H$23*1000*(1+'Inflation-Interest'!$C$65)*(1+'Inflation-Interest'!$C$66)*(1+'Inflation-Interest'!$C$67)) * AVERAGE('Demographic-Economic'!$C12:$H12)/'Voluntary Costs (2)'!AM24)*$C$5</f>
        <v>454.88292332820942</v>
      </c>
      <c r="AN214" s="172">
        <f t="shared" ref="AN214:AN231" si="104">SUMPRODUCT(AJ214:AM214, AJ24:AM24)/SUM(AJ24:AM24)</f>
        <v>2437.7993803358172</v>
      </c>
    </row>
    <row r="215" spans="5:40">
      <c r="E215">
        <v>2021</v>
      </c>
      <c r="F215" s="320" t="s">
        <v>240</v>
      </c>
      <c r="G215" s="320" t="s">
        <v>240</v>
      </c>
      <c r="H215" s="62">
        <f>H214*(1+$C$6)</f>
        <v>3081.6620715346344</v>
      </c>
      <c r="I215" s="62">
        <f t="shared" ref="I215:K224" si="105">I214*(1+$C$6)</f>
        <v>1452.6713980780744</v>
      </c>
      <c r="J215" s="62">
        <f t="shared" si="105"/>
        <v>1707.0251835627655</v>
      </c>
      <c r="K215" s="62">
        <f t="shared" si="105"/>
        <v>471.95884920084762</v>
      </c>
      <c r="L215" s="329">
        <f t="shared" si="101"/>
        <v>2528.7548836948608</v>
      </c>
      <c r="M215" s="329"/>
      <c r="N215">
        <v>2021</v>
      </c>
      <c r="O215" s="320" t="s">
        <v>240</v>
      </c>
      <c r="P215" s="320" t="s">
        <v>240</v>
      </c>
      <c r="Q215" s="170">
        <f>Q214*(1+$C$6)</f>
        <v>3081.6620715346344</v>
      </c>
      <c r="R215" s="170">
        <f t="shared" ref="R215:T215" si="106">R214*(1+$C$6)</f>
        <v>1452.6713980780744</v>
      </c>
      <c r="S215" s="170">
        <f t="shared" si="106"/>
        <v>1707.0251835627655</v>
      </c>
      <c r="T215" s="170">
        <f t="shared" si="106"/>
        <v>471.95884920084762</v>
      </c>
      <c r="U215" s="172">
        <f t="shared" si="102"/>
        <v>2528.7548836948608</v>
      </c>
      <c r="W215">
        <v>2021</v>
      </c>
      <c r="Z215" s="170">
        <f>Z214*(1+$C$6)^($W215-$W214)</f>
        <v>3081.6620715346344</v>
      </c>
      <c r="AA215" s="170">
        <f t="shared" ref="AA215:AC230" si="107">AA214*(1+$C$6)^($W215-$W214)</f>
        <v>1452.6713980780744</v>
      </c>
      <c r="AB215" s="170">
        <f t="shared" si="107"/>
        <v>1707.0251835627655</v>
      </c>
      <c r="AC215" s="170">
        <f t="shared" si="107"/>
        <v>471.95884920084762</v>
      </c>
      <c r="AD215" s="172">
        <f t="shared" si="103"/>
        <v>2528.7548836948604</v>
      </c>
      <c r="AG215">
        <v>2021</v>
      </c>
      <c r="AH215" t="s">
        <v>240</v>
      </c>
      <c r="AI215" t="s">
        <v>240</v>
      </c>
      <c r="AJ215" s="170">
        <f>AJ214*(1+$C$6)^($AG215-$AG214)</f>
        <v>3081.6620715346344</v>
      </c>
      <c r="AK215" s="170">
        <f t="shared" ref="AK215:AM230" si="108">AK214*(1+$C$6)^($AG215-$AG214)</f>
        <v>1452.6713980780744</v>
      </c>
      <c r="AL215" s="170">
        <f t="shared" si="108"/>
        <v>1707.0251835627655</v>
      </c>
      <c r="AM215" s="170">
        <f t="shared" si="108"/>
        <v>471.95884920084762</v>
      </c>
      <c r="AN215" s="172">
        <f t="shared" si="104"/>
        <v>2528.7548836948604</v>
      </c>
    </row>
    <row r="216" spans="5:40">
      <c r="E216">
        <v>2022</v>
      </c>
      <c r="F216" s="320" t="s">
        <v>240</v>
      </c>
      <c r="G216" s="320" t="s">
        <v>240</v>
      </c>
      <c r="H216" s="62">
        <f t="shared" ref="H216:H224" si="109">H215*(1+$C$6)</f>
        <v>3197.3450976483182</v>
      </c>
      <c r="I216" s="62">
        <f t="shared" si="105"/>
        <v>1507.203471802427</v>
      </c>
      <c r="J216" s="62">
        <f t="shared" si="105"/>
        <v>1771.1054864327255</v>
      </c>
      <c r="K216" s="62">
        <f t="shared" si="105"/>
        <v>489.67579110080646</v>
      </c>
      <c r="L216" s="329">
        <f t="shared" si="101"/>
        <v>2623.2250145661428</v>
      </c>
      <c r="M216" s="329"/>
      <c r="N216">
        <v>2022</v>
      </c>
      <c r="O216" s="320" t="s">
        <v>240</v>
      </c>
      <c r="P216" s="320" t="s">
        <v>240</v>
      </c>
      <c r="Q216" s="170">
        <f t="shared" ref="Q216:T224" si="110">Q215*(1+$C$6)</f>
        <v>3197.3450976483182</v>
      </c>
      <c r="R216" s="170">
        <f t="shared" si="110"/>
        <v>1507.203471802427</v>
      </c>
      <c r="S216" s="170">
        <f t="shared" si="110"/>
        <v>1771.1054864327255</v>
      </c>
      <c r="T216" s="170">
        <f t="shared" si="110"/>
        <v>489.67579110080646</v>
      </c>
      <c r="U216" s="172">
        <f t="shared" si="102"/>
        <v>2623.2163827524973</v>
      </c>
      <c r="W216">
        <v>2022</v>
      </c>
      <c r="Z216" s="170">
        <f t="shared" ref="Z216:Z231" si="111">Z215*(1+$C$6)^($W216-$W215)</f>
        <v>3197.3450976483182</v>
      </c>
      <c r="AA216" s="170">
        <f t="shared" si="107"/>
        <v>1507.203471802427</v>
      </c>
      <c r="AB216" s="170">
        <f t="shared" si="107"/>
        <v>1771.1054864327255</v>
      </c>
      <c r="AC216" s="170">
        <f t="shared" si="107"/>
        <v>489.67579110080646</v>
      </c>
      <c r="AD216" s="172">
        <f t="shared" si="103"/>
        <v>2623.2083856546942</v>
      </c>
      <c r="AG216">
        <v>2022</v>
      </c>
      <c r="AH216" t="s">
        <v>240</v>
      </c>
      <c r="AI216" t="s">
        <v>240</v>
      </c>
      <c r="AJ216" s="170">
        <f t="shared" ref="AJ216:AJ231" si="112">AJ215*(1+$C$6)^($AG216-$AG215)</f>
        <v>3197.3450976483182</v>
      </c>
      <c r="AK216" s="170">
        <f t="shared" si="108"/>
        <v>1507.203471802427</v>
      </c>
      <c r="AL216" s="170">
        <f t="shared" si="108"/>
        <v>1771.1054864327255</v>
      </c>
      <c r="AM216" s="170">
        <f t="shared" si="108"/>
        <v>489.67579110080646</v>
      </c>
      <c r="AN216" s="172">
        <f t="shared" si="104"/>
        <v>2623.2238985035883</v>
      </c>
    </row>
    <row r="217" spans="5:40">
      <c r="E217">
        <v>2023</v>
      </c>
      <c r="F217" s="320" t="s">
        <v>240</v>
      </c>
      <c r="G217" s="320" t="s">
        <v>240</v>
      </c>
      <c r="H217" s="62">
        <f t="shared" si="109"/>
        <v>3317.370768159788</v>
      </c>
      <c r="I217" s="62">
        <f t="shared" si="105"/>
        <v>1563.7826341309969</v>
      </c>
      <c r="J217" s="62">
        <f t="shared" si="105"/>
        <v>1837.5913104721712</v>
      </c>
      <c r="K217" s="62">
        <f t="shared" si="105"/>
        <v>508.05781223557148</v>
      </c>
      <c r="L217" s="329">
        <f t="shared" si="101"/>
        <v>2721.3365108285916</v>
      </c>
      <c r="M217" s="329"/>
      <c r="N217">
        <v>2023</v>
      </c>
      <c r="O217" s="320" t="s">
        <v>240</v>
      </c>
      <c r="P217" s="320" t="s">
        <v>240</v>
      </c>
      <c r="Q217" s="170">
        <f t="shared" si="110"/>
        <v>3317.370768159788</v>
      </c>
      <c r="R217" s="170">
        <f t="shared" si="110"/>
        <v>1563.7826341309969</v>
      </c>
      <c r="S217" s="170">
        <f t="shared" si="110"/>
        <v>1837.5913104721712</v>
      </c>
      <c r="T217" s="170">
        <f t="shared" si="110"/>
        <v>508.05781223557148</v>
      </c>
      <c r="U217" s="172">
        <f t="shared" si="102"/>
        <v>2721.3143465493572</v>
      </c>
      <c r="W217">
        <v>2023</v>
      </c>
      <c r="Z217" s="170">
        <f t="shared" si="111"/>
        <v>3317.370768159788</v>
      </c>
      <c r="AA217" s="170">
        <f t="shared" si="107"/>
        <v>1563.7826341309969</v>
      </c>
      <c r="AB217" s="170">
        <f t="shared" si="107"/>
        <v>1837.5913104721712</v>
      </c>
      <c r="AC217" s="170">
        <f t="shared" si="107"/>
        <v>508.05781223557148</v>
      </c>
      <c r="AD217" s="172">
        <f t="shared" si="103"/>
        <v>2721.2934250898993</v>
      </c>
      <c r="AG217">
        <v>2023</v>
      </c>
      <c r="AH217" t="s">
        <v>240</v>
      </c>
      <c r="AI217" t="s">
        <v>240</v>
      </c>
      <c r="AJ217" s="170">
        <f t="shared" si="112"/>
        <v>3317.370768159788</v>
      </c>
      <c r="AK217" s="170">
        <f t="shared" si="108"/>
        <v>1563.7826341309969</v>
      </c>
      <c r="AL217" s="170">
        <f t="shared" si="108"/>
        <v>1837.5913104721712</v>
      </c>
      <c r="AM217" s="170">
        <f t="shared" si="108"/>
        <v>508.05781223557148</v>
      </c>
      <c r="AN217" s="172">
        <f t="shared" si="104"/>
        <v>2721.333668765054</v>
      </c>
    </row>
    <row r="218" spans="5:40">
      <c r="E218">
        <v>2024</v>
      </c>
      <c r="F218" s="320" t="s">
        <v>240</v>
      </c>
      <c r="G218" s="320" t="s">
        <v>240</v>
      </c>
      <c r="H218" s="62">
        <f t="shared" si="109"/>
        <v>3441.9021023208666</v>
      </c>
      <c r="I218" s="62">
        <f t="shared" si="105"/>
        <v>1622.4857310640796</v>
      </c>
      <c r="J218" s="62">
        <f t="shared" si="105"/>
        <v>1906.5729569412044</v>
      </c>
      <c r="K218" s="62">
        <f t="shared" si="105"/>
        <v>527.1298791253846</v>
      </c>
      <c r="L218" s="329">
        <f t="shared" si="101"/>
        <v>2823.2215884243687</v>
      </c>
      <c r="M218" s="329"/>
      <c r="N218">
        <v>2024</v>
      </c>
      <c r="O218" s="320" t="s">
        <v>240</v>
      </c>
      <c r="P218" s="320" t="s">
        <v>240</v>
      </c>
      <c r="Q218" s="170">
        <f>Q217*(1+$C$6)</f>
        <v>3441.9021023208666</v>
      </c>
      <c r="R218" s="170">
        <f t="shared" si="110"/>
        <v>1622.4857310640796</v>
      </c>
      <c r="S218" s="170">
        <f t="shared" si="110"/>
        <v>1906.5729569412044</v>
      </c>
      <c r="T218" s="170">
        <f t="shared" si="110"/>
        <v>527.1298791253846</v>
      </c>
      <c r="U218" s="172">
        <f t="shared" si="102"/>
        <v>2823.1841739578526</v>
      </c>
      <c r="W218">
        <v>2024</v>
      </c>
      <c r="Z218" s="170">
        <f t="shared" si="111"/>
        <v>3441.9021023208666</v>
      </c>
      <c r="AA218" s="170">
        <f t="shared" si="107"/>
        <v>1622.4857310640796</v>
      </c>
      <c r="AB218" s="170">
        <f t="shared" si="107"/>
        <v>1906.5729569412044</v>
      </c>
      <c r="AC218" s="170">
        <f t="shared" si="107"/>
        <v>527.1298791253846</v>
      </c>
      <c r="AD218" s="172">
        <f t="shared" si="103"/>
        <v>2823.1482936790949</v>
      </c>
      <c r="AG218">
        <v>2024</v>
      </c>
      <c r="AH218" t="s">
        <v>240</v>
      </c>
      <c r="AI218" t="s">
        <v>240</v>
      </c>
      <c r="AJ218" s="170">
        <f t="shared" si="112"/>
        <v>3441.9021023208666</v>
      </c>
      <c r="AK218" s="170">
        <f t="shared" si="108"/>
        <v>1622.4857310640796</v>
      </c>
      <c r="AL218" s="170">
        <f t="shared" si="108"/>
        <v>1906.5729569412044</v>
      </c>
      <c r="AM218" s="170">
        <f t="shared" si="108"/>
        <v>527.1298791253846</v>
      </c>
      <c r="AN218" s="172">
        <f t="shared" si="104"/>
        <v>2823.2168240753808</v>
      </c>
    </row>
    <row r="219" spans="5:40">
      <c r="E219">
        <v>2025</v>
      </c>
      <c r="F219" s="320" t="s">
        <v>240</v>
      </c>
      <c r="G219" s="320" t="s">
        <v>240</v>
      </c>
      <c r="H219" s="62">
        <f t="shared" si="109"/>
        <v>3571.1082389902399</v>
      </c>
      <c r="I219" s="62">
        <f t="shared" si="105"/>
        <v>1683.3924933367825</v>
      </c>
      <c r="J219" s="62">
        <f t="shared" si="105"/>
        <v>1978.1441169339798</v>
      </c>
      <c r="K219" s="62">
        <f t="shared" si="105"/>
        <v>546.91789551285228</v>
      </c>
      <c r="L219" s="329">
        <f t="shared" si="101"/>
        <v>2929.0180510367845</v>
      </c>
      <c r="M219" s="329"/>
      <c r="N219">
        <v>2025</v>
      </c>
      <c r="O219" s="320" t="s">
        <v>240</v>
      </c>
      <c r="P219" s="320" t="s">
        <v>240</v>
      </c>
      <c r="Q219" s="170">
        <f t="shared" si="110"/>
        <v>3571.1082389902399</v>
      </c>
      <c r="R219" s="170">
        <f t="shared" si="110"/>
        <v>1683.3924933367825</v>
      </c>
      <c r="S219" s="170">
        <f t="shared" si="110"/>
        <v>1978.1441169339798</v>
      </c>
      <c r="T219" s="170">
        <f t="shared" si="110"/>
        <v>546.91789551285228</v>
      </c>
      <c r="U219" s="172">
        <f t="shared" si="102"/>
        <v>2928.9663940894202</v>
      </c>
      <c r="W219">
        <v>2025</v>
      </c>
      <c r="Z219" s="170">
        <f t="shared" si="111"/>
        <v>3571.1082389902399</v>
      </c>
      <c r="AA219" s="170">
        <f t="shared" si="107"/>
        <v>1683.3924933367825</v>
      </c>
      <c r="AB219" s="170">
        <f t="shared" si="107"/>
        <v>1978.1441169339798</v>
      </c>
      <c r="AC219" s="170">
        <f t="shared" si="107"/>
        <v>546.91789551285228</v>
      </c>
      <c r="AD219" s="172">
        <f t="shared" si="103"/>
        <v>2928.9162294256234</v>
      </c>
      <c r="AG219">
        <v>2025</v>
      </c>
      <c r="AH219" t="s">
        <v>240</v>
      </c>
      <c r="AI219" t="s">
        <v>240</v>
      </c>
      <c r="AJ219" s="170">
        <f t="shared" si="112"/>
        <v>3571.1082389902399</v>
      </c>
      <c r="AK219" s="170">
        <f t="shared" si="108"/>
        <v>1683.3924933367825</v>
      </c>
      <c r="AL219" s="170">
        <f t="shared" si="108"/>
        <v>1978.1441169339798</v>
      </c>
      <c r="AM219" s="170">
        <f t="shared" si="108"/>
        <v>546.91789551285228</v>
      </c>
      <c r="AN219" s="172">
        <f t="shared" si="104"/>
        <v>2929.0115086631727</v>
      </c>
    </row>
    <row r="220" spans="5:40">
      <c r="E220">
        <v>2026</v>
      </c>
      <c r="F220" s="320" t="s">
        <v>240</v>
      </c>
      <c r="G220" s="320" t="s">
        <v>240</v>
      </c>
      <c r="H220" s="62">
        <f t="shared" si="109"/>
        <v>3705.1646663584011</v>
      </c>
      <c r="I220" s="62">
        <f t="shared" si="105"/>
        <v>1746.5856447095675</v>
      </c>
      <c r="J220" s="62">
        <f t="shared" si="105"/>
        <v>2052.4019986302505</v>
      </c>
      <c r="K220" s="62">
        <f t="shared" si="105"/>
        <v>567.44873754549178</v>
      </c>
      <c r="L220" s="329">
        <f t="shared" si="101"/>
        <v>3038.8694198840508</v>
      </c>
      <c r="M220" s="329"/>
      <c r="N220">
        <v>2026</v>
      </c>
      <c r="O220" s="320" t="s">
        <v>240</v>
      </c>
      <c r="P220" s="320" t="s">
        <v>240</v>
      </c>
      <c r="Q220" s="170">
        <f t="shared" si="110"/>
        <v>3705.1646663584011</v>
      </c>
      <c r="R220" s="170">
        <f t="shared" si="110"/>
        <v>1746.5856447095675</v>
      </c>
      <c r="S220" s="170">
        <f t="shared" si="110"/>
        <v>2052.4019986302505</v>
      </c>
      <c r="T220" s="170">
        <f t="shared" si="110"/>
        <v>567.44873754549178</v>
      </c>
      <c r="U220" s="172">
        <f t="shared" si="102"/>
        <v>3038.8068718342902</v>
      </c>
      <c r="W220">
        <v>2026</v>
      </c>
      <c r="Z220" s="170">
        <f t="shared" si="111"/>
        <v>3705.1646663584011</v>
      </c>
      <c r="AA220" s="170">
        <f t="shared" si="107"/>
        <v>1746.5856447095675</v>
      </c>
      <c r="AB220" s="170">
        <f t="shared" si="107"/>
        <v>2052.4019986302505</v>
      </c>
      <c r="AC220" s="170">
        <f t="shared" si="107"/>
        <v>567.44873754549178</v>
      </c>
      <c r="AD220" s="172">
        <f t="shared" si="103"/>
        <v>3038.745620004468</v>
      </c>
      <c r="AG220">
        <v>2026</v>
      </c>
      <c r="AH220" t="s">
        <v>240</v>
      </c>
      <c r="AI220" t="s">
        <v>240</v>
      </c>
      <c r="AJ220" s="170">
        <f t="shared" si="112"/>
        <v>3705.1646663584011</v>
      </c>
      <c r="AK220" s="170">
        <f t="shared" si="108"/>
        <v>1746.5856447095675</v>
      </c>
      <c r="AL220" s="170">
        <f t="shared" si="108"/>
        <v>2052.4019986302505</v>
      </c>
      <c r="AM220" s="170">
        <f t="shared" si="108"/>
        <v>567.44873754549178</v>
      </c>
      <c r="AN220" s="172">
        <f t="shared" si="104"/>
        <v>3038.861526356704</v>
      </c>
    </row>
    <row r="221" spans="5:40">
      <c r="E221">
        <v>2027</v>
      </c>
      <c r="F221" s="320" t="s">
        <v>240</v>
      </c>
      <c r="G221" s="320" t="s">
        <v>240</v>
      </c>
      <c r="H221" s="62">
        <f t="shared" si="109"/>
        <v>3844.2534602962737</v>
      </c>
      <c r="I221" s="62">
        <f t="shared" si="105"/>
        <v>1812.1510143239275</v>
      </c>
      <c r="J221" s="62">
        <f t="shared" si="105"/>
        <v>2129.4474593238315</v>
      </c>
      <c r="K221" s="62">
        <f t="shared" si="105"/>
        <v>588.75029027900155</v>
      </c>
      <c r="L221" s="329">
        <f t="shared" si="101"/>
        <v>3152.9250813837125</v>
      </c>
      <c r="M221" s="329"/>
      <c r="N221">
        <v>2027</v>
      </c>
      <c r="O221" s="320" t="s">
        <v>240</v>
      </c>
      <c r="P221" s="320" t="s">
        <v>240</v>
      </c>
      <c r="Q221" s="170">
        <f t="shared" si="110"/>
        <v>3844.2534602962737</v>
      </c>
      <c r="R221" s="170">
        <f t="shared" si="110"/>
        <v>1812.1510143239275</v>
      </c>
      <c r="S221" s="170">
        <f t="shared" si="110"/>
        <v>2129.4474593238315</v>
      </c>
      <c r="T221" s="170">
        <f t="shared" si="110"/>
        <v>588.75029027900155</v>
      </c>
      <c r="U221" s="172">
        <f t="shared" si="102"/>
        <v>3152.8570189734887</v>
      </c>
      <c r="W221">
        <v>2027</v>
      </c>
      <c r="Z221" s="170">
        <f t="shared" si="111"/>
        <v>3844.2534602962737</v>
      </c>
      <c r="AA221" s="170">
        <f t="shared" si="107"/>
        <v>1812.1510143239275</v>
      </c>
      <c r="AB221" s="170">
        <f t="shared" si="107"/>
        <v>2129.4474593238315</v>
      </c>
      <c r="AC221" s="170">
        <f t="shared" si="107"/>
        <v>588.75029027900155</v>
      </c>
      <c r="AD221" s="172">
        <f t="shared" si="103"/>
        <v>3152.7902156878104</v>
      </c>
      <c r="AG221">
        <v>2027</v>
      </c>
      <c r="AH221" t="s">
        <v>240</v>
      </c>
      <c r="AI221" t="s">
        <v>240</v>
      </c>
      <c r="AJ221" s="170">
        <f t="shared" si="112"/>
        <v>3844.2534602962737</v>
      </c>
      <c r="AK221" s="170">
        <f t="shared" si="108"/>
        <v>1812.1510143239275</v>
      </c>
      <c r="AL221" s="170">
        <f t="shared" si="108"/>
        <v>2129.4474593238315</v>
      </c>
      <c r="AM221" s="170">
        <f t="shared" si="108"/>
        <v>588.75029027900155</v>
      </c>
      <c r="AN221" s="172">
        <f t="shared" si="104"/>
        <v>3152.9165002051618</v>
      </c>
    </row>
    <row r="222" spans="5:40">
      <c r="E222">
        <v>2028</v>
      </c>
      <c r="F222" s="320" t="s">
        <v>240</v>
      </c>
      <c r="G222" s="320" t="s">
        <v>240</v>
      </c>
      <c r="H222" s="62">
        <f t="shared" si="109"/>
        <v>3988.5635316512457</v>
      </c>
      <c r="I222" s="62">
        <f t="shared" si="105"/>
        <v>1880.1776532758024</v>
      </c>
      <c r="J222" s="62">
        <f t="shared" si="105"/>
        <v>2209.3851424072986</v>
      </c>
      <c r="K222" s="62">
        <f t="shared" si="105"/>
        <v>610.85148555083333</v>
      </c>
      <c r="L222" s="329">
        <f t="shared" si="101"/>
        <v>3271.3404509882698</v>
      </c>
      <c r="M222" s="329"/>
      <c r="N222">
        <v>2028</v>
      </c>
      <c r="O222" s="320" t="s">
        <v>240</v>
      </c>
      <c r="P222" s="320" t="s">
        <v>240</v>
      </c>
      <c r="Q222" s="170">
        <f t="shared" si="110"/>
        <v>3988.5635316512457</v>
      </c>
      <c r="R222" s="170">
        <f t="shared" si="110"/>
        <v>1880.1776532758024</v>
      </c>
      <c r="S222" s="170">
        <f t="shared" si="110"/>
        <v>2209.3851424072986</v>
      </c>
      <c r="T222" s="170">
        <f t="shared" si="110"/>
        <v>610.85148555083333</v>
      </c>
      <c r="U222" s="172">
        <f t="shared" si="102"/>
        <v>3271.2740113157884</v>
      </c>
      <c r="W222">
        <v>2028</v>
      </c>
      <c r="Z222" s="170">
        <f t="shared" si="111"/>
        <v>3988.5635316512457</v>
      </c>
      <c r="AA222" s="170">
        <f t="shared" si="107"/>
        <v>1880.1776532758024</v>
      </c>
      <c r="AB222" s="170">
        <f t="shared" si="107"/>
        <v>2209.3851424072986</v>
      </c>
      <c r="AC222" s="170">
        <f t="shared" si="107"/>
        <v>610.85148555083333</v>
      </c>
      <c r="AD222" s="172">
        <f t="shared" si="103"/>
        <v>3271.2093516187942</v>
      </c>
      <c r="AG222">
        <v>2028</v>
      </c>
      <c r="AH222" t="s">
        <v>240</v>
      </c>
      <c r="AI222" t="s">
        <v>240</v>
      </c>
      <c r="AJ222" s="170">
        <f t="shared" si="112"/>
        <v>3988.5635316512457</v>
      </c>
      <c r="AK222" s="170">
        <f t="shared" si="108"/>
        <v>1880.1776532758024</v>
      </c>
      <c r="AL222" s="170">
        <f t="shared" si="108"/>
        <v>2209.3851424072986</v>
      </c>
      <c r="AM222" s="170">
        <f t="shared" si="108"/>
        <v>610.85148555083333</v>
      </c>
      <c r="AN222" s="172">
        <f t="shared" si="104"/>
        <v>3271.3320457856516</v>
      </c>
    </row>
    <row r="223" spans="5:40">
      <c r="E223">
        <v>2029</v>
      </c>
      <c r="F223" s="320" t="s">
        <v>240</v>
      </c>
      <c r="G223" s="320" t="s">
        <v>240</v>
      </c>
      <c r="H223" s="62">
        <f t="shared" si="109"/>
        <v>4138.2908828264908</v>
      </c>
      <c r="I223" s="62">
        <f t="shared" si="105"/>
        <v>1950.757955565065</v>
      </c>
      <c r="J223" s="62">
        <f t="shared" si="105"/>
        <v>2292.3236194989831</v>
      </c>
      <c r="K223" s="62">
        <f t="shared" si="105"/>
        <v>633.78234127550695</v>
      </c>
      <c r="L223" s="329">
        <f t="shared" si="101"/>
        <v>3394.2771519132671</v>
      </c>
      <c r="M223" s="329"/>
      <c r="N223">
        <v>2029</v>
      </c>
      <c r="O223" s="320" t="s">
        <v>240</v>
      </c>
      <c r="P223" s="320" t="s">
        <v>240</v>
      </c>
      <c r="Q223" s="170">
        <f t="shared" si="110"/>
        <v>4138.2908828264908</v>
      </c>
      <c r="R223" s="170">
        <f t="shared" si="110"/>
        <v>1950.757955565065</v>
      </c>
      <c r="S223" s="170">
        <f t="shared" si="110"/>
        <v>2292.3236194989831</v>
      </c>
      <c r="T223" s="170">
        <f t="shared" si="110"/>
        <v>633.78234127550695</v>
      </c>
      <c r="U223" s="172">
        <f t="shared" si="102"/>
        <v>3394.2210123199711</v>
      </c>
      <c r="W223">
        <v>2029</v>
      </c>
      <c r="Z223" s="170">
        <f t="shared" si="111"/>
        <v>4138.2908828264908</v>
      </c>
      <c r="AA223" s="170">
        <f t="shared" si="107"/>
        <v>1950.757955565065</v>
      </c>
      <c r="AB223" s="170">
        <f t="shared" si="107"/>
        <v>2292.3236194989831</v>
      </c>
      <c r="AC223" s="170">
        <f t="shared" si="107"/>
        <v>633.78234127550695</v>
      </c>
      <c r="AD223" s="172">
        <f t="shared" si="103"/>
        <v>3394.168179238105</v>
      </c>
      <c r="AG223">
        <v>2029</v>
      </c>
      <c r="AH223" t="s">
        <v>240</v>
      </c>
      <c r="AI223" t="s">
        <v>240</v>
      </c>
      <c r="AJ223" s="170">
        <f t="shared" si="112"/>
        <v>4138.2908828264908</v>
      </c>
      <c r="AK223" s="170">
        <f t="shared" si="108"/>
        <v>1950.757955565065</v>
      </c>
      <c r="AL223" s="170">
        <f t="shared" si="108"/>
        <v>2292.3236194989831</v>
      </c>
      <c r="AM223" s="170">
        <f t="shared" si="108"/>
        <v>633.78234127550695</v>
      </c>
      <c r="AN223" s="172">
        <f t="shared" si="104"/>
        <v>3394.2699574714184</v>
      </c>
    </row>
    <row r="224" spans="5:40">
      <c r="E224">
        <v>2030</v>
      </c>
      <c r="F224" s="320" t="s">
        <v>240</v>
      </c>
      <c r="G224" s="320" t="s">
        <v>240</v>
      </c>
      <c r="H224" s="62">
        <f t="shared" si="109"/>
        <v>4293.6388739920612</v>
      </c>
      <c r="I224" s="62">
        <f t="shared" si="105"/>
        <v>2023.9877835853479</v>
      </c>
      <c r="J224" s="62">
        <f t="shared" si="105"/>
        <v>2378.3755379052923</v>
      </c>
      <c r="K224" s="62">
        <f t="shared" si="105"/>
        <v>657.57400221503838</v>
      </c>
      <c r="L224" s="329">
        <f t="shared" si="101"/>
        <v>3521.9032078069285</v>
      </c>
      <c r="M224" s="329"/>
      <c r="N224">
        <v>2030</v>
      </c>
      <c r="O224" s="320" t="s">
        <v>240</v>
      </c>
      <c r="P224" s="320" t="s">
        <v>240</v>
      </c>
      <c r="Q224" s="170">
        <f t="shared" si="110"/>
        <v>4293.6388739920612</v>
      </c>
      <c r="R224" s="170">
        <f t="shared" si="110"/>
        <v>2023.9877835853479</v>
      </c>
      <c r="S224" s="170">
        <f t="shared" si="110"/>
        <v>2378.3755379052923</v>
      </c>
      <c r="T224" s="170">
        <f t="shared" si="110"/>
        <v>657.57400221503838</v>
      </c>
      <c r="U224" s="172">
        <f t="shared" si="102"/>
        <v>3521.8674036664743</v>
      </c>
      <c r="W224">
        <v>2030</v>
      </c>
      <c r="Z224" s="170">
        <f t="shared" si="111"/>
        <v>4293.6388739920612</v>
      </c>
      <c r="AA224" s="170">
        <f t="shared" si="107"/>
        <v>2023.9877835853479</v>
      </c>
      <c r="AB224" s="170">
        <f t="shared" si="107"/>
        <v>2378.3755379052923</v>
      </c>
      <c r="AC224" s="170">
        <f t="shared" si="107"/>
        <v>657.57400221503838</v>
      </c>
      <c r="AD224" s="172">
        <f t="shared" si="103"/>
        <v>3521.8379067169144</v>
      </c>
      <c r="AG224">
        <v>2030</v>
      </c>
      <c r="AH224" t="s">
        <v>240</v>
      </c>
      <c r="AI224" t="s">
        <v>240</v>
      </c>
      <c r="AJ224" s="170">
        <f t="shared" si="112"/>
        <v>4293.6388739920612</v>
      </c>
      <c r="AK224" s="170">
        <f t="shared" si="108"/>
        <v>2023.9877835853479</v>
      </c>
      <c r="AL224" s="170">
        <f t="shared" si="108"/>
        <v>2378.3755379052923</v>
      </c>
      <c r="AM224" s="170">
        <f t="shared" si="108"/>
        <v>657.57400221503838</v>
      </c>
      <c r="AN224" s="172">
        <f t="shared" si="104"/>
        <v>3521.8984071330747</v>
      </c>
    </row>
    <row r="225" spans="5:40">
      <c r="E225">
        <v>2040</v>
      </c>
      <c r="F225" s="320" t="s">
        <v>240</v>
      </c>
      <c r="G225" s="320" t="s">
        <v>240</v>
      </c>
      <c r="H225" s="62">
        <f t="shared" ref="H225:K231" si="113">H224*(1+$C$6)^10</f>
        <v>6206.8395045023235</v>
      </c>
      <c r="I225" s="62">
        <f t="shared" si="113"/>
        <v>2925.8555971912569</v>
      </c>
      <c r="J225" s="62">
        <f t="shared" si="113"/>
        <v>3438.1548328695858</v>
      </c>
      <c r="K225" s="62">
        <f t="shared" si="113"/>
        <v>950.58210852446859</v>
      </c>
      <c r="L225" s="329">
        <f t="shared" si="101"/>
        <v>5095.0576091260018</v>
      </c>
      <c r="M225" s="329"/>
      <c r="N225">
        <v>2040</v>
      </c>
      <c r="O225" s="320" t="s">
        <v>240</v>
      </c>
      <c r="P225" s="320" t="s">
        <v>240</v>
      </c>
      <c r="Q225" s="170">
        <f t="shared" ref="Q225:T225" si="114">Q224*(1+$C$6)^10</f>
        <v>6206.8395045023235</v>
      </c>
      <c r="R225" s="170">
        <f t="shared" si="114"/>
        <v>2925.8555971912569</v>
      </c>
      <c r="S225" s="170">
        <f t="shared" si="114"/>
        <v>3438.1548328695858</v>
      </c>
      <c r="T225" s="170">
        <f t="shared" si="114"/>
        <v>950.58210852446859</v>
      </c>
      <c r="U225" s="172">
        <f t="shared" si="102"/>
        <v>5095.4551188969053</v>
      </c>
      <c r="W225">
        <v>2040</v>
      </c>
      <c r="Z225" s="170">
        <f t="shared" si="111"/>
        <v>6206.8395045023235</v>
      </c>
      <c r="AA225" s="170">
        <f t="shared" si="107"/>
        <v>2925.8555971912569</v>
      </c>
      <c r="AB225" s="170">
        <f t="shared" si="107"/>
        <v>3438.1548328695858</v>
      </c>
      <c r="AC225" s="170">
        <f t="shared" si="107"/>
        <v>950.58210852446859</v>
      </c>
      <c r="AD225" s="172">
        <f t="shared" si="103"/>
        <v>5095.9259647217577</v>
      </c>
      <c r="AG225">
        <v>2040</v>
      </c>
      <c r="AH225" t="s">
        <v>240</v>
      </c>
      <c r="AI225" t="s">
        <v>240</v>
      </c>
      <c r="AJ225" s="170">
        <f t="shared" si="112"/>
        <v>6206.8395045023235</v>
      </c>
      <c r="AK225" s="170">
        <f t="shared" si="108"/>
        <v>2925.8555971912569</v>
      </c>
      <c r="AL225" s="170">
        <f t="shared" si="108"/>
        <v>3438.1548328695858</v>
      </c>
      <c r="AM225" s="170">
        <f t="shared" si="108"/>
        <v>950.58210852446859</v>
      </c>
      <c r="AN225" s="172">
        <f t="shared" si="104"/>
        <v>5095.1037137558415</v>
      </c>
    </row>
    <row r="226" spans="5:40">
      <c r="E226">
        <v>2050</v>
      </c>
      <c r="F226" s="320" t="s">
        <v>240</v>
      </c>
      <c r="G226" s="320" t="s">
        <v>240</v>
      </c>
      <c r="H226" s="62">
        <f t="shared" si="113"/>
        <v>8972.542350500873</v>
      </c>
      <c r="I226" s="62">
        <f t="shared" si="113"/>
        <v>4229.5862875470857</v>
      </c>
      <c r="J226" s="62">
        <f t="shared" si="113"/>
        <v>4970.160711119458</v>
      </c>
      <c r="K226" s="62">
        <f t="shared" si="113"/>
        <v>1374.1515662161614</v>
      </c>
      <c r="L226" s="329">
        <f t="shared" si="101"/>
        <v>7365.3620563192453</v>
      </c>
      <c r="M226" s="329"/>
      <c r="N226">
        <v>2050</v>
      </c>
      <c r="O226" s="320" t="s">
        <v>240</v>
      </c>
      <c r="P226" s="320" t="s">
        <v>240</v>
      </c>
      <c r="Q226" s="170">
        <f t="shared" ref="Q226:T226" si="115">Q225*(1+$C$6)^10</f>
        <v>8972.542350500873</v>
      </c>
      <c r="R226" s="170">
        <f t="shared" si="115"/>
        <v>4229.5862875470857</v>
      </c>
      <c r="S226" s="170">
        <f t="shared" si="115"/>
        <v>4970.160711119458</v>
      </c>
      <c r="T226" s="170">
        <f t="shared" si="115"/>
        <v>1374.1515662161614</v>
      </c>
      <c r="U226" s="172">
        <f t="shared" si="102"/>
        <v>7365.9366922916442</v>
      </c>
      <c r="W226">
        <v>2050</v>
      </c>
      <c r="Z226" s="170">
        <f t="shared" si="111"/>
        <v>8972.542350500873</v>
      </c>
      <c r="AA226" s="170">
        <f t="shared" si="107"/>
        <v>4229.5862875470857</v>
      </c>
      <c r="AB226" s="170">
        <f t="shared" si="107"/>
        <v>4970.160711119458</v>
      </c>
      <c r="AC226" s="170">
        <f t="shared" si="107"/>
        <v>1374.1515662161614</v>
      </c>
      <c r="AD226" s="172">
        <f t="shared" si="103"/>
        <v>7366.617342097552</v>
      </c>
      <c r="AG226">
        <v>2050</v>
      </c>
      <c r="AH226" t="s">
        <v>240</v>
      </c>
      <c r="AI226" t="s">
        <v>240</v>
      </c>
      <c r="AJ226" s="170">
        <f t="shared" si="112"/>
        <v>8972.542350500873</v>
      </c>
      <c r="AK226" s="170">
        <f t="shared" si="108"/>
        <v>4229.5862875470857</v>
      </c>
      <c r="AL226" s="170">
        <f t="shared" si="108"/>
        <v>4970.160711119458</v>
      </c>
      <c r="AM226" s="170">
        <f t="shared" si="108"/>
        <v>1374.1515662161614</v>
      </c>
      <c r="AN226" s="172">
        <f t="shared" si="104"/>
        <v>7365.428704690531</v>
      </c>
    </row>
    <row r="227" spans="5:40">
      <c r="E227">
        <v>2060</v>
      </c>
      <c r="F227" s="320" t="s">
        <v>240</v>
      </c>
      <c r="G227" s="320" t="s">
        <v>240</v>
      </c>
      <c r="H227" s="62">
        <f t="shared" si="113"/>
        <v>12970.613493893927</v>
      </c>
      <c r="I227" s="62">
        <f t="shared" si="113"/>
        <v>6114.2457546365877</v>
      </c>
      <c r="J227" s="62">
        <f t="shared" si="113"/>
        <v>7184.8124052452977</v>
      </c>
      <c r="K227" s="62">
        <f t="shared" si="113"/>
        <v>1986.4591496103503</v>
      </c>
      <c r="L227" s="329">
        <f t="shared" si="101"/>
        <v>10647.2904493759</v>
      </c>
      <c r="M227" s="329"/>
      <c r="N227">
        <v>2060</v>
      </c>
      <c r="O227" s="320" t="s">
        <v>240</v>
      </c>
      <c r="P227" s="320" t="s">
        <v>240</v>
      </c>
      <c r="Q227" s="170">
        <f t="shared" ref="Q227:T227" si="116">Q226*(1+$C$6)^10</f>
        <v>12970.613493893927</v>
      </c>
      <c r="R227" s="170">
        <f t="shared" si="116"/>
        <v>6114.2457546365877</v>
      </c>
      <c r="S227" s="170">
        <f t="shared" si="116"/>
        <v>7184.8124052452977</v>
      </c>
      <c r="T227" s="170">
        <f t="shared" si="116"/>
        <v>1986.4591496103503</v>
      </c>
      <c r="U227" s="172">
        <f t="shared" si="102"/>
        <v>10648.121137134896</v>
      </c>
      <c r="W227">
        <v>2060</v>
      </c>
      <c r="Z227" s="170">
        <f t="shared" si="111"/>
        <v>12970.613493893927</v>
      </c>
      <c r="AA227" s="170">
        <f t="shared" si="107"/>
        <v>6114.2457546365877</v>
      </c>
      <c r="AB227" s="170">
        <f t="shared" si="107"/>
        <v>7184.8124052452977</v>
      </c>
      <c r="AC227" s="170">
        <f t="shared" si="107"/>
        <v>1986.4591496103503</v>
      </c>
      <c r="AD227" s="172">
        <f t="shared" si="103"/>
        <v>10649.105077384191</v>
      </c>
      <c r="AG227">
        <v>2060</v>
      </c>
      <c r="AH227" t="s">
        <v>240</v>
      </c>
      <c r="AI227" t="s">
        <v>240</v>
      </c>
      <c r="AJ227" s="170">
        <f t="shared" si="112"/>
        <v>12970.613493893927</v>
      </c>
      <c r="AK227" s="170">
        <f t="shared" si="108"/>
        <v>6114.2457546365877</v>
      </c>
      <c r="AL227" s="170">
        <f t="shared" si="108"/>
        <v>7184.8124052452977</v>
      </c>
      <c r="AM227" s="170">
        <f t="shared" si="108"/>
        <v>1986.4591496103503</v>
      </c>
      <c r="AN227" s="172">
        <f t="shared" si="104"/>
        <v>10647.386795565215</v>
      </c>
    </row>
    <row r="228" spans="5:40">
      <c r="E228">
        <v>2070</v>
      </c>
      <c r="F228" s="320" t="s">
        <v>240</v>
      </c>
      <c r="G228" s="320" t="s">
        <v>240</v>
      </c>
      <c r="H228" s="62">
        <f t="shared" si="113"/>
        <v>18750.183374569613</v>
      </c>
      <c r="I228" s="62">
        <f t="shared" si="113"/>
        <v>8838.6897929376646</v>
      </c>
      <c r="J228" s="62">
        <f t="shared" si="113"/>
        <v>10386.289759821409</v>
      </c>
      <c r="K228" s="62">
        <f t="shared" si="113"/>
        <v>2871.60459594451</v>
      </c>
      <c r="L228" s="329">
        <f t="shared" si="101"/>
        <v>15391.611851057323</v>
      </c>
      <c r="M228" s="329"/>
      <c r="N228">
        <v>2070</v>
      </c>
      <c r="O228" s="320" t="s">
        <v>240</v>
      </c>
      <c r="P228" s="320" t="s">
        <v>240</v>
      </c>
      <c r="Q228" s="170">
        <f t="shared" ref="Q228:T228" si="117">Q227*(1+$C$6)^10</f>
        <v>18750.183374569613</v>
      </c>
      <c r="R228" s="170">
        <f t="shared" si="117"/>
        <v>8838.6897929376646</v>
      </c>
      <c r="S228" s="170">
        <f t="shared" si="117"/>
        <v>10386.289759821409</v>
      </c>
      <c r="T228" s="170">
        <f t="shared" si="117"/>
        <v>2871.60459594451</v>
      </c>
      <c r="U228" s="172">
        <f t="shared" si="102"/>
        <v>15392.812684604294</v>
      </c>
      <c r="W228">
        <v>2070</v>
      </c>
      <c r="Z228" s="170">
        <f t="shared" si="111"/>
        <v>18750.183374569613</v>
      </c>
      <c r="AA228" s="170">
        <f t="shared" si="107"/>
        <v>8838.6897929376646</v>
      </c>
      <c r="AB228" s="170">
        <f t="shared" si="107"/>
        <v>10386.289759821409</v>
      </c>
      <c r="AC228" s="170">
        <f t="shared" si="107"/>
        <v>2871.60459594451</v>
      </c>
      <c r="AD228" s="172">
        <f t="shared" si="103"/>
        <v>15394.235058350336</v>
      </c>
      <c r="AG228">
        <v>2070</v>
      </c>
      <c r="AH228" t="s">
        <v>240</v>
      </c>
      <c r="AI228" t="s">
        <v>240</v>
      </c>
      <c r="AJ228" s="170">
        <f t="shared" si="112"/>
        <v>18750.183374569613</v>
      </c>
      <c r="AK228" s="170">
        <f t="shared" si="108"/>
        <v>8838.6897929376646</v>
      </c>
      <c r="AL228" s="170">
        <f t="shared" si="108"/>
        <v>10386.289759821409</v>
      </c>
      <c r="AM228" s="170">
        <f t="shared" si="108"/>
        <v>2871.60459594451</v>
      </c>
      <c r="AN228" s="172">
        <f t="shared" si="104"/>
        <v>15391.751128102156</v>
      </c>
    </row>
    <row r="229" spans="5:40">
      <c r="E229">
        <v>2080</v>
      </c>
      <c r="F229" s="320" t="s">
        <v>240</v>
      </c>
      <c r="G229" s="320" t="s">
        <v>240</v>
      </c>
      <c r="H229" s="62">
        <f t="shared" si="113"/>
        <v>27105.069220163892</v>
      </c>
      <c r="I229" s="62">
        <f t="shared" si="113"/>
        <v>12777.117634916494</v>
      </c>
      <c r="J229" s="62">
        <f t="shared" si="113"/>
        <v>15014.311980674198</v>
      </c>
      <c r="K229" s="62">
        <f t="shared" si="113"/>
        <v>4151.1616068556614</v>
      </c>
      <c r="L229" s="329">
        <f t="shared" si="101"/>
        <v>22249.953309716886</v>
      </c>
      <c r="M229" s="329"/>
      <c r="N229">
        <v>2080</v>
      </c>
      <c r="O229" s="320" t="s">
        <v>240</v>
      </c>
      <c r="P229" s="320" t="s">
        <v>240</v>
      </c>
      <c r="Q229" s="170">
        <f t="shared" ref="Q229:T229" si="118">Q228*(1+$C$6)^10</f>
        <v>27105.069220163892</v>
      </c>
      <c r="R229" s="170">
        <f t="shared" si="118"/>
        <v>12777.117634916494</v>
      </c>
      <c r="S229" s="170">
        <f t="shared" si="118"/>
        <v>15014.311980674198</v>
      </c>
      <c r="T229" s="170">
        <f t="shared" si="118"/>
        <v>4151.1616068556614</v>
      </c>
      <c r="U229" s="172">
        <f t="shared" si="102"/>
        <v>22251.689222148365</v>
      </c>
      <c r="W229">
        <v>2080</v>
      </c>
      <c r="Z229" s="170">
        <f t="shared" si="111"/>
        <v>27105.069220163892</v>
      </c>
      <c r="AA229" s="170">
        <f t="shared" si="107"/>
        <v>12777.117634916494</v>
      </c>
      <c r="AB229" s="170">
        <f t="shared" si="107"/>
        <v>15014.311980674198</v>
      </c>
      <c r="AC229" s="170">
        <f t="shared" si="107"/>
        <v>4151.1616068556614</v>
      </c>
      <c r="AD229" s="172">
        <f t="shared" si="103"/>
        <v>22253.745390777403</v>
      </c>
      <c r="AG229">
        <v>2080</v>
      </c>
      <c r="AH229" t="s">
        <v>240</v>
      </c>
      <c r="AI229" t="s">
        <v>240</v>
      </c>
      <c r="AJ229" s="170">
        <f t="shared" si="112"/>
        <v>27105.069220163892</v>
      </c>
      <c r="AK229" s="170">
        <f t="shared" si="108"/>
        <v>12777.117634916494</v>
      </c>
      <c r="AL229" s="170">
        <f t="shared" si="108"/>
        <v>15014.311980674198</v>
      </c>
      <c r="AM229" s="170">
        <f t="shared" si="108"/>
        <v>4151.1616068556614</v>
      </c>
      <c r="AN229" s="172">
        <f t="shared" si="104"/>
        <v>22250.15464715799</v>
      </c>
    </row>
    <row r="230" spans="5:40">
      <c r="E230">
        <v>2090</v>
      </c>
      <c r="F230" s="320" t="s">
        <v>240</v>
      </c>
      <c r="G230" s="320" t="s">
        <v>240</v>
      </c>
      <c r="H230" s="62">
        <f t="shared" si="113"/>
        <v>39182.804922660645</v>
      </c>
      <c r="I230" s="62">
        <f t="shared" si="113"/>
        <v>18470.467782107105</v>
      </c>
      <c r="J230" s="62">
        <f t="shared" si="113"/>
        <v>21704.53255839966</v>
      </c>
      <c r="K230" s="62">
        <f t="shared" si="113"/>
        <v>6000.8758554603828</v>
      </c>
      <c r="L230" s="329">
        <f t="shared" si="101"/>
        <v>32164.300079499044</v>
      </c>
      <c r="M230" s="329"/>
      <c r="N230">
        <v>2090</v>
      </c>
      <c r="O230" s="320" t="s">
        <v>240</v>
      </c>
      <c r="P230" s="320" t="s">
        <v>240</v>
      </c>
      <c r="Q230" s="170">
        <f t="shared" ref="Q230:T230" si="119">Q229*(1+$C$6)^10</f>
        <v>39182.804922660645</v>
      </c>
      <c r="R230" s="170">
        <f t="shared" si="119"/>
        <v>18470.467782107105</v>
      </c>
      <c r="S230" s="170">
        <f t="shared" si="119"/>
        <v>21704.53255839966</v>
      </c>
      <c r="T230" s="170">
        <f t="shared" si="119"/>
        <v>6000.8758554603828</v>
      </c>
      <c r="U230" s="172">
        <f t="shared" si="102"/>
        <v>32166.809496376489</v>
      </c>
      <c r="W230">
        <v>2090</v>
      </c>
      <c r="Z230" s="170">
        <f t="shared" si="111"/>
        <v>39182.804922660645</v>
      </c>
      <c r="AA230" s="170">
        <f t="shared" si="107"/>
        <v>18470.467782107105</v>
      </c>
      <c r="AB230" s="170">
        <f t="shared" si="107"/>
        <v>21704.53255839966</v>
      </c>
      <c r="AC230" s="170">
        <f t="shared" si="107"/>
        <v>6000.8758554603828</v>
      </c>
      <c r="AD230" s="172">
        <f t="shared" si="103"/>
        <v>32169.781872267708</v>
      </c>
      <c r="AG230">
        <v>2090</v>
      </c>
      <c r="AH230" t="s">
        <v>240</v>
      </c>
      <c r="AI230" t="s">
        <v>240</v>
      </c>
      <c r="AJ230" s="170">
        <f t="shared" si="112"/>
        <v>39182.804922660645</v>
      </c>
      <c r="AK230" s="170">
        <f t="shared" si="108"/>
        <v>18470.467782107105</v>
      </c>
      <c r="AL230" s="170">
        <f t="shared" si="108"/>
        <v>21704.53255839966</v>
      </c>
      <c r="AM230" s="170">
        <f t="shared" si="108"/>
        <v>6000.8758554603828</v>
      </c>
      <c r="AN230" s="172">
        <f t="shared" si="104"/>
        <v>32164.591130800713</v>
      </c>
    </row>
    <row r="231" spans="5:40">
      <c r="E231">
        <v>2100</v>
      </c>
      <c r="F231" s="320" t="s">
        <v>240</v>
      </c>
      <c r="G231" s="320" t="s">
        <v>240</v>
      </c>
      <c r="H231" s="62">
        <f t="shared" si="113"/>
        <v>56642.253489068789</v>
      </c>
      <c r="I231" s="62">
        <f t="shared" si="113"/>
        <v>26700.715281634508</v>
      </c>
      <c r="J231" s="62">
        <f t="shared" si="113"/>
        <v>31375.845538909427</v>
      </c>
      <c r="K231" s="62">
        <f t="shared" si="113"/>
        <v>8674.8034509607787</v>
      </c>
      <c r="L231" s="329">
        <f t="shared" si="101"/>
        <v>46496.376203731706</v>
      </c>
      <c r="M231" s="329"/>
      <c r="N231">
        <v>2100</v>
      </c>
      <c r="O231" s="320" t="s">
        <v>240</v>
      </c>
      <c r="P231" s="320" t="s">
        <v>240</v>
      </c>
      <c r="Q231" s="170">
        <f t="shared" ref="Q231:T231" si="120">Q230*(1+$C$6)^10</f>
        <v>56642.253489068789</v>
      </c>
      <c r="R231" s="170">
        <f t="shared" si="120"/>
        <v>26700.715281634508</v>
      </c>
      <c r="S231" s="170">
        <f t="shared" si="120"/>
        <v>31375.845538909427</v>
      </c>
      <c r="T231" s="170">
        <f t="shared" si="120"/>
        <v>8674.8034509607787</v>
      </c>
      <c r="U231" s="172">
        <f t="shared" si="102"/>
        <v>46500.003790556155</v>
      </c>
      <c r="W231">
        <v>2100</v>
      </c>
      <c r="Z231" s="170">
        <f t="shared" si="111"/>
        <v>56642.253489068789</v>
      </c>
      <c r="AA231" s="170">
        <f t="shared" ref="AA231" si="121">AA230*(1+$C$6)^($W231-$W230)</f>
        <v>26700.715281634508</v>
      </c>
      <c r="AB231" s="170">
        <f t="shared" ref="AB231" si="122">AB230*(1+$C$6)^($W231-$W230)</f>
        <v>31375.845538909427</v>
      </c>
      <c r="AC231" s="170">
        <f t="shared" ref="AC231" si="123">AC230*(1+$C$6)^($W231-$W230)</f>
        <v>8674.8034509607787</v>
      </c>
      <c r="AD231" s="172">
        <f t="shared" si="103"/>
        <v>46504.300626094788</v>
      </c>
      <c r="AG231">
        <v>2100</v>
      </c>
      <c r="AH231" t="s">
        <v>240</v>
      </c>
      <c r="AI231" t="s">
        <v>240</v>
      </c>
      <c r="AJ231" s="170">
        <f t="shared" si="112"/>
        <v>56642.253489068789</v>
      </c>
      <c r="AK231" s="170">
        <f t="shared" ref="AK231" si="124">AK230*(1+$C$6)^($AG231-$AG230)</f>
        <v>26700.715281634508</v>
      </c>
      <c r="AL231" s="170">
        <f t="shared" ref="AL231" si="125">AL230*(1+$C$6)^($AG231-$AG230)</f>
        <v>31375.845538909427</v>
      </c>
      <c r="AM231" s="170">
        <f t="shared" ref="AM231" si="126">AM230*(1+$C$6)^($AG231-$AG230)</f>
        <v>8674.8034509607787</v>
      </c>
      <c r="AN231" s="172">
        <f t="shared" si="104"/>
        <v>46496.796944453068</v>
      </c>
    </row>
    <row r="232" spans="5:40">
      <c r="F232" s="581" t="s">
        <v>289</v>
      </c>
      <c r="G232" s="581"/>
      <c r="H232" s="581"/>
      <c r="I232" s="581"/>
      <c r="J232" s="581"/>
      <c r="K232" s="581"/>
      <c r="L232" s="329"/>
      <c r="M232" s="329"/>
      <c r="O232" s="581" t="s">
        <v>290</v>
      </c>
      <c r="P232" s="581"/>
      <c r="Q232" s="581"/>
      <c r="R232" s="581"/>
      <c r="S232" s="581"/>
      <c r="T232" s="581"/>
      <c r="X232" s="581" t="s">
        <v>291</v>
      </c>
      <c r="Y232" s="581"/>
      <c r="Z232" s="581"/>
      <c r="AA232" s="581"/>
      <c r="AB232" s="581"/>
      <c r="AC232" s="581"/>
      <c r="AD232" s="172"/>
      <c r="AH232" s="581" t="s">
        <v>291</v>
      </c>
      <c r="AI232" s="581"/>
      <c r="AJ232" s="581"/>
      <c r="AK232" s="581"/>
      <c r="AL232" s="581"/>
      <c r="AM232" s="581"/>
    </row>
    <row r="233" spans="5:40">
      <c r="E233">
        <v>2020</v>
      </c>
      <c r="F233" s="320"/>
      <c r="G233" s="320"/>
      <c r="H233" s="62">
        <f>(('Demographic-Economic'!E$23*1000*(1+'Inflation-Interest'!$C$65)*(1+'Inflation-Interest'!$C$66)*(1+'Inflation-Interest'!$C$67))*(1-AVERAGE('Demographic-Economic'!$C12:$H12))/'Voluntary Costs (2)'!H43)*$C$9</f>
        <v>0</v>
      </c>
      <c r="I233" s="62">
        <f>(('Demographic-Economic'!F$23*1000*(1+'Inflation-Interest'!$C$65)*(1+'Inflation-Interest'!$C$66)*(1+'Inflation-Interest'!$C$67))*(1-AVERAGE('Demographic-Economic'!$C12:$H12))/'Voluntary Costs (2)'!I43)*$C$9</f>
        <v>0</v>
      </c>
      <c r="J233" s="62">
        <f>(('Demographic-Economic'!G$23*1000*(1+'Inflation-Interest'!$C$65)*(1+'Inflation-Interest'!$C$66)*(1+'Inflation-Interest'!$C$67))*(1-AVERAGE('Demographic-Economic'!$C12:$H12))/'Voluntary Costs (2)'!J43)*$C$9</f>
        <v>0</v>
      </c>
      <c r="K233" s="62">
        <f>(('Demographic-Economic'!H$23*1000*(1+'Inflation-Interest'!$C$65)*(1+'Inflation-Interest'!$C$66)*(1+'Inflation-Interest'!$C$67))*(1-AVERAGE('Demographic-Economic'!$C12:$H12))/'Voluntary Costs (2)'!K43)*$C$9</f>
        <v>0</v>
      </c>
      <c r="L233" s="329">
        <f t="shared" ref="L233:L250" si="127">SUMPRODUCT(H233:K233, H43:K43)/SUM(H43:K43)</f>
        <v>0</v>
      </c>
      <c r="M233" s="329"/>
      <c r="N233">
        <v>2020</v>
      </c>
      <c r="O233" s="320" t="s">
        <v>240</v>
      </c>
      <c r="P233" s="320" t="s">
        <v>240</v>
      </c>
      <c r="Q233" s="170">
        <f>(('Demographic-Economic'!E$23*1000*(1+'Inflation-Interest'!$C$65)*(1+'Inflation-Interest'!$C$66)*(1+'Inflation-Interest'!$C$67))*(1-AVERAGE('Demographic-Economic'!$C12:$H12))/'Voluntary Costs (2)'!Q43)*$C$9</f>
        <v>0</v>
      </c>
      <c r="R233" s="170">
        <f>(('Demographic-Economic'!F$23*1000*(1+'Inflation-Interest'!$C$65)*(1+'Inflation-Interest'!$C$66)*(1+'Inflation-Interest'!$C$67))*(1-AVERAGE('Demographic-Economic'!$C12:$H12))/'Voluntary Costs (2)'!R43)*$C$9</f>
        <v>0</v>
      </c>
      <c r="S233" s="170">
        <f>(('Demographic-Economic'!G$23*1000*(1+'Inflation-Interest'!$C$65)*(1+'Inflation-Interest'!$C$66)*(1+'Inflation-Interest'!$C$67))*(1-AVERAGE('Demographic-Economic'!$C12:$H12))/'Voluntary Costs (2)'!S43)*$C$9</f>
        <v>0</v>
      </c>
      <c r="T233" s="170">
        <f>(('Demographic-Economic'!H$23*1000*(1+'Inflation-Interest'!$C$65)*(1+'Inflation-Interest'!$C$66)*(1+'Inflation-Interest'!$C$67))*(1-AVERAGE('Demographic-Economic'!$C12:$H12))/'Voluntary Costs (2)'!T43)*$C$9</f>
        <v>0</v>
      </c>
      <c r="U233" s="172">
        <f t="shared" ref="U233:U250" si="128">SUMPRODUCT(Q233:T233, Q43:T43)/SUM(Q43:T43)</f>
        <v>0</v>
      </c>
      <c r="W233">
        <v>2020</v>
      </c>
      <c r="Z233" s="170">
        <f>(('Demographic-Economic'!E$23*1000*(1+'Inflation-Interest'!$C$65)*(1+'Inflation-Interest'!$C$66)*(1+'Inflation-Interest'!$C$67))*(1-AVERAGE('Demographic-Economic'!$C12:$H12))/'Voluntary Costs (2)'!Z43)*$C$9</f>
        <v>0</v>
      </c>
      <c r="AA233" s="170">
        <f>(('Demographic-Economic'!F$23*1000*(1+'Inflation-Interest'!$C$65)*(1+'Inflation-Interest'!$C$66)*(1+'Inflation-Interest'!$C$67))*(1-AVERAGE('Demographic-Economic'!$C12:$H12))/'Voluntary Costs (2)'!AA43)*$C$9</f>
        <v>0</v>
      </c>
      <c r="AB233" s="170">
        <f>(('Demographic-Economic'!G$23*1000*(1+'Inflation-Interest'!$C$65)*(1+'Inflation-Interest'!$C$66)*(1+'Inflation-Interest'!$C$67))*(1-AVERAGE('Demographic-Economic'!$C12:$H12))/'Voluntary Costs (2)'!AB43)*$C$9</f>
        <v>0</v>
      </c>
      <c r="AC233" s="170">
        <f>(('Demographic-Economic'!H$23*1000*(1+'Inflation-Interest'!$C$65)*(1+'Inflation-Interest'!$C$66)*(1+'Inflation-Interest'!$C$67))*(1-AVERAGE('Demographic-Economic'!$C12:$H12))/'Voluntary Costs (2)'!AC43)*$C$9</f>
        <v>0</v>
      </c>
      <c r="AD233" s="172">
        <f t="shared" ref="AD233:AD250" si="129">SUMPRODUCT(Z233:AC233, Z43:AC43)/SUM(Z43:AC43)</f>
        <v>0</v>
      </c>
      <c r="AG233">
        <v>2020</v>
      </c>
      <c r="AJ233" s="170">
        <f>(('Demographic-Economic'!E$23*1000*(1+'Inflation-Interest'!$C$65)*(1+'Inflation-Interest'!$C$66)*(1+'Inflation-Interest'!$C$67))*(1-AVERAGE('Demographic-Economic'!$C12:$H12))/'Voluntary Costs (2)'!AJ43)*$C$9</f>
        <v>0</v>
      </c>
      <c r="AK233" s="170">
        <f>(('Demographic-Economic'!F$23*1000*(1+'Inflation-Interest'!$C$65)*(1+'Inflation-Interest'!$C$66)*(1+'Inflation-Interest'!$C$67))*(1-AVERAGE('Demographic-Economic'!$C12:$H12))/'Voluntary Costs (2)'!AK43)*$C$9</f>
        <v>0</v>
      </c>
      <c r="AL233" s="170">
        <f>(('Demographic-Economic'!G$23*1000*(1+'Inflation-Interest'!$C$65)*(1+'Inflation-Interest'!$C$66)*(1+'Inflation-Interest'!$C$67))*(1-AVERAGE('Demographic-Economic'!$C12:$H12))/'Voluntary Costs (2)'!AL43)*$C$9</f>
        <v>0</v>
      </c>
      <c r="AM233" s="170">
        <f>(('Demographic-Economic'!H$23*1000*(1+'Inflation-Interest'!$C$65)*(1+'Inflation-Interest'!$C$66)*(1+'Inflation-Interest'!$C$67))*(1-AVERAGE('Demographic-Economic'!$C12:$H12))/'Voluntary Costs (2)'!AM43)*$C$9</f>
        <v>0</v>
      </c>
      <c r="AN233" s="172">
        <f t="shared" ref="AN233:AN250" si="130">SUMPRODUCT(AJ233:AM233, AJ43:AM43)/SUM(AJ43:AM43)</f>
        <v>0</v>
      </c>
    </row>
    <row r="234" spans="5:40">
      <c r="E234">
        <v>2021</v>
      </c>
      <c r="F234" s="320" t="s">
        <v>240</v>
      </c>
      <c r="G234" s="320" t="s">
        <v>240</v>
      </c>
      <c r="H234" s="62">
        <f>H233*(1+$C$6)</f>
        <v>0</v>
      </c>
      <c r="I234" s="62">
        <f t="shared" ref="I234:K243" si="131">I233*(1+$C$6)</f>
        <v>0</v>
      </c>
      <c r="J234" s="62">
        <f t="shared" si="131"/>
        <v>0</v>
      </c>
      <c r="K234" s="62">
        <f t="shared" si="131"/>
        <v>0</v>
      </c>
      <c r="L234" s="329">
        <f t="shared" si="127"/>
        <v>0</v>
      </c>
      <c r="M234" s="329"/>
      <c r="N234">
        <v>2021</v>
      </c>
      <c r="O234" s="320" t="s">
        <v>240</v>
      </c>
      <c r="P234" s="320" t="s">
        <v>240</v>
      </c>
      <c r="Q234" s="170">
        <f>Q233*(1+$C$6)</f>
        <v>0</v>
      </c>
      <c r="R234" s="170">
        <f t="shared" ref="R234:R243" si="132">R233*(1+$C$6)</f>
        <v>0</v>
      </c>
      <c r="S234" s="170">
        <f t="shared" ref="S234:S243" si="133">S233*(1+$C$6)</f>
        <v>0</v>
      </c>
      <c r="T234" s="170">
        <f t="shared" ref="T234:T243" si="134">T233*(1+$C$6)</f>
        <v>0</v>
      </c>
      <c r="U234" s="172">
        <f t="shared" si="128"/>
        <v>0</v>
      </c>
      <c r="W234">
        <v>2021</v>
      </c>
      <c r="Z234" s="170">
        <f>Z233*(1+$C$6)^($W234-$W233)</f>
        <v>0</v>
      </c>
      <c r="AA234" s="170">
        <f t="shared" ref="AA234:AC234" si="135">AA233*(1+$C$6)^($W234-$W233)</f>
        <v>0</v>
      </c>
      <c r="AB234" s="170">
        <f t="shared" si="135"/>
        <v>0</v>
      </c>
      <c r="AC234" s="170">
        <f t="shared" si="135"/>
        <v>0</v>
      </c>
      <c r="AD234" s="172">
        <f t="shared" si="129"/>
        <v>0</v>
      </c>
      <c r="AG234">
        <v>2021</v>
      </c>
      <c r="AJ234" s="170">
        <f>AJ233*(1+$C$6)^($AG234-$AG233)</f>
        <v>0</v>
      </c>
      <c r="AK234" s="170">
        <f t="shared" ref="AK234:AM249" si="136">AK233*(1+$C$6)^($AG234-$AG233)</f>
        <v>0</v>
      </c>
      <c r="AL234" s="170">
        <f t="shared" si="136"/>
        <v>0</v>
      </c>
      <c r="AM234" s="170">
        <f t="shared" si="136"/>
        <v>0</v>
      </c>
      <c r="AN234" s="172">
        <f t="shared" si="130"/>
        <v>0</v>
      </c>
    </row>
    <row r="235" spans="5:40">
      <c r="E235">
        <v>2022</v>
      </c>
      <c r="F235" s="320" t="s">
        <v>240</v>
      </c>
      <c r="G235" s="320" t="s">
        <v>240</v>
      </c>
      <c r="H235" s="62">
        <f t="shared" ref="H235:H242" si="137">H234*(1+$C$6)</f>
        <v>0</v>
      </c>
      <c r="I235" s="62">
        <f t="shared" si="131"/>
        <v>0</v>
      </c>
      <c r="J235" s="62">
        <f t="shared" si="131"/>
        <v>0</v>
      </c>
      <c r="K235" s="62">
        <f t="shared" si="131"/>
        <v>0</v>
      </c>
      <c r="L235" s="329">
        <f t="shared" si="127"/>
        <v>0</v>
      </c>
      <c r="M235" s="329"/>
      <c r="N235">
        <v>2022</v>
      </c>
      <c r="O235" s="320" t="s">
        <v>240</v>
      </c>
      <c r="P235" s="320" t="s">
        <v>240</v>
      </c>
      <c r="Q235" s="170">
        <f t="shared" ref="Q235:Q242" si="138">Q234*(1+$C$6)</f>
        <v>0</v>
      </c>
      <c r="R235" s="170">
        <f t="shared" si="132"/>
        <v>0</v>
      </c>
      <c r="S235" s="170">
        <f t="shared" si="133"/>
        <v>0</v>
      </c>
      <c r="T235" s="170">
        <f t="shared" si="134"/>
        <v>0</v>
      </c>
      <c r="U235" s="172">
        <f t="shared" si="128"/>
        <v>0</v>
      </c>
      <c r="W235">
        <v>2022</v>
      </c>
      <c r="Z235" s="170">
        <f t="shared" ref="Z235:Z250" si="139">Z234*(1+$C$6)^($W235-$W234)</f>
        <v>0</v>
      </c>
      <c r="AA235" s="170">
        <f t="shared" ref="AA235:AA250" si="140">AA234*(1+$C$6)^($W235-$W234)</f>
        <v>0</v>
      </c>
      <c r="AB235" s="170">
        <f t="shared" ref="AB235:AB250" si="141">AB234*(1+$C$6)^($W235-$W234)</f>
        <v>0</v>
      </c>
      <c r="AC235" s="170">
        <f t="shared" ref="AC235:AC250" si="142">AC234*(1+$C$6)^($W235-$W234)</f>
        <v>0</v>
      </c>
      <c r="AD235" s="172">
        <f t="shared" si="129"/>
        <v>0</v>
      </c>
      <c r="AG235">
        <v>2022</v>
      </c>
      <c r="AJ235" s="170">
        <f t="shared" ref="AJ235:AJ250" si="143">AJ234*(1+$C$6)^($AG235-$AG234)</f>
        <v>0</v>
      </c>
      <c r="AK235" s="170">
        <f t="shared" si="136"/>
        <v>0</v>
      </c>
      <c r="AL235" s="170">
        <f t="shared" si="136"/>
        <v>0</v>
      </c>
      <c r="AM235" s="170">
        <f t="shared" si="136"/>
        <v>0</v>
      </c>
      <c r="AN235" s="172">
        <f t="shared" si="130"/>
        <v>0</v>
      </c>
    </row>
    <row r="236" spans="5:40">
      <c r="E236">
        <v>2023</v>
      </c>
      <c r="F236" s="320" t="s">
        <v>240</v>
      </c>
      <c r="G236" s="320" t="s">
        <v>240</v>
      </c>
      <c r="H236" s="62">
        <f t="shared" si="137"/>
        <v>0</v>
      </c>
      <c r="I236" s="62">
        <f t="shared" si="131"/>
        <v>0</v>
      </c>
      <c r="J236" s="62">
        <f t="shared" si="131"/>
        <v>0</v>
      </c>
      <c r="K236" s="62">
        <f t="shared" si="131"/>
        <v>0</v>
      </c>
      <c r="L236" s="329">
        <f t="shared" si="127"/>
        <v>0</v>
      </c>
      <c r="M236" s="329"/>
      <c r="N236">
        <v>2023</v>
      </c>
      <c r="O236" s="320" t="s">
        <v>240</v>
      </c>
      <c r="P236" s="320" t="s">
        <v>240</v>
      </c>
      <c r="Q236" s="170">
        <f t="shared" si="138"/>
        <v>0</v>
      </c>
      <c r="R236" s="170">
        <f t="shared" si="132"/>
        <v>0</v>
      </c>
      <c r="S236" s="170">
        <f t="shared" si="133"/>
        <v>0</v>
      </c>
      <c r="T236" s="170">
        <f t="shared" si="134"/>
        <v>0</v>
      </c>
      <c r="U236" s="172">
        <f t="shared" si="128"/>
        <v>0</v>
      </c>
      <c r="W236">
        <v>2023</v>
      </c>
      <c r="Z236" s="170">
        <f t="shared" si="139"/>
        <v>0</v>
      </c>
      <c r="AA236" s="170">
        <f t="shared" si="140"/>
        <v>0</v>
      </c>
      <c r="AB236" s="170">
        <f t="shared" si="141"/>
        <v>0</v>
      </c>
      <c r="AC236" s="170">
        <f t="shared" si="142"/>
        <v>0</v>
      </c>
      <c r="AD236" s="172">
        <f t="shared" si="129"/>
        <v>0</v>
      </c>
      <c r="AG236">
        <v>2023</v>
      </c>
      <c r="AJ236" s="170">
        <f t="shared" si="143"/>
        <v>0</v>
      </c>
      <c r="AK236" s="170">
        <f t="shared" si="136"/>
        <v>0</v>
      </c>
      <c r="AL236" s="170">
        <f t="shared" si="136"/>
        <v>0</v>
      </c>
      <c r="AM236" s="170">
        <f t="shared" si="136"/>
        <v>0</v>
      </c>
      <c r="AN236" s="172">
        <f t="shared" si="130"/>
        <v>0</v>
      </c>
    </row>
    <row r="237" spans="5:40">
      <c r="E237">
        <v>2024</v>
      </c>
      <c r="F237" s="320" t="s">
        <v>240</v>
      </c>
      <c r="G237" s="320" t="s">
        <v>240</v>
      </c>
      <c r="H237" s="62">
        <f t="shared" si="137"/>
        <v>0</v>
      </c>
      <c r="I237" s="62">
        <f t="shared" si="131"/>
        <v>0</v>
      </c>
      <c r="J237" s="62">
        <f t="shared" si="131"/>
        <v>0</v>
      </c>
      <c r="K237" s="62">
        <f t="shared" si="131"/>
        <v>0</v>
      </c>
      <c r="L237" s="329">
        <f t="shared" si="127"/>
        <v>0</v>
      </c>
      <c r="M237" s="329"/>
      <c r="N237">
        <v>2024</v>
      </c>
      <c r="O237" s="320" t="s">
        <v>240</v>
      </c>
      <c r="P237" s="320" t="s">
        <v>240</v>
      </c>
      <c r="Q237" s="170">
        <f t="shared" si="138"/>
        <v>0</v>
      </c>
      <c r="R237" s="170">
        <f t="shared" si="132"/>
        <v>0</v>
      </c>
      <c r="S237" s="170">
        <f t="shared" si="133"/>
        <v>0</v>
      </c>
      <c r="T237" s="170">
        <f t="shared" si="134"/>
        <v>0</v>
      </c>
      <c r="U237" s="172">
        <f t="shared" si="128"/>
        <v>0</v>
      </c>
      <c r="W237">
        <v>2024</v>
      </c>
      <c r="Z237" s="170">
        <f t="shared" si="139"/>
        <v>0</v>
      </c>
      <c r="AA237" s="170">
        <f t="shared" si="140"/>
        <v>0</v>
      </c>
      <c r="AB237" s="170">
        <f t="shared" si="141"/>
        <v>0</v>
      </c>
      <c r="AC237" s="170">
        <f t="shared" si="142"/>
        <v>0</v>
      </c>
      <c r="AD237" s="172">
        <f t="shared" si="129"/>
        <v>0</v>
      </c>
      <c r="AG237">
        <v>2024</v>
      </c>
      <c r="AJ237" s="170">
        <f t="shared" si="143"/>
        <v>0</v>
      </c>
      <c r="AK237" s="170">
        <f t="shared" si="136"/>
        <v>0</v>
      </c>
      <c r="AL237" s="170">
        <f t="shared" si="136"/>
        <v>0</v>
      </c>
      <c r="AM237" s="170">
        <f t="shared" si="136"/>
        <v>0</v>
      </c>
      <c r="AN237" s="172">
        <f t="shared" si="130"/>
        <v>0</v>
      </c>
    </row>
    <row r="238" spans="5:40">
      <c r="E238">
        <v>2025</v>
      </c>
      <c r="F238" s="320" t="s">
        <v>240</v>
      </c>
      <c r="G238" s="320" t="s">
        <v>240</v>
      </c>
      <c r="H238" s="62">
        <f t="shared" si="137"/>
        <v>0</v>
      </c>
      <c r="I238" s="62">
        <f t="shared" si="131"/>
        <v>0</v>
      </c>
      <c r="J238" s="62">
        <f t="shared" si="131"/>
        <v>0</v>
      </c>
      <c r="K238" s="62">
        <f t="shared" si="131"/>
        <v>0</v>
      </c>
      <c r="L238" s="329">
        <f t="shared" si="127"/>
        <v>0</v>
      </c>
      <c r="M238" s="329"/>
      <c r="N238">
        <v>2025</v>
      </c>
      <c r="O238" s="320" t="s">
        <v>240</v>
      </c>
      <c r="P238" s="320" t="s">
        <v>240</v>
      </c>
      <c r="Q238" s="170">
        <f t="shared" si="138"/>
        <v>0</v>
      </c>
      <c r="R238" s="170">
        <f t="shared" si="132"/>
        <v>0</v>
      </c>
      <c r="S238" s="170">
        <f t="shared" si="133"/>
        <v>0</v>
      </c>
      <c r="T238" s="170">
        <f t="shared" si="134"/>
        <v>0</v>
      </c>
      <c r="U238" s="172">
        <f t="shared" si="128"/>
        <v>0</v>
      </c>
      <c r="W238">
        <v>2025</v>
      </c>
      <c r="Z238" s="170">
        <f t="shared" si="139"/>
        <v>0</v>
      </c>
      <c r="AA238" s="170">
        <f t="shared" si="140"/>
        <v>0</v>
      </c>
      <c r="AB238" s="170">
        <f t="shared" si="141"/>
        <v>0</v>
      </c>
      <c r="AC238" s="170">
        <f t="shared" si="142"/>
        <v>0</v>
      </c>
      <c r="AD238" s="172">
        <f t="shared" si="129"/>
        <v>0</v>
      </c>
      <c r="AG238">
        <v>2025</v>
      </c>
      <c r="AJ238" s="170">
        <f t="shared" si="143"/>
        <v>0</v>
      </c>
      <c r="AK238" s="170">
        <f t="shared" si="136"/>
        <v>0</v>
      </c>
      <c r="AL238" s="170">
        <f t="shared" si="136"/>
        <v>0</v>
      </c>
      <c r="AM238" s="170">
        <f t="shared" si="136"/>
        <v>0</v>
      </c>
      <c r="AN238" s="172">
        <f t="shared" si="130"/>
        <v>0</v>
      </c>
    </row>
    <row r="239" spans="5:40">
      <c r="E239">
        <v>2026</v>
      </c>
      <c r="F239" s="320" t="s">
        <v>240</v>
      </c>
      <c r="G239" s="320" t="s">
        <v>240</v>
      </c>
      <c r="H239" s="62">
        <f t="shared" si="137"/>
        <v>0</v>
      </c>
      <c r="I239" s="62">
        <f t="shared" si="131"/>
        <v>0</v>
      </c>
      <c r="J239" s="62">
        <f t="shared" si="131"/>
        <v>0</v>
      </c>
      <c r="K239" s="62">
        <f t="shared" si="131"/>
        <v>0</v>
      </c>
      <c r="L239" s="329">
        <f t="shared" si="127"/>
        <v>0</v>
      </c>
      <c r="M239" s="329"/>
      <c r="N239">
        <v>2026</v>
      </c>
      <c r="O239" s="320" t="s">
        <v>240</v>
      </c>
      <c r="P239" s="320" t="s">
        <v>240</v>
      </c>
      <c r="Q239" s="170">
        <f t="shared" si="138"/>
        <v>0</v>
      </c>
      <c r="R239" s="170">
        <f t="shared" si="132"/>
        <v>0</v>
      </c>
      <c r="S239" s="170">
        <f t="shared" si="133"/>
        <v>0</v>
      </c>
      <c r="T239" s="170">
        <f t="shared" si="134"/>
        <v>0</v>
      </c>
      <c r="U239" s="172">
        <f t="shared" si="128"/>
        <v>0</v>
      </c>
      <c r="W239">
        <v>2026</v>
      </c>
      <c r="Z239" s="170">
        <f t="shared" si="139"/>
        <v>0</v>
      </c>
      <c r="AA239" s="170">
        <f t="shared" si="140"/>
        <v>0</v>
      </c>
      <c r="AB239" s="170">
        <f t="shared" si="141"/>
        <v>0</v>
      </c>
      <c r="AC239" s="170">
        <f t="shared" si="142"/>
        <v>0</v>
      </c>
      <c r="AD239" s="172">
        <f t="shared" si="129"/>
        <v>0</v>
      </c>
      <c r="AG239">
        <v>2026</v>
      </c>
      <c r="AJ239" s="170">
        <f t="shared" si="143"/>
        <v>0</v>
      </c>
      <c r="AK239" s="170">
        <f t="shared" si="136"/>
        <v>0</v>
      </c>
      <c r="AL239" s="170">
        <f t="shared" si="136"/>
        <v>0</v>
      </c>
      <c r="AM239" s="170">
        <f t="shared" si="136"/>
        <v>0</v>
      </c>
      <c r="AN239" s="172">
        <f t="shared" si="130"/>
        <v>0</v>
      </c>
    </row>
    <row r="240" spans="5:40">
      <c r="E240">
        <v>2027</v>
      </c>
      <c r="F240" s="320" t="s">
        <v>240</v>
      </c>
      <c r="G240" s="320" t="s">
        <v>240</v>
      </c>
      <c r="H240" s="62">
        <f t="shared" si="137"/>
        <v>0</v>
      </c>
      <c r="I240" s="62">
        <f t="shared" si="131"/>
        <v>0</v>
      </c>
      <c r="J240" s="62">
        <f t="shared" si="131"/>
        <v>0</v>
      </c>
      <c r="K240" s="62">
        <f t="shared" si="131"/>
        <v>0</v>
      </c>
      <c r="L240" s="329">
        <f t="shared" si="127"/>
        <v>0</v>
      </c>
      <c r="M240" s="329"/>
      <c r="N240">
        <v>2027</v>
      </c>
      <c r="O240" s="320" t="s">
        <v>240</v>
      </c>
      <c r="P240" s="320" t="s">
        <v>240</v>
      </c>
      <c r="Q240" s="170">
        <f t="shared" si="138"/>
        <v>0</v>
      </c>
      <c r="R240" s="170">
        <f t="shared" si="132"/>
        <v>0</v>
      </c>
      <c r="S240" s="170">
        <f t="shared" si="133"/>
        <v>0</v>
      </c>
      <c r="T240" s="170">
        <f t="shared" si="134"/>
        <v>0</v>
      </c>
      <c r="U240" s="172">
        <f t="shared" si="128"/>
        <v>0</v>
      </c>
      <c r="W240">
        <v>2027</v>
      </c>
      <c r="Z240" s="170">
        <f t="shared" si="139"/>
        <v>0</v>
      </c>
      <c r="AA240" s="170">
        <f t="shared" si="140"/>
        <v>0</v>
      </c>
      <c r="AB240" s="170">
        <f t="shared" si="141"/>
        <v>0</v>
      </c>
      <c r="AC240" s="170">
        <f t="shared" si="142"/>
        <v>0</v>
      </c>
      <c r="AD240" s="172">
        <f t="shared" si="129"/>
        <v>0</v>
      </c>
      <c r="AG240">
        <v>2027</v>
      </c>
      <c r="AJ240" s="170">
        <f t="shared" si="143"/>
        <v>0</v>
      </c>
      <c r="AK240" s="170">
        <f t="shared" si="136"/>
        <v>0</v>
      </c>
      <c r="AL240" s="170">
        <f t="shared" si="136"/>
        <v>0</v>
      </c>
      <c r="AM240" s="170">
        <f t="shared" si="136"/>
        <v>0</v>
      </c>
      <c r="AN240" s="172">
        <f t="shared" si="130"/>
        <v>0</v>
      </c>
    </row>
    <row r="241" spans="5:40">
      <c r="E241">
        <v>2028</v>
      </c>
      <c r="F241" s="320" t="s">
        <v>240</v>
      </c>
      <c r="G241" s="320" t="s">
        <v>240</v>
      </c>
      <c r="H241" s="62">
        <f t="shared" si="137"/>
        <v>0</v>
      </c>
      <c r="I241" s="62">
        <f t="shared" si="131"/>
        <v>0</v>
      </c>
      <c r="J241" s="62">
        <f t="shared" si="131"/>
        <v>0</v>
      </c>
      <c r="K241" s="62">
        <f t="shared" si="131"/>
        <v>0</v>
      </c>
      <c r="L241" s="329">
        <f t="shared" si="127"/>
        <v>0</v>
      </c>
      <c r="M241" s="329"/>
      <c r="N241">
        <v>2028</v>
      </c>
      <c r="O241" s="320" t="s">
        <v>240</v>
      </c>
      <c r="P241" s="320" t="s">
        <v>240</v>
      </c>
      <c r="Q241" s="170">
        <f t="shared" si="138"/>
        <v>0</v>
      </c>
      <c r="R241" s="170">
        <f t="shared" si="132"/>
        <v>0</v>
      </c>
      <c r="S241" s="170">
        <f t="shared" si="133"/>
        <v>0</v>
      </c>
      <c r="T241" s="170">
        <f t="shared" si="134"/>
        <v>0</v>
      </c>
      <c r="U241" s="172">
        <f t="shared" si="128"/>
        <v>0</v>
      </c>
      <c r="W241">
        <v>2028</v>
      </c>
      <c r="Z241" s="170">
        <f t="shared" si="139"/>
        <v>0</v>
      </c>
      <c r="AA241" s="170">
        <f t="shared" si="140"/>
        <v>0</v>
      </c>
      <c r="AB241" s="170">
        <f t="shared" si="141"/>
        <v>0</v>
      </c>
      <c r="AC241" s="170">
        <f t="shared" si="142"/>
        <v>0</v>
      </c>
      <c r="AD241" s="172">
        <f t="shared" si="129"/>
        <v>0</v>
      </c>
      <c r="AG241">
        <v>2028</v>
      </c>
      <c r="AJ241" s="170">
        <f t="shared" si="143"/>
        <v>0</v>
      </c>
      <c r="AK241" s="170">
        <f t="shared" si="136"/>
        <v>0</v>
      </c>
      <c r="AL241" s="170">
        <f t="shared" si="136"/>
        <v>0</v>
      </c>
      <c r="AM241" s="170">
        <f t="shared" si="136"/>
        <v>0</v>
      </c>
      <c r="AN241" s="172">
        <f t="shared" si="130"/>
        <v>0</v>
      </c>
    </row>
    <row r="242" spans="5:40">
      <c r="E242">
        <v>2029</v>
      </c>
      <c r="F242" s="320" t="s">
        <v>240</v>
      </c>
      <c r="G242" s="320" t="s">
        <v>240</v>
      </c>
      <c r="H242" s="62">
        <f t="shared" si="137"/>
        <v>0</v>
      </c>
      <c r="I242" s="62">
        <f t="shared" si="131"/>
        <v>0</v>
      </c>
      <c r="J242" s="62">
        <f t="shared" si="131"/>
        <v>0</v>
      </c>
      <c r="K242" s="62">
        <f t="shared" si="131"/>
        <v>0</v>
      </c>
      <c r="L242" s="329">
        <f t="shared" si="127"/>
        <v>0</v>
      </c>
      <c r="M242" s="329"/>
      <c r="N242">
        <v>2029</v>
      </c>
      <c r="O242" s="320" t="s">
        <v>240</v>
      </c>
      <c r="P242" s="320" t="s">
        <v>240</v>
      </c>
      <c r="Q242" s="170">
        <f t="shared" si="138"/>
        <v>0</v>
      </c>
      <c r="R242" s="170">
        <f t="shared" si="132"/>
        <v>0</v>
      </c>
      <c r="S242" s="170">
        <f t="shared" si="133"/>
        <v>0</v>
      </c>
      <c r="T242" s="170">
        <f t="shared" si="134"/>
        <v>0</v>
      </c>
      <c r="U242" s="172">
        <f t="shared" si="128"/>
        <v>0</v>
      </c>
      <c r="W242">
        <v>2029</v>
      </c>
      <c r="Z242" s="170">
        <f t="shared" si="139"/>
        <v>0</v>
      </c>
      <c r="AA242" s="170">
        <f t="shared" si="140"/>
        <v>0</v>
      </c>
      <c r="AB242" s="170">
        <f t="shared" si="141"/>
        <v>0</v>
      </c>
      <c r="AC242" s="170">
        <f t="shared" si="142"/>
        <v>0</v>
      </c>
      <c r="AD242" s="172">
        <f t="shared" si="129"/>
        <v>0</v>
      </c>
      <c r="AG242">
        <v>2029</v>
      </c>
      <c r="AJ242" s="170">
        <f t="shared" si="143"/>
        <v>0</v>
      </c>
      <c r="AK242" s="170">
        <f t="shared" si="136"/>
        <v>0</v>
      </c>
      <c r="AL242" s="170">
        <f t="shared" si="136"/>
        <v>0</v>
      </c>
      <c r="AM242" s="170">
        <f t="shared" si="136"/>
        <v>0</v>
      </c>
      <c r="AN242" s="172">
        <f t="shared" si="130"/>
        <v>0</v>
      </c>
    </row>
    <row r="243" spans="5:40">
      <c r="E243">
        <v>2030</v>
      </c>
      <c r="F243" s="320" t="s">
        <v>240</v>
      </c>
      <c r="G243" s="320" t="s">
        <v>240</v>
      </c>
      <c r="H243" s="62">
        <f>H242*(1+$C$6)</f>
        <v>0</v>
      </c>
      <c r="I243" s="62">
        <f t="shared" si="131"/>
        <v>0</v>
      </c>
      <c r="J243" s="62">
        <f t="shared" si="131"/>
        <v>0</v>
      </c>
      <c r="K243" s="62">
        <f t="shared" si="131"/>
        <v>0</v>
      </c>
      <c r="L243" s="329">
        <f t="shared" si="127"/>
        <v>0</v>
      </c>
      <c r="M243" s="329"/>
      <c r="N243">
        <v>2030</v>
      </c>
      <c r="O243" s="320" t="s">
        <v>240</v>
      </c>
      <c r="P243" s="320" t="s">
        <v>240</v>
      </c>
      <c r="Q243" s="170">
        <f>Q242*(1+$C$6)</f>
        <v>0</v>
      </c>
      <c r="R243" s="170">
        <f t="shared" si="132"/>
        <v>0</v>
      </c>
      <c r="S243" s="170">
        <f t="shared" si="133"/>
        <v>0</v>
      </c>
      <c r="T243" s="170">
        <f t="shared" si="134"/>
        <v>0</v>
      </c>
      <c r="U243" s="172">
        <f t="shared" si="128"/>
        <v>0</v>
      </c>
      <c r="W243">
        <v>2030</v>
      </c>
      <c r="Z243" s="170">
        <f t="shared" si="139"/>
        <v>0</v>
      </c>
      <c r="AA243" s="170">
        <f t="shared" si="140"/>
        <v>0</v>
      </c>
      <c r="AB243" s="170">
        <f t="shared" si="141"/>
        <v>0</v>
      </c>
      <c r="AC243" s="170">
        <f t="shared" si="142"/>
        <v>0</v>
      </c>
      <c r="AD243" s="172">
        <f t="shared" si="129"/>
        <v>0</v>
      </c>
      <c r="AG243">
        <v>2030</v>
      </c>
      <c r="AJ243" s="170">
        <f t="shared" si="143"/>
        <v>0</v>
      </c>
      <c r="AK243" s="170">
        <f t="shared" si="136"/>
        <v>0</v>
      </c>
      <c r="AL243" s="170">
        <f t="shared" si="136"/>
        <v>0</v>
      </c>
      <c r="AM243" s="170">
        <f t="shared" si="136"/>
        <v>0</v>
      </c>
      <c r="AN243" s="172">
        <f t="shared" si="130"/>
        <v>0</v>
      </c>
    </row>
    <row r="244" spans="5:40">
      <c r="E244">
        <v>2040</v>
      </c>
      <c r="F244" s="320" t="s">
        <v>240</v>
      </c>
      <c r="G244" s="320" t="s">
        <v>240</v>
      </c>
      <c r="H244" s="62">
        <f>H243*(1+$C$6)^10</f>
        <v>0</v>
      </c>
      <c r="I244" s="62">
        <f t="shared" ref="I244:K250" si="144">I243*(1+$C$6)^10</f>
        <v>0</v>
      </c>
      <c r="J244" s="62">
        <f t="shared" si="144"/>
        <v>0</v>
      </c>
      <c r="K244" s="62">
        <f t="shared" si="144"/>
        <v>0</v>
      </c>
      <c r="L244" s="329">
        <f t="shared" si="127"/>
        <v>0</v>
      </c>
      <c r="M244" s="329"/>
      <c r="N244">
        <v>2040</v>
      </c>
      <c r="O244" s="320" t="s">
        <v>240</v>
      </c>
      <c r="P244" s="320" t="s">
        <v>240</v>
      </c>
      <c r="Q244" s="170">
        <f>Q243*(1+$C$6)^10</f>
        <v>0</v>
      </c>
      <c r="R244" s="170">
        <f t="shared" ref="R244:R250" si="145">R243*(1+$C$6)^10</f>
        <v>0</v>
      </c>
      <c r="S244" s="170">
        <f t="shared" ref="S244:S250" si="146">S243*(1+$C$6)^10</f>
        <v>0</v>
      </c>
      <c r="T244" s="170">
        <f t="shared" ref="T244:T250" si="147">T243*(1+$C$6)^10</f>
        <v>0</v>
      </c>
      <c r="U244" s="172">
        <f t="shared" si="128"/>
        <v>0</v>
      </c>
      <c r="W244">
        <v>2040</v>
      </c>
      <c r="Z244" s="170">
        <f t="shared" si="139"/>
        <v>0</v>
      </c>
      <c r="AA244" s="170">
        <f t="shared" si="140"/>
        <v>0</v>
      </c>
      <c r="AB244" s="170">
        <f t="shared" si="141"/>
        <v>0</v>
      </c>
      <c r="AC244" s="170">
        <f t="shared" si="142"/>
        <v>0</v>
      </c>
      <c r="AD244" s="172">
        <f t="shared" si="129"/>
        <v>0</v>
      </c>
      <c r="AG244">
        <v>2040</v>
      </c>
      <c r="AJ244" s="170">
        <f t="shared" si="143"/>
        <v>0</v>
      </c>
      <c r="AK244" s="170">
        <f t="shared" si="136"/>
        <v>0</v>
      </c>
      <c r="AL244" s="170">
        <f t="shared" si="136"/>
        <v>0</v>
      </c>
      <c r="AM244" s="170">
        <f t="shared" si="136"/>
        <v>0</v>
      </c>
      <c r="AN244" s="172">
        <f t="shared" si="130"/>
        <v>0</v>
      </c>
    </row>
    <row r="245" spans="5:40">
      <c r="E245">
        <v>2050</v>
      </c>
      <c r="F245" s="320" t="s">
        <v>240</v>
      </c>
      <c r="G245" s="320" t="s">
        <v>240</v>
      </c>
      <c r="H245" s="62">
        <f t="shared" ref="H245:H250" si="148">H244*(1+$C$6)^10</f>
        <v>0</v>
      </c>
      <c r="I245" s="62">
        <f t="shared" si="144"/>
        <v>0</v>
      </c>
      <c r="J245" s="62">
        <f t="shared" si="144"/>
        <v>0</v>
      </c>
      <c r="K245" s="62">
        <f t="shared" si="144"/>
        <v>0</v>
      </c>
      <c r="L245" s="329">
        <f t="shared" si="127"/>
        <v>0</v>
      </c>
      <c r="M245" s="329"/>
      <c r="N245">
        <v>2050</v>
      </c>
      <c r="O245" s="320" t="s">
        <v>240</v>
      </c>
      <c r="P245" s="320" t="s">
        <v>240</v>
      </c>
      <c r="Q245" s="170">
        <f t="shared" ref="Q245:Q250" si="149">Q244*(1+$C$6)^10</f>
        <v>0</v>
      </c>
      <c r="R245" s="170">
        <f t="shared" si="145"/>
        <v>0</v>
      </c>
      <c r="S245" s="170">
        <f t="shared" si="146"/>
        <v>0</v>
      </c>
      <c r="T245" s="170">
        <f t="shared" si="147"/>
        <v>0</v>
      </c>
      <c r="U245" s="172">
        <f t="shared" si="128"/>
        <v>0</v>
      </c>
      <c r="W245">
        <v>2050</v>
      </c>
      <c r="Z245" s="170">
        <f t="shared" si="139"/>
        <v>0</v>
      </c>
      <c r="AA245" s="170">
        <f t="shared" si="140"/>
        <v>0</v>
      </c>
      <c r="AB245" s="170">
        <f t="shared" si="141"/>
        <v>0</v>
      </c>
      <c r="AC245" s="170">
        <f t="shared" si="142"/>
        <v>0</v>
      </c>
      <c r="AD245" s="172">
        <f t="shared" si="129"/>
        <v>0</v>
      </c>
      <c r="AG245">
        <v>2050</v>
      </c>
      <c r="AJ245" s="170">
        <f t="shared" si="143"/>
        <v>0</v>
      </c>
      <c r="AK245" s="170">
        <f t="shared" si="136"/>
        <v>0</v>
      </c>
      <c r="AL245" s="170">
        <f t="shared" si="136"/>
        <v>0</v>
      </c>
      <c r="AM245" s="170">
        <f t="shared" si="136"/>
        <v>0</v>
      </c>
      <c r="AN245" s="172">
        <f t="shared" si="130"/>
        <v>0</v>
      </c>
    </row>
    <row r="246" spans="5:40">
      <c r="E246">
        <v>2060</v>
      </c>
      <c r="F246" s="320" t="s">
        <v>240</v>
      </c>
      <c r="G246" s="320" t="s">
        <v>240</v>
      </c>
      <c r="H246" s="62">
        <f t="shared" si="148"/>
        <v>0</v>
      </c>
      <c r="I246" s="62">
        <f t="shared" si="144"/>
        <v>0</v>
      </c>
      <c r="J246" s="62">
        <f t="shared" si="144"/>
        <v>0</v>
      </c>
      <c r="K246" s="62">
        <f t="shared" si="144"/>
        <v>0</v>
      </c>
      <c r="L246" s="329">
        <f t="shared" si="127"/>
        <v>0</v>
      </c>
      <c r="M246" s="329"/>
      <c r="N246">
        <v>2060</v>
      </c>
      <c r="O246" s="320" t="s">
        <v>240</v>
      </c>
      <c r="P246" s="320" t="s">
        <v>240</v>
      </c>
      <c r="Q246" s="170">
        <f t="shared" si="149"/>
        <v>0</v>
      </c>
      <c r="R246" s="170">
        <f t="shared" si="145"/>
        <v>0</v>
      </c>
      <c r="S246" s="170">
        <f t="shared" si="146"/>
        <v>0</v>
      </c>
      <c r="T246" s="170">
        <f t="shared" si="147"/>
        <v>0</v>
      </c>
      <c r="U246" s="172">
        <f t="shared" si="128"/>
        <v>0</v>
      </c>
      <c r="W246">
        <v>2060</v>
      </c>
      <c r="Z246" s="170">
        <f t="shared" si="139"/>
        <v>0</v>
      </c>
      <c r="AA246" s="170">
        <f t="shared" si="140"/>
        <v>0</v>
      </c>
      <c r="AB246" s="170">
        <f t="shared" si="141"/>
        <v>0</v>
      </c>
      <c r="AC246" s="170">
        <f t="shared" si="142"/>
        <v>0</v>
      </c>
      <c r="AD246" s="172">
        <f t="shared" si="129"/>
        <v>0</v>
      </c>
      <c r="AG246">
        <v>2060</v>
      </c>
      <c r="AJ246" s="170">
        <f t="shared" si="143"/>
        <v>0</v>
      </c>
      <c r="AK246" s="170">
        <f t="shared" si="136"/>
        <v>0</v>
      </c>
      <c r="AL246" s="170">
        <f t="shared" si="136"/>
        <v>0</v>
      </c>
      <c r="AM246" s="170">
        <f t="shared" si="136"/>
        <v>0</v>
      </c>
      <c r="AN246" s="172">
        <f t="shared" si="130"/>
        <v>0</v>
      </c>
    </row>
    <row r="247" spans="5:40">
      <c r="E247">
        <v>2070</v>
      </c>
      <c r="F247" s="320" t="s">
        <v>240</v>
      </c>
      <c r="G247" s="320" t="s">
        <v>240</v>
      </c>
      <c r="H247" s="62">
        <f t="shared" si="148"/>
        <v>0</v>
      </c>
      <c r="I247" s="62">
        <f t="shared" si="144"/>
        <v>0</v>
      </c>
      <c r="J247" s="62">
        <f t="shared" si="144"/>
        <v>0</v>
      </c>
      <c r="K247" s="62">
        <f t="shared" si="144"/>
        <v>0</v>
      </c>
      <c r="L247" s="329">
        <f t="shared" si="127"/>
        <v>0</v>
      </c>
      <c r="M247" s="329"/>
      <c r="N247">
        <v>2070</v>
      </c>
      <c r="O247" s="320" t="s">
        <v>240</v>
      </c>
      <c r="P247" s="320" t="s">
        <v>240</v>
      </c>
      <c r="Q247" s="170">
        <f t="shared" si="149"/>
        <v>0</v>
      </c>
      <c r="R247" s="170">
        <f t="shared" si="145"/>
        <v>0</v>
      </c>
      <c r="S247" s="170">
        <f t="shared" si="146"/>
        <v>0</v>
      </c>
      <c r="T247" s="170">
        <f t="shared" si="147"/>
        <v>0</v>
      </c>
      <c r="U247" s="172">
        <f t="shared" si="128"/>
        <v>0</v>
      </c>
      <c r="W247">
        <v>2070</v>
      </c>
      <c r="Z247" s="170">
        <f t="shared" si="139"/>
        <v>0</v>
      </c>
      <c r="AA247" s="170">
        <f t="shared" si="140"/>
        <v>0</v>
      </c>
      <c r="AB247" s="170">
        <f t="shared" si="141"/>
        <v>0</v>
      </c>
      <c r="AC247" s="170">
        <f t="shared" si="142"/>
        <v>0</v>
      </c>
      <c r="AD247" s="172">
        <f t="shared" si="129"/>
        <v>0</v>
      </c>
      <c r="AG247">
        <v>2070</v>
      </c>
      <c r="AJ247" s="170">
        <f t="shared" si="143"/>
        <v>0</v>
      </c>
      <c r="AK247" s="170">
        <f t="shared" si="136"/>
        <v>0</v>
      </c>
      <c r="AL247" s="170">
        <f t="shared" si="136"/>
        <v>0</v>
      </c>
      <c r="AM247" s="170">
        <f t="shared" si="136"/>
        <v>0</v>
      </c>
      <c r="AN247" s="172">
        <f t="shared" si="130"/>
        <v>0</v>
      </c>
    </row>
    <row r="248" spans="5:40">
      <c r="E248">
        <v>2080</v>
      </c>
      <c r="F248" s="320" t="s">
        <v>240</v>
      </c>
      <c r="G248" s="320" t="s">
        <v>240</v>
      </c>
      <c r="H248" s="62">
        <f t="shared" si="148"/>
        <v>0</v>
      </c>
      <c r="I248" s="62">
        <f t="shared" si="144"/>
        <v>0</v>
      </c>
      <c r="J248" s="62">
        <f t="shared" si="144"/>
        <v>0</v>
      </c>
      <c r="K248" s="62">
        <f t="shared" si="144"/>
        <v>0</v>
      </c>
      <c r="L248" s="329">
        <f t="shared" si="127"/>
        <v>0</v>
      </c>
      <c r="M248" s="329"/>
      <c r="N248">
        <v>2080</v>
      </c>
      <c r="O248" s="320" t="s">
        <v>240</v>
      </c>
      <c r="P248" s="320" t="s">
        <v>240</v>
      </c>
      <c r="Q248" s="170">
        <f t="shared" si="149"/>
        <v>0</v>
      </c>
      <c r="R248" s="170">
        <f t="shared" si="145"/>
        <v>0</v>
      </c>
      <c r="S248" s="170">
        <f t="shared" si="146"/>
        <v>0</v>
      </c>
      <c r="T248" s="170">
        <f t="shared" si="147"/>
        <v>0</v>
      </c>
      <c r="U248" s="172">
        <f t="shared" si="128"/>
        <v>0</v>
      </c>
      <c r="W248">
        <v>2080</v>
      </c>
      <c r="Z248" s="170">
        <f t="shared" si="139"/>
        <v>0</v>
      </c>
      <c r="AA248" s="170">
        <f t="shared" si="140"/>
        <v>0</v>
      </c>
      <c r="AB248" s="170">
        <f t="shared" si="141"/>
        <v>0</v>
      </c>
      <c r="AC248" s="170">
        <f t="shared" si="142"/>
        <v>0</v>
      </c>
      <c r="AD248" s="172">
        <f t="shared" si="129"/>
        <v>0</v>
      </c>
      <c r="AG248">
        <v>2080</v>
      </c>
      <c r="AJ248" s="170">
        <f t="shared" si="143"/>
        <v>0</v>
      </c>
      <c r="AK248" s="170">
        <f t="shared" si="136"/>
        <v>0</v>
      </c>
      <c r="AL248" s="170">
        <f t="shared" si="136"/>
        <v>0</v>
      </c>
      <c r="AM248" s="170">
        <f t="shared" si="136"/>
        <v>0</v>
      </c>
      <c r="AN248" s="172">
        <f t="shared" si="130"/>
        <v>0</v>
      </c>
    </row>
    <row r="249" spans="5:40">
      <c r="E249">
        <v>2090</v>
      </c>
      <c r="F249" s="320" t="s">
        <v>240</v>
      </c>
      <c r="G249" s="320" t="s">
        <v>240</v>
      </c>
      <c r="H249" s="62">
        <f t="shared" si="148"/>
        <v>0</v>
      </c>
      <c r="I249" s="62">
        <f t="shared" si="144"/>
        <v>0</v>
      </c>
      <c r="J249" s="62">
        <f t="shared" si="144"/>
        <v>0</v>
      </c>
      <c r="K249" s="62">
        <f t="shared" si="144"/>
        <v>0</v>
      </c>
      <c r="L249" s="329">
        <f t="shared" si="127"/>
        <v>0</v>
      </c>
      <c r="M249" s="329"/>
      <c r="N249">
        <v>2090</v>
      </c>
      <c r="O249" s="320" t="s">
        <v>240</v>
      </c>
      <c r="P249" s="320" t="s">
        <v>240</v>
      </c>
      <c r="Q249" s="170">
        <f t="shared" si="149"/>
        <v>0</v>
      </c>
      <c r="R249" s="170">
        <f t="shared" si="145"/>
        <v>0</v>
      </c>
      <c r="S249" s="170">
        <f t="shared" si="146"/>
        <v>0</v>
      </c>
      <c r="T249" s="170">
        <f t="shared" si="147"/>
        <v>0</v>
      </c>
      <c r="U249" s="172">
        <f t="shared" si="128"/>
        <v>0</v>
      </c>
      <c r="W249">
        <v>2090</v>
      </c>
      <c r="Z249" s="170">
        <f t="shared" si="139"/>
        <v>0</v>
      </c>
      <c r="AA249" s="170">
        <f t="shared" si="140"/>
        <v>0</v>
      </c>
      <c r="AB249" s="170">
        <f t="shared" si="141"/>
        <v>0</v>
      </c>
      <c r="AC249" s="170">
        <f t="shared" si="142"/>
        <v>0</v>
      </c>
      <c r="AD249" s="172">
        <f t="shared" si="129"/>
        <v>0</v>
      </c>
      <c r="AG249">
        <v>2090</v>
      </c>
      <c r="AJ249" s="170">
        <f t="shared" si="143"/>
        <v>0</v>
      </c>
      <c r="AK249" s="170">
        <f t="shared" si="136"/>
        <v>0</v>
      </c>
      <c r="AL249" s="170">
        <f t="shared" si="136"/>
        <v>0</v>
      </c>
      <c r="AM249" s="170">
        <f t="shared" si="136"/>
        <v>0</v>
      </c>
      <c r="AN249" s="172">
        <f t="shared" si="130"/>
        <v>0</v>
      </c>
    </row>
    <row r="250" spans="5:40">
      <c r="E250">
        <v>2100</v>
      </c>
      <c r="F250" s="320" t="s">
        <v>240</v>
      </c>
      <c r="G250" s="320" t="s">
        <v>240</v>
      </c>
      <c r="H250" s="62">
        <f t="shared" si="148"/>
        <v>0</v>
      </c>
      <c r="I250" s="62">
        <f t="shared" si="144"/>
        <v>0</v>
      </c>
      <c r="J250" s="62">
        <f t="shared" si="144"/>
        <v>0</v>
      </c>
      <c r="K250" s="62">
        <f t="shared" si="144"/>
        <v>0</v>
      </c>
      <c r="L250" s="329">
        <f t="shared" si="127"/>
        <v>0</v>
      </c>
      <c r="M250" s="329"/>
      <c r="N250">
        <v>2100</v>
      </c>
      <c r="O250" s="320" t="s">
        <v>240</v>
      </c>
      <c r="P250" s="320" t="s">
        <v>240</v>
      </c>
      <c r="Q250" s="170">
        <f t="shared" si="149"/>
        <v>0</v>
      </c>
      <c r="R250" s="170">
        <f t="shared" si="145"/>
        <v>0</v>
      </c>
      <c r="S250" s="170">
        <f t="shared" si="146"/>
        <v>0</v>
      </c>
      <c r="T250" s="170">
        <f t="shared" si="147"/>
        <v>0</v>
      </c>
      <c r="U250" s="172">
        <f t="shared" si="128"/>
        <v>0</v>
      </c>
      <c r="W250">
        <v>2100</v>
      </c>
      <c r="Z250" s="170">
        <f t="shared" si="139"/>
        <v>0</v>
      </c>
      <c r="AA250" s="170">
        <f t="shared" si="140"/>
        <v>0</v>
      </c>
      <c r="AB250" s="170">
        <f t="shared" si="141"/>
        <v>0</v>
      </c>
      <c r="AC250" s="170">
        <f t="shared" si="142"/>
        <v>0</v>
      </c>
      <c r="AD250" s="172">
        <f t="shared" si="129"/>
        <v>0</v>
      </c>
      <c r="AG250">
        <v>2100</v>
      </c>
      <c r="AJ250" s="170">
        <f t="shared" si="143"/>
        <v>0</v>
      </c>
      <c r="AK250" s="170">
        <f t="shared" ref="AK250" si="150">AK249*(1+$C$6)^($AG250-$AG249)</f>
        <v>0</v>
      </c>
      <c r="AL250" s="170">
        <f t="shared" ref="AL250" si="151">AL249*(1+$C$6)^($AG250-$AG249)</f>
        <v>0</v>
      </c>
      <c r="AM250" s="170">
        <f t="shared" ref="AM250" si="152">AM249*(1+$C$6)^($AG250-$AG249)</f>
        <v>0</v>
      </c>
      <c r="AN250" s="172">
        <f t="shared" si="130"/>
        <v>0</v>
      </c>
    </row>
    <row r="251" spans="5:40">
      <c r="F251" s="581" t="s">
        <v>292</v>
      </c>
      <c r="G251" s="581"/>
      <c r="H251" s="581"/>
      <c r="I251" s="581"/>
      <c r="J251" s="581"/>
      <c r="K251" s="581"/>
      <c r="O251" s="581" t="s">
        <v>292</v>
      </c>
      <c r="P251" s="581"/>
      <c r="Q251" s="581"/>
      <c r="R251" s="581"/>
      <c r="S251" s="581"/>
      <c r="T251" s="581"/>
      <c r="X251" s="581" t="s">
        <v>292</v>
      </c>
      <c r="Y251" s="581"/>
      <c r="Z251" s="581"/>
      <c r="AA251" s="581"/>
      <c r="AB251" s="581"/>
      <c r="AC251" s="581"/>
      <c r="AD251" s="172"/>
      <c r="AH251" s="581" t="s">
        <v>292</v>
      </c>
      <c r="AI251" s="581"/>
      <c r="AJ251" s="581"/>
      <c r="AK251" s="581"/>
      <c r="AL251" s="581"/>
      <c r="AM251" s="581"/>
    </row>
    <row r="252" spans="5:40">
      <c r="E252">
        <v>2020</v>
      </c>
      <c r="F252" s="320" t="s">
        <v>240</v>
      </c>
      <c r="G252" s="320" t="s">
        <v>240</v>
      </c>
      <c r="H252" s="63">
        <f>'Demographic-Economic'!E$22*1000*AVERAGE('Demographic-Economic'!$C12:$H12)/H24*(1+'Inflation-Interest'!$C$65)*(1+'Inflation-Interest'!$C$66)*(1+'Inflation-Interest'!$C$67)*$C$5</f>
        <v>741.35508626075102</v>
      </c>
      <c r="I252" s="63">
        <f>'Demographic-Economic'!F$22*1000*AVERAGE('Demographic-Economic'!$C12:$H12)/I24*(1+'Inflation-Interest'!$C$65)*(1+'Inflation-Interest'!$C$66)*(1+'Inflation-Interest'!$C$67)*$C$5</f>
        <v>583.39400622061146</v>
      </c>
      <c r="J252" s="63">
        <f>'Demographic-Economic'!G$22*1000*AVERAGE('Demographic-Economic'!$C12:$H12)/J24*(1+'Inflation-Interest'!$C$65)*(1+'Inflation-Interest'!$C$66)*(1+'Inflation-Interest'!$C$67)*$C$5</f>
        <v>450.30265260099151</v>
      </c>
      <c r="K252" s="63">
        <f>'Demographic-Economic'!H$22*1000*AVERAGE('Demographic-Economic'!$C12:$H12)/K24*(1+'Inflation-Interest'!$C$65)*(1+'Inflation-Interest'!$C$66)*(1+'Inflation-Interest'!$C$67)*$C$5</f>
        <v>98.523969784498604</v>
      </c>
      <c r="L252" s="63">
        <f t="shared" ref="L252:L269" si="153">SUMPRODUCT(H252:K252, H24:K24)/SUM(H24:K24)</f>
        <v>645.42534080484279</v>
      </c>
      <c r="M252" s="63"/>
      <c r="N252">
        <v>2020</v>
      </c>
      <c r="O252" s="320" t="s">
        <v>240</v>
      </c>
      <c r="P252" s="320" t="s">
        <v>240</v>
      </c>
      <c r="Q252" s="170">
        <f>'Demographic-Economic'!E$22*1000*AVERAGE('Demographic-Economic'!$C12:$H12)/Q24*(1+'Inflation-Interest'!$C$65)*(1+'Inflation-Interest'!$C$66)*(1+'Inflation-Interest'!$C$67)*$C$5</f>
        <v>741.35508626075102</v>
      </c>
      <c r="R252" s="170">
        <f>'Demographic-Economic'!F$22*1000*AVERAGE('Demographic-Economic'!$C12:$H12)/R24*(1+'Inflation-Interest'!$C$65)*(1+'Inflation-Interest'!$C$66)*(1+'Inflation-Interest'!$C$67)*$C$5</f>
        <v>583.39400622061146</v>
      </c>
      <c r="S252" s="170">
        <f>'Demographic-Economic'!G$22*1000*AVERAGE('Demographic-Economic'!$C12:$H12)/S24*(1+'Inflation-Interest'!$C$65)*(1+'Inflation-Interest'!$C$66)*(1+'Inflation-Interest'!$C$67)*$C$5</f>
        <v>450.30265260099151</v>
      </c>
      <c r="T252" s="170">
        <f>'Demographic-Economic'!H$22*1000*AVERAGE('Demographic-Economic'!$C12:$H12)/T24*(1+'Inflation-Interest'!$C$65)*(1+'Inflation-Interest'!$C$66)*(1+'Inflation-Interest'!$C$67)*$C$5</f>
        <v>98.523969784498604</v>
      </c>
      <c r="U252" s="172">
        <f t="shared" ref="U252:U269" si="154">SUMPRODUCT(Q252:T252, Q24:T24)/SUM(Q24:T24)</f>
        <v>645.42534080484279</v>
      </c>
      <c r="W252">
        <v>2020</v>
      </c>
      <c r="Z252" s="170">
        <v>926.69385782593895</v>
      </c>
      <c r="AA252" s="170">
        <v>729.24250777576435</v>
      </c>
      <c r="AB252" s="170">
        <v>562.87831575123937</v>
      </c>
      <c r="AC252" s="170">
        <v>123.15496223062324</v>
      </c>
      <c r="AD252" s="172">
        <f t="shared" ref="AD252:AD269" si="155">SUMPRODUCT(Z252:AC252, Z24:AC24)/SUM(Z24:AC24)</f>
        <v>806.78167600605354</v>
      </c>
      <c r="AG252">
        <v>2020</v>
      </c>
      <c r="AH252" t="s">
        <v>240</v>
      </c>
      <c r="AI252" t="s">
        <v>240</v>
      </c>
      <c r="AJ252" s="170">
        <v>926.69385782593872</v>
      </c>
      <c r="AK252" s="170">
        <v>729.24250777576435</v>
      </c>
      <c r="AL252" s="170">
        <v>562.87831575123937</v>
      </c>
      <c r="AM252" s="170">
        <v>123.15496223062324</v>
      </c>
      <c r="AN252" s="172">
        <f t="shared" ref="AN252:AN269" si="156">SUMPRODUCT(AJ252:AM252, AJ24:AM24)/SUM(AJ24:AM24)</f>
        <v>806.78167600605343</v>
      </c>
    </row>
    <row r="253" spans="5:40">
      <c r="E253">
        <v>2021</v>
      </c>
      <c r="F253" s="320" t="s">
        <v>240</v>
      </c>
      <c r="G253" s="320" t="s">
        <v>240</v>
      </c>
      <c r="H253" s="63">
        <f t="shared" ref="H253:K262" si="157">H252*(1+$C$6)</f>
        <v>769.1849384030744</v>
      </c>
      <c r="I253" s="63">
        <f t="shared" si="157"/>
        <v>605.29413105246135</v>
      </c>
      <c r="J253" s="63">
        <f t="shared" si="157"/>
        <v>467.20663892742226</v>
      </c>
      <c r="K253" s="63">
        <f t="shared" si="157"/>
        <v>102.22247750690053</v>
      </c>
      <c r="L253" s="63">
        <f t="shared" si="153"/>
        <v>669.58555249898291</v>
      </c>
      <c r="M253" s="63"/>
      <c r="N253">
        <v>2021</v>
      </c>
      <c r="O253" s="320" t="s">
        <v>240</v>
      </c>
      <c r="P253" s="320" t="s">
        <v>240</v>
      </c>
      <c r="Q253" s="63">
        <f t="shared" ref="Q253:T253" si="158">Q252*(1+$C$6)</f>
        <v>769.1849384030744</v>
      </c>
      <c r="R253" s="63">
        <f t="shared" si="158"/>
        <v>605.29413105246135</v>
      </c>
      <c r="S253" s="63">
        <f t="shared" si="158"/>
        <v>467.20663892742226</v>
      </c>
      <c r="T253" s="63">
        <f t="shared" si="158"/>
        <v>102.22247750690053</v>
      </c>
      <c r="U253" s="172">
        <f t="shared" si="154"/>
        <v>669.58555249898291</v>
      </c>
      <c r="W253">
        <v>2021</v>
      </c>
      <c r="Z253" s="170">
        <v>961.48117300384297</v>
      </c>
      <c r="AA253" s="170">
        <v>756.61766381557675</v>
      </c>
      <c r="AB253" s="170">
        <v>584.00829865927778</v>
      </c>
      <c r="AC253" s="170">
        <v>127.77809688362565</v>
      </c>
      <c r="AD253" s="172">
        <f t="shared" si="155"/>
        <v>836.98194062372863</v>
      </c>
      <c r="AG253">
        <v>2021</v>
      </c>
      <c r="AH253" t="s">
        <v>240</v>
      </c>
      <c r="AI253" t="s">
        <v>240</v>
      </c>
      <c r="AJ253" s="170">
        <v>961.48117300384297</v>
      </c>
      <c r="AK253" s="170">
        <v>756.61766381557675</v>
      </c>
      <c r="AL253" s="170">
        <v>584.00829865927778</v>
      </c>
      <c r="AM253" s="170">
        <v>127.77809688362565</v>
      </c>
      <c r="AN253" s="172">
        <f t="shared" si="156"/>
        <v>836.98194062372852</v>
      </c>
    </row>
    <row r="254" spans="5:40">
      <c r="E254">
        <v>2022</v>
      </c>
      <c r="F254" s="320" t="s">
        <v>240</v>
      </c>
      <c r="G254" s="320" t="s">
        <v>240</v>
      </c>
      <c r="H254" s="63">
        <f t="shared" si="157"/>
        <v>798.05950000327709</v>
      </c>
      <c r="I254" s="63">
        <f t="shared" si="157"/>
        <v>628.01636832039492</v>
      </c>
      <c r="J254" s="63">
        <f t="shared" si="157"/>
        <v>484.74518681389191</v>
      </c>
      <c r="K254" s="63">
        <f t="shared" si="157"/>
        <v>106.05982412711165</v>
      </c>
      <c r="L254" s="63">
        <f t="shared" si="153"/>
        <v>694.66540012821486</v>
      </c>
      <c r="M254" s="63"/>
      <c r="N254">
        <v>2022</v>
      </c>
      <c r="O254" s="320" t="s">
        <v>240</v>
      </c>
      <c r="P254" s="320" t="s">
        <v>240</v>
      </c>
      <c r="Q254" s="63">
        <f t="shared" ref="Q254:T254" si="159">Q253*(1+$C$6)</f>
        <v>798.05950000327709</v>
      </c>
      <c r="R254" s="63">
        <f t="shared" si="159"/>
        <v>628.01636832039492</v>
      </c>
      <c r="S254" s="63">
        <f t="shared" si="159"/>
        <v>484.74518681389191</v>
      </c>
      <c r="T254" s="63">
        <f t="shared" si="159"/>
        <v>106.05982412711165</v>
      </c>
      <c r="U254" s="172">
        <f t="shared" si="154"/>
        <v>694.66430009623787</v>
      </c>
      <c r="W254">
        <v>2022</v>
      </c>
      <c r="Z254" s="170">
        <v>997.5743750040964</v>
      </c>
      <c r="AA254" s="170">
        <v>785.02046040049368</v>
      </c>
      <c r="AB254" s="170">
        <v>605.93148351736488</v>
      </c>
      <c r="AC254" s="170">
        <v>132.57478015888955</v>
      </c>
      <c r="AD254" s="172">
        <f t="shared" si="155"/>
        <v>868.32910118997597</v>
      </c>
      <c r="AG254">
        <v>2022</v>
      </c>
      <c r="AH254" t="s">
        <v>240</v>
      </c>
      <c r="AI254" t="s">
        <v>240</v>
      </c>
      <c r="AJ254" s="170">
        <v>997.5743750040964</v>
      </c>
      <c r="AK254" s="170">
        <v>785.02046040049368</v>
      </c>
      <c r="AL254" s="170">
        <v>605.93148351736488</v>
      </c>
      <c r="AM254" s="170">
        <v>132.57478015888955</v>
      </c>
      <c r="AN254" s="172">
        <f t="shared" si="156"/>
        <v>868.33157237253056</v>
      </c>
    </row>
    <row r="255" spans="5:40">
      <c r="E255">
        <v>2023</v>
      </c>
      <c r="F255" s="320" t="s">
        <v>240</v>
      </c>
      <c r="G255" s="320" t="s">
        <v>240</v>
      </c>
      <c r="H255" s="63">
        <f t="shared" si="157"/>
        <v>828.01798858381676</v>
      </c>
      <c r="I255" s="63">
        <f t="shared" si="157"/>
        <v>651.59157944016897</v>
      </c>
      <c r="J255" s="63">
        <f t="shared" si="157"/>
        <v>502.94211717256309</v>
      </c>
      <c r="K255" s="63">
        <f t="shared" si="157"/>
        <v>110.04122154165665</v>
      </c>
      <c r="L255" s="63">
        <f t="shared" si="153"/>
        <v>720.69877518442752</v>
      </c>
      <c r="M255" s="63"/>
      <c r="N255">
        <v>2023</v>
      </c>
      <c r="O255" s="320" t="s">
        <v>240</v>
      </c>
      <c r="P255" s="320" t="s">
        <v>240</v>
      </c>
      <c r="Q255" s="63">
        <f t="shared" ref="Q255:T255" si="160">Q254*(1+$C$6)</f>
        <v>828.01798858381676</v>
      </c>
      <c r="R255" s="63">
        <f t="shared" si="160"/>
        <v>651.59157944016897</v>
      </c>
      <c r="S255" s="63">
        <f t="shared" si="160"/>
        <v>502.94211717256309</v>
      </c>
      <c r="T255" s="63">
        <f t="shared" si="160"/>
        <v>110.04122154165665</v>
      </c>
      <c r="U255" s="172">
        <f t="shared" si="154"/>
        <v>720.69594544551524</v>
      </c>
      <c r="W255">
        <v>2023</v>
      </c>
      <c r="Z255" s="170">
        <v>1035.022485729771</v>
      </c>
      <c r="AA255" s="170">
        <v>814.48947430021121</v>
      </c>
      <c r="AB255" s="170">
        <v>628.67764646570379</v>
      </c>
      <c r="AC255" s="170">
        <v>137.5515269270708</v>
      </c>
      <c r="AD255" s="172">
        <f t="shared" si="155"/>
        <v>900.86659288360886</v>
      </c>
      <c r="AG255">
        <v>2023</v>
      </c>
      <c r="AH255" t="s">
        <v>240</v>
      </c>
      <c r="AI255" t="s">
        <v>240</v>
      </c>
      <c r="AJ255" s="170">
        <v>1035.022485729771</v>
      </c>
      <c r="AK255" s="170">
        <v>814.48947430021121</v>
      </c>
      <c r="AL255" s="170">
        <v>628.67764646570379</v>
      </c>
      <c r="AM255" s="170">
        <v>137.5515269270708</v>
      </c>
      <c r="AN255" s="172">
        <f t="shared" si="156"/>
        <v>900.87301542415833</v>
      </c>
    </row>
    <row r="256" spans="5:40">
      <c r="E256">
        <v>2024</v>
      </c>
      <c r="F256" s="320" t="s">
        <v>240</v>
      </c>
      <c r="G256" s="320" t="s">
        <v>240</v>
      </c>
      <c r="H256" s="63">
        <f t="shared" si="157"/>
        <v>859.10109386026272</v>
      </c>
      <c r="I256" s="63">
        <f t="shared" si="157"/>
        <v>676.0517843393701</v>
      </c>
      <c r="J256" s="63">
        <f t="shared" si="157"/>
        <v>521.82214513279018</v>
      </c>
      <c r="K256" s="63">
        <f t="shared" si="157"/>
        <v>114.1720772973125</v>
      </c>
      <c r="L256" s="63">
        <f t="shared" si="153"/>
        <v>747.72093116681606</v>
      </c>
      <c r="M256" s="63"/>
      <c r="N256">
        <v>2024</v>
      </c>
      <c r="O256" s="320" t="s">
        <v>240</v>
      </c>
      <c r="P256" s="320" t="s">
        <v>240</v>
      </c>
      <c r="Q256" s="63">
        <f t="shared" ref="Q256:T256" si="161">Q255*(1+$C$6)</f>
        <v>859.10109386026272</v>
      </c>
      <c r="R256" s="63">
        <f t="shared" si="161"/>
        <v>676.0517843393701</v>
      </c>
      <c r="S256" s="63">
        <f t="shared" si="161"/>
        <v>521.82214513279018</v>
      </c>
      <c r="T256" s="63">
        <f t="shared" si="161"/>
        <v>114.1720772973125</v>
      </c>
      <c r="U256" s="172">
        <f t="shared" si="154"/>
        <v>747.71614430232421</v>
      </c>
      <c r="W256">
        <v>2024</v>
      </c>
      <c r="Z256" s="170">
        <v>1073.8763673253286</v>
      </c>
      <c r="AA256" s="170">
        <v>845.0647304242126</v>
      </c>
      <c r="AB256" s="170">
        <v>652.27768141598756</v>
      </c>
      <c r="AC256" s="170">
        <v>142.71509662164058</v>
      </c>
      <c r="AD256" s="172">
        <f t="shared" si="155"/>
        <v>934.63944168502701</v>
      </c>
      <c r="AG256">
        <v>2024</v>
      </c>
      <c r="AH256" t="s">
        <v>240</v>
      </c>
      <c r="AI256" t="s">
        <v>240</v>
      </c>
      <c r="AJ256" s="170">
        <v>1073.8763673253286</v>
      </c>
      <c r="AK256" s="170">
        <v>845.0647304242126</v>
      </c>
      <c r="AL256" s="170">
        <v>652.27768141598756</v>
      </c>
      <c r="AM256" s="170">
        <v>142.71509662164058</v>
      </c>
      <c r="AN256" s="172">
        <f t="shared" si="156"/>
        <v>934.65040203870251</v>
      </c>
    </row>
    <row r="257" spans="5:40">
      <c r="E257">
        <v>2025</v>
      </c>
      <c r="F257" s="320" t="s">
        <v>240</v>
      </c>
      <c r="G257" s="320" t="s">
        <v>240</v>
      </c>
      <c r="H257" s="63">
        <f t="shared" si="157"/>
        <v>891.3510330061988</v>
      </c>
      <c r="I257" s="63">
        <f t="shared" si="157"/>
        <v>701.43020494698317</v>
      </c>
      <c r="J257" s="63">
        <f t="shared" si="157"/>
        <v>541.41091360928749</v>
      </c>
      <c r="K257" s="63">
        <f t="shared" si="157"/>
        <v>118.45800193565586</v>
      </c>
      <c r="L257" s="63">
        <f t="shared" si="153"/>
        <v>775.76852284010727</v>
      </c>
      <c r="M257" s="63"/>
      <c r="N257">
        <v>2025</v>
      </c>
      <c r="O257" s="320" t="s">
        <v>240</v>
      </c>
      <c r="P257" s="320" t="s">
        <v>240</v>
      </c>
      <c r="Q257" s="63">
        <f t="shared" ref="Q257:T257" si="162">Q256*(1+$C$6)</f>
        <v>891.3510330061988</v>
      </c>
      <c r="R257" s="63">
        <f t="shared" si="162"/>
        <v>701.43020494698317</v>
      </c>
      <c r="S257" s="63">
        <f t="shared" si="162"/>
        <v>541.41091360928749</v>
      </c>
      <c r="T257" s="63">
        <f t="shared" si="162"/>
        <v>118.45800193565586</v>
      </c>
      <c r="U257" s="172">
        <f t="shared" si="154"/>
        <v>775.7618968397004</v>
      </c>
      <c r="W257">
        <v>2025</v>
      </c>
      <c r="Z257" s="170">
        <v>1114.1887912577488</v>
      </c>
      <c r="AA257" s="170">
        <v>876.7877561837289</v>
      </c>
      <c r="AB257" s="170">
        <v>676.76364201160925</v>
      </c>
      <c r="AC257" s="170">
        <v>148.07250241956979</v>
      </c>
      <c r="AD257" s="172">
        <f t="shared" si="155"/>
        <v>969.69432632822543</v>
      </c>
      <c r="AG257">
        <v>2025</v>
      </c>
      <c r="AH257" t="s">
        <v>240</v>
      </c>
      <c r="AI257" t="s">
        <v>240</v>
      </c>
      <c r="AJ257" s="170">
        <v>1114.1887912577488</v>
      </c>
      <c r="AK257" s="170">
        <v>876.7877561837289</v>
      </c>
      <c r="AL257" s="170">
        <v>676.76364201160925</v>
      </c>
      <c r="AM257" s="170">
        <v>148.07250241956979</v>
      </c>
      <c r="AN257" s="172">
        <f t="shared" si="156"/>
        <v>969.70960465365408</v>
      </c>
    </row>
    <row r="258" spans="5:40">
      <c r="E258">
        <v>2026</v>
      </c>
      <c r="F258" s="320" t="s">
        <v>240</v>
      </c>
      <c r="G258" s="320" t="s">
        <v>240</v>
      </c>
      <c r="H258" s="63">
        <f t="shared" si="157"/>
        <v>924.81160799272402</v>
      </c>
      <c r="I258" s="63">
        <f t="shared" si="157"/>
        <v>727.76131031552211</v>
      </c>
      <c r="J258" s="63">
        <f t="shared" si="157"/>
        <v>561.73502813041875</v>
      </c>
      <c r="K258" s="63">
        <f t="shared" si="157"/>
        <v>122.90481661331877</v>
      </c>
      <c r="L258" s="63">
        <f t="shared" si="153"/>
        <v>804.87964895060918</v>
      </c>
      <c r="M258" s="63"/>
      <c r="N258">
        <v>2026</v>
      </c>
      <c r="O258" s="320" t="s">
        <v>240</v>
      </c>
      <c r="P258" s="320" t="s">
        <v>240</v>
      </c>
      <c r="Q258" s="63">
        <f t="shared" ref="Q258:T258" si="163">Q257*(1+$C$6)</f>
        <v>924.81160799272402</v>
      </c>
      <c r="R258" s="63">
        <f t="shared" si="163"/>
        <v>727.76131031552211</v>
      </c>
      <c r="S258" s="63">
        <f t="shared" si="163"/>
        <v>561.73502813041875</v>
      </c>
      <c r="T258" s="63">
        <f t="shared" si="163"/>
        <v>122.90481661331877</v>
      </c>
      <c r="U258" s="172">
        <f t="shared" si="154"/>
        <v>804.87159976307669</v>
      </c>
      <c r="W258">
        <v>2026</v>
      </c>
      <c r="Z258" s="170">
        <v>1156.0145099909053</v>
      </c>
      <c r="AA258" s="170">
        <v>909.70163789440267</v>
      </c>
      <c r="AB258" s="170">
        <v>702.16878516302336</v>
      </c>
      <c r="AC258" s="170">
        <v>153.63102076664842</v>
      </c>
      <c r="AD258" s="172">
        <f t="shared" si="155"/>
        <v>1006.0796429922782</v>
      </c>
      <c r="AG258">
        <v>2026</v>
      </c>
      <c r="AH258" t="s">
        <v>240</v>
      </c>
      <c r="AI258" t="s">
        <v>240</v>
      </c>
      <c r="AJ258" s="170">
        <v>1156.0145099909053</v>
      </c>
      <c r="AK258" s="170">
        <v>909.70163789440267</v>
      </c>
      <c r="AL258" s="170">
        <v>702.16878516302336</v>
      </c>
      <c r="AM258" s="170">
        <v>153.63102076664842</v>
      </c>
      <c r="AN258" s="172">
        <f t="shared" si="156"/>
        <v>1006.098291643852</v>
      </c>
    </row>
    <row r="259" spans="5:40">
      <c r="E259">
        <v>2027</v>
      </c>
      <c r="F259" s="320" t="s">
        <v>240</v>
      </c>
      <c r="G259" s="320" t="s">
        <v>240</v>
      </c>
      <c r="H259" s="63">
        <f t="shared" si="157"/>
        <v>959.52826508043086</v>
      </c>
      <c r="I259" s="63">
        <f t="shared" si="157"/>
        <v>755.08086343700825</v>
      </c>
      <c r="J259" s="63">
        <f t="shared" si="157"/>
        <v>582.82209297391125</v>
      </c>
      <c r="K259" s="63">
        <f t="shared" si="157"/>
        <v>127.51856100830224</v>
      </c>
      <c r="L259" s="63">
        <f t="shared" si="153"/>
        <v>835.093898157789</v>
      </c>
      <c r="M259" s="63"/>
      <c r="N259">
        <v>2027</v>
      </c>
      <c r="O259" s="320" t="s">
        <v>240</v>
      </c>
      <c r="P259" s="320" t="s">
        <v>240</v>
      </c>
      <c r="Q259" s="63">
        <f t="shared" ref="Q259:T259" si="164">Q258*(1+$C$6)</f>
        <v>959.52826508043086</v>
      </c>
      <c r="R259" s="63">
        <f t="shared" si="164"/>
        <v>755.08086343700825</v>
      </c>
      <c r="S259" s="63">
        <f t="shared" si="164"/>
        <v>582.82209297391125</v>
      </c>
      <c r="T259" s="63">
        <f t="shared" si="164"/>
        <v>127.51856100830224</v>
      </c>
      <c r="U259" s="172">
        <f t="shared" si="154"/>
        <v>835.08510011907856</v>
      </c>
      <c r="W259">
        <v>2027</v>
      </c>
      <c r="Z259" s="170">
        <v>1199.4103313505389</v>
      </c>
      <c r="AA259" s="170">
        <v>943.85107929626031</v>
      </c>
      <c r="AB259" s="170">
        <v>728.52761621738898</v>
      </c>
      <c r="AC259" s="170">
        <v>159.39820126037776</v>
      </c>
      <c r="AD259" s="172">
        <f t="shared" si="155"/>
        <v>1043.8455727402163</v>
      </c>
      <c r="AG259">
        <v>2027</v>
      </c>
      <c r="AH259" t="s">
        <v>240</v>
      </c>
      <c r="AI259" t="s">
        <v>240</v>
      </c>
      <c r="AJ259" s="170">
        <v>1199.4103313505389</v>
      </c>
      <c r="AK259" s="170">
        <v>943.85107929626031</v>
      </c>
      <c r="AL259" s="170">
        <v>728.52761621738898</v>
      </c>
      <c r="AM259" s="170">
        <v>159.39820126037776</v>
      </c>
      <c r="AN259" s="172">
        <f t="shared" si="156"/>
        <v>1043.865986600493</v>
      </c>
    </row>
    <row r="260" spans="5:40">
      <c r="E260">
        <v>2028</v>
      </c>
      <c r="F260" s="320" t="s">
        <v>240</v>
      </c>
      <c r="G260" s="320" t="s">
        <v>240</v>
      </c>
      <c r="H260" s="63">
        <f t="shared" si="157"/>
        <v>995.54815654466267</v>
      </c>
      <c r="I260" s="63">
        <f t="shared" si="157"/>
        <v>783.42596981638064</v>
      </c>
      <c r="J260" s="63">
        <f t="shared" si="157"/>
        <v>604.70074865907441</v>
      </c>
      <c r="K260" s="63">
        <f t="shared" si="157"/>
        <v>132.30550152308641</v>
      </c>
      <c r="L260" s="63">
        <f t="shared" si="153"/>
        <v>866.45239800817399</v>
      </c>
      <c r="M260" s="63"/>
      <c r="N260">
        <v>2028</v>
      </c>
      <c r="O260" s="320" t="s">
        <v>240</v>
      </c>
      <c r="P260" s="320" t="s">
        <v>240</v>
      </c>
      <c r="Q260" s="63">
        <f t="shared" ref="Q260:T260" si="165">Q259*(1+$C$6)</f>
        <v>995.54815654466267</v>
      </c>
      <c r="R260" s="63">
        <f t="shared" si="165"/>
        <v>783.42596981638064</v>
      </c>
      <c r="S260" s="63">
        <f t="shared" si="165"/>
        <v>604.70074865907441</v>
      </c>
      <c r="T260" s="63">
        <f t="shared" si="165"/>
        <v>132.30550152308641</v>
      </c>
      <c r="U260" s="172">
        <f t="shared" si="154"/>
        <v>866.44375089128187</v>
      </c>
      <c r="W260">
        <v>2028</v>
      </c>
      <c r="Z260" s="170">
        <v>1244.4351956808287</v>
      </c>
      <c r="AA260" s="170">
        <v>979.28246227047589</v>
      </c>
      <c r="AB260" s="170">
        <v>755.87593582384295</v>
      </c>
      <c r="AC260" s="170">
        <v>165.38187690385797</v>
      </c>
      <c r="AD260" s="172">
        <f t="shared" si="155"/>
        <v>1083.044151717108</v>
      </c>
      <c r="AG260">
        <v>2028</v>
      </c>
      <c r="AH260" t="s">
        <v>240</v>
      </c>
      <c r="AI260" t="s">
        <v>240</v>
      </c>
      <c r="AJ260" s="170">
        <v>1244.4351956808287</v>
      </c>
      <c r="AK260" s="170">
        <v>979.28246227047589</v>
      </c>
      <c r="AL260" s="170">
        <v>755.87593582384295</v>
      </c>
      <c r="AM260" s="170">
        <v>165.38187690385797</v>
      </c>
      <c r="AN260" s="172">
        <f t="shared" si="156"/>
        <v>1083.0641310263425</v>
      </c>
    </row>
    <row r="261" spans="5:40">
      <c r="E261">
        <v>2029</v>
      </c>
      <c r="F261" s="320" t="s">
        <v>240</v>
      </c>
      <c r="G261" s="320" t="s">
        <v>240</v>
      </c>
      <c r="H261" s="63">
        <f t="shared" si="157"/>
        <v>1032.9202047178856</v>
      </c>
      <c r="I261" s="63">
        <f t="shared" si="157"/>
        <v>812.83512786831272</v>
      </c>
      <c r="J261" s="63">
        <f t="shared" si="157"/>
        <v>627.40071084644546</v>
      </c>
      <c r="K261" s="63">
        <f t="shared" si="157"/>
        <v>137.27213979567847</v>
      </c>
      <c r="L261" s="63">
        <f t="shared" si="153"/>
        <v>898.99786683196533</v>
      </c>
      <c r="M261" s="63"/>
      <c r="N261">
        <v>2029</v>
      </c>
      <c r="O261" s="320" t="s">
        <v>240</v>
      </c>
      <c r="P261" s="320" t="s">
        <v>240</v>
      </c>
      <c r="Q261" s="63">
        <f t="shared" ref="Q261:T261" si="166">Q260*(1+$C$6)</f>
        <v>1032.9202047178856</v>
      </c>
      <c r="R261" s="63">
        <f t="shared" si="166"/>
        <v>812.83512786831272</v>
      </c>
      <c r="S261" s="63">
        <f t="shared" si="166"/>
        <v>627.40071084644546</v>
      </c>
      <c r="T261" s="63">
        <f t="shared" si="166"/>
        <v>137.27213979567847</v>
      </c>
      <c r="U261" s="172">
        <f t="shared" si="154"/>
        <v>898.99046847843647</v>
      </c>
      <c r="W261">
        <v>2029</v>
      </c>
      <c r="Z261" s="170">
        <v>1291.1502558973573</v>
      </c>
      <c r="AA261" s="170">
        <v>1016.043909835391</v>
      </c>
      <c r="AB261" s="170">
        <v>784.25088855805689</v>
      </c>
      <c r="AC261" s="170">
        <v>171.59017474459804</v>
      </c>
      <c r="AD261" s="172">
        <f t="shared" si="155"/>
        <v>1123.7293441259028</v>
      </c>
      <c r="AG261">
        <v>2029</v>
      </c>
      <c r="AH261" t="s">
        <v>240</v>
      </c>
      <c r="AI261" t="s">
        <v>240</v>
      </c>
      <c r="AJ261" s="170">
        <v>1291.1502558973573</v>
      </c>
      <c r="AK261" s="170">
        <v>1016.043909835391</v>
      </c>
      <c r="AL261" s="170">
        <v>784.25088855805689</v>
      </c>
      <c r="AM261" s="170">
        <v>171.59017474459804</v>
      </c>
      <c r="AN261" s="172">
        <f t="shared" si="156"/>
        <v>1123.7461503837999</v>
      </c>
    </row>
    <row r="262" spans="5:40">
      <c r="E262">
        <v>2030</v>
      </c>
      <c r="F262" s="320" t="s">
        <v>240</v>
      </c>
      <c r="G262" s="320" t="s">
        <v>240</v>
      </c>
      <c r="H262" s="63">
        <f t="shared" si="157"/>
        <v>1071.6951684361577</v>
      </c>
      <c r="I262" s="63">
        <f t="shared" si="157"/>
        <v>843.34828120588259</v>
      </c>
      <c r="J262" s="63">
        <f t="shared" si="157"/>
        <v>650.95281069769533</v>
      </c>
      <c r="K262" s="63">
        <f t="shared" si="157"/>
        <v>142.42522153015841</v>
      </c>
      <c r="L262" s="63">
        <f t="shared" si="153"/>
        <v>932.7746684849036</v>
      </c>
      <c r="M262" s="63"/>
      <c r="N262">
        <v>2030</v>
      </c>
      <c r="O262" s="320" t="s">
        <v>240</v>
      </c>
      <c r="P262" s="320" t="s">
        <v>240</v>
      </c>
      <c r="Q262" s="63">
        <f t="shared" ref="Q262:T262" si="167">Q261*(1+$C$6)</f>
        <v>1071.6951684361577</v>
      </c>
      <c r="R262" s="63">
        <f t="shared" si="167"/>
        <v>843.34828120588259</v>
      </c>
      <c r="S262" s="63">
        <f t="shared" si="167"/>
        <v>650.95281069769533</v>
      </c>
      <c r="T262" s="63">
        <f t="shared" si="167"/>
        <v>142.42522153015841</v>
      </c>
      <c r="U262" s="172">
        <f t="shared" si="154"/>
        <v>932.76979215266522</v>
      </c>
      <c r="W262">
        <v>2030</v>
      </c>
      <c r="Z262" s="170">
        <v>1339.6189605451975</v>
      </c>
      <c r="AA262" s="170">
        <v>1054.1853515073533</v>
      </c>
      <c r="AB262" s="170">
        <v>813.69101337211919</v>
      </c>
      <c r="AC262" s="170">
        <v>178.03152691269798</v>
      </c>
      <c r="AD262" s="172">
        <f t="shared" si="155"/>
        <v>1165.9571180086718</v>
      </c>
      <c r="AG262">
        <v>2030</v>
      </c>
      <c r="AH262" t="s">
        <v>240</v>
      </c>
      <c r="AI262" t="s">
        <v>240</v>
      </c>
      <c r="AJ262" s="170">
        <v>1339.6189605451975</v>
      </c>
      <c r="AK262" s="170">
        <v>1054.1853515073533</v>
      </c>
      <c r="AL262" s="170">
        <v>813.69101337211919</v>
      </c>
      <c r="AM262" s="170">
        <v>178.03152691269798</v>
      </c>
      <c r="AN262" s="172">
        <f t="shared" si="156"/>
        <v>1165.9675234647102</v>
      </c>
    </row>
    <row r="263" spans="5:40">
      <c r="E263">
        <v>2040</v>
      </c>
      <c r="F263" s="320" t="s">
        <v>240</v>
      </c>
      <c r="G263" s="320" t="s">
        <v>240</v>
      </c>
      <c r="H263" s="63">
        <f>H262*(1+$C$6)^10</f>
        <v>1549.2313404665049</v>
      </c>
      <c r="I263" s="63">
        <f t="shared" ref="I263:K269" si="168">I262*(1+$C$6)^10</f>
        <v>1219.135465618687</v>
      </c>
      <c r="J263" s="63">
        <f t="shared" si="168"/>
        <v>941.01058323256382</v>
      </c>
      <c r="K263" s="63">
        <f t="shared" si="168"/>
        <v>205.88841245723188</v>
      </c>
      <c r="L263" s="63">
        <f t="shared" si="153"/>
        <v>1348.9363333363306</v>
      </c>
      <c r="M263" s="63"/>
      <c r="N263">
        <v>2040</v>
      </c>
      <c r="O263" s="320" t="s">
        <v>240</v>
      </c>
      <c r="P263" s="320" t="s">
        <v>240</v>
      </c>
      <c r="Q263" s="63">
        <f>Q262*(1+$C$6)^10</f>
        <v>1549.2313404665049</v>
      </c>
      <c r="R263" s="63">
        <f t="shared" ref="R263:T263" si="169">R262*(1+$C$6)^10</f>
        <v>1219.135465618687</v>
      </c>
      <c r="S263" s="63">
        <f t="shared" si="169"/>
        <v>941.01058323256382</v>
      </c>
      <c r="T263" s="63">
        <f t="shared" si="169"/>
        <v>205.88841245723188</v>
      </c>
      <c r="U263" s="172">
        <f t="shared" si="154"/>
        <v>1348.9857117559757</v>
      </c>
      <c r="W263">
        <v>2040</v>
      </c>
      <c r="Z263" s="170">
        <v>1936.5391755831317</v>
      </c>
      <c r="AA263" s="170">
        <v>1523.9193320233589</v>
      </c>
      <c r="AB263" s="170">
        <v>1176.2632290407048</v>
      </c>
      <c r="AC263" s="170">
        <v>257.36051557153979</v>
      </c>
      <c r="AD263" s="172">
        <f t="shared" si="155"/>
        <v>1686.3053320781144</v>
      </c>
      <c r="AG263">
        <v>2040</v>
      </c>
      <c r="AH263" t="s">
        <v>240</v>
      </c>
      <c r="AI263" t="s">
        <v>240</v>
      </c>
      <c r="AJ263" s="170">
        <v>1936.5391755831317</v>
      </c>
      <c r="AK263" s="170">
        <v>1523.9193320233589</v>
      </c>
      <c r="AL263" s="170">
        <v>1176.2632290407048</v>
      </c>
      <c r="AM263" s="170">
        <v>257.36051557153979</v>
      </c>
      <c r="AN263" s="172">
        <f t="shared" si="156"/>
        <v>1686.1775714400094</v>
      </c>
    </row>
    <row r="264" spans="5:40">
      <c r="E264">
        <v>2050</v>
      </c>
      <c r="F264" s="320" t="s">
        <v>240</v>
      </c>
      <c r="G264" s="320" t="s">
        <v>240</v>
      </c>
      <c r="H264" s="63">
        <f t="shared" ref="H264:H268" si="170">H263*(1+$C$6)^10</f>
        <v>2239.552642367466</v>
      </c>
      <c r="I264" s="63">
        <f t="shared" si="168"/>
        <v>1762.3694938988697</v>
      </c>
      <c r="J264" s="63">
        <f t="shared" si="168"/>
        <v>1360.3150692392041</v>
      </c>
      <c r="K264" s="63">
        <f t="shared" si="168"/>
        <v>297.63013831916828</v>
      </c>
      <c r="L264" s="63">
        <f t="shared" si="153"/>
        <v>1950.0082723598734</v>
      </c>
      <c r="M264" s="63"/>
      <c r="N264">
        <v>2050</v>
      </c>
      <c r="O264" s="320" t="s">
        <v>240</v>
      </c>
      <c r="P264" s="320" t="s">
        <v>240</v>
      </c>
      <c r="Q264" s="63">
        <f t="shared" ref="Q264:T268" si="171">Q263*(1+$C$6)^10</f>
        <v>2239.552642367466</v>
      </c>
      <c r="R264" s="63">
        <f t="shared" si="171"/>
        <v>1762.3694938988697</v>
      </c>
      <c r="S264" s="63">
        <f t="shared" si="171"/>
        <v>1360.3150692392041</v>
      </c>
      <c r="T264" s="63">
        <f t="shared" si="171"/>
        <v>297.63013831916828</v>
      </c>
      <c r="U264" s="172">
        <f t="shared" si="154"/>
        <v>1950.0796532875004</v>
      </c>
      <c r="W264">
        <v>2050</v>
      </c>
      <c r="Z264" s="170">
        <v>2799.4408029593333</v>
      </c>
      <c r="AA264" s="170">
        <v>2202.9618673735872</v>
      </c>
      <c r="AB264" s="170">
        <v>1700.3938365490053</v>
      </c>
      <c r="AC264" s="170">
        <v>372.0376728989603</v>
      </c>
      <c r="AD264" s="172">
        <f t="shared" si="155"/>
        <v>2437.705372753876</v>
      </c>
      <c r="AG264">
        <v>2050</v>
      </c>
      <c r="AH264" t="s">
        <v>240</v>
      </c>
      <c r="AI264" t="s">
        <v>240</v>
      </c>
      <c r="AJ264" s="170">
        <v>2799.4408029593333</v>
      </c>
      <c r="AK264" s="170">
        <v>2202.9618673735872</v>
      </c>
      <c r="AL264" s="170">
        <v>1700.3938365490053</v>
      </c>
      <c r="AM264" s="170">
        <v>372.0376728989603</v>
      </c>
      <c r="AN264" s="172">
        <f t="shared" si="156"/>
        <v>2437.5206833100306</v>
      </c>
    </row>
    <row r="265" spans="5:40">
      <c r="E265">
        <v>2060</v>
      </c>
      <c r="F265" s="320" t="s">
        <v>240</v>
      </c>
      <c r="G265" s="320" t="s">
        <v>240</v>
      </c>
      <c r="H265" s="63">
        <f t="shared" si="170"/>
        <v>3237.4739052366458</v>
      </c>
      <c r="I265" s="63">
        <f t="shared" si="168"/>
        <v>2547.6629305088354</v>
      </c>
      <c r="J265" s="63">
        <f t="shared" si="168"/>
        <v>1966.4572541177615</v>
      </c>
      <c r="K265" s="63">
        <f t="shared" si="168"/>
        <v>430.25101888280517</v>
      </c>
      <c r="L265" s="63">
        <f t="shared" si="153"/>
        <v>2818.9115885603865</v>
      </c>
      <c r="M265" s="63"/>
      <c r="N265">
        <v>2060</v>
      </c>
      <c r="O265" s="320" t="s">
        <v>240</v>
      </c>
      <c r="P265" s="320" t="s">
        <v>240</v>
      </c>
      <c r="Q265" s="63">
        <f t="shared" si="171"/>
        <v>3237.4739052366458</v>
      </c>
      <c r="R265" s="63">
        <f t="shared" si="171"/>
        <v>2547.6629305088354</v>
      </c>
      <c r="S265" s="63">
        <f t="shared" si="171"/>
        <v>1966.4572541177615</v>
      </c>
      <c r="T265" s="63">
        <f t="shared" si="171"/>
        <v>430.25101888280517</v>
      </c>
      <c r="U265" s="172">
        <f t="shared" si="154"/>
        <v>2819.0147760837121</v>
      </c>
      <c r="W265">
        <v>2060</v>
      </c>
      <c r="Z265" s="170">
        <v>4046.8423815458082</v>
      </c>
      <c r="AA265" s="170">
        <v>3184.5786631360447</v>
      </c>
      <c r="AB265" s="170">
        <v>2458.0715676472023</v>
      </c>
      <c r="AC265" s="170">
        <v>537.81377360350632</v>
      </c>
      <c r="AD265" s="172">
        <f t="shared" si="155"/>
        <v>3523.9214223618701</v>
      </c>
      <c r="AG265">
        <v>2060</v>
      </c>
      <c r="AH265" t="s">
        <v>240</v>
      </c>
      <c r="AI265" t="s">
        <v>240</v>
      </c>
      <c r="AJ265" s="170">
        <v>4046.8423815458082</v>
      </c>
      <c r="AK265" s="170">
        <v>3184.5786631360447</v>
      </c>
      <c r="AL265" s="170">
        <v>2458.0715676472023</v>
      </c>
      <c r="AM265" s="170">
        <v>537.81377360350632</v>
      </c>
      <c r="AN265" s="172">
        <f t="shared" si="156"/>
        <v>3523.6544372311296</v>
      </c>
    </row>
    <row r="266" spans="5:40">
      <c r="E266">
        <v>2070</v>
      </c>
      <c r="F266" s="320" t="s">
        <v>240</v>
      </c>
      <c r="G266" s="320" t="s">
        <v>240</v>
      </c>
      <c r="H266" s="63">
        <f t="shared" si="170"/>
        <v>4680.0584584644275</v>
      </c>
      <c r="I266" s="63">
        <f t="shared" si="168"/>
        <v>3682.8749192258306</v>
      </c>
      <c r="J266" s="63">
        <f t="shared" si="168"/>
        <v>2842.6900647620359</v>
      </c>
      <c r="K266" s="63">
        <f t="shared" si="168"/>
        <v>621.96637845586736</v>
      </c>
      <c r="L266" s="63">
        <f t="shared" si="153"/>
        <v>4074.9891458171005</v>
      </c>
      <c r="M266" s="63"/>
      <c r="N266">
        <v>2070</v>
      </c>
      <c r="O266" s="320" t="s">
        <v>240</v>
      </c>
      <c r="P266" s="320" t="s">
        <v>240</v>
      </c>
      <c r="Q266" s="63">
        <f t="shared" si="171"/>
        <v>4680.0584584644275</v>
      </c>
      <c r="R266" s="63">
        <f t="shared" si="171"/>
        <v>3682.8749192258306</v>
      </c>
      <c r="S266" s="63">
        <f t="shared" si="171"/>
        <v>2842.6900647620359</v>
      </c>
      <c r="T266" s="63">
        <f t="shared" si="171"/>
        <v>621.96637845586736</v>
      </c>
      <c r="U266" s="172">
        <f t="shared" si="154"/>
        <v>4075.1383126229152</v>
      </c>
      <c r="W266">
        <v>2070</v>
      </c>
      <c r="Z266" s="170">
        <v>5850.0730730805353</v>
      </c>
      <c r="AA266" s="170">
        <v>4603.5936490322892</v>
      </c>
      <c r="AB266" s="170">
        <v>3553.3625809525456</v>
      </c>
      <c r="AC266" s="170">
        <v>777.457973069834</v>
      </c>
      <c r="AD266" s="172">
        <f t="shared" si="155"/>
        <v>5094.1439969639396</v>
      </c>
      <c r="AG266">
        <v>2070</v>
      </c>
      <c r="AH266" t="s">
        <v>240</v>
      </c>
      <c r="AI266" t="s">
        <v>240</v>
      </c>
      <c r="AJ266" s="170">
        <v>5850.0730730805353</v>
      </c>
      <c r="AK266" s="170">
        <v>4603.5936490322892</v>
      </c>
      <c r="AL266" s="170">
        <v>3553.3625809525456</v>
      </c>
      <c r="AM266" s="170">
        <v>777.457973069834</v>
      </c>
      <c r="AN266" s="172">
        <f t="shared" si="156"/>
        <v>5093.758046047893</v>
      </c>
    </row>
    <row r="267" spans="5:40">
      <c r="E267">
        <v>2080</v>
      </c>
      <c r="F267" s="320" t="s">
        <v>240</v>
      </c>
      <c r="G267" s="320" t="s">
        <v>240</v>
      </c>
      <c r="H267" s="63">
        <f t="shared" si="170"/>
        <v>6765.4436192415951</v>
      </c>
      <c r="I267" s="63">
        <f t="shared" si="168"/>
        <v>5323.9255115878559</v>
      </c>
      <c r="J267" s="63">
        <f t="shared" si="168"/>
        <v>4109.3630626220893</v>
      </c>
      <c r="K267" s="63">
        <f t="shared" si="168"/>
        <v>899.10809957867423</v>
      </c>
      <c r="L267" s="63">
        <f t="shared" si="153"/>
        <v>5890.7617414874676</v>
      </c>
      <c r="M267" s="63"/>
      <c r="N267">
        <v>2080</v>
      </c>
      <c r="O267" s="320" t="s">
        <v>240</v>
      </c>
      <c r="P267" s="320" t="s">
        <v>240</v>
      </c>
      <c r="Q267" s="63">
        <f t="shared" si="171"/>
        <v>6765.4436192415951</v>
      </c>
      <c r="R267" s="63">
        <f t="shared" si="171"/>
        <v>5323.9255115878559</v>
      </c>
      <c r="S267" s="63">
        <f t="shared" si="171"/>
        <v>4109.3630626220893</v>
      </c>
      <c r="T267" s="63">
        <f t="shared" si="171"/>
        <v>899.10809957867423</v>
      </c>
      <c r="U267" s="172">
        <f t="shared" si="154"/>
        <v>5890.9773754637426</v>
      </c>
      <c r="W267">
        <v>2080</v>
      </c>
      <c r="Z267" s="170">
        <v>8456.804524051995</v>
      </c>
      <c r="AA267" s="170">
        <v>6654.9068894848215</v>
      </c>
      <c r="AB267" s="170">
        <v>5136.703828277612</v>
      </c>
      <c r="AC267" s="170">
        <v>1123.8851244733423</v>
      </c>
      <c r="AD267" s="172">
        <f t="shared" si="155"/>
        <v>7364.0413481214464</v>
      </c>
      <c r="AG267">
        <v>2080</v>
      </c>
      <c r="AH267" t="s">
        <v>240</v>
      </c>
      <c r="AI267" t="s">
        <v>240</v>
      </c>
      <c r="AJ267" s="170">
        <v>8456.804524051995</v>
      </c>
      <c r="AK267" s="170">
        <v>6654.9068894848215</v>
      </c>
      <c r="AL267" s="170">
        <v>5136.703828277612</v>
      </c>
      <c r="AM267" s="170">
        <v>1123.8851244733423</v>
      </c>
      <c r="AN267" s="172">
        <f t="shared" si="156"/>
        <v>7363.4834215088886</v>
      </c>
    </row>
    <row r="268" spans="5:40">
      <c r="E268">
        <v>2090</v>
      </c>
      <c r="F268" s="320" t="s">
        <v>240</v>
      </c>
      <c r="G268" s="320" t="s">
        <v>240</v>
      </c>
      <c r="H268" s="63">
        <f t="shared" si="170"/>
        <v>9780.0546235387828</v>
      </c>
      <c r="I268" s="63">
        <f t="shared" si="168"/>
        <v>7696.2111053432636</v>
      </c>
      <c r="J268" s="63">
        <f t="shared" si="168"/>
        <v>5940.4523165477103</v>
      </c>
      <c r="K268" s="63">
        <f t="shared" si="168"/>
        <v>1299.7412765862812</v>
      </c>
      <c r="L268" s="63">
        <f t="shared" si="153"/>
        <v>8515.6236380635419</v>
      </c>
      <c r="M268" s="63"/>
      <c r="N268">
        <v>2090</v>
      </c>
      <c r="O268" s="320" t="s">
        <v>240</v>
      </c>
      <c r="P268" s="320" t="s">
        <v>240</v>
      </c>
      <c r="Q268" s="63">
        <f t="shared" si="171"/>
        <v>9780.0546235387828</v>
      </c>
      <c r="R268" s="63">
        <f t="shared" si="171"/>
        <v>7696.2111053432636</v>
      </c>
      <c r="S268" s="63">
        <f t="shared" si="171"/>
        <v>5940.4523165477103</v>
      </c>
      <c r="T268" s="63">
        <f t="shared" si="171"/>
        <v>1299.7412765862812</v>
      </c>
      <c r="U268" s="172">
        <f t="shared" si="154"/>
        <v>8515.9353562871129</v>
      </c>
      <c r="W268">
        <v>2090</v>
      </c>
      <c r="Z268" s="170">
        <v>12225.06827942348</v>
      </c>
      <c r="AA268" s="170">
        <v>9620.2638816790823</v>
      </c>
      <c r="AB268" s="170">
        <v>7425.5653956846381</v>
      </c>
      <c r="AC268" s="170">
        <v>1624.6765957328507</v>
      </c>
      <c r="AD268" s="172">
        <f t="shared" si="155"/>
        <v>10645.381247401398</v>
      </c>
      <c r="AG268">
        <v>2090</v>
      </c>
      <c r="AH268" t="s">
        <v>240</v>
      </c>
      <c r="AI268" t="s">
        <v>240</v>
      </c>
      <c r="AJ268" s="170">
        <v>12225.06827942348</v>
      </c>
      <c r="AK268" s="170">
        <v>9620.2638816790823</v>
      </c>
      <c r="AL268" s="170">
        <v>7425.5653956846381</v>
      </c>
      <c r="AM268" s="170">
        <v>1624.6765957328507</v>
      </c>
      <c r="AN268" s="172">
        <f t="shared" si="156"/>
        <v>10644.574714518436</v>
      </c>
    </row>
    <row r="269" spans="5:40">
      <c r="E269">
        <v>2100</v>
      </c>
      <c r="F269" s="320" t="s">
        <v>240</v>
      </c>
      <c r="G269" s="320" t="s">
        <v>240</v>
      </c>
      <c r="H269" s="63">
        <f>H268*(1+$C$6)^10</f>
        <v>14137.94480045118</v>
      </c>
      <c r="I269" s="63">
        <f t="shared" si="168"/>
        <v>11125.562378565885</v>
      </c>
      <c r="J269" s="63">
        <f t="shared" si="168"/>
        <v>8587.4558142983788</v>
      </c>
      <c r="K269" s="63">
        <f t="shared" si="168"/>
        <v>1878.892412218021</v>
      </c>
      <c r="L269" s="63">
        <f t="shared" si="153"/>
        <v>12310.096576208778</v>
      </c>
      <c r="M269" s="63"/>
      <c r="N269">
        <v>2100</v>
      </c>
      <c r="O269" s="320" t="s">
        <v>240</v>
      </c>
      <c r="P269" s="320" t="s">
        <v>240</v>
      </c>
      <c r="Q269" s="63">
        <f>Q268*(1+$C$6)^10</f>
        <v>14137.94480045118</v>
      </c>
      <c r="R269" s="63">
        <f t="shared" ref="R269:T269" si="172">R268*(1+$C$6)^10</f>
        <v>11125.562378565885</v>
      </c>
      <c r="S269" s="63">
        <f t="shared" si="172"/>
        <v>8587.4558142983788</v>
      </c>
      <c r="T269" s="63">
        <f t="shared" si="172"/>
        <v>1878.892412218021</v>
      </c>
      <c r="U269" s="172">
        <f t="shared" si="154"/>
        <v>12310.547192816535</v>
      </c>
      <c r="W269">
        <v>2100</v>
      </c>
      <c r="Z269" s="170">
        <v>17672.431000563978</v>
      </c>
      <c r="AA269" s="170">
        <v>13906.952973207361</v>
      </c>
      <c r="AB269" s="170">
        <v>10734.319767872974</v>
      </c>
      <c r="AC269" s="170">
        <v>2348.615515272525</v>
      </c>
      <c r="AD269" s="172">
        <f t="shared" si="155"/>
        <v>15388.851928626686</v>
      </c>
      <c r="AG269">
        <v>2100</v>
      </c>
      <c r="AH269" t="s">
        <v>240</v>
      </c>
      <c r="AI269" t="s">
        <v>240</v>
      </c>
      <c r="AJ269" s="170">
        <v>17672.431000563978</v>
      </c>
      <c r="AK269" s="170">
        <v>13906.952973207361</v>
      </c>
      <c r="AL269" s="170">
        <v>10734.319767872974</v>
      </c>
      <c r="AM269" s="170">
        <v>2348.615515272525</v>
      </c>
      <c r="AN269" s="172">
        <f t="shared" si="156"/>
        <v>15387.68601311619</v>
      </c>
    </row>
    <row r="270" spans="5:40">
      <c r="F270" s="581" t="s">
        <v>293</v>
      </c>
      <c r="G270" s="581"/>
      <c r="H270" s="581"/>
      <c r="I270" s="581"/>
      <c r="J270" s="581"/>
      <c r="K270" s="581"/>
      <c r="L270" s="63"/>
      <c r="M270" s="63"/>
      <c r="O270" s="581" t="s">
        <v>293</v>
      </c>
      <c r="P270" s="581"/>
      <c r="Q270" s="581"/>
      <c r="R270" s="581"/>
      <c r="S270" s="581"/>
      <c r="T270" s="581"/>
      <c r="X270" s="581" t="s">
        <v>293</v>
      </c>
      <c r="Y270" s="581"/>
      <c r="Z270" s="581"/>
      <c r="AA270" s="581"/>
      <c r="AB270" s="581"/>
      <c r="AC270" s="581"/>
      <c r="AD270" s="172"/>
      <c r="AH270" s="581" t="s">
        <v>293</v>
      </c>
      <c r="AI270" s="581"/>
      <c r="AJ270" s="581"/>
      <c r="AK270" s="581"/>
      <c r="AL270" s="581"/>
      <c r="AM270" s="581"/>
    </row>
    <row r="271" spans="5:40">
      <c r="E271">
        <v>2020</v>
      </c>
      <c r="F271" s="320" t="s">
        <v>240</v>
      </c>
      <c r="G271" s="320" t="s">
        <v>240</v>
      </c>
      <c r="H271" s="63">
        <f>'Demographic-Economic'!E$22*1000*(1-AVERAGE('Demographic-Economic'!$C12:$H12))/H43*(1+'Inflation-Interest'!$C$65)*(1+'Inflation-Interest'!$C$66)*(1+'Inflation-Interest'!$C$67)*$C$9</f>
        <v>0</v>
      </c>
      <c r="I271" s="63">
        <f>'Demographic-Economic'!F$22*1000*(1-AVERAGE('Demographic-Economic'!$C12:$H12))/I43*(1+'Inflation-Interest'!$C$65)*(1+'Inflation-Interest'!$C$66)*(1+'Inflation-Interest'!$C$67)*$C$9</f>
        <v>0</v>
      </c>
      <c r="J271" s="63">
        <f>'Demographic-Economic'!G$22*1000*(1-AVERAGE('Demographic-Economic'!$C12:$H12))/J43*(1+'Inflation-Interest'!$C$65)*(1+'Inflation-Interest'!$C$66)*(1+'Inflation-Interest'!$C$67)*$C$9</f>
        <v>0</v>
      </c>
      <c r="K271" s="63">
        <f>'Demographic-Economic'!H$22*1000*(1-AVERAGE('Demographic-Economic'!$C12:$H12))/K43*(1+'Inflation-Interest'!$C$65)*(1+'Inflation-Interest'!$C$66)*(1+'Inflation-Interest'!$C$67)*$C$9</f>
        <v>0</v>
      </c>
      <c r="L271" s="63">
        <f t="shared" ref="L271:L288" si="173">SUMPRODUCT(H271:K271, H43:K43)/SUM(H43:K43)</f>
        <v>0</v>
      </c>
      <c r="M271" s="63"/>
      <c r="N271">
        <v>2020</v>
      </c>
      <c r="O271" s="320" t="s">
        <v>240</v>
      </c>
      <c r="P271" s="320" t="s">
        <v>240</v>
      </c>
      <c r="Q271" s="170">
        <f>'Demographic-Economic'!E$22*1000*(1-AVERAGE('Demographic-Economic'!$C12:$H12))/Q43*(1+'Inflation-Interest'!$C$65)*(1+'Inflation-Interest'!$C$66)*(1+'Inflation-Interest'!$C$67)*$C$9</f>
        <v>0</v>
      </c>
      <c r="R271" s="170">
        <f>'Demographic-Economic'!F$22*1000*(1-AVERAGE('Demographic-Economic'!$C12:$H12))/R43*(1+'Inflation-Interest'!$C$65)*(1+'Inflation-Interest'!$C$66)*(1+'Inflation-Interest'!$C$67)*$C$9</f>
        <v>0</v>
      </c>
      <c r="S271" s="170">
        <f>'Demographic-Economic'!G$22*1000*(1-AVERAGE('Demographic-Economic'!$C12:$H12))/S43*(1+'Inflation-Interest'!$C$65)*(1+'Inflation-Interest'!$C$66)*(1+'Inflation-Interest'!$C$67)*$C$9</f>
        <v>0</v>
      </c>
      <c r="T271" s="170">
        <f>'Demographic-Economic'!H$22*1000*(1-AVERAGE('Demographic-Economic'!$C12:$H12))/T43*(1+'Inflation-Interest'!$C$65)*(1+'Inflation-Interest'!$C$66)*(1+'Inflation-Interest'!$C$67)*$C$9</f>
        <v>0</v>
      </c>
      <c r="U271" s="172">
        <f t="shared" ref="U271:U288" si="174">SUMPRODUCT(Q271:T271, Q43:T43)/SUM(Q43:T43)</f>
        <v>0</v>
      </c>
      <c r="W271">
        <v>2020</v>
      </c>
      <c r="Z271" s="170">
        <f>'Demographic-Economic'!E$22*1000*(1-AVERAGE('Demographic-Economic'!$C12:$H12))/Z43*(1+'Inflation-Interest'!$C$65)*(1+'Inflation-Interest'!$C$66)*(1+'Inflation-Interest'!$C$67)*$C$9</f>
        <v>0</v>
      </c>
      <c r="AA271" s="170">
        <f>'Demographic-Economic'!F$22*1000*(1-AVERAGE('Demographic-Economic'!$C12:$H12))/AA43*(1+'Inflation-Interest'!$C$65)*(1+'Inflation-Interest'!$C$66)*(1+'Inflation-Interest'!$C$67)*$C$9</f>
        <v>0</v>
      </c>
      <c r="AB271" s="170">
        <f>'Demographic-Economic'!G$22*1000*(1-AVERAGE('Demographic-Economic'!$C12:$H12))/AB43*(1+'Inflation-Interest'!$C$65)*(1+'Inflation-Interest'!$C$66)*(1+'Inflation-Interest'!$C$67)*$C$9</f>
        <v>0</v>
      </c>
      <c r="AC271" s="170">
        <f>'Demographic-Economic'!H$22*1000*(1-AVERAGE('Demographic-Economic'!$C12:$H12))/AC43*(1+'Inflation-Interest'!$C$65)*(1+'Inflation-Interest'!$C$66)*(1+'Inflation-Interest'!$C$67)*$C$9</f>
        <v>0</v>
      </c>
      <c r="AD271" s="172">
        <f t="shared" ref="AD271:AD288" si="175">SUMPRODUCT(Z271:AC271,Z43:AC43)/SUM(Z43:AC43)</f>
        <v>0</v>
      </c>
      <c r="AG271">
        <v>2020</v>
      </c>
      <c r="AJ271" s="170">
        <v>444.299310270788</v>
      </c>
      <c r="AK271" s="170">
        <v>341.49712566059407</v>
      </c>
      <c r="AL271" s="170">
        <v>234.05882826692957</v>
      </c>
      <c r="AM271" s="170">
        <v>77.307117355136981</v>
      </c>
      <c r="AN271" s="172">
        <f t="shared" ref="AN271:AN288" si="176">SUMPRODUCT(AJ271:AM271, AJ43:AM43)/SUM(AJ43:AM43)</f>
        <v>380.01481777823591</v>
      </c>
    </row>
    <row r="272" spans="5:40">
      <c r="E272">
        <v>2021</v>
      </c>
      <c r="F272" s="320" t="s">
        <v>240</v>
      </c>
      <c r="G272" s="320" t="s">
        <v>240</v>
      </c>
      <c r="H272" s="63">
        <f>H271*(1+$C$6)</f>
        <v>0</v>
      </c>
      <c r="I272" s="63">
        <f t="shared" ref="I272:K281" si="177">I271*(1+$C$6)</f>
        <v>0</v>
      </c>
      <c r="J272" s="63">
        <f t="shared" si="177"/>
        <v>0</v>
      </c>
      <c r="K272" s="63">
        <f t="shared" si="177"/>
        <v>0</v>
      </c>
      <c r="L272" s="63">
        <f t="shared" si="173"/>
        <v>0</v>
      </c>
      <c r="M272" s="63"/>
      <c r="N272">
        <v>2021</v>
      </c>
      <c r="O272" s="320" t="s">
        <v>240</v>
      </c>
      <c r="P272" s="320" t="s">
        <v>240</v>
      </c>
      <c r="Q272" s="170">
        <f>Q271*(1+$C$6)</f>
        <v>0</v>
      </c>
      <c r="R272" s="170">
        <f t="shared" ref="R272:R281" si="178">R271*(1+$C$6)</f>
        <v>0</v>
      </c>
      <c r="S272" s="170">
        <f t="shared" ref="S272:S281" si="179">S271*(1+$C$6)</f>
        <v>0</v>
      </c>
      <c r="T272" s="170">
        <f t="shared" ref="T272:T281" si="180">T271*(1+$C$6)</f>
        <v>0</v>
      </c>
      <c r="U272" s="172">
        <f t="shared" si="174"/>
        <v>0</v>
      </c>
      <c r="W272">
        <v>2021</v>
      </c>
      <c r="Z272" s="170">
        <f>Z271*(1+$C$6)</f>
        <v>0</v>
      </c>
      <c r="AA272" s="170">
        <f t="shared" ref="AA272:AC272" si="181">AA271*(1+$C$6)</f>
        <v>0</v>
      </c>
      <c r="AB272" s="170">
        <f t="shared" si="181"/>
        <v>0</v>
      </c>
      <c r="AC272" s="170">
        <f t="shared" si="181"/>
        <v>0</v>
      </c>
      <c r="AD272" s="172">
        <f t="shared" si="175"/>
        <v>0</v>
      </c>
      <c r="AG272">
        <v>2021</v>
      </c>
      <c r="AJ272" s="170">
        <v>460.97793612892769</v>
      </c>
      <c r="AK272" s="170">
        <v>354.3166431769547</v>
      </c>
      <c r="AL272" s="170">
        <v>242.84520163104656</v>
      </c>
      <c r="AM272" s="170">
        <v>80.209162118051026</v>
      </c>
      <c r="AN272" s="172">
        <f t="shared" si="176"/>
        <v>394.24041166396495</v>
      </c>
    </row>
    <row r="273" spans="5:40">
      <c r="E273">
        <v>2022</v>
      </c>
      <c r="F273" s="320" t="s">
        <v>240</v>
      </c>
      <c r="G273" s="320" t="s">
        <v>240</v>
      </c>
      <c r="H273" s="63">
        <f t="shared" ref="H273:H281" si="182">H272*(1+$C$6)</f>
        <v>0</v>
      </c>
      <c r="I273" s="63">
        <f t="shared" si="177"/>
        <v>0</v>
      </c>
      <c r="J273" s="63">
        <f t="shared" si="177"/>
        <v>0</v>
      </c>
      <c r="K273" s="63">
        <f t="shared" si="177"/>
        <v>0</v>
      </c>
      <c r="L273" s="63">
        <f t="shared" si="173"/>
        <v>0</v>
      </c>
      <c r="M273" s="63"/>
      <c r="N273">
        <v>2022</v>
      </c>
      <c r="O273" s="320" t="s">
        <v>240</v>
      </c>
      <c r="P273" s="320" t="s">
        <v>240</v>
      </c>
      <c r="Q273" s="170">
        <f t="shared" ref="Q273:Q281" si="183">Q272*(1+$C$6)</f>
        <v>0</v>
      </c>
      <c r="R273" s="170">
        <f t="shared" si="178"/>
        <v>0</v>
      </c>
      <c r="S273" s="170">
        <f t="shared" si="179"/>
        <v>0</v>
      </c>
      <c r="T273" s="170">
        <f t="shared" si="180"/>
        <v>0</v>
      </c>
      <c r="U273" s="172">
        <f t="shared" si="174"/>
        <v>0</v>
      </c>
      <c r="W273">
        <v>2022</v>
      </c>
      <c r="Z273" s="170">
        <f t="shared" ref="Z273:Z288" si="184">Z272*(1+$C$6)</f>
        <v>0</v>
      </c>
      <c r="AA273" s="170">
        <f t="shared" ref="AA273:AA288" si="185">AA272*(1+$C$6)</f>
        <v>0</v>
      </c>
      <c r="AB273" s="170">
        <f t="shared" ref="AB273:AB288" si="186">AB272*(1+$C$6)</f>
        <v>0</v>
      </c>
      <c r="AC273" s="170">
        <f t="shared" ref="AC273:AC288" si="187">AC272*(1+$C$6)</f>
        <v>0</v>
      </c>
      <c r="AD273" s="172">
        <f t="shared" si="175"/>
        <v>0</v>
      </c>
      <c r="AG273">
        <v>2022</v>
      </c>
      <c r="AJ273" s="170">
        <v>478.28266370292755</v>
      </c>
      <c r="AK273" s="170">
        <v>367.61739469794827</v>
      </c>
      <c r="AL273" s="170">
        <v>251.9614081292747</v>
      </c>
      <c r="AM273" s="170">
        <v>83.220147222994228</v>
      </c>
      <c r="AN273" s="172">
        <f t="shared" si="176"/>
        <v>409.00922539596911</v>
      </c>
    </row>
    <row r="274" spans="5:40">
      <c r="E274">
        <v>2023</v>
      </c>
      <c r="F274" s="320" t="s">
        <v>240</v>
      </c>
      <c r="G274" s="320" t="s">
        <v>240</v>
      </c>
      <c r="H274" s="63">
        <f t="shared" si="182"/>
        <v>0</v>
      </c>
      <c r="I274" s="63">
        <f t="shared" si="177"/>
        <v>0</v>
      </c>
      <c r="J274" s="63">
        <f t="shared" si="177"/>
        <v>0</v>
      </c>
      <c r="K274" s="63">
        <f t="shared" si="177"/>
        <v>0</v>
      </c>
      <c r="L274" s="63">
        <f t="shared" si="173"/>
        <v>0</v>
      </c>
      <c r="M274" s="63"/>
      <c r="N274">
        <v>2023</v>
      </c>
      <c r="O274" s="320" t="s">
        <v>240</v>
      </c>
      <c r="P274" s="320" t="s">
        <v>240</v>
      </c>
      <c r="Q274" s="170">
        <f t="shared" si="183"/>
        <v>0</v>
      </c>
      <c r="R274" s="170">
        <f t="shared" si="178"/>
        <v>0</v>
      </c>
      <c r="S274" s="170">
        <f t="shared" si="179"/>
        <v>0</v>
      </c>
      <c r="T274" s="170">
        <f t="shared" si="180"/>
        <v>0</v>
      </c>
      <c r="U274" s="172">
        <f t="shared" si="174"/>
        <v>0</v>
      </c>
      <c r="W274">
        <v>2023</v>
      </c>
      <c r="Z274" s="170">
        <f t="shared" si="184"/>
        <v>0</v>
      </c>
      <c r="AA274" s="170">
        <f t="shared" si="185"/>
        <v>0</v>
      </c>
      <c r="AB274" s="170">
        <f t="shared" si="186"/>
        <v>0</v>
      </c>
      <c r="AC274" s="170">
        <f t="shared" si="187"/>
        <v>0</v>
      </c>
      <c r="AD274" s="172">
        <f t="shared" si="175"/>
        <v>0</v>
      </c>
      <c r="AG274">
        <v>2023</v>
      </c>
      <c r="AJ274" s="170">
        <v>496.23699632944903</v>
      </c>
      <c r="AK274" s="170">
        <v>381.41744534708033</v>
      </c>
      <c r="AL274" s="170">
        <v>261.41982942260756</v>
      </c>
      <c r="AM274" s="170">
        <v>86.344162199622744</v>
      </c>
      <c r="AN274" s="172">
        <f t="shared" si="176"/>
        <v>424.34125691848931</v>
      </c>
    </row>
    <row r="275" spans="5:40">
      <c r="E275">
        <v>2024</v>
      </c>
      <c r="F275" s="320" t="s">
        <v>240</v>
      </c>
      <c r="G275" s="320" t="s">
        <v>240</v>
      </c>
      <c r="H275" s="63">
        <f t="shared" si="182"/>
        <v>0</v>
      </c>
      <c r="I275" s="63">
        <f t="shared" si="177"/>
        <v>0</v>
      </c>
      <c r="J275" s="63">
        <f t="shared" si="177"/>
        <v>0</v>
      </c>
      <c r="K275" s="63">
        <f t="shared" si="177"/>
        <v>0</v>
      </c>
      <c r="L275" s="63">
        <f t="shared" si="173"/>
        <v>0</v>
      </c>
      <c r="M275" s="63"/>
      <c r="N275">
        <v>2024</v>
      </c>
      <c r="O275" s="320" t="s">
        <v>240</v>
      </c>
      <c r="P275" s="320" t="s">
        <v>240</v>
      </c>
      <c r="Q275" s="170">
        <f t="shared" si="183"/>
        <v>0</v>
      </c>
      <c r="R275" s="170">
        <f t="shared" si="178"/>
        <v>0</v>
      </c>
      <c r="S275" s="170">
        <f t="shared" si="179"/>
        <v>0</v>
      </c>
      <c r="T275" s="170">
        <f t="shared" si="180"/>
        <v>0</v>
      </c>
      <c r="U275" s="172">
        <f t="shared" si="174"/>
        <v>0</v>
      </c>
      <c r="W275">
        <v>2024</v>
      </c>
      <c r="Z275" s="170">
        <f t="shared" si="184"/>
        <v>0</v>
      </c>
      <c r="AA275" s="170">
        <f t="shared" si="185"/>
        <v>0</v>
      </c>
      <c r="AB275" s="170">
        <f t="shared" si="186"/>
        <v>0</v>
      </c>
      <c r="AC275" s="170">
        <f t="shared" si="187"/>
        <v>0</v>
      </c>
      <c r="AD275" s="172">
        <f t="shared" si="175"/>
        <v>0</v>
      </c>
      <c r="AG275">
        <v>2024</v>
      </c>
      <c r="AJ275" s="170">
        <v>514.86531964082633</v>
      </c>
      <c r="AK275" s="170">
        <v>395.73553839753862</v>
      </c>
      <c r="AL275" s="170">
        <v>271.23331196927438</v>
      </c>
      <c r="AM275" s="170">
        <v>89.585450095128081</v>
      </c>
      <c r="AN275" s="172">
        <f t="shared" si="176"/>
        <v>440.25730951984934</v>
      </c>
    </row>
    <row r="276" spans="5:40">
      <c r="E276">
        <v>2025</v>
      </c>
      <c r="F276" s="320" t="s">
        <v>240</v>
      </c>
      <c r="G276" s="320" t="s">
        <v>240</v>
      </c>
      <c r="H276" s="63">
        <f t="shared" si="182"/>
        <v>0</v>
      </c>
      <c r="I276" s="63">
        <f t="shared" si="177"/>
        <v>0</v>
      </c>
      <c r="J276" s="63">
        <f t="shared" si="177"/>
        <v>0</v>
      </c>
      <c r="K276" s="63">
        <f t="shared" si="177"/>
        <v>0</v>
      </c>
      <c r="L276" s="63">
        <f t="shared" si="173"/>
        <v>0</v>
      </c>
      <c r="M276" s="63"/>
      <c r="N276">
        <v>2025</v>
      </c>
      <c r="O276" s="320" t="s">
        <v>240</v>
      </c>
      <c r="P276" s="320" t="s">
        <v>240</v>
      </c>
      <c r="Q276" s="170">
        <f t="shared" si="183"/>
        <v>0</v>
      </c>
      <c r="R276" s="170">
        <f t="shared" si="178"/>
        <v>0</v>
      </c>
      <c r="S276" s="170">
        <f t="shared" si="179"/>
        <v>0</v>
      </c>
      <c r="T276" s="170">
        <f t="shared" si="180"/>
        <v>0</v>
      </c>
      <c r="U276" s="172">
        <f t="shared" si="174"/>
        <v>0</v>
      </c>
      <c r="W276">
        <v>2025</v>
      </c>
      <c r="Z276" s="170">
        <f t="shared" si="184"/>
        <v>0</v>
      </c>
      <c r="AA276" s="170">
        <f t="shared" si="185"/>
        <v>0</v>
      </c>
      <c r="AB276" s="170">
        <f t="shared" si="186"/>
        <v>0</v>
      </c>
      <c r="AC276" s="170">
        <f t="shared" si="187"/>
        <v>0</v>
      </c>
      <c r="AD276" s="172">
        <f t="shared" si="175"/>
        <v>0</v>
      </c>
      <c r="AG276">
        <v>2025</v>
      </c>
      <c r="AJ276" s="170">
        <v>534.19293468570993</v>
      </c>
      <c r="AK276" s="170">
        <v>410.59112072936688</v>
      </c>
      <c r="AL276" s="170">
        <v>281.41518447284096</v>
      </c>
      <c r="AM276" s="170">
        <v>92.948413237157439</v>
      </c>
      <c r="AN276" s="172">
        <f t="shared" si="176"/>
        <v>456.77901558186448</v>
      </c>
    </row>
    <row r="277" spans="5:40">
      <c r="E277">
        <v>2026</v>
      </c>
      <c r="F277" s="320" t="s">
        <v>240</v>
      </c>
      <c r="G277" s="320" t="s">
        <v>240</v>
      </c>
      <c r="H277" s="63">
        <f t="shared" si="182"/>
        <v>0</v>
      </c>
      <c r="I277" s="63">
        <f t="shared" si="177"/>
        <v>0</v>
      </c>
      <c r="J277" s="63">
        <f t="shared" si="177"/>
        <v>0</v>
      </c>
      <c r="K277" s="63">
        <f t="shared" si="177"/>
        <v>0</v>
      </c>
      <c r="L277" s="63">
        <f t="shared" si="173"/>
        <v>0</v>
      </c>
      <c r="M277" s="63"/>
      <c r="N277">
        <v>2026</v>
      </c>
      <c r="O277" s="320" t="s">
        <v>240</v>
      </c>
      <c r="P277" s="320" t="s">
        <v>240</v>
      </c>
      <c r="Q277" s="170">
        <f t="shared" si="183"/>
        <v>0</v>
      </c>
      <c r="R277" s="170">
        <f t="shared" si="178"/>
        <v>0</v>
      </c>
      <c r="S277" s="170">
        <f t="shared" si="179"/>
        <v>0</v>
      </c>
      <c r="T277" s="170">
        <f t="shared" si="180"/>
        <v>0</v>
      </c>
      <c r="U277" s="172">
        <f t="shared" si="174"/>
        <v>0</v>
      </c>
      <c r="W277">
        <v>2026</v>
      </c>
      <c r="Z277" s="170">
        <f t="shared" si="184"/>
        <v>0</v>
      </c>
      <c r="AA277" s="170">
        <f t="shared" si="185"/>
        <v>0</v>
      </c>
      <c r="AB277" s="170">
        <f t="shared" si="186"/>
        <v>0</v>
      </c>
      <c r="AC277" s="170">
        <f t="shared" si="187"/>
        <v>0</v>
      </c>
      <c r="AD277" s="172">
        <f t="shared" si="175"/>
        <v>0</v>
      </c>
      <c r="AG277">
        <v>2026</v>
      </c>
      <c r="AJ277" s="170">
        <v>554.24609229303258</v>
      </c>
      <c r="AK277" s="170">
        <v>426.00436924228006</v>
      </c>
      <c r="AL277" s="170">
        <v>291.9792759852977</v>
      </c>
      <c r="AM277" s="170">
        <v>96.437619213069297</v>
      </c>
      <c r="AN277" s="172">
        <f t="shared" si="176"/>
        <v>473.92886221096467</v>
      </c>
    </row>
    <row r="278" spans="5:40">
      <c r="E278">
        <v>2027</v>
      </c>
      <c r="F278" s="320" t="s">
        <v>240</v>
      </c>
      <c r="G278" s="320" t="s">
        <v>240</v>
      </c>
      <c r="H278" s="63">
        <f t="shared" si="182"/>
        <v>0</v>
      </c>
      <c r="I278" s="63">
        <f t="shared" si="177"/>
        <v>0</v>
      </c>
      <c r="J278" s="63">
        <f t="shared" si="177"/>
        <v>0</v>
      </c>
      <c r="K278" s="63">
        <f t="shared" si="177"/>
        <v>0</v>
      </c>
      <c r="L278" s="63">
        <f t="shared" si="173"/>
        <v>0</v>
      </c>
      <c r="M278" s="63"/>
      <c r="N278">
        <v>2027</v>
      </c>
      <c r="O278" s="320" t="s">
        <v>240</v>
      </c>
      <c r="P278" s="320" t="s">
        <v>240</v>
      </c>
      <c r="Q278" s="170">
        <f t="shared" si="183"/>
        <v>0</v>
      </c>
      <c r="R278" s="170">
        <f t="shared" si="178"/>
        <v>0</v>
      </c>
      <c r="S278" s="170">
        <f t="shared" si="179"/>
        <v>0</v>
      </c>
      <c r="T278" s="170">
        <f t="shared" si="180"/>
        <v>0</v>
      </c>
      <c r="U278" s="172">
        <f t="shared" si="174"/>
        <v>0</v>
      </c>
      <c r="W278">
        <v>2027</v>
      </c>
      <c r="Z278" s="170">
        <f t="shared" si="184"/>
        <v>0</v>
      </c>
      <c r="AA278" s="170">
        <f t="shared" si="185"/>
        <v>0</v>
      </c>
      <c r="AB278" s="170">
        <f t="shared" si="186"/>
        <v>0</v>
      </c>
      <c r="AC278" s="170">
        <f t="shared" si="187"/>
        <v>0</v>
      </c>
      <c r="AD278" s="172">
        <f t="shared" si="175"/>
        <v>0</v>
      </c>
      <c r="AG278">
        <v>2027</v>
      </c>
      <c r="AJ278" s="170">
        <v>575.05202872596942</v>
      </c>
      <c r="AK278" s="170">
        <v>441.99621825999424</v>
      </c>
      <c r="AL278" s="170">
        <v>302.93993468972246</v>
      </c>
      <c r="AM278" s="170">
        <v>100.05780707364524</v>
      </c>
      <c r="AN278" s="172">
        <f t="shared" si="176"/>
        <v>491.73021865402825</v>
      </c>
    </row>
    <row r="279" spans="5:40">
      <c r="E279">
        <v>2028</v>
      </c>
      <c r="F279" s="320" t="s">
        <v>240</v>
      </c>
      <c r="G279" s="320" t="s">
        <v>240</v>
      </c>
      <c r="H279" s="63">
        <f t="shared" si="182"/>
        <v>0</v>
      </c>
      <c r="I279" s="63">
        <f t="shared" si="177"/>
        <v>0</v>
      </c>
      <c r="J279" s="63">
        <f t="shared" si="177"/>
        <v>0</v>
      </c>
      <c r="K279" s="63">
        <f t="shared" si="177"/>
        <v>0</v>
      </c>
      <c r="L279" s="63">
        <f t="shared" si="173"/>
        <v>0</v>
      </c>
      <c r="M279" s="63"/>
      <c r="N279">
        <v>2028</v>
      </c>
      <c r="O279" s="320" t="s">
        <v>240</v>
      </c>
      <c r="P279" s="320" t="s">
        <v>240</v>
      </c>
      <c r="Q279" s="170">
        <f t="shared" si="183"/>
        <v>0</v>
      </c>
      <c r="R279" s="170">
        <f t="shared" si="178"/>
        <v>0</v>
      </c>
      <c r="S279" s="170">
        <f t="shared" si="179"/>
        <v>0</v>
      </c>
      <c r="T279" s="170">
        <f t="shared" si="180"/>
        <v>0</v>
      </c>
      <c r="U279" s="172">
        <f t="shared" si="174"/>
        <v>0</v>
      </c>
      <c r="W279">
        <v>2028</v>
      </c>
      <c r="Z279" s="170">
        <f t="shared" si="184"/>
        <v>0</v>
      </c>
      <c r="AA279" s="170">
        <f t="shared" si="185"/>
        <v>0</v>
      </c>
      <c r="AB279" s="170">
        <f t="shared" si="186"/>
        <v>0</v>
      </c>
      <c r="AC279" s="170">
        <f t="shared" si="187"/>
        <v>0</v>
      </c>
      <c r="AD279" s="172">
        <f t="shared" si="175"/>
        <v>0</v>
      </c>
      <c r="AG279">
        <v>2028</v>
      </c>
      <c r="AJ279" s="170">
        <v>596.63900267431836</v>
      </c>
      <c r="AK279" s="170">
        <v>458.58838796329252</v>
      </c>
      <c r="AL279" s="170">
        <v>314.3120473880291</v>
      </c>
      <c r="AM279" s="170">
        <v>103.81389376968399</v>
      </c>
      <c r="AN279" s="172">
        <f t="shared" si="176"/>
        <v>510.20736543004443</v>
      </c>
    </row>
    <row r="280" spans="5:40">
      <c r="E280">
        <v>2029</v>
      </c>
      <c r="F280" s="320" t="s">
        <v>240</v>
      </c>
      <c r="G280" s="320" t="s">
        <v>240</v>
      </c>
      <c r="H280" s="63">
        <f t="shared" si="182"/>
        <v>0</v>
      </c>
      <c r="I280" s="63">
        <f t="shared" si="177"/>
        <v>0</v>
      </c>
      <c r="J280" s="63">
        <f t="shared" si="177"/>
        <v>0</v>
      </c>
      <c r="K280" s="63">
        <f t="shared" si="177"/>
        <v>0</v>
      </c>
      <c r="L280" s="63">
        <f t="shared" si="173"/>
        <v>0</v>
      </c>
      <c r="M280" s="63"/>
      <c r="N280">
        <v>2029</v>
      </c>
      <c r="O280" s="320" t="s">
        <v>240</v>
      </c>
      <c r="P280" s="320" t="s">
        <v>240</v>
      </c>
      <c r="Q280" s="170">
        <f t="shared" si="183"/>
        <v>0</v>
      </c>
      <c r="R280" s="170">
        <f t="shared" si="178"/>
        <v>0</v>
      </c>
      <c r="S280" s="170">
        <f t="shared" si="179"/>
        <v>0</v>
      </c>
      <c r="T280" s="170">
        <f t="shared" si="180"/>
        <v>0</v>
      </c>
      <c r="U280" s="172">
        <f t="shared" si="174"/>
        <v>0</v>
      </c>
      <c r="W280">
        <v>2029</v>
      </c>
      <c r="Z280" s="170">
        <f t="shared" si="184"/>
        <v>0</v>
      </c>
      <c r="AA280" s="170">
        <f t="shared" si="185"/>
        <v>0</v>
      </c>
      <c r="AB280" s="170">
        <f t="shared" si="186"/>
        <v>0</v>
      </c>
      <c r="AC280" s="170">
        <f t="shared" si="187"/>
        <v>0</v>
      </c>
      <c r="AD280" s="172">
        <f t="shared" si="175"/>
        <v>0</v>
      </c>
      <c r="AG280">
        <v>2029</v>
      </c>
      <c r="AJ280" s="170">
        <v>619.03633363554343</v>
      </c>
      <c r="AK280" s="170">
        <v>475.80341389044457</v>
      </c>
      <c r="AL280" s="170">
        <v>326.11105972026957</v>
      </c>
      <c r="AM280" s="170">
        <v>107.71098083021978</v>
      </c>
      <c r="AN280" s="172">
        <f t="shared" si="176"/>
        <v>529.38552513129923</v>
      </c>
    </row>
    <row r="281" spans="5:40">
      <c r="E281">
        <v>2030</v>
      </c>
      <c r="F281" s="320" t="s">
        <v>240</v>
      </c>
      <c r="G281" s="320" t="s">
        <v>240</v>
      </c>
      <c r="H281" s="63">
        <f t="shared" si="182"/>
        <v>0</v>
      </c>
      <c r="I281" s="63">
        <f t="shared" si="177"/>
        <v>0</v>
      </c>
      <c r="J281" s="63">
        <f t="shared" si="177"/>
        <v>0</v>
      </c>
      <c r="K281" s="63">
        <f t="shared" si="177"/>
        <v>0</v>
      </c>
      <c r="L281" s="63">
        <f t="shared" si="173"/>
        <v>0</v>
      </c>
      <c r="M281" s="63"/>
      <c r="N281">
        <v>2030</v>
      </c>
      <c r="O281" s="320" t="s">
        <v>240</v>
      </c>
      <c r="P281" s="320" t="s">
        <v>240</v>
      </c>
      <c r="Q281" s="170">
        <f t="shared" si="183"/>
        <v>0</v>
      </c>
      <c r="R281" s="170">
        <f t="shared" si="178"/>
        <v>0</v>
      </c>
      <c r="S281" s="170">
        <f t="shared" si="179"/>
        <v>0</v>
      </c>
      <c r="T281" s="170">
        <f t="shared" si="180"/>
        <v>0</v>
      </c>
      <c r="U281" s="172">
        <f t="shared" si="174"/>
        <v>0</v>
      </c>
      <c r="W281">
        <v>2030</v>
      </c>
      <c r="Z281" s="170">
        <f t="shared" si="184"/>
        <v>0</v>
      </c>
      <c r="AA281" s="170">
        <f t="shared" si="185"/>
        <v>0</v>
      </c>
      <c r="AB281" s="170">
        <f t="shared" si="186"/>
        <v>0</v>
      </c>
      <c r="AC281" s="170">
        <f t="shared" si="187"/>
        <v>0</v>
      </c>
      <c r="AD281" s="172">
        <f t="shared" si="175"/>
        <v>0</v>
      </c>
      <c r="AG281">
        <v>2030</v>
      </c>
      <c r="AJ281" s="170">
        <v>642.27444173661036</v>
      </c>
      <c r="AK281" s="170">
        <v>493.66467754504697</v>
      </c>
      <c r="AL281" s="170">
        <v>338.35299714295206</v>
      </c>
      <c r="AM281" s="170">
        <v>111.75436129143554</v>
      </c>
      <c r="AN281" s="172">
        <f t="shared" si="176"/>
        <v>549.29089486610985</v>
      </c>
    </row>
    <row r="282" spans="5:40">
      <c r="E282">
        <v>2040</v>
      </c>
      <c r="F282" s="320" t="s">
        <v>240</v>
      </c>
      <c r="G282" s="320" t="s">
        <v>240</v>
      </c>
      <c r="H282" s="63">
        <f>H281*(1+$C$6)^10</f>
        <v>0</v>
      </c>
      <c r="I282" s="63">
        <f t="shared" ref="I282:K288" si="188">I281*(1+$C$6)^10</f>
        <v>0</v>
      </c>
      <c r="J282" s="63">
        <f t="shared" si="188"/>
        <v>0</v>
      </c>
      <c r="K282" s="63">
        <f t="shared" si="188"/>
        <v>0</v>
      </c>
      <c r="L282" s="63">
        <f t="shared" si="173"/>
        <v>0</v>
      </c>
      <c r="M282" s="63"/>
      <c r="N282">
        <v>2040</v>
      </c>
      <c r="O282" s="320" t="s">
        <v>240</v>
      </c>
      <c r="P282" s="320" t="s">
        <v>240</v>
      </c>
      <c r="Q282" s="170">
        <f>Q281*(1+$C$6)^10</f>
        <v>0</v>
      </c>
      <c r="R282" s="170">
        <f t="shared" ref="R282:R288" si="189">R281*(1+$C$6)^10</f>
        <v>0</v>
      </c>
      <c r="S282" s="170">
        <f t="shared" ref="S282:S288" si="190">S281*(1+$C$6)^10</f>
        <v>0</v>
      </c>
      <c r="T282" s="170">
        <f t="shared" ref="T282:T288" si="191">T281*(1+$C$6)^10</f>
        <v>0</v>
      </c>
      <c r="U282" s="172">
        <f t="shared" si="174"/>
        <v>0</v>
      </c>
      <c r="W282">
        <v>2040</v>
      </c>
      <c r="Z282" s="170">
        <f t="shared" si="184"/>
        <v>0</v>
      </c>
      <c r="AA282" s="170">
        <f t="shared" si="185"/>
        <v>0</v>
      </c>
      <c r="AB282" s="170">
        <f t="shared" si="186"/>
        <v>0</v>
      </c>
      <c r="AC282" s="170">
        <f t="shared" si="187"/>
        <v>0</v>
      </c>
      <c r="AD282" s="172">
        <f t="shared" si="175"/>
        <v>0</v>
      </c>
      <c r="AG282">
        <v>2040</v>
      </c>
      <c r="AJ282" s="170">
        <v>928.46522371744766</v>
      </c>
      <c r="AK282" s="170">
        <v>713.63650099318158</v>
      </c>
      <c r="AL282" s="170">
        <v>489.11955820379501</v>
      </c>
      <c r="AM282" s="170">
        <v>161.55093728671835</v>
      </c>
      <c r="AN282" s="172">
        <f t="shared" si="176"/>
        <v>794.5933323224142</v>
      </c>
    </row>
    <row r="283" spans="5:40">
      <c r="E283">
        <v>2050</v>
      </c>
      <c r="F283" s="320" t="s">
        <v>240</v>
      </c>
      <c r="G283" s="320" t="s">
        <v>240</v>
      </c>
      <c r="H283" s="63">
        <f t="shared" ref="H283:H288" si="192">H282*(1+$C$6)^10</f>
        <v>0</v>
      </c>
      <c r="I283" s="63">
        <f t="shared" si="188"/>
        <v>0</v>
      </c>
      <c r="J283" s="63">
        <f t="shared" si="188"/>
        <v>0</v>
      </c>
      <c r="K283" s="63">
        <f t="shared" si="188"/>
        <v>0</v>
      </c>
      <c r="L283" s="63">
        <f t="shared" si="173"/>
        <v>0</v>
      </c>
      <c r="M283" s="63"/>
      <c r="N283">
        <v>2050</v>
      </c>
      <c r="O283" s="320" t="s">
        <v>240</v>
      </c>
      <c r="P283" s="320" t="s">
        <v>240</v>
      </c>
      <c r="Q283" s="170">
        <f t="shared" ref="Q283:Q288" si="193">Q282*(1+$C$6)^10</f>
        <v>0</v>
      </c>
      <c r="R283" s="170">
        <f t="shared" si="189"/>
        <v>0</v>
      </c>
      <c r="S283" s="170">
        <f t="shared" si="190"/>
        <v>0</v>
      </c>
      <c r="T283" s="170">
        <f t="shared" si="191"/>
        <v>0</v>
      </c>
      <c r="U283" s="172">
        <f t="shared" si="174"/>
        <v>0</v>
      </c>
      <c r="W283">
        <v>2050</v>
      </c>
      <c r="Z283" s="170">
        <f t="shared" si="184"/>
        <v>0</v>
      </c>
      <c r="AA283" s="170">
        <f t="shared" si="185"/>
        <v>0</v>
      </c>
      <c r="AB283" s="170">
        <f t="shared" si="186"/>
        <v>0</v>
      </c>
      <c r="AC283" s="170">
        <f t="shared" si="187"/>
        <v>0</v>
      </c>
      <c r="AD283" s="172">
        <f t="shared" si="175"/>
        <v>0</v>
      </c>
      <c r="AG283">
        <v>2050</v>
      </c>
      <c r="AJ283" s="170">
        <v>1342.1796285741141</v>
      </c>
      <c r="AK283" s="170">
        <v>1031.625471124212</v>
      </c>
      <c r="AL283" s="170">
        <v>707.06612395219611</v>
      </c>
      <c r="AM283" s="170">
        <v>233.53634736595572</v>
      </c>
      <c r="AN283" s="172">
        <f t="shared" si="176"/>
        <v>1148.6558208113574</v>
      </c>
    </row>
    <row r="284" spans="5:40">
      <c r="E284">
        <v>2060</v>
      </c>
      <c r="F284" s="320" t="s">
        <v>240</v>
      </c>
      <c r="G284" s="320" t="s">
        <v>240</v>
      </c>
      <c r="H284" s="63">
        <f t="shared" si="192"/>
        <v>0</v>
      </c>
      <c r="I284" s="63">
        <f t="shared" si="188"/>
        <v>0</v>
      </c>
      <c r="J284" s="63">
        <f t="shared" si="188"/>
        <v>0</v>
      </c>
      <c r="K284" s="63">
        <f t="shared" si="188"/>
        <v>0</v>
      </c>
      <c r="L284" s="63">
        <f t="shared" si="173"/>
        <v>0</v>
      </c>
      <c r="M284" s="63"/>
      <c r="N284">
        <v>2060</v>
      </c>
      <c r="O284" s="320" t="s">
        <v>240</v>
      </c>
      <c r="P284" s="320" t="s">
        <v>240</v>
      </c>
      <c r="Q284" s="170">
        <f t="shared" si="193"/>
        <v>0</v>
      </c>
      <c r="R284" s="170">
        <f t="shared" si="189"/>
        <v>0</v>
      </c>
      <c r="S284" s="170">
        <f t="shared" si="190"/>
        <v>0</v>
      </c>
      <c r="T284" s="170">
        <f t="shared" si="191"/>
        <v>0</v>
      </c>
      <c r="U284" s="172">
        <f t="shared" si="174"/>
        <v>0</v>
      </c>
      <c r="W284">
        <v>2060</v>
      </c>
      <c r="Z284" s="170">
        <f t="shared" si="184"/>
        <v>0</v>
      </c>
      <c r="AA284" s="170">
        <f t="shared" si="185"/>
        <v>0</v>
      </c>
      <c r="AB284" s="170">
        <f t="shared" si="186"/>
        <v>0</v>
      </c>
      <c r="AC284" s="170">
        <f t="shared" si="187"/>
        <v>0</v>
      </c>
      <c r="AD284" s="172">
        <f t="shared" si="175"/>
        <v>0</v>
      </c>
      <c r="AG284">
        <v>2060</v>
      </c>
      <c r="AJ284" s="170">
        <v>1940.2408505367632</v>
      </c>
      <c r="AK284" s="170">
        <v>1491.3070046040439</v>
      </c>
      <c r="AL284" s="170">
        <v>1022.1274027085171</v>
      </c>
      <c r="AM284" s="170">
        <v>337.59770421038706</v>
      </c>
      <c r="AN284" s="172">
        <f t="shared" si="176"/>
        <v>1660.4848556021477</v>
      </c>
    </row>
    <row r="285" spans="5:40">
      <c r="E285">
        <v>2070</v>
      </c>
      <c r="F285" s="320" t="s">
        <v>240</v>
      </c>
      <c r="G285" s="320" t="s">
        <v>240</v>
      </c>
      <c r="H285" s="63">
        <f t="shared" si="192"/>
        <v>0</v>
      </c>
      <c r="I285" s="63">
        <f t="shared" si="188"/>
        <v>0</v>
      </c>
      <c r="J285" s="63">
        <f t="shared" si="188"/>
        <v>0</v>
      </c>
      <c r="K285" s="63">
        <f t="shared" si="188"/>
        <v>0</v>
      </c>
      <c r="L285" s="63">
        <f t="shared" si="173"/>
        <v>0</v>
      </c>
      <c r="M285" s="63"/>
      <c r="N285">
        <v>2070</v>
      </c>
      <c r="O285" s="320" t="s">
        <v>240</v>
      </c>
      <c r="P285" s="320" t="s">
        <v>240</v>
      </c>
      <c r="Q285" s="170">
        <f t="shared" si="193"/>
        <v>0</v>
      </c>
      <c r="R285" s="170">
        <f t="shared" si="189"/>
        <v>0</v>
      </c>
      <c r="S285" s="170">
        <f t="shared" si="190"/>
        <v>0</v>
      </c>
      <c r="T285" s="170">
        <f t="shared" si="191"/>
        <v>0</v>
      </c>
      <c r="U285" s="172">
        <f t="shared" si="174"/>
        <v>0</v>
      </c>
      <c r="W285">
        <v>2070</v>
      </c>
      <c r="Z285" s="170">
        <f t="shared" si="184"/>
        <v>0</v>
      </c>
      <c r="AA285" s="170">
        <f t="shared" si="185"/>
        <v>0</v>
      </c>
      <c r="AB285" s="170">
        <f t="shared" si="186"/>
        <v>0</v>
      </c>
      <c r="AC285" s="170">
        <f t="shared" si="187"/>
        <v>0</v>
      </c>
      <c r="AD285" s="172">
        <f t="shared" si="175"/>
        <v>0</v>
      </c>
      <c r="AG285">
        <v>2070</v>
      </c>
      <c r="AJ285" s="170">
        <v>2804.7919056042711</v>
      </c>
      <c r="AK285" s="170">
        <v>2155.8178275275518</v>
      </c>
      <c r="AL285" s="170">
        <v>1477.5766961199984</v>
      </c>
      <c r="AM285" s="170">
        <v>488.02771463033741</v>
      </c>
      <c r="AN285" s="172">
        <f t="shared" si="176"/>
        <v>2400.3795616832549</v>
      </c>
    </row>
    <row r="286" spans="5:40">
      <c r="E286">
        <v>2080</v>
      </c>
      <c r="F286" s="320" t="s">
        <v>240</v>
      </c>
      <c r="G286" s="320" t="s">
        <v>240</v>
      </c>
      <c r="H286" s="63">
        <f t="shared" si="192"/>
        <v>0</v>
      </c>
      <c r="I286" s="63">
        <f t="shared" si="188"/>
        <v>0</v>
      </c>
      <c r="J286" s="63">
        <f t="shared" si="188"/>
        <v>0</v>
      </c>
      <c r="K286" s="63">
        <f t="shared" si="188"/>
        <v>0</v>
      </c>
      <c r="L286" s="63">
        <f t="shared" si="173"/>
        <v>0</v>
      </c>
      <c r="M286" s="63"/>
      <c r="N286">
        <v>2080</v>
      </c>
      <c r="O286" s="320" t="s">
        <v>240</v>
      </c>
      <c r="P286" s="320" t="s">
        <v>240</v>
      </c>
      <c r="Q286" s="170">
        <f t="shared" si="193"/>
        <v>0</v>
      </c>
      <c r="R286" s="170">
        <f t="shared" si="189"/>
        <v>0</v>
      </c>
      <c r="S286" s="170">
        <f t="shared" si="190"/>
        <v>0</v>
      </c>
      <c r="T286" s="170">
        <f t="shared" si="191"/>
        <v>0</v>
      </c>
      <c r="U286" s="172">
        <f t="shared" si="174"/>
        <v>0</v>
      </c>
      <c r="W286">
        <v>2080</v>
      </c>
      <c r="Z286" s="170">
        <f t="shared" si="184"/>
        <v>0</v>
      </c>
      <c r="AA286" s="170">
        <f t="shared" si="185"/>
        <v>0</v>
      </c>
      <c r="AB286" s="170">
        <f t="shared" si="186"/>
        <v>0</v>
      </c>
      <c r="AC286" s="170">
        <f t="shared" si="187"/>
        <v>0</v>
      </c>
      <c r="AD286" s="172">
        <f t="shared" si="175"/>
        <v>0</v>
      </c>
      <c r="AG286">
        <v>2080</v>
      </c>
      <c r="AJ286" s="170">
        <v>4054.5778796312275</v>
      </c>
      <c r="AK286" s="170">
        <v>3116.4277316055263</v>
      </c>
      <c r="AL286" s="170">
        <v>2135.9694370110615</v>
      </c>
      <c r="AM286" s="170">
        <v>705.48776628790267</v>
      </c>
      <c r="AN286" s="172">
        <f t="shared" si="176"/>
        <v>3469.9636197869836</v>
      </c>
    </row>
    <row r="287" spans="5:40">
      <c r="E287">
        <v>2090</v>
      </c>
      <c r="F287" s="320" t="s">
        <v>240</v>
      </c>
      <c r="G287" s="320" t="s">
        <v>240</v>
      </c>
      <c r="H287" s="63">
        <f t="shared" si="192"/>
        <v>0</v>
      </c>
      <c r="I287" s="63">
        <f t="shared" si="188"/>
        <v>0</v>
      </c>
      <c r="J287" s="63">
        <f t="shared" si="188"/>
        <v>0</v>
      </c>
      <c r="K287" s="63">
        <f t="shared" si="188"/>
        <v>0</v>
      </c>
      <c r="L287" s="63">
        <f t="shared" si="173"/>
        <v>0</v>
      </c>
      <c r="M287" s="63"/>
      <c r="N287">
        <v>2090</v>
      </c>
      <c r="O287" s="320" t="s">
        <v>240</v>
      </c>
      <c r="P287" s="320" t="s">
        <v>240</v>
      </c>
      <c r="Q287" s="170">
        <f t="shared" si="193"/>
        <v>0</v>
      </c>
      <c r="R287" s="170">
        <f t="shared" si="189"/>
        <v>0</v>
      </c>
      <c r="S287" s="170">
        <f t="shared" si="190"/>
        <v>0</v>
      </c>
      <c r="T287" s="170">
        <f t="shared" si="191"/>
        <v>0</v>
      </c>
      <c r="U287" s="172">
        <f t="shared" si="174"/>
        <v>0</v>
      </c>
      <c r="W287">
        <v>2090</v>
      </c>
      <c r="Z287" s="170">
        <f t="shared" si="184"/>
        <v>0</v>
      </c>
      <c r="AA287" s="170">
        <f t="shared" si="185"/>
        <v>0</v>
      </c>
      <c r="AB287" s="170">
        <f t="shared" si="186"/>
        <v>0</v>
      </c>
      <c r="AC287" s="170">
        <f t="shared" si="187"/>
        <v>0</v>
      </c>
      <c r="AD287" s="172">
        <f t="shared" si="175"/>
        <v>0</v>
      </c>
      <c r="AG287">
        <v>2090</v>
      </c>
      <c r="AJ287" s="170">
        <v>5861.255428307104</v>
      </c>
      <c r="AK287" s="170">
        <v>4505.075374322575</v>
      </c>
      <c r="AL287" s="170">
        <v>3087.7351056129733</v>
      </c>
      <c r="AM287" s="170">
        <v>1019.8457453566817</v>
      </c>
      <c r="AN287" s="172">
        <f t="shared" si="176"/>
        <v>5016.1431612097776</v>
      </c>
    </row>
    <row r="288" spans="5:40">
      <c r="E288">
        <v>2100</v>
      </c>
      <c r="F288" s="320" t="s">
        <v>240</v>
      </c>
      <c r="G288" s="320" t="s">
        <v>240</v>
      </c>
      <c r="H288" s="63">
        <f t="shared" si="192"/>
        <v>0</v>
      </c>
      <c r="I288" s="63">
        <f t="shared" si="188"/>
        <v>0</v>
      </c>
      <c r="J288" s="63">
        <f t="shared" si="188"/>
        <v>0</v>
      </c>
      <c r="K288" s="63">
        <f t="shared" si="188"/>
        <v>0</v>
      </c>
      <c r="L288" s="63">
        <f t="shared" si="173"/>
        <v>0</v>
      </c>
      <c r="M288" s="63"/>
      <c r="N288">
        <v>2100</v>
      </c>
      <c r="O288" s="320" t="s">
        <v>240</v>
      </c>
      <c r="P288" s="320" t="s">
        <v>240</v>
      </c>
      <c r="Q288" s="170">
        <f t="shared" si="193"/>
        <v>0</v>
      </c>
      <c r="R288" s="170">
        <f t="shared" si="189"/>
        <v>0</v>
      </c>
      <c r="S288" s="170">
        <f t="shared" si="190"/>
        <v>0</v>
      </c>
      <c r="T288" s="170">
        <f t="shared" si="191"/>
        <v>0</v>
      </c>
      <c r="U288" s="172">
        <f t="shared" si="174"/>
        <v>0</v>
      </c>
      <c r="W288">
        <v>2100</v>
      </c>
      <c r="Z288" s="170">
        <f t="shared" si="184"/>
        <v>0</v>
      </c>
      <c r="AA288" s="170">
        <f t="shared" si="185"/>
        <v>0</v>
      </c>
      <c r="AB288" s="170">
        <f t="shared" si="186"/>
        <v>0</v>
      </c>
      <c r="AC288" s="170">
        <f t="shared" si="187"/>
        <v>0</v>
      </c>
      <c r="AD288" s="172">
        <f t="shared" si="175"/>
        <v>0</v>
      </c>
      <c r="AG288">
        <v>2100</v>
      </c>
      <c r="AJ288" s="170">
        <v>8472.9696199556274</v>
      </c>
      <c r="AK288" s="170">
        <v>6512.4899006952801</v>
      </c>
      <c r="AL288" s="170">
        <v>4463.5976139135109</v>
      </c>
      <c r="AM288" s="170">
        <v>1474.2783560865844</v>
      </c>
      <c r="AN288" s="172">
        <f t="shared" si="176"/>
        <v>7251.2841547590242</v>
      </c>
    </row>
    <row r="289" spans="5:40">
      <c r="F289" s="581" t="s">
        <v>294</v>
      </c>
      <c r="G289" s="581"/>
      <c r="H289" s="581"/>
      <c r="I289" s="581"/>
      <c r="J289" s="581"/>
      <c r="K289" s="581"/>
      <c r="L289" s="63"/>
      <c r="M289" s="63"/>
      <c r="O289" s="581" t="s">
        <v>294</v>
      </c>
      <c r="P289" s="581"/>
      <c r="Q289" s="581"/>
      <c r="R289" s="581"/>
      <c r="S289" s="581"/>
      <c r="T289" s="581"/>
      <c r="X289" s="581" t="s">
        <v>294</v>
      </c>
      <c r="Y289" s="581"/>
      <c r="Z289" s="581"/>
      <c r="AA289" s="581"/>
      <c r="AB289" s="581"/>
      <c r="AC289" s="581"/>
      <c r="AD289" s="172"/>
      <c r="AH289" s="581" t="s">
        <v>294</v>
      </c>
      <c r="AI289" s="581"/>
      <c r="AJ289" s="581"/>
      <c r="AK289" s="581"/>
      <c r="AL289" s="581"/>
      <c r="AM289" s="581"/>
    </row>
    <row r="290" spans="5:40">
      <c r="E290">
        <v>2020</v>
      </c>
      <c r="F290" s="320" t="s">
        <v>240</v>
      </c>
      <c r="G290" s="320" t="s">
        <v>240</v>
      </c>
      <c r="H290" s="63">
        <f>('Demographic-Economic'!E$24*1000*AVERAGE('Demographic-Economic'!$C12:$H12)*(1+'Inflation-Interest'!$C$65)*(1+'Inflation-Interest'!$C$66)*(1+'Inflation-Interest'!$C$67))*$C$5/H24</f>
        <v>166.37581808963668</v>
      </c>
      <c r="I290" s="63">
        <f>('Demographic-Economic'!F$24*1000*AVERAGE('Demographic-Economic'!$C12:$H12)*(1+'Inflation-Interest'!$C$65)*(1+'Inflation-Interest'!$C$66)*(1+'Inflation-Interest'!$C$67))*$C$5/I24</f>
        <v>469.90540470224312</v>
      </c>
      <c r="J290" s="63">
        <f>('Demographic-Economic'!G$24*1000*AVERAGE('Demographic-Economic'!$C12:$H12)*(1+'Inflation-Interest'!$C$65)*(1+'Inflation-Interest'!$C$66)*(1+'Inflation-Interest'!$C$67))*$C$5/J24</f>
        <v>397.93837440351638</v>
      </c>
      <c r="K290" s="63">
        <f>('Demographic-Economic'!H$24*1000*AVERAGE('Demographic-Economic'!$C12:$H12)*(1+'Inflation-Interest'!$C$65)*(1+'Inflation-Interest'!$C$66)*(1+'Inflation-Interest'!$C$67))*$C$5/K24</f>
        <v>129.78040385608242</v>
      </c>
      <c r="L290" s="63">
        <f t="shared" ref="L290:L307" si="194">SUMPRODUCT(H290:K290, H24:K24)/SUM(H24:K24)</f>
        <v>242.84087099894123</v>
      </c>
      <c r="M290" s="63"/>
      <c r="N290">
        <v>2020</v>
      </c>
      <c r="O290" s="320" t="s">
        <v>240</v>
      </c>
      <c r="P290" s="320" t="s">
        <v>240</v>
      </c>
      <c r="Q290" s="170">
        <f>('Demographic-Economic'!E$24*1000*AVERAGE('Demographic-Economic'!$C12:$H12)*(1+'Inflation-Interest'!$C$65)*(1+'Inflation-Interest'!$C$66)*(1+'Inflation-Interest'!$C$67))*$C$5/Q24</f>
        <v>166.37581808963668</v>
      </c>
      <c r="R290" s="170">
        <f>('Demographic-Economic'!F$24*1000*AVERAGE('Demographic-Economic'!$C12:$H12)*(1+'Inflation-Interest'!$C$65)*(1+'Inflation-Interest'!$C$66)*(1+'Inflation-Interest'!$C$67))*$C$5/R24</f>
        <v>469.90540470224312</v>
      </c>
      <c r="S290" s="170">
        <f>('Demographic-Economic'!G$24*1000*AVERAGE('Demographic-Economic'!$C12:$H12)*(1+'Inflation-Interest'!$C$65)*(1+'Inflation-Interest'!$C$66)*(1+'Inflation-Interest'!$C$67))*$C$5/S24</f>
        <v>397.93837440351638</v>
      </c>
      <c r="T290" s="170">
        <f>('Demographic-Economic'!H$24*1000*AVERAGE('Demographic-Economic'!$C12:$H12)*(1+'Inflation-Interest'!$C$65)*(1+'Inflation-Interest'!$C$66)*(1+'Inflation-Interest'!$C$67))*$C$5/T24</f>
        <v>129.78040385608242</v>
      </c>
      <c r="U290" s="172">
        <f t="shared" ref="U290:U307" si="195">SUMPRODUCT(Q290:T290, Q24:T24)/SUM(Q24:T24)</f>
        <v>242.84087099894123</v>
      </c>
      <c r="W290">
        <v>2020</v>
      </c>
      <c r="Z290" s="170">
        <v>207.9697726120458</v>
      </c>
      <c r="AA290" s="170">
        <v>587.38175587780381</v>
      </c>
      <c r="AB290" s="170">
        <v>497.42296800439544</v>
      </c>
      <c r="AC290" s="170">
        <v>162.225504820103</v>
      </c>
      <c r="AD290" s="172">
        <f t="shared" ref="AD290:AD307" si="196">SUMPRODUCT(Z290:AC290, Z24:AC24)/SUM(Z24:AC24)</f>
        <v>303.55108874867653</v>
      </c>
      <c r="AG290">
        <v>2020</v>
      </c>
      <c r="AH290" t="s">
        <v>240</v>
      </c>
      <c r="AI290" t="s">
        <v>240</v>
      </c>
      <c r="AJ290" s="170">
        <v>207.9697726120458</v>
      </c>
      <c r="AK290" s="170">
        <v>587.38175587780381</v>
      </c>
      <c r="AL290" s="170">
        <v>497.42296800439544</v>
      </c>
      <c r="AM290" s="170">
        <v>162.225504820103</v>
      </c>
      <c r="AN290" s="172">
        <f t="shared" ref="AN290:AN307" si="197">SUMPRODUCT(AJ290:AM290, AJ24:AM24)/SUM(AJ24:AM24)</f>
        <v>303.55108874867653</v>
      </c>
    </row>
    <row r="291" spans="5:40">
      <c r="E291">
        <v>2021</v>
      </c>
      <c r="F291" s="320" t="s">
        <v>240</v>
      </c>
      <c r="G291" s="320" t="s">
        <v>240</v>
      </c>
      <c r="H291" s="63">
        <f t="shared" ref="H291:K300" si="198">H290*(1+$C$6)</f>
        <v>172.62142765420657</v>
      </c>
      <c r="I291" s="63">
        <f t="shared" si="198"/>
        <v>487.54526200692806</v>
      </c>
      <c r="J291" s="63">
        <f t="shared" si="198"/>
        <v>412.87664936331237</v>
      </c>
      <c r="K291" s="63">
        <f t="shared" si="198"/>
        <v>134.65225206650319</v>
      </c>
      <c r="L291" s="63">
        <f t="shared" si="194"/>
        <v>252.04721226393602</v>
      </c>
      <c r="M291" s="63"/>
      <c r="N291">
        <v>2021</v>
      </c>
      <c r="O291" s="320" t="s">
        <v>240</v>
      </c>
      <c r="P291" s="320" t="s">
        <v>240</v>
      </c>
      <c r="Q291" s="63">
        <f t="shared" ref="Q291:T291" si="199">Q290*(1+$C$6)</f>
        <v>172.62142765420657</v>
      </c>
      <c r="R291" s="63">
        <f t="shared" si="199"/>
        <v>487.54526200692806</v>
      </c>
      <c r="S291" s="63">
        <f t="shared" si="199"/>
        <v>412.87664936331237</v>
      </c>
      <c r="T291" s="63">
        <f t="shared" si="199"/>
        <v>134.65225206650319</v>
      </c>
      <c r="U291" s="172">
        <f t="shared" si="195"/>
        <v>252.04721226393602</v>
      </c>
      <c r="W291">
        <v>2021</v>
      </c>
      <c r="Z291" s="170">
        <v>215.77678456775817</v>
      </c>
      <c r="AA291" s="170">
        <v>609.43157750865998</v>
      </c>
      <c r="AB291" s="170">
        <v>516.09581170414049</v>
      </c>
      <c r="AC291" s="170">
        <v>168.31531508312898</v>
      </c>
      <c r="AD291" s="172">
        <f t="shared" si="196"/>
        <v>315.05901532991993</v>
      </c>
      <c r="AG291">
        <v>2021</v>
      </c>
      <c r="AH291" t="s">
        <v>240</v>
      </c>
      <c r="AI291" t="s">
        <v>240</v>
      </c>
      <c r="AJ291" s="170">
        <v>215.77678456775817</v>
      </c>
      <c r="AK291" s="170">
        <v>609.43157750865998</v>
      </c>
      <c r="AL291" s="170">
        <v>516.09581170414049</v>
      </c>
      <c r="AM291" s="170">
        <v>168.31531508312898</v>
      </c>
      <c r="AN291" s="172">
        <f t="shared" si="197"/>
        <v>315.05901532991999</v>
      </c>
    </row>
    <row r="292" spans="5:40">
      <c r="E292">
        <v>2022</v>
      </c>
      <c r="F292" s="320" t="s">
        <v>240</v>
      </c>
      <c r="G292" s="320" t="s">
        <v>240</v>
      </c>
      <c r="H292" s="63">
        <f t="shared" si="198"/>
        <v>179.10149219715578</v>
      </c>
      <c r="I292" s="63">
        <f t="shared" si="198"/>
        <v>505.84730485494981</v>
      </c>
      <c r="J292" s="63">
        <f t="shared" si="198"/>
        <v>428.37569471653666</v>
      </c>
      <c r="K292" s="63">
        <f t="shared" si="198"/>
        <v>139.70698539886968</v>
      </c>
      <c r="L292" s="63">
        <f t="shared" si="194"/>
        <v>261.57929739923975</v>
      </c>
      <c r="M292" s="63"/>
      <c r="N292">
        <v>2022</v>
      </c>
      <c r="O292" s="320" t="s">
        <v>240</v>
      </c>
      <c r="P292" s="320" t="s">
        <v>240</v>
      </c>
      <c r="Q292" s="63">
        <f t="shared" ref="Q292:T292" si="200">Q291*(1+$C$6)</f>
        <v>179.10149219715578</v>
      </c>
      <c r="R292" s="63">
        <f t="shared" si="200"/>
        <v>505.84730485494981</v>
      </c>
      <c r="S292" s="63">
        <f t="shared" si="200"/>
        <v>428.37569471653666</v>
      </c>
      <c r="T292" s="63">
        <f t="shared" si="200"/>
        <v>139.70698539886968</v>
      </c>
      <c r="U292" s="172">
        <f t="shared" si="195"/>
        <v>261.58057797277291</v>
      </c>
      <c r="W292">
        <v>2022</v>
      </c>
      <c r="Z292" s="170">
        <v>223.87686524644468</v>
      </c>
      <c r="AA292" s="170">
        <v>632.30913106868718</v>
      </c>
      <c r="AB292" s="170">
        <v>535.46961839567086</v>
      </c>
      <c r="AC292" s="170">
        <v>174.63373174858708</v>
      </c>
      <c r="AD292" s="172">
        <f t="shared" si="196"/>
        <v>326.97720547872115</v>
      </c>
      <c r="AG292">
        <v>2022</v>
      </c>
      <c r="AH292" t="s">
        <v>240</v>
      </c>
      <c r="AI292" t="s">
        <v>240</v>
      </c>
      <c r="AJ292" s="170">
        <v>223.87686524644468</v>
      </c>
      <c r="AK292" s="170">
        <v>632.30913106868718</v>
      </c>
      <c r="AL292" s="170">
        <v>535.46961839567086</v>
      </c>
      <c r="AM292" s="170">
        <v>174.63373174858708</v>
      </c>
      <c r="AN292" s="172">
        <f t="shared" si="197"/>
        <v>326.97432871600751</v>
      </c>
    </row>
    <row r="293" spans="5:40">
      <c r="E293">
        <v>2023</v>
      </c>
      <c r="F293" s="320" t="s">
        <v>240</v>
      </c>
      <c r="G293" s="320" t="s">
        <v>240</v>
      </c>
      <c r="H293" s="63">
        <f t="shared" si="198"/>
        <v>185.82481296299352</v>
      </c>
      <c r="I293" s="63">
        <f t="shared" si="198"/>
        <v>524.83639113978393</v>
      </c>
      <c r="J293" s="63">
        <f t="shared" si="198"/>
        <v>444.45656131644984</v>
      </c>
      <c r="K293" s="63">
        <f t="shared" si="198"/>
        <v>144.95146920825542</v>
      </c>
      <c r="L293" s="63">
        <f t="shared" si="194"/>
        <v>271.45035664314071</v>
      </c>
      <c r="M293" s="63"/>
      <c r="N293">
        <v>2023</v>
      </c>
      <c r="O293" s="320" t="s">
        <v>240</v>
      </c>
      <c r="P293" s="320" t="s">
        <v>240</v>
      </c>
      <c r="Q293" s="63">
        <f t="shared" ref="Q293:T293" si="201">Q292*(1+$C$6)</f>
        <v>185.82481296299352</v>
      </c>
      <c r="R293" s="63">
        <f t="shared" si="201"/>
        <v>524.83639113978393</v>
      </c>
      <c r="S293" s="63">
        <f t="shared" si="201"/>
        <v>444.45656131644984</v>
      </c>
      <c r="T293" s="63">
        <f t="shared" si="201"/>
        <v>144.95146920825542</v>
      </c>
      <c r="U293" s="172">
        <f t="shared" si="195"/>
        <v>271.45347661751799</v>
      </c>
      <c r="W293">
        <v>2023</v>
      </c>
      <c r="Z293" s="170">
        <v>232.28101620374184</v>
      </c>
      <c r="AA293" s="170">
        <v>656.04548892472985</v>
      </c>
      <c r="AB293" s="170">
        <v>555.57070164556239</v>
      </c>
      <c r="AC293" s="170">
        <v>181.18933651031927</v>
      </c>
      <c r="AD293" s="172">
        <f t="shared" si="196"/>
        <v>339.32052445322915</v>
      </c>
      <c r="AG293">
        <v>2023</v>
      </c>
      <c r="AH293" t="s">
        <v>240</v>
      </c>
      <c r="AI293" t="s">
        <v>240</v>
      </c>
      <c r="AJ293" s="170">
        <v>232.28101620374184</v>
      </c>
      <c r="AK293" s="170">
        <v>656.04548892472985</v>
      </c>
      <c r="AL293" s="170">
        <v>555.57070164556239</v>
      </c>
      <c r="AM293" s="170">
        <v>181.18933651031927</v>
      </c>
      <c r="AN293" s="172">
        <f t="shared" si="197"/>
        <v>339.31344604534388</v>
      </c>
    </row>
    <row r="294" spans="5:40">
      <c r="E294">
        <v>2024</v>
      </c>
      <c r="F294" s="320" t="s">
        <v>240</v>
      </c>
      <c r="G294" s="320" t="s">
        <v>240</v>
      </c>
      <c r="H294" s="63">
        <f t="shared" si="198"/>
        <v>192.8005215876135</v>
      </c>
      <c r="I294" s="63">
        <f t="shared" si="198"/>
        <v>544.53831189951211</v>
      </c>
      <c r="J294" s="63">
        <f t="shared" si="198"/>
        <v>461.14109024780163</v>
      </c>
      <c r="K294" s="63">
        <f t="shared" si="198"/>
        <v>150.39282656944232</v>
      </c>
      <c r="L294" s="63">
        <f t="shared" si="194"/>
        <v>281.67397660074965</v>
      </c>
      <c r="M294" s="63"/>
      <c r="N294">
        <v>2024</v>
      </c>
      <c r="O294" s="320" t="s">
        <v>240</v>
      </c>
      <c r="P294" s="320" t="s">
        <v>240</v>
      </c>
      <c r="Q294" s="63">
        <f t="shared" ref="Q294:T294" si="202">Q293*(1+$C$6)</f>
        <v>192.8005215876135</v>
      </c>
      <c r="R294" s="63">
        <f t="shared" si="202"/>
        <v>544.53831189951211</v>
      </c>
      <c r="S294" s="63">
        <f t="shared" si="202"/>
        <v>461.14109024780163</v>
      </c>
      <c r="T294" s="63">
        <f t="shared" si="202"/>
        <v>150.39282656944232</v>
      </c>
      <c r="U294" s="172">
        <f t="shared" si="195"/>
        <v>281.67887903733561</v>
      </c>
      <c r="W294">
        <v>2024</v>
      </c>
      <c r="Z294" s="170">
        <v>241.00065198451682</v>
      </c>
      <c r="AA294" s="170">
        <v>680.67288987439008</v>
      </c>
      <c r="AB294" s="170">
        <v>576.42636280975216</v>
      </c>
      <c r="AC294" s="170">
        <v>187.99103321180289</v>
      </c>
      <c r="AD294" s="172">
        <f t="shared" si="196"/>
        <v>352.10446113529719</v>
      </c>
      <c r="AG294">
        <v>2024</v>
      </c>
      <c r="AH294" t="s">
        <v>240</v>
      </c>
      <c r="AI294" t="s">
        <v>240</v>
      </c>
      <c r="AJ294" s="170">
        <v>241.00065198451682</v>
      </c>
      <c r="AK294" s="170">
        <v>680.67288987439008</v>
      </c>
      <c r="AL294" s="170">
        <v>576.42636280975216</v>
      </c>
      <c r="AM294" s="170">
        <v>187.99103321180289</v>
      </c>
      <c r="AN294" s="172">
        <f t="shared" si="197"/>
        <v>352.09325195038377</v>
      </c>
    </row>
    <row r="295" spans="5:40">
      <c r="E295">
        <v>2025</v>
      </c>
      <c r="F295" s="320" t="s">
        <v>240</v>
      </c>
      <c r="G295" s="320" t="s">
        <v>240</v>
      </c>
      <c r="H295" s="63">
        <f t="shared" si="198"/>
        <v>200.0380925009112</v>
      </c>
      <c r="I295" s="63">
        <f t="shared" si="198"/>
        <v>564.97982634629318</v>
      </c>
      <c r="J295" s="63">
        <f t="shared" si="198"/>
        <v>478.45194249146226</v>
      </c>
      <c r="K295" s="63">
        <f t="shared" si="198"/>
        <v>156.03844795150371</v>
      </c>
      <c r="L295" s="63">
        <f t="shared" si="194"/>
        <v>292.26413226474671</v>
      </c>
      <c r="M295" s="63"/>
      <c r="N295">
        <v>2025</v>
      </c>
      <c r="O295" s="320" t="s">
        <v>240</v>
      </c>
      <c r="P295" s="320" t="s">
        <v>240</v>
      </c>
      <c r="Q295" s="63">
        <f t="shared" ref="Q295:T295" si="203">Q294*(1+$C$6)</f>
        <v>200.0380925009112</v>
      </c>
      <c r="R295" s="63">
        <f t="shared" si="203"/>
        <v>564.97982634629318</v>
      </c>
      <c r="S295" s="63">
        <f t="shared" si="203"/>
        <v>478.45194249146226</v>
      </c>
      <c r="T295" s="63">
        <f t="shared" si="203"/>
        <v>156.03844795150371</v>
      </c>
      <c r="U295" s="172">
        <f t="shared" si="195"/>
        <v>292.27023274998311</v>
      </c>
      <c r="W295">
        <v>2025</v>
      </c>
      <c r="Z295" s="170">
        <v>250.04761562613893</v>
      </c>
      <c r="AA295" s="170">
        <v>706.22478293286645</v>
      </c>
      <c r="AB295" s="170">
        <v>598.06492811432793</v>
      </c>
      <c r="AC295" s="170">
        <v>195.04805993937961</v>
      </c>
      <c r="AD295" s="172">
        <f t="shared" si="196"/>
        <v>365.34514739402715</v>
      </c>
      <c r="AG295">
        <v>2025</v>
      </c>
      <c r="AH295" t="s">
        <v>240</v>
      </c>
      <c r="AI295" t="s">
        <v>240</v>
      </c>
      <c r="AJ295" s="170">
        <v>250.04761562613893</v>
      </c>
      <c r="AK295" s="170">
        <v>706.22478293286645</v>
      </c>
      <c r="AL295" s="170">
        <v>598.06492811432793</v>
      </c>
      <c r="AM295" s="170">
        <v>195.04805993937961</v>
      </c>
      <c r="AN295" s="172">
        <f t="shared" si="197"/>
        <v>365.33113393040878</v>
      </c>
    </row>
    <row r="296" spans="5:40">
      <c r="E296">
        <v>2026</v>
      </c>
      <c r="F296" s="320" t="s">
        <v>240</v>
      </c>
      <c r="G296" s="320" t="s">
        <v>240</v>
      </c>
      <c r="H296" s="63">
        <f t="shared" si="198"/>
        <v>207.54735579498501</v>
      </c>
      <c r="I296" s="63">
        <f t="shared" si="198"/>
        <v>586.18869821081103</v>
      </c>
      <c r="J296" s="63">
        <f t="shared" si="198"/>
        <v>496.41262970263966</v>
      </c>
      <c r="K296" s="63">
        <f t="shared" si="198"/>
        <v>161.89600125556319</v>
      </c>
      <c r="L296" s="63">
        <f t="shared" si="194"/>
        <v>303.23521713032545</v>
      </c>
      <c r="M296" s="63"/>
      <c r="N296">
        <v>2026</v>
      </c>
      <c r="O296" s="320" t="s">
        <v>240</v>
      </c>
      <c r="P296" s="320" t="s">
        <v>240</v>
      </c>
      <c r="Q296" s="63">
        <f t="shared" ref="Q296:T296" si="204">Q295*(1+$C$6)</f>
        <v>207.54735579498501</v>
      </c>
      <c r="R296" s="63">
        <f t="shared" si="204"/>
        <v>586.18869821081103</v>
      </c>
      <c r="S296" s="63">
        <f t="shared" si="204"/>
        <v>496.41262970263966</v>
      </c>
      <c r="T296" s="63">
        <f t="shared" si="204"/>
        <v>161.89600125556319</v>
      </c>
      <c r="U296" s="172">
        <f t="shared" si="195"/>
        <v>303.2414772999079</v>
      </c>
      <c r="W296">
        <v>2026</v>
      </c>
      <c r="Z296" s="170">
        <v>259.43419474373115</v>
      </c>
      <c r="AA296" s="170">
        <v>732.73587276351384</v>
      </c>
      <c r="AB296" s="170">
        <v>620.51578712829973</v>
      </c>
      <c r="AC296" s="170">
        <v>202.37000156945399</v>
      </c>
      <c r="AD296" s="172">
        <f t="shared" si="196"/>
        <v>379.05937755575434</v>
      </c>
      <c r="AG296">
        <v>2026</v>
      </c>
      <c r="AH296" t="s">
        <v>240</v>
      </c>
      <c r="AI296" t="s">
        <v>240</v>
      </c>
      <c r="AJ296" s="170">
        <v>259.43419474373115</v>
      </c>
      <c r="AK296" s="170">
        <v>732.73587276351384</v>
      </c>
      <c r="AL296" s="170">
        <v>620.51578712829973</v>
      </c>
      <c r="AM296" s="170">
        <v>202.37000156945399</v>
      </c>
      <c r="AN296" s="172">
        <f t="shared" si="197"/>
        <v>379.04501635120914</v>
      </c>
    </row>
    <row r="297" spans="5:40">
      <c r="E297">
        <v>2027</v>
      </c>
      <c r="F297" s="320" t="s">
        <v>240</v>
      </c>
      <c r="G297" s="320" t="s">
        <v>240</v>
      </c>
      <c r="H297" s="63">
        <f t="shared" si="198"/>
        <v>215.33851057539891</v>
      </c>
      <c r="I297" s="63">
        <f t="shared" si="198"/>
        <v>608.19373345106305</v>
      </c>
      <c r="J297" s="63">
        <f t="shared" si="198"/>
        <v>515.0475461444853</v>
      </c>
      <c r="K297" s="63">
        <f t="shared" si="198"/>
        <v>167.97344222936266</v>
      </c>
      <c r="L297" s="63">
        <f t="shared" si="194"/>
        <v>314.60207191534937</v>
      </c>
      <c r="M297" s="63"/>
      <c r="N297">
        <v>2027</v>
      </c>
      <c r="O297" s="320" t="s">
        <v>240</v>
      </c>
      <c r="P297" s="320" t="s">
        <v>240</v>
      </c>
      <c r="Q297" s="63">
        <f t="shared" ref="Q297:T297" si="205">Q296*(1+$C$6)</f>
        <v>215.33851057539891</v>
      </c>
      <c r="R297" s="63">
        <f t="shared" si="205"/>
        <v>608.19373345106305</v>
      </c>
      <c r="S297" s="63">
        <f t="shared" si="205"/>
        <v>515.0475461444853</v>
      </c>
      <c r="T297" s="63">
        <f t="shared" si="205"/>
        <v>167.97344222936266</v>
      </c>
      <c r="U297" s="172">
        <f t="shared" si="195"/>
        <v>314.60706061094476</v>
      </c>
      <c r="W297">
        <v>2027</v>
      </c>
      <c r="Z297" s="170">
        <v>269.17313821924853</v>
      </c>
      <c r="AA297" s="170">
        <v>760.24216681382882</v>
      </c>
      <c r="AB297" s="170">
        <v>643.80943268060685</v>
      </c>
      <c r="AC297" s="170">
        <v>209.96680278670331</v>
      </c>
      <c r="AD297" s="172">
        <f t="shared" si="196"/>
        <v>393.26462814140592</v>
      </c>
      <c r="AG297">
        <v>2027</v>
      </c>
      <c r="AH297" t="s">
        <v>240</v>
      </c>
      <c r="AI297" t="s">
        <v>240</v>
      </c>
      <c r="AJ297" s="170">
        <v>269.17313821924853</v>
      </c>
      <c r="AK297" s="170">
        <v>760.24216681382882</v>
      </c>
      <c r="AL297" s="170">
        <v>643.80943268060685</v>
      </c>
      <c r="AM297" s="170">
        <v>209.96680278670331</v>
      </c>
      <c r="AN297" s="172">
        <f t="shared" si="197"/>
        <v>393.25339347593558</v>
      </c>
    </row>
    <row r="298" spans="5:40">
      <c r="E298">
        <v>2028</v>
      </c>
      <c r="F298" s="320" t="s">
        <v>240</v>
      </c>
      <c r="G298" s="320" t="s">
        <v>240</v>
      </c>
      <c r="H298" s="63">
        <f t="shared" si="198"/>
        <v>223.42213881364057</v>
      </c>
      <c r="I298" s="63">
        <f t="shared" si="198"/>
        <v>631.02481937670473</v>
      </c>
      <c r="J298" s="63">
        <f t="shared" si="198"/>
        <v>534.3820018204608</v>
      </c>
      <c r="K298" s="63">
        <f t="shared" si="198"/>
        <v>174.27902527278442</v>
      </c>
      <c r="L298" s="63">
        <f t="shared" si="194"/>
        <v>326.38001229366074</v>
      </c>
      <c r="M298" s="63"/>
      <c r="N298">
        <v>2028</v>
      </c>
      <c r="O298" s="320" t="s">
        <v>240</v>
      </c>
      <c r="P298" s="320" t="s">
        <v>240</v>
      </c>
      <c r="Q298" s="63">
        <f t="shared" ref="Q298:T298" si="206">Q297*(1+$C$6)</f>
        <v>223.42213881364057</v>
      </c>
      <c r="R298" s="63">
        <f t="shared" si="206"/>
        <v>631.02481937670473</v>
      </c>
      <c r="S298" s="63">
        <f t="shared" si="206"/>
        <v>534.3820018204608</v>
      </c>
      <c r="T298" s="63">
        <f t="shared" si="206"/>
        <v>174.27902527278442</v>
      </c>
      <c r="U298" s="172">
        <f t="shared" si="195"/>
        <v>326.38195633200417</v>
      </c>
      <c r="W298">
        <v>2028</v>
      </c>
      <c r="Z298" s="170">
        <v>279.27767351705063</v>
      </c>
      <c r="AA298" s="170">
        <v>788.78102422088091</v>
      </c>
      <c r="AB298" s="170">
        <v>667.97750227557628</v>
      </c>
      <c r="AC298" s="170">
        <v>217.84878159098051</v>
      </c>
      <c r="AD298" s="172">
        <f t="shared" si="196"/>
        <v>407.97907803064851</v>
      </c>
      <c r="AG298">
        <v>2028</v>
      </c>
      <c r="AH298" t="s">
        <v>240</v>
      </c>
      <c r="AI298" t="s">
        <v>240</v>
      </c>
      <c r="AJ298" s="170">
        <v>279.27767351705063</v>
      </c>
      <c r="AK298" s="170">
        <v>788.78102422088091</v>
      </c>
      <c r="AL298" s="170">
        <v>667.97750227557628</v>
      </c>
      <c r="AM298" s="170">
        <v>217.84878159098051</v>
      </c>
      <c r="AN298" s="172">
        <f t="shared" si="197"/>
        <v>407.97536186059568</v>
      </c>
    </row>
    <row r="299" spans="5:40">
      <c r="E299">
        <v>2029</v>
      </c>
      <c r="F299" s="320" t="s">
        <v>240</v>
      </c>
      <c r="G299" s="320" t="s">
        <v>240</v>
      </c>
      <c r="H299" s="63">
        <f t="shared" si="198"/>
        <v>231.80921971958895</v>
      </c>
      <c r="I299" s="63">
        <f t="shared" si="198"/>
        <v>654.71296524209004</v>
      </c>
      <c r="J299" s="63">
        <f t="shared" si="198"/>
        <v>554.44225685046604</v>
      </c>
      <c r="K299" s="63">
        <f t="shared" si="198"/>
        <v>180.82131464900368</v>
      </c>
      <c r="L299" s="63">
        <f t="shared" si="194"/>
        <v>338.58485597071513</v>
      </c>
      <c r="M299" s="63"/>
      <c r="N299">
        <v>2029</v>
      </c>
      <c r="O299" s="320" t="s">
        <v>240</v>
      </c>
      <c r="P299" s="320" t="s">
        <v>240</v>
      </c>
      <c r="Q299" s="63">
        <f t="shared" ref="Q299:T299" si="207">Q298*(1+$C$6)</f>
        <v>231.80921971958895</v>
      </c>
      <c r="R299" s="63">
        <f t="shared" si="207"/>
        <v>654.71296524209004</v>
      </c>
      <c r="S299" s="63">
        <f t="shared" si="207"/>
        <v>554.44225685046604</v>
      </c>
      <c r="T299" s="63">
        <f t="shared" si="207"/>
        <v>180.82131464900368</v>
      </c>
      <c r="U299" s="172">
        <f t="shared" si="195"/>
        <v>338.5816821657362</v>
      </c>
      <c r="W299">
        <v>2029</v>
      </c>
      <c r="Z299" s="170">
        <v>289.76152464948609</v>
      </c>
      <c r="AA299" s="170">
        <v>818.39120655261263</v>
      </c>
      <c r="AB299" s="170">
        <v>693.05282106308289</v>
      </c>
      <c r="AC299" s="170">
        <v>226.02664331125459</v>
      </c>
      <c r="AD299" s="172">
        <f t="shared" si="196"/>
        <v>423.221629206383</v>
      </c>
      <c r="AG299">
        <v>2029</v>
      </c>
      <c r="AH299" t="s">
        <v>240</v>
      </c>
      <c r="AI299" t="s">
        <v>240</v>
      </c>
      <c r="AJ299" s="170">
        <v>289.76152464948609</v>
      </c>
      <c r="AK299" s="170">
        <v>818.39120655261263</v>
      </c>
      <c r="AL299" s="170">
        <v>693.05282106308289</v>
      </c>
      <c r="AM299" s="170">
        <v>226.02664331125459</v>
      </c>
      <c r="AN299" s="172">
        <f t="shared" si="197"/>
        <v>423.23065239197518</v>
      </c>
    </row>
    <row r="300" spans="5:40">
      <c r="E300">
        <v>2030</v>
      </c>
      <c r="F300" s="320" t="s">
        <v>240</v>
      </c>
      <c r="G300" s="320" t="s">
        <v>240</v>
      </c>
      <c r="H300" s="63">
        <f t="shared" si="198"/>
        <v>240.51114465351256</v>
      </c>
      <c r="I300" s="63">
        <f t="shared" si="198"/>
        <v>679.29034436314043</v>
      </c>
      <c r="J300" s="63">
        <f t="shared" si="198"/>
        <v>575.25555713741846</v>
      </c>
      <c r="K300" s="63">
        <f t="shared" si="198"/>
        <v>187.6091961164984</v>
      </c>
      <c r="L300" s="63">
        <f t="shared" si="194"/>
        <v>351.23294937012787</v>
      </c>
      <c r="M300" s="63"/>
      <c r="N300">
        <v>2030</v>
      </c>
      <c r="O300" s="320" t="s">
        <v>240</v>
      </c>
      <c r="P300" s="320" t="s">
        <v>240</v>
      </c>
      <c r="Q300" s="63">
        <f t="shared" ref="Q300:T300" si="208">Q299*(1+$C$6)</f>
        <v>240.51114465351256</v>
      </c>
      <c r="R300" s="63">
        <f t="shared" si="208"/>
        <v>679.29034436314043</v>
      </c>
      <c r="S300" s="63">
        <f t="shared" si="208"/>
        <v>575.25555713741846</v>
      </c>
      <c r="T300" s="63">
        <f t="shared" si="208"/>
        <v>187.6091961164984</v>
      </c>
      <c r="U300" s="172">
        <f t="shared" si="195"/>
        <v>351.22231917260075</v>
      </c>
      <c r="W300">
        <v>2030</v>
      </c>
      <c r="Z300" s="170">
        <v>300.63893081689059</v>
      </c>
      <c r="AA300" s="170">
        <v>849.11293045392563</v>
      </c>
      <c r="AB300" s="170">
        <v>719.06944642177348</v>
      </c>
      <c r="AC300" s="170">
        <v>234.511495145623</v>
      </c>
      <c r="AD300" s="172">
        <f t="shared" si="196"/>
        <v>439.01192822405625</v>
      </c>
      <c r="AG300">
        <v>2030</v>
      </c>
      <c r="AH300" t="s">
        <v>240</v>
      </c>
      <c r="AI300" t="s">
        <v>240</v>
      </c>
      <c r="AJ300" s="170">
        <v>300.63893081689059</v>
      </c>
      <c r="AK300" s="170">
        <v>849.11293045392563</v>
      </c>
      <c r="AL300" s="170">
        <v>719.06944642177348</v>
      </c>
      <c r="AM300" s="170">
        <v>234.511495145623</v>
      </c>
      <c r="AN300" s="172">
        <f t="shared" si="197"/>
        <v>439.03966220179137</v>
      </c>
    </row>
    <row r="301" spans="5:40">
      <c r="E301">
        <v>2040</v>
      </c>
      <c r="F301" s="320" t="s">
        <v>240</v>
      </c>
      <c r="G301" s="320" t="s">
        <v>240</v>
      </c>
      <c r="H301" s="63">
        <f t="shared" ref="H301:K307" si="209">H300*(1+$C$6)^10</f>
        <v>347.68039830991495</v>
      </c>
      <c r="I301" s="63">
        <f t="shared" si="209"/>
        <v>981.97502588288785</v>
      </c>
      <c r="J301" s="63">
        <f t="shared" si="209"/>
        <v>831.58342422619501</v>
      </c>
      <c r="K301" s="63">
        <f t="shared" si="209"/>
        <v>271.20589412335363</v>
      </c>
      <c r="L301" s="63">
        <f t="shared" si="194"/>
        <v>506.69130793401052</v>
      </c>
      <c r="M301" s="63"/>
      <c r="N301">
        <v>2040</v>
      </c>
      <c r="O301" s="320" t="s">
        <v>240</v>
      </c>
      <c r="P301" s="320" t="s">
        <v>240</v>
      </c>
      <c r="Q301" s="63">
        <f t="shared" ref="Q301:T301" si="210">Q300*(1+$C$6)^10</f>
        <v>347.68039830991495</v>
      </c>
      <c r="R301" s="63">
        <f t="shared" si="210"/>
        <v>981.97502588288785</v>
      </c>
      <c r="S301" s="63">
        <f t="shared" si="210"/>
        <v>831.58342422619501</v>
      </c>
      <c r="T301" s="63">
        <f t="shared" si="210"/>
        <v>271.20589412335363</v>
      </c>
      <c r="U301" s="172">
        <f t="shared" si="195"/>
        <v>506.54448941434049</v>
      </c>
      <c r="W301">
        <v>2040</v>
      </c>
      <c r="Z301" s="170">
        <v>434.60049788739354</v>
      </c>
      <c r="AA301" s="170">
        <v>1227.4687823536099</v>
      </c>
      <c r="AB301" s="170">
        <v>1039.4792802827444</v>
      </c>
      <c r="AC301" s="170">
        <v>339.00736765419202</v>
      </c>
      <c r="AD301" s="172">
        <f t="shared" si="196"/>
        <v>632.97048964414375</v>
      </c>
      <c r="AG301">
        <v>2040</v>
      </c>
      <c r="AH301" t="s">
        <v>240</v>
      </c>
      <c r="AI301" t="s">
        <v>240</v>
      </c>
      <c r="AJ301" s="170">
        <v>434.60049788739354</v>
      </c>
      <c r="AK301" s="170">
        <v>1227.4687823536099</v>
      </c>
      <c r="AL301" s="170">
        <v>1039.4792802827444</v>
      </c>
      <c r="AM301" s="170">
        <v>339.00736765419202</v>
      </c>
      <c r="AN301" s="172">
        <f t="shared" si="197"/>
        <v>633.34249481193081</v>
      </c>
    </row>
    <row r="302" spans="5:40">
      <c r="E302">
        <v>2050</v>
      </c>
      <c r="F302" s="320" t="s">
        <v>240</v>
      </c>
      <c r="G302" s="320" t="s">
        <v>240</v>
      </c>
      <c r="H302" s="63">
        <f t="shared" si="209"/>
        <v>502.60315189587908</v>
      </c>
      <c r="I302" s="63">
        <f t="shared" si="209"/>
        <v>1419.532839616234</v>
      </c>
      <c r="J302" s="63">
        <f t="shared" si="209"/>
        <v>1202.1283112656124</v>
      </c>
      <c r="K302" s="63">
        <f t="shared" si="209"/>
        <v>392.0524075033839</v>
      </c>
      <c r="L302" s="63">
        <f t="shared" si="194"/>
        <v>732.46766180610609</v>
      </c>
      <c r="M302" s="63"/>
      <c r="N302">
        <v>2050</v>
      </c>
      <c r="O302" s="320" t="s">
        <v>240</v>
      </c>
      <c r="P302" s="320" t="s">
        <v>240</v>
      </c>
      <c r="Q302" s="63">
        <f t="shared" ref="Q302:T302" si="211">Q301*(1+$C$6)^10</f>
        <v>502.60315189587908</v>
      </c>
      <c r="R302" s="63">
        <f t="shared" si="211"/>
        <v>1419.532839616234</v>
      </c>
      <c r="S302" s="63">
        <f t="shared" si="211"/>
        <v>1202.1283112656124</v>
      </c>
      <c r="T302" s="63">
        <f t="shared" si="211"/>
        <v>392.0524075033839</v>
      </c>
      <c r="U302" s="172">
        <f t="shared" si="195"/>
        <v>732.25542248775071</v>
      </c>
      <c r="W302">
        <v>2050</v>
      </c>
      <c r="Z302" s="170">
        <v>628.25393986984864</v>
      </c>
      <c r="AA302" s="170">
        <v>1774.4160495202925</v>
      </c>
      <c r="AB302" s="170">
        <v>1502.6603890820165</v>
      </c>
      <c r="AC302" s="170">
        <v>490.06550937922987</v>
      </c>
      <c r="AD302" s="172">
        <f t="shared" si="196"/>
        <v>915.01552776250423</v>
      </c>
      <c r="AG302">
        <v>2050</v>
      </c>
      <c r="AH302" t="s">
        <v>240</v>
      </c>
      <c r="AI302" t="s">
        <v>240</v>
      </c>
      <c r="AJ302" s="170">
        <v>628.25393986984864</v>
      </c>
      <c r="AK302" s="170">
        <v>1774.4160495202925</v>
      </c>
      <c r="AL302" s="170">
        <v>1502.6603890820165</v>
      </c>
      <c r="AM302" s="170">
        <v>490.06550937922987</v>
      </c>
      <c r="AN302" s="172">
        <f t="shared" si="197"/>
        <v>915.55329454705748</v>
      </c>
    </row>
    <row r="303" spans="5:40">
      <c r="E303">
        <v>2060</v>
      </c>
      <c r="F303" s="320" t="s">
        <v>240</v>
      </c>
      <c r="G303" s="320" t="s">
        <v>240</v>
      </c>
      <c r="H303" s="63">
        <f t="shared" si="209"/>
        <v>726.55786614263184</v>
      </c>
      <c r="I303" s="63">
        <f t="shared" si="209"/>
        <v>2052.0618443806025</v>
      </c>
      <c r="J303" s="63">
        <f t="shared" si="209"/>
        <v>1737.7841292243399</v>
      </c>
      <c r="K303" s="63">
        <f t="shared" si="209"/>
        <v>566.74686487193048</v>
      </c>
      <c r="L303" s="63">
        <f t="shared" si="194"/>
        <v>1058.8476004833642</v>
      </c>
      <c r="M303" s="63"/>
      <c r="N303">
        <v>2060</v>
      </c>
      <c r="O303" s="320" t="s">
        <v>240</v>
      </c>
      <c r="P303" s="320" t="s">
        <v>240</v>
      </c>
      <c r="Q303" s="63">
        <f t="shared" ref="Q303:T303" si="212">Q302*(1+$C$6)^10</f>
        <v>726.55786614263184</v>
      </c>
      <c r="R303" s="63">
        <f t="shared" si="212"/>
        <v>2052.0618443806025</v>
      </c>
      <c r="S303" s="63">
        <f t="shared" si="212"/>
        <v>1737.7841292243399</v>
      </c>
      <c r="T303" s="63">
        <f t="shared" si="212"/>
        <v>566.74686487193048</v>
      </c>
      <c r="U303" s="172">
        <f t="shared" si="195"/>
        <v>1058.5407895418209</v>
      </c>
      <c r="W303">
        <v>2060</v>
      </c>
      <c r="Z303" s="170">
        <v>908.1973326782894</v>
      </c>
      <c r="AA303" s="170">
        <v>2565.0773054757533</v>
      </c>
      <c r="AB303" s="170">
        <v>2172.2301615304264</v>
      </c>
      <c r="AC303" s="170">
        <v>708.4335810899131</v>
      </c>
      <c r="AD303" s="172">
        <f t="shared" si="196"/>
        <v>1322.7368885983901</v>
      </c>
      <c r="AG303">
        <v>2060</v>
      </c>
      <c r="AH303" t="s">
        <v>240</v>
      </c>
      <c r="AI303" t="s">
        <v>240</v>
      </c>
      <c r="AJ303" s="170">
        <v>908.1973326782894</v>
      </c>
      <c r="AK303" s="170">
        <v>2565.0773054757533</v>
      </c>
      <c r="AL303" s="170">
        <v>2172.2301615304264</v>
      </c>
      <c r="AM303" s="170">
        <v>708.4335810899131</v>
      </c>
      <c r="AN303" s="172">
        <f t="shared" si="197"/>
        <v>1323.5142786445801</v>
      </c>
    </row>
    <row r="304" spans="5:40">
      <c r="E304">
        <v>2070</v>
      </c>
      <c r="F304" s="320" t="s">
        <v>240</v>
      </c>
      <c r="G304" s="320" t="s">
        <v>240</v>
      </c>
      <c r="H304" s="63">
        <f t="shared" si="209"/>
        <v>1050.3044616065065</v>
      </c>
      <c r="I304" s="63">
        <f t="shared" si="209"/>
        <v>2966.4391662126945</v>
      </c>
      <c r="J304" s="63">
        <f t="shared" si="209"/>
        <v>2512.1225841562818</v>
      </c>
      <c r="K304" s="63">
        <f t="shared" si="209"/>
        <v>819.28334756977574</v>
      </c>
      <c r="L304" s="63">
        <f t="shared" si="194"/>
        <v>1530.6590304408051</v>
      </c>
      <c r="M304" s="63"/>
      <c r="N304">
        <v>2070</v>
      </c>
      <c r="O304" s="320" t="s">
        <v>240</v>
      </c>
      <c r="P304" s="320" t="s">
        <v>240</v>
      </c>
      <c r="Q304" s="63">
        <f t="shared" ref="Q304:T304" si="213">Q303*(1+$C$6)^10</f>
        <v>1050.3044616065065</v>
      </c>
      <c r="R304" s="63">
        <f t="shared" si="213"/>
        <v>2966.4391662126945</v>
      </c>
      <c r="S304" s="63">
        <f t="shared" si="213"/>
        <v>2512.1225841562818</v>
      </c>
      <c r="T304" s="63">
        <f t="shared" si="213"/>
        <v>819.28334756977574</v>
      </c>
      <c r="U304" s="172">
        <f t="shared" si="195"/>
        <v>1530.2155077486852</v>
      </c>
      <c r="W304">
        <v>2070</v>
      </c>
      <c r="Z304" s="170">
        <v>1312.8805770081326</v>
      </c>
      <c r="AA304" s="170">
        <v>3708.0489577658686</v>
      </c>
      <c r="AB304" s="170">
        <v>3140.1532301953544</v>
      </c>
      <c r="AC304" s="170">
        <v>1024.1041844622198</v>
      </c>
      <c r="AD304" s="172">
        <f t="shared" si="196"/>
        <v>1912.1346287284791</v>
      </c>
      <c r="AG304">
        <v>2070</v>
      </c>
      <c r="AH304" t="s">
        <v>240</v>
      </c>
      <c r="AI304" t="s">
        <v>240</v>
      </c>
      <c r="AJ304" s="170">
        <v>1312.8805770081326</v>
      </c>
      <c r="AK304" s="170">
        <v>3708.0489577658686</v>
      </c>
      <c r="AL304" s="170">
        <v>3140.1532301953544</v>
      </c>
      <c r="AM304" s="170">
        <v>1024.1041844622198</v>
      </c>
      <c r="AN304" s="172">
        <f t="shared" si="197"/>
        <v>1913.2584156585649</v>
      </c>
    </row>
    <row r="305" spans="5:40">
      <c r="E305">
        <v>2080</v>
      </c>
      <c r="F305" s="320" t="s">
        <v>240</v>
      </c>
      <c r="G305" s="320" t="s">
        <v>240</v>
      </c>
      <c r="H305" s="63">
        <f t="shared" si="209"/>
        <v>1518.3091581228223</v>
      </c>
      <c r="I305" s="63">
        <f t="shared" si="209"/>
        <v>4288.2534709848378</v>
      </c>
      <c r="J305" s="63">
        <f t="shared" si="209"/>
        <v>3631.4981657962562</v>
      </c>
      <c r="K305" s="63">
        <f t="shared" si="209"/>
        <v>1184.3474489388077</v>
      </c>
      <c r="L305" s="63">
        <f t="shared" si="194"/>
        <v>2212.7047050023471</v>
      </c>
      <c r="M305" s="63"/>
      <c r="N305">
        <v>2080</v>
      </c>
      <c r="O305" s="320" t="s">
        <v>240</v>
      </c>
      <c r="P305" s="320" t="s">
        <v>240</v>
      </c>
      <c r="Q305" s="63">
        <f t="shared" ref="Q305:T305" si="214">Q304*(1+$C$6)^10</f>
        <v>1518.3091581228223</v>
      </c>
      <c r="R305" s="63">
        <f t="shared" si="214"/>
        <v>4288.2534709848378</v>
      </c>
      <c r="S305" s="63">
        <f t="shared" si="214"/>
        <v>3631.4981657962562</v>
      </c>
      <c r="T305" s="63">
        <f t="shared" si="214"/>
        <v>1184.3474489388077</v>
      </c>
      <c r="U305" s="172">
        <f t="shared" si="195"/>
        <v>2212.0635532316965</v>
      </c>
      <c r="W305">
        <v>2080</v>
      </c>
      <c r="Z305" s="170">
        <v>1897.8864476535271</v>
      </c>
      <c r="AA305" s="170">
        <v>5360.3168387310479</v>
      </c>
      <c r="AB305" s="170">
        <v>4539.372707245323</v>
      </c>
      <c r="AC305" s="170">
        <v>1480.4343111735097</v>
      </c>
      <c r="AD305" s="172">
        <f t="shared" si="196"/>
        <v>2764.1618449583552</v>
      </c>
      <c r="AG305">
        <v>2080</v>
      </c>
      <c r="AH305" t="s">
        <v>240</v>
      </c>
      <c r="AI305" t="s">
        <v>240</v>
      </c>
      <c r="AJ305" s="170">
        <v>1897.8864476535271</v>
      </c>
      <c r="AK305" s="170">
        <v>5360.3168387310479</v>
      </c>
      <c r="AL305" s="170">
        <v>4539.372707245323</v>
      </c>
      <c r="AM305" s="170">
        <v>1480.4343111735097</v>
      </c>
      <c r="AN305" s="172">
        <f t="shared" si="197"/>
        <v>2765.7863796053066</v>
      </c>
    </row>
    <row r="306" spans="5:40">
      <c r="E306">
        <v>2090</v>
      </c>
      <c r="F306" s="320" t="s">
        <v>240</v>
      </c>
      <c r="G306" s="320" t="s">
        <v>240</v>
      </c>
      <c r="H306" s="63">
        <f t="shared" si="209"/>
        <v>2194.8518585873562</v>
      </c>
      <c r="I306" s="63">
        <f t="shared" si="209"/>
        <v>6199.054422171489</v>
      </c>
      <c r="J306" s="63">
        <f t="shared" si="209"/>
        <v>5249.6558135162832</v>
      </c>
      <c r="K306" s="63">
        <f t="shared" si="209"/>
        <v>1712.0803003852095</v>
      </c>
      <c r="L306" s="63">
        <f t="shared" si="194"/>
        <v>3198.6628074376154</v>
      </c>
      <c r="M306" s="63"/>
      <c r="N306">
        <v>2090</v>
      </c>
      <c r="O306" s="320" t="s">
        <v>240</v>
      </c>
      <c r="P306" s="320" t="s">
        <v>240</v>
      </c>
      <c r="Q306" s="63">
        <f t="shared" ref="Q306:T306" si="215">Q305*(1+$C$6)^10</f>
        <v>2194.8518585873562</v>
      </c>
      <c r="R306" s="63">
        <f t="shared" si="215"/>
        <v>6199.054422171489</v>
      </c>
      <c r="S306" s="63">
        <f t="shared" si="215"/>
        <v>5249.6558135162832</v>
      </c>
      <c r="T306" s="63">
        <f t="shared" si="215"/>
        <v>1712.0803003852095</v>
      </c>
      <c r="U306" s="172">
        <f t="shared" si="195"/>
        <v>3197.7359651354932</v>
      </c>
      <c r="W306">
        <v>2090</v>
      </c>
      <c r="Z306" s="170">
        <v>2743.5648232341941</v>
      </c>
      <c r="AA306" s="170">
        <v>7748.8180277143629</v>
      </c>
      <c r="AB306" s="170">
        <v>6562.069766895358</v>
      </c>
      <c r="AC306" s="170">
        <v>2140.1003754815119</v>
      </c>
      <c r="AD306" s="172">
        <f t="shared" si="196"/>
        <v>3995.8434883867858</v>
      </c>
      <c r="AG306">
        <v>2090</v>
      </c>
      <c r="AH306" t="s">
        <v>240</v>
      </c>
      <c r="AI306" t="s">
        <v>240</v>
      </c>
      <c r="AJ306" s="170">
        <v>2743.5648232341941</v>
      </c>
      <c r="AK306" s="170">
        <v>7748.8180277143629</v>
      </c>
      <c r="AL306" s="170">
        <v>6562.069766895358</v>
      </c>
      <c r="AM306" s="170">
        <v>2140.1003754815119</v>
      </c>
      <c r="AN306" s="172">
        <f t="shared" si="197"/>
        <v>3998.1918987023823</v>
      </c>
    </row>
    <row r="307" spans="5:40">
      <c r="E307">
        <v>2100</v>
      </c>
      <c r="F307" s="320" t="s">
        <v>240</v>
      </c>
      <c r="G307" s="320" t="s">
        <v>240</v>
      </c>
      <c r="H307" s="63">
        <f t="shared" si="209"/>
        <v>3172.8549191525553</v>
      </c>
      <c r="I307" s="63">
        <f t="shared" si="209"/>
        <v>8961.2883168070948</v>
      </c>
      <c r="J307" s="63">
        <f t="shared" si="209"/>
        <v>7588.8476056389918</v>
      </c>
      <c r="K307" s="63">
        <f t="shared" si="209"/>
        <v>2474.965397690959</v>
      </c>
      <c r="L307" s="63">
        <f t="shared" si="194"/>
        <v>4623.9535409103937</v>
      </c>
      <c r="M307" s="63"/>
      <c r="N307">
        <v>2100</v>
      </c>
      <c r="O307" s="320" t="s">
        <v>240</v>
      </c>
      <c r="P307" s="320" t="s">
        <v>240</v>
      </c>
      <c r="Q307" s="63">
        <f t="shared" ref="Q307:T307" si="216">Q306*(1+$C$6)^10</f>
        <v>3172.8549191525553</v>
      </c>
      <c r="R307" s="63">
        <f t="shared" si="216"/>
        <v>8961.2883168070948</v>
      </c>
      <c r="S307" s="63">
        <f t="shared" si="216"/>
        <v>7588.8476056389918</v>
      </c>
      <c r="T307" s="63">
        <f t="shared" si="216"/>
        <v>2474.965397690959</v>
      </c>
      <c r="U307" s="172">
        <f t="shared" si="195"/>
        <v>4622.6137073603231</v>
      </c>
      <c r="W307">
        <v>2100</v>
      </c>
      <c r="Z307" s="170">
        <v>3966.0686489406926</v>
      </c>
      <c r="AA307" s="170">
        <v>11201.610396008869</v>
      </c>
      <c r="AB307" s="170">
        <v>9486.0595070487452</v>
      </c>
      <c r="AC307" s="170">
        <v>3093.7067471136988</v>
      </c>
      <c r="AD307" s="172">
        <f t="shared" si="196"/>
        <v>5776.3496058689107</v>
      </c>
      <c r="AG307">
        <v>2100</v>
      </c>
      <c r="AH307" t="s">
        <v>240</v>
      </c>
      <c r="AI307" t="s">
        <v>240</v>
      </c>
      <c r="AJ307" s="170">
        <v>3966.0686489406926</v>
      </c>
      <c r="AK307" s="170">
        <v>11201.610396008869</v>
      </c>
      <c r="AL307" s="170">
        <v>9486.0595070487452</v>
      </c>
      <c r="AM307" s="170">
        <v>3093.7067471136988</v>
      </c>
      <c r="AN307" s="172">
        <f t="shared" si="197"/>
        <v>5779.744443289429</v>
      </c>
    </row>
    <row r="308" spans="5:40">
      <c r="F308" s="581" t="s">
        <v>295</v>
      </c>
      <c r="G308" s="581"/>
      <c r="H308" s="581"/>
      <c r="I308" s="581"/>
      <c r="J308" s="581"/>
      <c r="K308" s="581"/>
      <c r="L308" s="426"/>
      <c r="M308" s="63"/>
      <c r="O308" s="581" t="s">
        <v>295</v>
      </c>
      <c r="P308" s="581"/>
      <c r="Q308" s="581"/>
      <c r="R308" s="581"/>
      <c r="S308" s="581"/>
      <c r="T308" s="581"/>
      <c r="X308" s="581" t="s">
        <v>295</v>
      </c>
      <c r="Y308" s="581"/>
      <c r="Z308" s="581"/>
      <c r="AA308" s="581"/>
      <c r="AB308" s="581"/>
      <c r="AC308" s="581"/>
      <c r="AD308" s="172"/>
      <c r="AH308" s="581" t="s">
        <v>295</v>
      </c>
      <c r="AI308" s="581"/>
      <c r="AJ308" s="581"/>
      <c r="AK308" s="581"/>
      <c r="AL308" s="581"/>
      <c r="AM308" s="581"/>
    </row>
    <row r="309" spans="5:40">
      <c r="E309">
        <v>2020</v>
      </c>
      <c r="F309" s="320" t="s">
        <v>240</v>
      </c>
      <c r="G309" s="320" t="s">
        <v>240</v>
      </c>
      <c r="H309" s="63">
        <f>('Demographic-Economic'!E$24*1000*(1-AVERAGE('Demographic-Economic'!$C12:$H12))*(1+'Inflation-Interest'!$C$65)*(1+'Inflation-Interest'!$C$66)*(1+'Inflation-Interest'!$C$67))*$C$9/H43</f>
        <v>0</v>
      </c>
      <c r="I309" s="63">
        <f>('Demographic-Economic'!F$24*1000*(1-AVERAGE('Demographic-Economic'!$C12:$H12))*(1+'Inflation-Interest'!$C$65)*(1+'Inflation-Interest'!$C$66)*(1+'Inflation-Interest'!$C$67))*$C$9/I43</f>
        <v>0</v>
      </c>
      <c r="J309" s="63">
        <f>('Demographic-Economic'!G$24*1000*(1-AVERAGE('Demographic-Economic'!$C12:$H12))*(1+'Inflation-Interest'!$C$65)*(1+'Inflation-Interest'!$C$66)*(1+'Inflation-Interest'!$C$67))*$C$9/J43</f>
        <v>0</v>
      </c>
      <c r="K309" s="63">
        <f>('Demographic-Economic'!H$24*1000*(1-AVERAGE('Demographic-Economic'!$C12:$H12))*(1+'Inflation-Interest'!$C$65)*(1+'Inflation-Interest'!$C$66)*(1+'Inflation-Interest'!$C$67))*$C$9/K43</f>
        <v>0</v>
      </c>
      <c r="L309" s="63">
        <f t="shared" ref="L309:L326" si="217">SUMPRODUCT(H309:K309, H43:K43)/SUM(H43:K43)</f>
        <v>0</v>
      </c>
      <c r="M309" s="63"/>
      <c r="N309">
        <v>2020</v>
      </c>
      <c r="O309" s="320" t="s">
        <v>240</v>
      </c>
      <c r="P309" s="320" t="s">
        <v>240</v>
      </c>
      <c r="Q309" s="170">
        <f>('Demographic-Economic'!E$24*1000*(1-AVERAGE('Demographic-Economic'!$C12:$H12))*(1+'Inflation-Interest'!$C$65)*(1+'Inflation-Interest'!$C$66)*(1+'Inflation-Interest'!$C$67))*$C$9/Q43</f>
        <v>0</v>
      </c>
      <c r="R309" s="170">
        <f>('Demographic-Economic'!F$24*1000*(1-AVERAGE('Demographic-Economic'!$C12:$H12))*(1+'Inflation-Interest'!$C$65)*(1+'Inflation-Interest'!$C$66)*(1+'Inflation-Interest'!$C$67))*$C$9/R43</f>
        <v>0</v>
      </c>
      <c r="S309" s="170">
        <f>('Demographic-Economic'!G$24*1000*(1-AVERAGE('Demographic-Economic'!$C12:$H12))*(1+'Inflation-Interest'!$C$65)*(1+'Inflation-Interest'!$C$66)*(1+'Inflation-Interest'!$C$67))*$C$9/S43</f>
        <v>0</v>
      </c>
      <c r="T309" s="170">
        <f>('Demographic-Economic'!H$24*1000*(1-AVERAGE('Demographic-Economic'!$C12:$H12))*(1+'Inflation-Interest'!$C$65)*(1+'Inflation-Interest'!$C$66)*(1+'Inflation-Interest'!$C$67))*$C$9/T43</f>
        <v>0</v>
      </c>
      <c r="U309" s="172">
        <f t="shared" ref="U309:U326" si="218">SUMPRODUCT(Q309:T309, Q43:T43)/SUM(Q43:T43)</f>
        <v>0</v>
      </c>
      <c r="W309">
        <v>2020</v>
      </c>
      <c r="Z309" s="170">
        <v>99.710196359216766</v>
      </c>
      <c r="AA309" s="170">
        <v>275.06512464495847</v>
      </c>
      <c r="AB309" s="170">
        <v>206.84086379980764</v>
      </c>
      <c r="AC309" s="170">
        <v>101.83256859467089</v>
      </c>
      <c r="AD309" s="172">
        <f t="shared" ref="AD309:AD326" si="219">SUMPRODUCT(Z309:AC309, Z43:AC43)/SUM(Z43:AC43)</f>
        <v>142.98033174014205</v>
      </c>
      <c r="AG309">
        <v>2020</v>
      </c>
      <c r="AJ309" s="170">
        <v>99.710196359216766</v>
      </c>
      <c r="AK309" s="170">
        <v>275.06512464495847</v>
      </c>
      <c r="AL309" s="170">
        <v>206.84086379980764</v>
      </c>
      <c r="AM309" s="170">
        <v>101.83256859467089</v>
      </c>
      <c r="AN309" s="172">
        <f t="shared" ref="AN309:AN326" si="220">SUMPRODUCT(AJ309:AM309, AJ43:AM43)/SUM(AJ43:AM43)</f>
        <v>142.98033174014205</v>
      </c>
    </row>
    <row r="310" spans="5:40">
      <c r="E310">
        <v>2021</v>
      </c>
      <c r="F310" s="320" t="s">
        <v>240</v>
      </c>
      <c r="G310" s="320" t="s">
        <v>240</v>
      </c>
      <c r="H310" s="63">
        <f>H309*(1+$C$6)</f>
        <v>0</v>
      </c>
      <c r="I310" s="63">
        <f t="shared" ref="I310:K310" si="221">I309*(1+$C$6)</f>
        <v>0</v>
      </c>
      <c r="J310" s="63">
        <f t="shared" si="221"/>
        <v>0</v>
      </c>
      <c r="K310" s="63">
        <f t="shared" si="221"/>
        <v>0</v>
      </c>
      <c r="L310" s="63">
        <f t="shared" si="217"/>
        <v>0</v>
      </c>
      <c r="M310" s="63"/>
      <c r="N310">
        <v>2021</v>
      </c>
      <c r="O310" s="320" t="s">
        <v>240</v>
      </c>
      <c r="P310" s="320" t="s">
        <v>240</v>
      </c>
      <c r="Q310" s="63">
        <f>Q309*(1+$C$6)</f>
        <v>0</v>
      </c>
      <c r="R310" s="63">
        <f t="shared" ref="R310:R319" si="222">R309*(1+$C$6)</f>
        <v>0</v>
      </c>
      <c r="S310" s="63">
        <f t="shared" ref="S310:S319" si="223">S309*(1+$C$6)</f>
        <v>0</v>
      </c>
      <c r="T310" s="63">
        <f t="shared" ref="T310:T319" si="224">T309*(1+$C$6)</f>
        <v>0</v>
      </c>
      <c r="U310" s="172">
        <f t="shared" si="218"/>
        <v>0</v>
      </c>
      <c r="W310">
        <v>2021</v>
      </c>
      <c r="Z310" s="170">
        <v>103.45323403871147</v>
      </c>
      <c r="AA310" s="170">
        <v>285.39084020319302</v>
      </c>
      <c r="AB310" s="170">
        <v>214.60549745946591</v>
      </c>
      <c r="AC310" s="170">
        <v>105.65527835924101</v>
      </c>
      <c r="AD310" s="172">
        <f t="shared" si="219"/>
        <v>148.40104651427617</v>
      </c>
      <c r="AG310">
        <v>2021</v>
      </c>
      <c r="AJ310" s="170">
        <v>103.45323403871147</v>
      </c>
      <c r="AK310" s="170">
        <v>285.39084020319302</v>
      </c>
      <c r="AL310" s="170">
        <v>214.60549745946591</v>
      </c>
      <c r="AM310" s="170">
        <v>105.65527835924101</v>
      </c>
      <c r="AN310" s="172">
        <f t="shared" si="220"/>
        <v>148.40104651427617</v>
      </c>
    </row>
    <row r="311" spans="5:40">
      <c r="E311">
        <v>2022</v>
      </c>
      <c r="F311" s="320" t="s">
        <v>240</v>
      </c>
      <c r="G311" s="320" t="s">
        <v>240</v>
      </c>
      <c r="H311" s="63">
        <f t="shared" ref="H311:H319" si="225">H310*(1+$C$6)</f>
        <v>0</v>
      </c>
      <c r="I311" s="63">
        <f t="shared" ref="I311:I319" si="226">I310*(1+$C$6)</f>
        <v>0</v>
      </c>
      <c r="J311" s="63">
        <f t="shared" ref="J311:J319" si="227">J310*(1+$C$6)</f>
        <v>0</v>
      </c>
      <c r="K311" s="63">
        <f t="shared" ref="K311:K319" si="228">K310*(1+$C$6)</f>
        <v>0</v>
      </c>
      <c r="L311" s="63">
        <f t="shared" si="217"/>
        <v>0</v>
      </c>
      <c r="M311" s="63"/>
      <c r="N311">
        <v>2022</v>
      </c>
      <c r="O311" s="320" t="s">
        <v>240</v>
      </c>
      <c r="P311" s="320" t="s">
        <v>240</v>
      </c>
      <c r="Q311" s="63">
        <f t="shared" ref="Q311:Q319" si="229">Q310*(1+$C$6)</f>
        <v>0</v>
      </c>
      <c r="R311" s="63">
        <f t="shared" si="222"/>
        <v>0</v>
      </c>
      <c r="S311" s="63">
        <f t="shared" si="223"/>
        <v>0</v>
      </c>
      <c r="T311" s="63">
        <f t="shared" si="224"/>
        <v>0</v>
      </c>
      <c r="U311" s="172">
        <f t="shared" si="218"/>
        <v>0</v>
      </c>
      <c r="W311">
        <v>2022</v>
      </c>
      <c r="Z311" s="170">
        <v>107.33678223349634</v>
      </c>
      <c r="AA311" s="170">
        <v>296.1041745187207</v>
      </c>
      <c r="AB311" s="170">
        <v>222.66160899617972</v>
      </c>
      <c r="AC311" s="170">
        <v>109.62148946278162</v>
      </c>
      <c r="AD311" s="172">
        <f t="shared" si="219"/>
        <v>154.01573199929956</v>
      </c>
      <c r="AG311">
        <v>2022</v>
      </c>
      <c r="AJ311" s="170">
        <v>107.33678223349634</v>
      </c>
      <c r="AK311" s="170">
        <v>296.1041745187207</v>
      </c>
      <c r="AL311" s="170">
        <v>222.66160899617972</v>
      </c>
      <c r="AM311" s="170">
        <v>109.62148946278162</v>
      </c>
      <c r="AN311" s="172">
        <f t="shared" si="220"/>
        <v>154.01434333096677</v>
      </c>
    </row>
    <row r="312" spans="5:40">
      <c r="E312">
        <v>2023</v>
      </c>
      <c r="F312" s="320" t="s">
        <v>240</v>
      </c>
      <c r="G312" s="320" t="s">
        <v>240</v>
      </c>
      <c r="H312" s="63">
        <f t="shared" si="225"/>
        <v>0</v>
      </c>
      <c r="I312" s="63">
        <f t="shared" si="226"/>
        <v>0</v>
      </c>
      <c r="J312" s="63">
        <f t="shared" si="227"/>
        <v>0</v>
      </c>
      <c r="K312" s="63">
        <f t="shared" si="228"/>
        <v>0</v>
      </c>
      <c r="L312" s="63">
        <f t="shared" si="217"/>
        <v>0</v>
      </c>
      <c r="M312" s="63"/>
      <c r="N312">
        <v>2023</v>
      </c>
      <c r="O312" s="320" t="s">
        <v>240</v>
      </c>
      <c r="P312" s="320" t="s">
        <v>240</v>
      </c>
      <c r="Q312" s="63">
        <f t="shared" si="229"/>
        <v>0</v>
      </c>
      <c r="R312" s="63">
        <f t="shared" si="222"/>
        <v>0</v>
      </c>
      <c r="S312" s="63">
        <f t="shared" si="223"/>
        <v>0</v>
      </c>
      <c r="T312" s="63">
        <f t="shared" si="224"/>
        <v>0</v>
      </c>
      <c r="U312" s="172">
        <f t="shared" si="218"/>
        <v>0</v>
      </c>
      <c r="W312">
        <v>2023</v>
      </c>
      <c r="Z312" s="170">
        <v>111.36611559122326</v>
      </c>
      <c r="AA312" s="170">
        <v>307.21967847667469</v>
      </c>
      <c r="AB312" s="170">
        <v>231.02014024655548</v>
      </c>
      <c r="AC312" s="170">
        <v>113.73658882597323</v>
      </c>
      <c r="AD312" s="172">
        <f t="shared" si="219"/>
        <v>159.83143413289781</v>
      </c>
      <c r="AG312">
        <v>2023</v>
      </c>
      <c r="AJ312" s="170">
        <v>111.36611559122326</v>
      </c>
      <c r="AK312" s="170">
        <v>307.21967847667469</v>
      </c>
      <c r="AL312" s="170">
        <v>231.02014024655548</v>
      </c>
      <c r="AM312" s="170">
        <v>113.73658882597323</v>
      </c>
      <c r="AN312" s="172">
        <f t="shared" si="220"/>
        <v>159.82795767995427</v>
      </c>
    </row>
    <row r="313" spans="5:40">
      <c r="E313">
        <v>2024</v>
      </c>
      <c r="F313" s="320" t="s">
        <v>240</v>
      </c>
      <c r="G313" s="320" t="s">
        <v>240</v>
      </c>
      <c r="H313" s="63">
        <f t="shared" si="225"/>
        <v>0</v>
      </c>
      <c r="I313" s="63">
        <f t="shared" si="226"/>
        <v>0</v>
      </c>
      <c r="J313" s="63">
        <f t="shared" si="227"/>
        <v>0</v>
      </c>
      <c r="K313" s="63">
        <f t="shared" si="228"/>
        <v>0</v>
      </c>
      <c r="L313" s="63">
        <f t="shared" si="217"/>
        <v>0</v>
      </c>
      <c r="M313" s="63"/>
      <c r="N313">
        <v>2024</v>
      </c>
      <c r="O313" s="320" t="s">
        <v>240</v>
      </c>
      <c r="P313" s="320" t="s">
        <v>240</v>
      </c>
      <c r="Q313" s="63">
        <f t="shared" si="229"/>
        <v>0</v>
      </c>
      <c r="R313" s="63">
        <f t="shared" si="222"/>
        <v>0</v>
      </c>
      <c r="S313" s="63">
        <f t="shared" si="223"/>
        <v>0</v>
      </c>
      <c r="T313" s="63">
        <f t="shared" si="224"/>
        <v>0</v>
      </c>
      <c r="U313" s="172">
        <f t="shared" si="218"/>
        <v>0</v>
      </c>
      <c r="W313">
        <v>2024</v>
      </c>
      <c r="Z313" s="170">
        <v>115.54670676542146</v>
      </c>
      <c r="AA313" s="170">
        <v>318.75244919029035</v>
      </c>
      <c r="AB313" s="170">
        <v>239.69244379462765</v>
      </c>
      <c r="AC313" s="170">
        <v>118.00616559000957</v>
      </c>
      <c r="AD313" s="172">
        <f t="shared" si="219"/>
        <v>165.85549218551995</v>
      </c>
      <c r="AG313">
        <v>2024</v>
      </c>
      <c r="AJ313" s="170">
        <v>115.54670676542146</v>
      </c>
      <c r="AK313" s="170">
        <v>318.75244919029035</v>
      </c>
      <c r="AL313" s="170">
        <v>239.69244379462765</v>
      </c>
      <c r="AM313" s="170">
        <v>118.00616559000957</v>
      </c>
      <c r="AN313" s="172">
        <f t="shared" si="220"/>
        <v>165.84984874093229</v>
      </c>
    </row>
    <row r="314" spans="5:40">
      <c r="E314">
        <v>2025</v>
      </c>
      <c r="F314" s="320" t="s">
        <v>240</v>
      </c>
      <c r="G314" s="320" t="s">
        <v>240</v>
      </c>
      <c r="H314" s="63">
        <f t="shared" si="225"/>
        <v>0</v>
      </c>
      <c r="I314" s="63">
        <f t="shared" si="226"/>
        <v>0</v>
      </c>
      <c r="J314" s="63">
        <f t="shared" si="227"/>
        <v>0</v>
      </c>
      <c r="K314" s="63">
        <f t="shared" si="228"/>
        <v>0</v>
      </c>
      <c r="L314" s="63">
        <f t="shared" si="217"/>
        <v>0</v>
      </c>
      <c r="M314" s="63"/>
      <c r="N314">
        <v>2025</v>
      </c>
      <c r="O314" s="320" t="s">
        <v>240</v>
      </c>
      <c r="P314" s="320" t="s">
        <v>240</v>
      </c>
      <c r="Q314" s="63">
        <f t="shared" si="229"/>
        <v>0</v>
      </c>
      <c r="R314" s="63">
        <f t="shared" si="222"/>
        <v>0</v>
      </c>
      <c r="S314" s="63">
        <f t="shared" si="223"/>
        <v>0</v>
      </c>
      <c r="T314" s="63">
        <f t="shared" si="224"/>
        <v>0</v>
      </c>
      <c r="U314" s="172">
        <f t="shared" si="218"/>
        <v>0</v>
      </c>
      <c r="W314">
        <v>2025</v>
      </c>
      <c r="Z314" s="170">
        <v>119.88423384847307</v>
      </c>
      <c r="AA314" s="170">
        <v>330.71815050585286</v>
      </c>
      <c r="AB314" s="170">
        <v>248.69029839097482</v>
      </c>
      <c r="AC314" s="170">
        <v>122.43601870778721</v>
      </c>
      <c r="AD314" s="172">
        <f t="shared" si="219"/>
        <v>172.09554800359012</v>
      </c>
      <c r="AG314">
        <v>2025</v>
      </c>
      <c r="AJ314" s="170">
        <v>119.88423384847307</v>
      </c>
      <c r="AK314" s="170">
        <v>330.71815050585286</v>
      </c>
      <c r="AL314" s="170">
        <v>248.69029839097482</v>
      </c>
      <c r="AM314" s="170">
        <v>122.43601870778721</v>
      </c>
      <c r="AN314" s="172">
        <f t="shared" si="220"/>
        <v>172.08821580945406</v>
      </c>
    </row>
    <row r="315" spans="5:40">
      <c r="E315">
        <v>2026</v>
      </c>
      <c r="F315" s="320" t="s">
        <v>240</v>
      </c>
      <c r="G315" s="320" t="s">
        <v>240</v>
      </c>
      <c r="H315" s="63">
        <f t="shared" si="225"/>
        <v>0</v>
      </c>
      <c r="I315" s="63">
        <f t="shared" si="226"/>
        <v>0</v>
      </c>
      <c r="J315" s="63">
        <f t="shared" si="227"/>
        <v>0</v>
      </c>
      <c r="K315" s="63">
        <f t="shared" si="228"/>
        <v>0</v>
      </c>
      <c r="L315" s="63">
        <f t="shared" si="217"/>
        <v>0</v>
      </c>
      <c r="M315" s="63"/>
      <c r="N315">
        <v>2026</v>
      </c>
      <c r="O315" s="320" t="s">
        <v>240</v>
      </c>
      <c r="P315" s="320" t="s">
        <v>240</v>
      </c>
      <c r="Q315" s="63">
        <f t="shared" si="229"/>
        <v>0</v>
      </c>
      <c r="R315" s="63">
        <f t="shared" si="222"/>
        <v>0</v>
      </c>
      <c r="S315" s="63">
        <f t="shared" si="223"/>
        <v>0</v>
      </c>
      <c r="T315" s="63">
        <f t="shared" si="224"/>
        <v>0</v>
      </c>
      <c r="U315" s="172">
        <f t="shared" si="218"/>
        <v>0</v>
      </c>
      <c r="W315">
        <v>2026</v>
      </c>
      <c r="Z315" s="170">
        <v>124.38458808361655</v>
      </c>
      <c r="AA315" s="170">
        <v>343.13303427738384</v>
      </c>
      <c r="AB315" s="170">
        <v>258.0259249506567</v>
      </c>
      <c r="AC315" s="170">
        <v>127.03216482006195</v>
      </c>
      <c r="AD315" s="172">
        <f t="shared" si="219"/>
        <v>178.55955532730815</v>
      </c>
      <c r="AG315">
        <v>2026</v>
      </c>
      <c r="AJ315" s="170">
        <v>124.38458808361655</v>
      </c>
      <c r="AK315" s="170">
        <v>343.13303427738384</v>
      </c>
      <c r="AL315" s="170">
        <v>258.0259249506567</v>
      </c>
      <c r="AM315" s="170">
        <v>127.03216482006195</v>
      </c>
      <c r="AN315" s="172">
        <f t="shared" si="220"/>
        <v>178.55151411951283</v>
      </c>
    </row>
    <row r="316" spans="5:40">
      <c r="E316">
        <v>2027</v>
      </c>
      <c r="F316" s="320" t="s">
        <v>240</v>
      </c>
      <c r="G316" s="320" t="s">
        <v>240</v>
      </c>
      <c r="H316" s="63">
        <f t="shared" si="225"/>
        <v>0</v>
      </c>
      <c r="I316" s="63">
        <f t="shared" si="226"/>
        <v>0</v>
      </c>
      <c r="J316" s="63">
        <f t="shared" si="227"/>
        <v>0</v>
      </c>
      <c r="K316" s="63">
        <f t="shared" si="228"/>
        <v>0</v>
      </c>
      <c r="L316" s="63">
        <f t="shared" si="217"/>
        <v>0</v>
      </c>
      <c r="M316" s="63"/>
      <c r="N316">
        <v>2027</v>
      </c>
      <c r="O316" s="320" t="s">
        <v>240</v>
      </c>
      <c r="P316" s="320" t="s">
        <v>240</v>
      </c>
      <c r="Q316" s="63">
        <f t="shared" si="229"/>
        <v>0</v>
      </c>
      <c r="R316" s="63">
        <f t="shared" si="222"/>
        <v>0</v>
      </c>
      <c r="S316" s="63">
        <f t="shared" si="223"/>
        <v>0</v>
      </c>
      <c r="T316" s="63">
        <f t="shared" si="224"/>
        <v>0</v>
      </c>
      <c r="U316" s="172">
        <f t="shared" si="218"/>
        <v>0</v>
      </c>
      <c r="W316">
        <v>2027</v>
      </c>
      <c r="Z316" s="170">
        <v>129.05388186645212</v>
      </c>
      <c r="AA316" s="170">
        <v>356.01396243996163</v>
      </c>
      <c r="AB316" s="170">
        <v>267.71200315170023</v>
      </c>
      <c r="AC316" s="170">
        <v>131.80084642726973</v>
      </c>
      <c r="AD316" s="172">
        <f t="shared" si="219"/>
        <v>185.25578925446791</v>
      </c>
      <c r="AG316">
        <v>2027</v>
      </c>
      <c r="AJ316" s="170">
        <v>129.05388186645212</v>
      </c>
      <c r="AK316" s="170">
        <v>356.01396243996163</v>
      </c>
      <c r="AL316" s="170">
        <v>267.71200315170023</v>
      </c>
      <c r="AM316" s="170">
        <v>131.80084642726973</v>
      </c>
      <c r="AN316" s="172">
        <f t="shared" si="220"/>
        <v>185.24847024675438</v>
      </c>
    </row>
    <row r="317" spans="5:40">
      <c r="E317">
        <v>2028</v>
      </c>
      <c r="F317" s="320" t="s">
        <v>240</v>
      </c>
      <c r="G317" s="320" t="s">
        <v>240</v>
      </c>
      <c r="H317" s="63">
        <f t="shared" si="225"/>
        <v>0</v>
      </c>
      <c r="I317" s="63">
        <f t="shared" si="226"/>
        <v>0</v>
      </c>
      <c r="J317" s="63">
        <f t="shared" si="227"/>
        <v>0</v>
      </c>
      <c r="K317" s="63">
        <f t="shared" si="228"/>
        <v>0</v>
      </c>
      <c r="L317" s="63">
        <f t="shared" si="217"/>
        <v>0</v>
      </c>
      <c r="M317" s="63"/>
      <c r="N317">
        <v>2028</v>
      </c>
      <c r="O317" s="320" t="s">
        <v>240</v>
      </c>
      <c r="P317" s="320" t="s">
        <v>240</v>
      </c>
      <c r="Q317" s="63">
        <f t="shared" si="229"/>
        <v>0</v>
      </c>
      <c r="R317" s="63">
        <f t="shared" si="222"/>
        <v>0</v>
      </c>
      <c r="S317" s="63">
        <f t="shared" si="223"/>
        <v>0</v>
      </c>
      <c r="T317" s="63">
        <f t="shared" si="224"/>
        <v>0</v>
      </c>
      <c r="U317" s="172">
        <f t="shared" si="218"/>
        <v>0</v>
      </c>
      <c r="W317">
        <v>2028</v>
      </c>
      <c r="Z317" s="170">
        <v>133.89845704681719</v>
      </c>
      <c r="AA317" s="170">
        <v>369.37842991165576</v>
      </c>
      <c r="AB317" s="170">
        <v>277.7616886566791</v>
      </c>
      <c r="AC317" s="170">
        <v>136.74854036811075</v>
      </c>
      <c r="AD317" s="172">
        <f t="shared" si="219"/>
        <v>192.19285592111999</v>
      </c>
      <c r="AG317">
        <v>2028</v>
      </c>
      <c r="AJ317" s="170">
        <v>133.89845704681719</v>
      </c>
      <c r="AK317" s="170">
        <v>369.37842991165576</v>
      </c>
      <c r="AL317" s="170">
        <v>277.7616886566791</v>
      </c>
      <c r="AM317" s="170">
        <v>136.74854036811075</v>
      </c>
      <c r="AN317" s="172">
        <f t="shared" si="220"/>
        <v>192.18809724407797</v>
      </c>
    </row>
    <row r="318" spans="5:40">
      <c r="E318">
        <v>2029</v>
      </c>
      <c r="F318" s="320" t="s">
        <v>240</v>
      </c>
      <c r="G318" s="320" t="s">
        <v>240</v>
      </c>
      <c r="H318" s="63">
        <f t="shared" si="225"/>
        <v>0</v>
      </c>
      <c r="I318" s="63">
        <f t="shared" si="226"/>
        <v>0</v>
      </c>
      <c r="J318" s="63">
        <f t="shared" si="227"/>
        <v>0</v>
      </c>
      <c r="K318" s="63">
        <f t="shared" si="228"/>
        <v>0</v>
      </c>
      <c r="L318" s="63">
        <f t="shared" si="217"/>
        <v>0</v>
      </c>
      <c r="M318" s="63"/>
      <c r="N318">
        <v>2029</v>
      </c>
      <c r="O318" s="320" t="s">
        <v>240</v>
      </c>
      <c r="P318" s="320" t="s">
        <v>240</v>
      </c>
      <c r="Q318" s="63">
        <f t="shared" si="229"/>
        <v>0</v>
      </c>
      <c r="R318" s="63">
        <f t="shared" si="222"/>
        <v>0</v>
      </c>
      <c r="S318" s="63">
        <f t="shared" si="223"/>
        <v>0</v>
      </c>
      <c r="T318" s="63">
        <f t="shared" si="224"/>
        <v>0</v>
      </c>
      <c r="U318" s="172">
        <f t="shared" si="218"/>
        <v>0</v>
      </c>
      <c r="W318">
        <v>2029</v>
      </c>
      <c r="Z318" s="170">
        <v>138.92489354230716</v>
      </c>
      <c r="AA318" s="170">
        <v>383.24458835518107</v>
      </c>
      <c r="AB318" s="170">
        <v>288.18863098077696</v>
      </c>
      <c r="AC318" s="170">
        <v>141.88196661641265</v>
      </c>
      <c r="AD318" s="172">
        <f t="shared" si="219"/>
        <v>199.37970246742233</v>
      </c>
      <c r="AG318">
        <v>2029</v>
      </c>
      <c r="AJ318" s="170">
        <v>138.92489354230716</v>
      </c>
      <c r="AK318" s="170">
        <v>383.24458835518107</v>
      </c>
      <c r="AL318" s="170">
        <v>288.18863098077696</v>
      </c>
      <c r="AM318" s="170">
        <v>141.88196661641265</v>
      </c>
      <c r="AN318" s="172">
        <f t="shared" si="220"/>
        <v>199.37970963608313</v>
      </c>
    </row>
    <row r="319" spans="5:40">
      <c r="E319">
        <v>2030</v>
      </c>
      <c r="F319" s="320" t="s">
        <v>240</v>
      </c>
      <c r="G319" s="320" t="s">
        <v>240</v>
      </c>
      <c r="H319" s="63">
        <f t="shared" si="225"/>
        <v>0</v>
      </c>
      <c r="I319" s="63">
        <f t="shared" si="226"/>
        <v>0</v>
      </c>
      <c r="J319" s="63">
        <f t="shared" si="227"/>
        <v>0</v>
      </c>
      <c r="K319" s="63">
        <f t="shared" si="228"/>
        <v>0</v>
      </c>
      <c r="L319" s="63">
        <f t="shared" si="217"/>
        <v>0</v>
      </c>
      <c r="M319" s="63"/>
      <c r="N319">
        <v>2030</v>
      </c>
      <c r="O319" s="320" t="s">
        <v>240</v>
      </c>
      <c r="P319" s="320" t="s">
        <v>240</v>
      </c>
      <c r="Q319" s="63">
        <f t="shared" si="229"/>
        <v>0</v>
      </c>
      <c r="R319" s="63">
        <f t="shared" si="222"/>
        <v>0</v>
      </c>
      <c r="S319" s="63">
        <f t="shared" si="223"/>
        <v>0</v>
      </c>
      <c r="T319" s="63">
        <f t="shared" si="224"/>
        <v>0</v>
      </c>
      <c r="U319" s="172">
        <f t="shared" si="218"/>
        <v>0</v>
      </c>
      <c r="W319">
        <v>2030</v>
      </c>
      <c r="Z319" s="170">
        <v>144.14001827514076</v>
      </c>
      <c r="AA319" s="170">
        <v>397.63127083154427</v>
      </c>
      <c r="AB319" s="170">
        <v>299.00699203060287</v>
      </c>
      <c r="AC319" s="170">
        <v>147.2080974082206</v>
      </c>
      <c r="AD319" s="172">
        <f t="shared" si="219"/>
        <v>206.82562735311097</v>
      </c>
      <c r="AG319">
        <v>2030</v>
      </c>
      <c r="AJ319" s="170">
        <v>144.14001827514076</v>
      </c>
      <c r="AK319" s="170">
        <v>397.63127083154427</v>
      </c>
      <c r="AL319" s="170">
        <v>299.00699203060287</v>
      </c>
      <c r="AM319" s="170">
        <v>147.2080974082206</v>
      </c>
      <c r="AN319" s="172">
        <f t="shared" si="220"/>
        <v>206.83293837886703</v>
      </c>
    </row>
    <row r="320" spans="5:40">
      <c r="E320">
        <v>2040</v>
      </c>
      <c r="F320" s="320" t="s">
        <v>240</v>
      </c>
      <c r="G320" s="320" t="s">
        <v>240</v>
      </c>
      <c r="H320" s="63">
        <f>H319*(1+$C$6)^10</f>
        <v>0</v>
      </c>
      <c r="I320" s="63">
        <f t="shared" ref="I320:K326" si="230">I319*(1+$C$6)^10</f>
        <v>0</v>
      </c>
      <c r="J320" s="63">
        <f t="shared" si="230"/>
        <v>0</v>
      </c>
      <c r="K320" s="63">
        <f t="shared" si="230"/>
        <v>0</v>
      </c>
      <c r="L320" s="63">
        <f t="shared" si="217"/>
        <v>0</v>
      </c>
      <c r="M320" s="63"/>
      <c r="N320">
        <v>2040</v>
      </c>
      <c r="O320" s="320" t="s">
        <v>240</v>
      </c>
      <c r="P320" s="320" t="s">
        <v>240</v>
      </c>
      <c r="Q320" s="63">
        <f>Q319*(1+$C$6)^10</f>
        <v>0</v>
      </c>
      <c r="R320" s="63">
        <f t="shared" ref="R320:R326" si="231">R319*(1+$C$6)^10</f>
        <v>0</v>
      </c>
      <c r="S320" s="63">
        <f t="shared" ref="S320:S326" si="232">S319*(1+$C$6)^10</f>
        <v>0</v>
      </c>
      <c r="T320" s="63">
        <f t="shared" ref="T320:T326" si="233">T319*(1+$C$6)^10</f>
        <v>0</v>
      </c>
      <c r="U320" s="172">
        <f t="shared" si="218"/>
        <v>0</v>
      </c>
      <c r="W320">
        <v>2040</v>
      </c>
      <c r="Z320" s="170">
        <v>208.36730471885625</v>
      </c>
      <c r="AA320" s="170">
        <v>574.81161142180747</v>
      </c>
      <c r="AB320" s="170">
        <v>432.24138422531644</v>
      </c>
      <c r="AC320" s="170">
        <v>212.80248786420393</v>
      </c>
      <c r="AD320" s="172">
        <f t="shared" si="219"/>
        <v>298.3106218123595</v>
      </c>
      <c r="AG320">
        <v>2040</v>
      </c>
      <c r="AJ320" s="170">
        <v>208.36730471885625</v>
      </c>
      <c r="AK320" s="170">
        <v>574.81161142180747</v>
      </c>
      <c r="AL320" s="170">
        <v>432.24138422531644</v>
      </c>
      <c r="AM320" s="170">
        <v>212.80248786420393</v>
      </c>
      <c r="AN320" s="172">
        <f t="shared" si="220"/>
        <v>298.45594673888593</v>
      </c>
    </row>
    <row r="321" spans="5:40">
      <c r="E321">
        <v>2050</v>
      </c>
      <c r="F321" s="320" t="s">
        <v>240</v>
      </c>
      <c r="G321" s="320" t="s">
        <v>240</v>
      </c>
      <c r="H321" s="63">
        <f t="shared" ref="H321:H326" si="234">H320*(1+$C$6)^10</f>
        <v>0</v>
      </c>
      <c r="I321" s="63">
        <f t="shared" si="230"/>
        <v>0</v>
      </c>
      <c r="J321" s="63">
        <f t="shared" si="230"/>
        <v>0</v>
      </c>
      <c r="K321" s="63">
        <f t="shared" si="230"/>
        <v>0</v>
      </c>
      <c r="L321" s="63">
        <f t="shared" si="217"/>
        <v>0</v>
      </c>
      <c r="M321" s="63"/>
      <c r="N321">
        <v>2050</v>
      </c>
      <c r="O321" s="320" t="s">
        <v>240</v>
      </c>
      <c r="P321" s="320" t="s">
        <v>240</v>
      </c>
      <c r="Q321" s="63">
        <f t="shared" ref="Q321:Q326" si="235">Q320*(1+$C$6)^10</f>
        <v>0</v>
      </c>
      <c r="R321" s="63">
        <f t="shared" si="231"/>
        <v>0</v>
      </c>
      <c r="S321" s="63">
        <f t="shared" si="232"/>
        <v>0</v>
      </c>
      <c r="T321" s="63">
        <f t="shared" si="233"/>
        <v>0</v>
      </c>
      <c r="U321" s="172">
        <f t="shared" si="218"/>
        <v>0</v>
      </c>
      <c r="W321">
        <v>2050</v>
      </c>
      <c r="Z321" s="170">
        <v>301.21359907783938</v>
      </c>
      <c r="AA321" s="170">
        <v>830.94166093720492</v>
      </c>
      <c r="AB321" s="170">
        <v>624.84362980346498</v>
      </c>
      <c r="AC321" s="170">
        <v>307.62505350242913</v>
      </c>
      <c r="AD321" s="172">
        <f t="shared" si="219"/>
        <v>431.23471871217015</v>
      </c>
      <c r="AG321">
        <v>2050</v>
      </c>
      <c r="AJ321" s="170">
        <v>301.21359907783938</v>
      </c>
      <c r="AK321" s="170">
        <v>830.94166093720492</v>
      </c>
      <c r="AL321" s="170">
        <v>624.84362980346498</v>
      </c>
      <c r="AM321" s="170">
        <v>307.62505350242913</v>
      </c>
      <c r="AN321" s="172">
        <f t="shared" si="220"/>
        <v>431.44479890787943</v>
      </c>
    </row>
    <row r="322" spans="5:40">
      <c r="E322">
        <v>2060</v>
      </c>
      <c r="F322" s="320" t="s">
        <v>240</v>
      </c>
      <c r="G322" s="320" t="s">
        <v>240</v>
      </c>
      <c r="H322" s="63">
        <f t="shared" si="234"/>
        <v>0</v>
      </c>
      <c r="I322" s="63">
        <f t="shared" si="230"/>
        <v>0</v>
      </c>
      <c r="J322" s="63">
        <f t="shared" si="230"/>
        <v>0</v>
      </c>
      <c r="K322" s="63">
        <f t="shared" si="230"/>
        <v>0</v>
      </c>
      <c r="L322" s="63">
        <f t="shared" si="217"/>
        <v>0</v>
      </c>
      <c r="M322" s="63"/>
      <c r="N322">
        <v>2060</v>
      </c>
      <c r="O322" s="320" t="s">
        <v>240</v>
      </c>
      <c r="P322" s="320" t="s">
        <v>240</v>
      </c>
      <c r="Q322" s="63">
        <f t="shared" si="235"/>
        <v>0</v>
      </c>
      <c r="R322" s="63">
        <f t="shared" si="231"/>
        <v>0</v>
      </c>
      <c r="S322" s="63">
        <f t="shared" si="232"/>
        <v>0</v>
      </c>
      <c r="T322" s="63">
        <f t="shared" si="233"/>
        <v>0</v>
      </c>
      <c r="U322" s="172">
        <f t="shared" si="218"/>
        <v>0</v>
      </c>
      <c r="W322">
        <v>2060</v>
      </c>
      <c r="Z322" s="170">
        <v>435.4312323223844</v>
      </c>
      <c r="AA322" s="170">
        <v>1201.2005849589657</v>
      </c>
      <c r="AB322" s="170">
        <v>903.26742407073311</v>
      </c>
      <c r="AC322" s="170">
        <v>444.69956386393767</v>
      </c>
      <c r="AD322" s="172">
        <f t="shared" si="219"/>
        <v>623.38840465337989</v>
      </c>
      <c r="AG322">
        <v>2060</v>
      </c>
      <c r="AJ322" s="170">
        <v>435.4312323223844</v>
      </c>
      <c r="AK322" s="170">
        <v>1201.2005849589657</v>
      </c>
      <c r="AL322" s="170">
        <v>903.26742407073311</v>
      </c>
      <c r="AM322" s="170">
        <v>444.69956386393767</v>
      </c>
      <c r="AN322" s="172">
        <f t="shared" si="220"/>
        <v>623.69209438978032</v>
      </c>
    </row>
    <row r="323" spans="5:40">
      <c r="E323">
        <v>2070</v>
      </c>
      <c r="F323" s="320" t="s">
        <v>240</v>
      </c>
      <c r="G323" s="320" t="s">
        <v>240</v>
      </c>
      <c r="H323" s="63">
        <f t="shared" si="234"/>
        <v>0</v>
      </c>
      <c r="I323" s="63">
        <f t="shared" si="230"/>
        <v>0</v>
      </c>
      <c r="J323" s="63">
        <f t="shared" si="230"/>
        <v>0</v>
      </c>
      <c r="K323" s="63">
        <f t="shared" si="230"/>
        <v>0</v>
      </c>
      <c r="L323" s="63">
        <f t="shared" si="217"/>
        <v>0</v>
      </c>
      <c r="M323" s="63"/>
      <c r="N323">
        <v>2070</v>
      </c>
      <c r="O323" s="320" t="s">
        <v>240</v>
      </c>
      <c r="P323" s="320" t="s">
        <v>240</v>
      </c>
      <c r="Q323" s="63">
        <f t="shared" si="235"/>
        <v>0</v>
      </c>
      <c r="R323" s="63">
        <f t="shared" si="231"/>
        <v>0</v>
      </c>
      <c r="S323" s="63">
        <f t="shared" si="232"/>
        <v>0</v>
      </c>
      <c r="T323" s="63">
        <f t="shared" si="233"/>
        <v>0</v>
      </c>
      <c r="U323" s="172">
        <f t="shared" si="218"/>
        <v>0</v>
      </c>
      <c r="W323">
        <v>2070</v>
      </c>
      <c r="Z323" s="170">
        <v>629.45484089114427</v>
      </c>
      <c r="AA323" s="170">
        <v>1736.4430177665645</v>
      </c>
      <c r="AB323" s="170">
        <v>1305.7539526233211</v>
      </c>
      <c r="AC323" s="170">
        <v>642.85304414978282</v>
      </c>
      <c r="AD323" s="172">
        <f t="shared" si="219"/>
        <v>901.16376579518351</v>
      </c>
      <c r="AG323">
        <v>2070</v>
      </c>
      <c r="AJ323" s="170">
        <v>629.45484089114427</v>
      </c>
      <c r="AK323" s="170">
        <v>1736.4430177665645</v>
      </c>
      <c r="AL323" s="170">
        <v>1305.7539526233211</v>
      </c>
      <c r="AM323" s="170">
        <v>642.85304414978282</v>
      </c>
      <c r="AN323" s="172">
        <f t="shared" si="220"/>
        <v>901.60277650575381</v>
      </c>
    </row>
    <row r="324" spans="5:40">
      <c r="E324">
        <v>2080</v>
      </c>
      <c r="F324" s="320" t="s">
        <v>240</v>
      </c>
      <c r="G324" s="320" t="s">
        <v>240</v>
      </c>
      <c r="H324" s="63">
        <f t="shared" si="234"/>
        <v>0</v>
      </c>
      <c r="I324" s="63">
        <f t="shared" si="230"/>
        <v>0</v>
      </c>
      <c r="J324" s="63">
        <f t="shared" si="230"/>
        <v>0</v>
      </c>
      <c r="K324" s="63">
        <f t="shared" si="230"/>
        <v>0</v>
      </c>
      <c r="L324" s="63">
        <f t="shared" si="217"/>
        <v>0</v>
      </c>
      <c r="M324" s="63"/>
      <c r="N324">
        <v>2080</v>
      </c>
      <c r="O324" s="320" t="s">
        <v>240</v>
      </c>
      <c r="P324" s="320" t="s">
        <v>240</v>
      </c>
      <c r="Q324" s="63">
        <f t="shared" si="235"/>
        <v>0</v>
      </c>
      <c r="R324" s="63">
        <f t="shared" si="231"/>
        <v>0</v>
      </c>
      <c r="S324" s="63">
        <f t="shared" si="232"/>
        <v>0</v>
      </c>
      <c r="T324" s="63">
        <f t="shared" si="233"/>
        <v>0</v>
      </c>
      <c r="U324" s="172">
        <f t="shared" si="218"/>
        <v>0</v>
      </c>
      <c r="W324">
        <v>2080</v>
      </c>
      <c r="Z324" s="170">
        <v>909.9333426499536</v>
      </c>
      <c r="AA324" s="170">
        <v>2510.1838874422933</v>
      </c>
      <c r="AB324" s="170">
        <v>1887.5842738882075</v>
      </c>
      <c r="AC324" s="170">
        <v>929.30164532179663</v>
      </c>
      <c r="AD324" s="172">
        <f t="shared" si="219"/>
        <v>1302.712926195192</v>
      </c>
      <c r="AG324">
        <v>2080</v>
      </c>
      <c r="AJ324" s="170">
        <v>909.9333426499536</v>
      </c>
      <c r="AK324" s="170">
        <v>2510.1838874422933</v>
      </c>
      <c r="AL324" s="170">
        <v>1887.5842738882075</v>
      </c>
      <c r="AM324" s="170">
        <v>929.30164532179663</v>
      </c>
      <c r="AN324" s="172">
        <f t="shared" si="220"/>
        <v>1303.3475554924462</v>
      </c>
    </row>
    <row r="325" spans="5:40">
      <c r="E325">
        <v>2090</v>
      </c>
      <c r="F325" s="320" t="s">
        <v>240</v>
      </c>
      <c r="G325" s="320" t="s">
        <v>240</v>
      </c>
      <c r="H325" s="63">
        <f t="shared" si="234"/>
        <v>0</v>
      </c>
      <c r="I325" s="63">
        <f t="shared" si="230"/>
        <v>0</v>
      </c>
      <c r="J325" s="63">
        <f t="shared" si="230"/>
        <v>0</v>
      </c>
      <c r="K325" s="63">
        <f t="shared" si="230"/>
        <v>0</v>
      </c>
      <c r="L325" s="63">
        <f t="shared" si="217"/>
        <v>0</v>
      </c>
      <c r="M325" s="63"/>
      <c r="N325">
        <v>2090</v>
      </c>
      <c r="O325" s="320" t="s">
        <v>240</v>
      </c>
      <c r="P325" s="320" t="s">
        <v>240</v>
      </c>
      <c r="Q325" s="63">
        <f t="shared" si="235"/>
        <v>0</v>
      </c>
      <c r="R325" s="63">
        <f t="shared" si="231"/>
        <v>0</v>
      </c>
      <c r="S325" s="63">
        <f t="shared" si="232"/>
        <v>0</v>
      </c>
      <c r="T325" s="63">
        <f t="shared" si="233"/>
        <v>0</v>
      </c>
      <c r="U325" s="172">
        <f t="shared" si="218"/>
        <v>0</v>
      </c>
      <c r="W325">
        <v>2090</v>
      </c>
      <c r="Z325" s="170">
        <v>1315.3901348886529</v>
      </c>
      <c r="AA325" s="170">
        <v>3628.6956060783159</v>
      </c>
      <c r="AB325" s="170">
        <v>2728.6721084564883</v>
      </c>
      <c r="AC325" s="170">
        <v>1343.388750908025</v>
      </c>
      <c r="AD325" s="172">
        <f t="shared" si="219"/>
        <v>1883.1881978505414</v>
      </c>
      <c r="AG325">
        <v>2090</v>
      </c>
      <c r="AJ325" s="170">
        <v>1315.3901348886529</v>
      </c>
      <c r="AK325" s="170">
        <v>3628.6956060783159</v>
      </c>
      <c r="AL325" s="170">
        <v>2728.6721084564883</v>
      </c>
      <c r="AM325" s="170">
        <v>1343.388750908025</v>
      </c>
      <c r="AN325" s="172">
        <f t="shared" si="220"/>
        <v>1884.1056113332572</v>
      </c>
    </row>
    <row r="326" spans="5:40">
      <c r="E326">
        <v>2100</v>
      </c>
      <c r="F326" s="320" t="s">
        <v>240</v>
      </c>
      <c r="G326" s="320" t="s">
        <v>240</v>
      </c>
      <c r="H326" s="63">
        <f t="shared" si="234"/>
        <v>0</v>
      </c>
      <c r="I326" s="63">
        <f t="shared" si="230"/>
        <v>0</v>
      </c>
      <c r="J326" s="63">
        <f t="shared" si="230"/>
        <v>0</v>
      </c>
      <c r="K326" s="63">
        <f t="shared" si="230"/>
        <v>0</v>
      </c>
      <c r="L326" s="63">
        <f t="shared" si="217"/>
        <v>0</v>
      </c>
      <c r="M326" s="63"/>
      <c r="N326">
        <v>2100</v>
      </c>
      <c r="O326" s="320" t="s">
        <v>240</v>
      </c>
      <c r="P326" s="320" t="s">
        <v>240</v>
      </c>
      <c r="Q326" s="63">
        <f t="shared" si="235"/>
        <v>0</v>
      </c>
      <c r="R326" s="63">
        <f t="shared" si="231"/>
        <v>0</v>
      </c>
      <c r="S326" s="63">
        <f t="shared" si="232"/>
        <v>0</v>
      </c>
      <c r="T326" s="63">
        <f t="shared" si="233"/>
        <v>0</v>
      </c>
      <c r="U326" s="172">
        <f t="shared" si="218"/>
        <v>0</v>
      </c>
      <c r="W326">
        <v>2100</v>
      </c>
      <c r="Z326" s="170">
        <v>1901.5142383105383</v>
      </c>
      <c r="AA326" s="170">
        <v>5245.6044624638216</v>
      </c>
      <c r="AB326" s="170">
        <v>3944.5398960286889</v>
      </c>
      <c r="AC326" s="170">
        <v>1941.9887451520635</v>
      </c>
      <c r="AD326" s="172">
        <f t="shared" si="219"/>
        <v>2722.3171868582472</v>
      </c>
      <c r="AG326">
        <v>2100</v>
      </c>
      <c r="AJ326" s="170">
        <v>1901.5142383105383</v>
      </c>
      <c r="AK326" s="170">
        <v>5245.6044624638216</v>
      </c>
      <c r="AL326" s="170">
        <v>3944.5398960286889</v>
      </c>
      <c r="AM326" s="170">
        <v>1941.9887451520635</v>
      </c>
      <c r="AN326" s="172">
        <f t="shared" si="220"/>
        <v>2723.6433902054764</v>
      </c>
    </row>
    <row r="327" spans="5:40">
      <c r="F327" s="581" t="s">
        <v>296</v>
      </c>
      <c r="G327" s="581"/>
      <c r="H327" s="581"/>
      <c r="I327" s="581"/>
      <c r="J327" s="581"/>
      <c r="K327" s="581"/>
      <c r="O327" s="581" t="s">
        <v>297</v>
      </c>
      <c r="P327" s="581"/>
      <c r="Q327" s="581"/>
      <c r="R327" s="581"/>
      <c r="S327" s="581"/>
      <c r="T327" s="581"/>
      <c r="X327" s="581" t="s">
        <v>297</v>
      </c>
      <c r="Y327" s="581"/>
      <c r="Z327" s="581"/>
      <c r="AA327" s="581"/>
      <c r="AB327" s="581"/>
      <c r="AC327" s="581"/>
      <c r="AD327" s="172"/>
      <c r="AH327" s="581" t="s">
        <v>297</v>
      </c>
      <c r="AI327" s="581"/>
      <c r="AJ327" s="581"/>
      <c r="AK327" s="581"/>
      <c r="AL327" s="581"/>
      <c r="AM327" s="581"/>
    </row>
    <row r="328" spans="5:40">
      <c r="E328">
        <v>2020</v>
      </c>
      <c r="F328" s="320" t="s">
        <v>240</v>
      </c>
      <c r="G328" s="320" t="s">
        <v>240</v>
      </c>
      <c r="H328" s="179">
        <f>'Demographic-Economic'!E30*$C$5</f>
        <v>14383.2</v>
      </c>
      <c r="I328" s="179">
        <f>'Demographic-Economic'!F30*$C$5</f>
        <v>9723</v>
      </c>
      <c r="J328" s="179">
        <f>'Demographic-Economic'!G30*$C$5</f>
        <v>12303.6</v>
      </c>
      <c r="K328" s="179">
        <f>'Demographic-Economic'!H30*$C$5</f>
        <v>13868</v>
      </c>
      <c r="L328" s="330">
        <f t="shared" ref="L328:L345" si="236">SUMPRODUCT(H328:K328, H24:K24)/SUM(H24:K24)</f>
        <v>13402.622242186855</v>
      </c>
      <c r="M328" s="330"/>
      <c r="N328">
        <v>2020</v>
      </c>
      <c r="O328" s="320" t="s">
        <v>240</v>
      </c>
      <c r="P328" s="320" t="s">
        <v>240</v>
      </c>
      <c r="Q328" s="179">
        <f>'Demographic-Economic'!E30*$C$5</f>
        <v>14383.2</v>
      </c>
      <c r="R328" s="179">
        <f>'Demographic-Economic'!F30*$C$5</f>
        <v>9723</v>
      </c>
      <c r="S328" s="179">
        <f>'Demographic-Economic'!G30*$C$5</f>
        <v>12303.6</v>
      </c>
      <c r="T328" s="179">
        <f>'Demographic-Economic'!H30*$C$5</f>
        <v>13868</v>
      </c>
      <c r="U328" s="172">
        <f t="shared" ref="U328:U345" si="237">SUMPRODUCT(Q328:T328, Q24:T24)/SUM(Q24:T24)</f>
        <v>13402.622242186855</v>
      </c>
      <c r="W328">
        <v>2020</v>
      </c>
      <c r="Z328" s="170">
        <v>17979</v>
      </c>
      <c r="AA328" s="170">
        <v>12153.75</v>
      </c>
      <c r="AB328" s="170">
        <v>15379.5</v>
      </c>
      <c r="AC328" s="170">
        <v>17335</v>
      </c>
      <c r="AD328" s="172">
        <f t="shared" ref="AD328:AD345" si="238">SUMPRODUCT(Z328:AC328, Z24:AC24)/SUM(Z24:AC24)</f>
        <v>16753.277802733573</v>
      </c>
      <c r="AG328">
        <v>2020</v>
      </c>
      <c r="AH328" t="s">
        <v>240</v>
      </c>
      <c r="AI328" t="s">
        <v>240</v>
      </c>
      <c r="AJ328" s="170">
        <v>17979</v>
      </c>
      <c r="AK328" s="170">
        <v>12153.75</v>
      </c>
      <c r="AL328" s="170">
        <v>15379.5</v>
      </c>
      <c r="AM328" s="170">
        <v>17335</v>
      </c>
      <c r="AN328" s="172">
        <f t="shared" ref="AN328:AN345" si="239">SUMPRODUCT(AJ328:AM328, AJ24:AM24)/SUM(AJ24:AM24)</f>
        <v>16753.277802733573</v>
      </c>
    </row>
    <row r="329" spans="5:40">
      <c r="E329">
        <v>2021</v>
      </c>
      <c r="F329" s="320" t="s">
        <v>240</v>
      </c>
      <c r="G329" s="320" t="s">
        <v>240</v>
      </c>
      <c r="H329" s="179">
        <f t="shared" ref="H329:K338" si="240">H328*(1+$C$6)</f>
        <v>14923.133342000001</v>
      </c>
      <c r="I329" s="179">
        <f t="shared" si="240"/>
        <v>10087.993317500001</v>
      </c>
      <c r="J329" s="179">
        <f t="shared" si="240"/>
        <v>12765.466891</v>
      </c>
      <c r="K329" s="179">
        <f t="shared" si="240"/>
        <v>14388.593163333333</v>
      </c>
      <c r="L329" s="330">
        <f t="shared" si="236"/>
        <v>13904.316674884998</v>
      </c>
      <c r="M329" s="330"/>
      <c r="N329">
        <v>2021</v>
      </c>
      <c r="O329" s="320" t="s">
        <v>240</v>
      </c>
      <c r="P329" s="320" t="s">
        <v>240</v>
      </c>
      <c r="Q329" s="179">
        <f t="shared" ref="Q329:T329" si="241">Q328*(1+$C$6)</f>
        <v>14923.133342000001</v>
      </c>
      <c r="R329" s="179">
        <f t="shared" si="241"/>
        <v>10087.993317500001</v>
      </c>
      <c r="S329" s="179">
        <f t="shared" si="241"/>
        <v>12765.466891</v>
      </c>
      <c r="T329" s="179">
        <f t="shared" si="241"/>
        <v>14388.593163333333</v>
      </c>
      <c r="U329" s="172">
        <f t="shared" si="237"/>
        <v>13904.316674884998</v>
      </c>
      <c r="W329">
        <v>2021</v>
      </c>
      <c r="Z329" s="170">
        <v>18653.916677500001</v>
      </c>
      <c r="AA329" s="170">
        <v>12609.991646875</v>
      </c>
      <c r="AB329" s="170">
        <v>15956.833613750001</v>
      </c>
      <c r="AC329" s="170">
        <v>17985.741454166666</v>
      </c>
      <c r="AD329" s="172">
        <f t="shared" si="238"/>
        <v>17380.395843606242</v>
      </c>
      <c r="AG329">
        <v>2021</v>
      </c>
      <c r="AH329" t="s">
        <v>240</v>
      </c>
      <c r="AI329" t="s">
        <v>240</v>
      </c>
      <c r="AJ329" s="170">
        <v>18653.916677500001</v>
      </c>
      <c r="AK329" s="170">
        <v>12609.991646875</v>
      </c>
      <c r="AL329" s="170">
        <v>15956.833613750001</v>
      </c>
      <c r="AM329" s="170">
        <v>17985.741454166666</v>
      </c>
      <c r="AN329" s="172">
        <f t="shared" si="239"/>
        <v>17380.395843606246</v>
      </c>
    </row>
    <row r="330" spans="5:40">
      <c r="E330">
        <v>2022</v>
      </c>
      <c r="F330" s="320" t="s">
        <v>240</v>
      </c>
      <c r="G330" s="320" t="s">
        <v>240</v>
      </c>
      <c r="H330" s="179">
        <f t="shared" si="240"/>
        <v>15483.33533171423</v>
      </c>
      <c r="I330" s="179">
        <f t="shared" si="240"/>
        <v>10466.688179977853</v>
      </c>
      <c r="J330" s="179">
        <f t="shared" si="240"/>
        <v>13244.671880199065</v>
      </c>
      <c r="K330" s="179">
        <f t="shared" si="240"/>
        <v>14928.728960190563</v>
      </c>
      <c r="L330" s="330">
        <f t="shared" si="236"/>
        <v>14425.115828046544</v>
      </c>
      <c r="M330" s="330"/>
      <c r="N330">
        <v>2022</v>
      </c>
      <c r="O330" s="320" t="s">
        <v>240</v>
      </c>
      <c r="P330" s="320" t="s">
        <v>240</v>
      </c>
      <c r="Q330" s="179">
        <f t="shared" ref="Q330:T330" si="242">Q329*(1+$C$6)</f>
        <v>15483.33533171423</v>
      </c>
      <c r="R330" s="179">
        <f t="shared" si="242"/>
        <v>10466.688179977853</v>
      </c>
      <c r="S330" s="179">
        <f t="shared" si="242"/>
        <v>13244.671880199065</v>
      </c>
      <c r="T330" s="179">
        <f t="shared" si="242"/>
        <v>14928.728960190563</v>
      </c>
      <c r="U330" s="172">
        <f t="shared" si="237"/>
        <v>14425.094735006996</v>
      </c>
      <c r="W330">
        <v>2022</v>
      </c>
      <c r="Z330" s="170">
        <v>19354.169164642786</v>
      </c>
      <c r="AA330" s="170">
        <v>13083.360224972315</v>
      </c>
      <c r="AB330" s="170">
        <v>16555.839850248831</v>
      </c>
      <c r="AC330" s="170">
        <v>18660.911200238203</v>
      </c>
      <c r="AD330" s="172">
        <f t="shared" si="238"/>
        <v>18031.343991230078</v>
      </c>
      <c r="AG330">
        <v>2022</v>
      </c>
      <c r="AH330" t="s">
        <v>240</v>
      </c>
      <c r="AI330" t="s">
        <v>240</v>
      </c>
      <c r="AJ330" s="170">
        <v>19354.169164642786</v>
      </c>
      <c r="AK330" s="170">
        <v>13083.360224972315</v>
      </c>
      <c r="AL330" s="170">
        <v>16555.839850248831</v>
      </c>
      <c r="AM330" s="170">
        <v>18660.911200238203</v>
      </c>
      <c r="AN330" s="172">
        <f t="shared" si="239"/>
        <v>18031.391375990199</v>
      </c>
    </row>
    <row r="331" spans="5:40">
      <c r="E331">
        <v>2023</v>
      </c>
      <c r="F331" s="320" t="s">
        <v>240</v>
      </c>
      <c r="G331" s="320" t="s">
        <v>240</v>
      </c>
      <c r="H331" s="179">
        <f t="shared" si="240"/>
        <v>16064.566837287339</v>
      </c>
      <c r="I331" s="179">
        <f t="shared" si="240"/>
        <v>10859.598932014072</v>
      </c>
      <c r="J331" s="179">
        <f t="shared" si="240"/>
        <v>13741.865825355171</v>
      </c>
      <c r="K331" s="179">
        <f t="shared" si="240"/>
        <v>15489.14100474865</v>
      </c>
      <c r="L331" s="330">
        <f t="shared" si="236"/>
        <v>14965.722643041983</v>
      </c>
      <c r="M331" s="330"/>
      <c r="N331">
        <v>2023</v>
      </c>
      <c r="O331" s="320" t="s">
        <v>240</v>
      </c>
      <c r="P331" s="320" t="s">
        <v>240</v>
      </c>
      <c r="Q331" s="179">
        <f t="shared" ref="Q331:T331" si="243">Q330*(1+$C$6)</f>
        <v>16064.566837287339</v>
      </c>
      <c r="R331" s="179">
        <f t="shared" si="243"/>
        <v>10859.598932014072</v>
      </c>
      <c r="S331" s="179">
        <f t="shared" si="243"/>
        <v>13741.865825355171</v>
      </c>
      <c r="T331" s="179">
        <f t="shared" si="243"/>
        <v>15489.14100474865</v>
      </c>
      <c r="U331" s="172">
        <f t="shared" si="237"/>
        <v>14965.66940131483</v>
      </c>
      <c r="W331">
        <v>2023</v>
      </c>
      <c r="Z331" s="170">
        <v>20080.708546609174</v>
      </c>
      <c r="AA331" s="170">
        <v>13574.498665017589</v>
      </c>
      <c r="AB331" s="170">
        <v>17177.332281693965</v>
      </c>
      <c r="AC331" s="170">
        <v>19361.42625593581</v>
      </c>
      <c r="AD331" s="172">
        <f t="shared" si="238"/>
        <v>18707.023945619188</v>
      </c>
      <c r="AG331">
        <v>2023</v>
      </c>
      <c r="AH331" t="s">
        <v>240</v>
      </c>
      <c r="AI331" t="s">
        <v>240</v>
      </c>
      <c r="AJ331" s="170">
        <v>20080.708546609174</v>
      </c>
      <c r="AK331" s="170">
        <v>13574.498665017589</v>
      </c>
      <c r="AL331" s="170">
        <v>17177.332281693965</v>
      </c>
      <c r="AM331" s="170">
        <v>19361.42625593581</v>
      </c>
      <c r="AN331" s="172">
        <f t="shared" si="239"/>
        <v>18707.144769126524</v>
      </c>
    </row>
    <row r="332" spans="5:40">
      <c r="E332">
        <v>2024</v>
      </c>
      <c r="F332" s="320" t="s">
        <v>240</v>
      </c>
      <c r="G332" s="320" t="s">
        <v>240</v>
      </c>
      <c r="H332" s="179">
        <f t="shared" si="240"/>
        <v>16667.617289220074</v>
      </c>
      <c r="I332" s="179">
        <f t="shared" si="240"/>
        <v>11267.259226256105</v>
      </c>
      <c r="J332" s="179">
        <f t="shared" si="240"/>
        <v>14257.724016884151</v>
      </c>
      <c r="K332" s="179">
        <f t="shared" si="240"/>
        <v>16070.59045044941</v>
      </c>
      <c r="L332" s="330">
        <f t="shared" si="236"/>
        <v>15526.86840360725</v>
      </c>
      <c r="M332" s="330"/>
      <c r="N332">
        <v>2024</v>
      </c>
      <c r="O332" s="320" t="s">
        <v>240</v>
      </c>
      <c r="P332" s="320" t="s">
        <v>240</v>
      </c>
      <c r="Q332" s="179">
        <f t="shared" ref="Q332:T332" si="244">Q331*(1+$C$6)</f>
        <v>16667.617289220074</v>
      </c>
      <c r="R332" s="179">
        <f t="shared" si="244"/>
        <v>11267.259226256105</v>
      </c>
      <c r="S332" s="179">
        <f t="shared" si="244"/>
        <v>14257.724016884151</v>
      </c>
      <c r="T332" s="179">
        <f t="shared" si="244"/>
        <v>16070.59045044941</v>
      </c>
      <c r="U332" s="172">
        <f t="shared" si="237"/>
        <v>15526.780509400838</v>
      </c>
      <c r="W332">
        <v>2024</v>
      </c>
      <c r="Z332" s="170">
        <v>20834.521611525095</v>
      </c>
      <c r="AA332" s="170">
        <v>14084.074032820128</v>
      </c>
      <c r="AB332" s="170">
        <v>17822.155021105187</v>
      </c>
      <c r="AC332" s="170">
        <v>20088.238063061763</v>
      </c>
      <c r="AD332" s="172">
        <f t="shared" si="238"/>
        <v>19408.370353343533</v>
      </c>
      <c r="AG332">
        <v>2024</v>
      </c>
      <c r="AH332" t="s">
        <v>240</v>
      </c>
      <c r="AI332" t="s">
        <v>240</v>
      </c>
      <c r="AJ332" s="170">
        <v>20834.521611525095</v>
      </c>
      <c r="AK332" s="170">
        <v>14084.074032820128</v>
      </c>
      <c r="AL332" s="170">
        <v>17822.155021105187</v>
      </c>
      <c r="AM332" s="170">
        <v>20088.238063061763</v>
      </c>
      <c r="AN332" s="172">
        <f t="shared" si="239"/>
        <v>19408.571509278292</v>
      </c>
    </row>
    <row r="333" spans="5:40">
      <c r="E333">
        <v>2025</v>
      </c>
      <c r="F333" s="320" t="s">
        <v>240</v>
      </c>
      <c r="G333" s="320" t="s">
        <v>240</v>
      </c>
      <c r="H333" s="179">
        <f>H332*(1+$C$6)</f>
        <v>17293.305752576322</v>
      </c>
      <c r="I333" s="179">
        <f t="shared" si="240"/>
        <v>11690.22274822707</v>
      </c>
      <c r="J333" s="179">
        <f t="shared" si="240"/>
        <v>14792.947095041302</v>
      </c>
      <c r="K333" s="179">
        <f t="shared" si="240"/>
        <v>16673.867023800572</v>
      </c>
      <c r="L333" s="330">
        <f t="shared" si="236"/>
        <v>16109.313538739212</v>
      </c>
      <c r="M333" s="330"/>
      <c r="N333">
        <v>2025</v>
      </c>
      <c r="O333" s="320" t="s">
        <v>240</v>
      </c>
      <c r="P333" s="320" t="s">
        <v>240</v>
      </c>
      <c r="Q333" s="179">
        <f>Q332*(1+$C$6)</f>
        <v>17293.305752576322</v>
      </c>
      <c r="R333" s="179">
        <f t="shared" ref="R333:T333" si="245">R332*(1+$C$6)</f>
        <v>11690.22274822707</v>
      </c>
      <c r="S333" s="179">
        <f t="shared" si="245"/>
        <v>14792.947095041302</v>
      </c>
      <c r="T333" s="179">
        <f t="shared" si="245"/>
        <v>16673.867023800572</v>
      </c>
      <c r="U333" s="172">
        <f t="shared" si="237"/>
        <v>16109.195801394391</v>
      </c>
      <c r="W333">
        <v>2025</v>
      </c>
      <c r="Z333" s="170">
        <v>21616.632190720404</v>
      </c>
      <c r="AA333" s="170">
        <v>14612.778435283835</v>
      </c>
      <c r="AB333" s="170">
        <v>18491.183868801625</v>
      </c>
      <c r="AC333" s="170">
        <v>20842.333779750716</v>
      </c>
      <c r="AD333" s="172">
        <f t="shared" si="238"/>
        <v>20136.352098724343</v>
      </c>
      <c r="AG333">
        <v>2025</v>
      </c>
      <c r="AH333" t="s">
        <v>240</v>
      </c>
      <c r="AI333" t="s">
        <v>240</v>
      </c>
      <c r="AJ333" s="170">
        <v>21616.632190720404</v>
      </c>
      <c r="AK333" s="170">
        <v>14612.778435283835</v>
      </c>
      <c r="AL333" s="170">
        <v>18491.183868801625</v>
      </c>
      <c r="AM333" s="170">
        <v>20842.333779750716</v>
      </c>
      <c r="AN333" s="172">
        <f t="shared" si="239"/>
        <v>20136.623268690775</v>
      </c>
    </row>
    <row r="334" spans="5:40">
      <c r="E334">
        <v>2026</v>
      </c>
      <c r="F334" s="320" t="s">
        <v>240</v>
      </c>
      <c r="G334" s="320" t="s">
        <v>240</v>
      </c>
      <c r="H334" s="179">
        <f t="shared" si="240"/>
        <v>17942.48203943991</v>
      </c>
      <c r="I334" s="179">
        <f t="shared" si="240"/>
        <v>12129.063968343224</v>
      </c>
      <c r="J334" s="179">
        <f t="shared" si="240"/>
        <v>15348.26200153324</v>
      </c>
      <c r="K334" s="179">
        <f t="shared" si="240"/>
        <v>17299.79009698486</v>
      </c>
      <c r="L334" s="330">
        <f t="shared" si="236"/>
        <v>16713.848499195334</v>
      </c>
      <c r="M334" s="330"/>
      <c r="N334">
        <v>2026</v>
      </c>
      <c r="O334" s="320" t="s">
        <v>240</v>
      </c>
      <c r="P334" s="320" t="s">
        <v>240</v>
      </c>
      <c r="Q334" s="179">
        <f t="shared" ref="Q334:T334" si="246">Q333*(1+$C$6)</f>
        <v>17942.48203943991</v>
      </c>
      <c r="R334" s="179">
        <f t="shared" si="246"/>
        <v>12129.063968343224</v>
      </c>
      <c r="S334" s="179">
        <f t="shared" si="246"/>
        <v>15348.26200153324</v>
      </c>
      <c r="T334" s="179">
        <f t="shared" si="246"/>
        <v>17299.79009698486</v>
      </c>
      <c r="U334" s="172">
        <f t="shared" si="237"/>
        <v>16713.712008459097</v>
      </c>
      <c r="W334">
        <v>2026</v>
      </c>
      <c r="Z334" s="170">
        <v>22428.102549299889</v>
      </c>
      <c r="AA334" s="170">
        <v>15161.329960429028</v>
      </c>
      <c r="AB334" s="170">
        <v>19185.327501916548</v>
      </c>
      <c r="AC334" s="170">
        <v>21624.737621231074</v>
      </c>
      <c r="AD334" s="172">
        <f t="shared" si="238"/>
        <v>20891.973652007899</v>
      </c>
      <c r="AG334">
        <v>2026</v>
      </c>
      <c r="AH334" t="s">
        <v>240</v>
      </c>
      <c r="AI334" t="s">
        <v>240</v>
      </c>
      <c r="AJ334" s="170">
        <v>22428.102549299889</v>
      </c>
      <c r="AK334" s="170">
        <v>15161.329960429028</v>
      </c>
      <c r="AL334" s="170">
        <v>19185.327501916548</v>
      </c>
      <c r="AM334" s="170">
        <v>21624.737621231074</v>
      </c>
      <c r="AN334" s="172">
        <f t="shared" si="239"/>
        <v>20892.289052397486</v>
      </c>
    </row>
    <row r="335" spans="5:40">
      <c r="E335">
        <v>2027</v>
      </c>
      <c r="F335" s="320" t="s">
        <v>240</v>
      </c>
      <c r="G335" s="320" t="s">
        <v>240</v>
      </c>
      <c r="H335" s="179">
        <f t="shared" si="240"/>
        <v>18616.02786313212</v>
      </c>
      <c r="I335" s="179">
        <f t="shared" si="240"/>
        <v>12584.378922161521</v>
      </c>
      <c r="J335" s="179">
        <f t="shared" si="240"/>
        <v>15924.422966852462</v>
      </c>
      <c r="K335" s="179">
        <f t="shared" si="240"/>
        <v>17949.209800733923</v>
      </c>
      <c r="L335" s="330">
        <f t="shared" si="236"/>
        <v>17341.294702210802</v>
      </c>
      <c r="M335" s="330"/>
      <c r="N335">
        <v>2027</v>
      </c>
      <c r="O335" s="320" t="s">
        <v>240</v>
      </c>
      <c r="P335" s="320" t="s">
        <v>240</v>
      </c>
      <c r="Q335" s="179">
        <f t="shared" ref="Q335:T335" si="247">Q334*(1+$C$6)</f>
        <v>18616.02786313212</v>
      </c>
      <c r="R335" s="179">
        <f t="shared" si="247"/>
        <v>12584.378922161521</v>
      </c>
      <c r="S335" s="179">
        <f t="shared" si="247"/>
        <v>15924.422966852462</v>
      </c>
      <c r="T335" s="179">
        <f t="shared" si="247"/>
        <v>17949.209800733923</v>
      </c>
      <c r="U335" s="172">
        <f t="shared" si="237"/>
        <v>17341.155968003441</v>
      </c>
      <c r="W335">
        <v>2027</v>
      </c>
      <c r="Z335" s="170">
        <v>23270.034828915148</v>
      </c>
      <c r="AA335" s="170">
        <v>15730.473652701899</v>
      </c>
      <c r="AB335" s="170">
        <v>19905.528708565576</v>
      </c>
      <c r="AC335" s="170">
        <v>22436.512250917403</v>
      </c>
      <c r="AD335" s="172">
        <f t="shared" si="238"/>
        <v>21676.27647451849</v>
      </c>
      <c r="AG335">
        <v>2027</v>
      </c>
      <c r="AH335" t="s">
        <v>240</v>
      </c>
      <c r="AI335" t="s">
        <v>240</v>
      </c>
      <c r="AJ335" s="170">
        <v>23270.034828915148</v>
      </c>
      <c r="AK335" s="170">
        <v>15730.473652701899</v>
      </c>
      <c r="AL335" s="170">
        <v>19905.528708565576</v>
      </c>
      <c r="AM335" s="170">
        <v>22436.512250917403</v>
      </c>
      <c r="AN335" s="172">
        <f t="shared" si="239"/>
        <v>21676.5964194263</v>
      </c>
    </row>
    <row r="336" spans="5:40">
      <c r="E336">
        <v>2028</v>
      </c>
      <c r="F336" s="320" t="s">
        <v>240</v>
      </c>
      <c r="G336" s="320" t="s">
        <v>240</v>
      </c>
      <c r="H336" s="179">
        <f t="shared" si="240"/>
        <v>19314.858035757548</v>
      </c>
      <c r="I336" s="179">
        <f t="shared" si="240"/>
        <v>13056.78601991703</v>
      </c>
      <c r="J336" s="179">
        <f t="shared" si="240"/>
        <v>16522.212534675633</v>
      </c>
      <c r="K336" s="179">
        <f t="shared" si="240"/>
        <v>18623.008178978642</v>
      </c>
      <c r="L336" s="330">
        <f t="shared" si="236"/>
        <v>17992.50554055495</v>
      </c>
      <c r="M336" s="330"/>
      <c r="N336">
        <v>2028</v>
      </c>
      <c r="O336" s="320" t="s">
        <v>240</v>
      </c>
      <c r="P336" s="320" t="s">
        <v>240</v>
      </c>
      <c r="Q336" s="179">
        <f t="shared" ref="Q336:T336" si="248">Q335*(1+$C$6)</f>
        <v>19314.858035757548</v>
      </c>
      <c r="R336" s="179">
        <f t="shared" si="248"/>
        <v>13056.78601991703</v>
      </c>
      <c r="S336" s="179">
        <f t="shared" si="248"/>
        <v>16522.212534675633</v>
      </c>
      <c r="T336" s="179">
        <f t="shared" si="248"/>
        <v>18623.008178978642</v>
      </c>
      <c r="U336" s="172">
        <f t="shared" si="237"/>
        <v>17992.38577758801</v>
      </c>
      <c r="W336">
        <v>2028</v>
      </c>
      <c r="Z336" s="170">
        <v>24143.572544696934</v>
      </c>
      <c r="AA336" s="170">
        <v>16320.982524896284</v>
      </c>
      <c r="AB336" s="170">
        <v>20652.765668344538</v>
      </c>
      <c r="AC336" s="170">
        <v>23278.7602237233</v>
      </c>
      <c r="AD336" s="172">
        <f t="shared" si="238"/>
        <v>22490.340480893399</v>
      </c>
      <c r="AG336">
        <v>2028</v>
      </c>
      <c r="AH336" t="s">
        <v>240</v>
      </c>
      <c r="AI336" t="s">
        <v>240</v>
      </c>
      <c r="AJ336" s="170">
        <v>24143.572544696934</v>
      </c>
      <c r="AK336" s="170">
        <v>16320.982524896284</v>
      </c>
      <c r="AL336" s="170">
        <v>20652.765668344538</v>
      </c>
      <c r="AM336" s="170">
        <v>23278.7602237233</v>
      </c>
      <c r="AN336" s="172">
        <f t="shared" si="239"/>
        <v>22490.612776031896</v>
      </c>
    </row>
    <row r="337" spans="5:40">
      <c r="E337">
        <v>2029</v>
      </c>
      <c r="F337" s="320" t="s">
        <v>240</v>
      </c>
      <c r="G337" s="320" t="s">
        <v>240</v>
      </c>
      <c r="H337" s="179">
        <f t="shared" si="240"/>
        <v>20039.921710704857</v>
      </c>
      <c r="I337" s="179">
        <f t="shared" si="240"/>
        <v>13546.926886449699</v>
      </c>
      <c r="J337" s="179">
        <f t="shared" si="240"/>
        <v>17142.44262471691</v>
      </c>
      <c r="K337" s="179">
        <f t="shared" si="240"/>
        <v>19322.100386844017</v>
      </c>
      <c r="L337" s="330">
        <f t="shared" si="236"/>
        <v>18668.367453218743</v>
      </c>
      <c r="M337" s="330"/>
      <c r="N337">
        <v>2029</v>
      </c>
      <c r="O337" s="320" t="s">
        <v>240</v>
      </c>
      <c r="P337" s="320" t="s">
        <v>240</v>
      </c>
      <c r="Q337" s="179">
        <f t="shared" ref="Q337:T337" si="249">Q336*(1+$C$6)</f>
        <v>20039.921710704857</v>
      </c>
      <c r="R337" s="179">
        <f t="shared" si="249"/>
        <v>13546.926886449699</v>
      </c>
      <c r="S337" s="179">
        <f t="shared" si="249"/>
        <v>17142.44262471691</v>
      </c>
      <c r="T337" s="179">
        <f t="shared" si="249"/>
        <v>19322.100386844017</v>
      </c>
      <c r="U337" s="172">
        <f t="shared" si="237"/>
        <v>18668.291987559311</v>
      </c>
      <c r="W337">
        <v>2029</v>
      </c>
      <c r="Z337" s="170">
        <v>25049.902138381069</v>
      </c>
      <c r="AA337" s="170">
        <v>16933.65860806212</v>
      </c>
      <c r="AB337" s="170">
        <v>21428.053280896136</v>
      </c>
      <c r="AC337" s="170">
        <v>24152.625483555021</v>
      </c>
      <c r="AD337" s="172">
        <f t="shared" si="238"/>
        <v>23335.285558665666</v>
      </c>
      <c r="AG337">
        <v>2029</v>
      </c>
      <c r="AH337" t="s">
        <v>240</v>
      </c>
      <c r="AI337" t="s">
        <v>240</v>
      </c>
      <c r="AJ337" s="170">
        <v>25049.902138381069</v>
      </c>
      <c r="AK337" s="170">
        <v>16933.65860806212</v>
      </c>
      <c r="AL337" s="170">
        <v>21428.053280896136</v>
      </c>
      <c r="AM337" s="170">
        <v>24152.625483555021</v>
      </c>
      <c r="AN337" s="172">
        <f t="shared" si="239"/>
        <v>23335.446739444084</v>
      </c>
    </row>
    <row r="338" spans="5:40">
      <c r="E338">
        <v>2030</v>
      </c>
      <c r="F338" s="320" t="s">
        <v>240</v>
      </c>
      <c r="G338" s="320" t="s">
        <v>240</v>
      </c>
      <c r="H338" s="179">
        <f t="shared" si="240"/>
        <v>20792.203671789957</v>
      </c>
      <c r="I338" s="179">
        <f t="shared" si="240"/>
        <v>14055.467232661282</v>
      </c>
      <c r="J338" s="179">
        <f t="shared" si="240"/>
        <v>17785.955635479928</v>
      </c>
      <c r="K338" s="179">
        <f t="shared" si="240"/>
        <v>20047.43593361582</v>
      </c>
      <c r="L338" s="330">
        <f t="shared" si="236"/>
        <v>19369.801055944143</v>
      </c>
      <c r="M338" s="330"/>
      <c r="N338">
        <v>2030</v>
      </c>
      <c r="O338" s="320" t="s">
        <v>240</v>
      </c>
      <c r="P338" s="320" t="s">
        <v>240</v>
      </c>
      <c r="Q338" s="179">
        <f t="shared" ref="Q338:T338" si="250">Q337*(1+$C$6)</f>
        <v>20792.203671789957</v>
      </c>
      <c r="R338" s="179">
        <f t="shared" si="250"/>
        <v>14055.467232661282</v>
      </c>
      <c r="S338" s="179">
        <f t="shared" si="250"/>
        <v>17785.955635479928</v>
      </c>
      <c r="T338" s="179">
        <f t="shared" si="250"/>
        <v>20047.43593361582</v>
      </c>
      <c r="U338" s="172">
        <f t="shared" si="237"/>
        <v>19369.798834477089</v>
      </c>
      <c r="W338">
        <v>2030</v>
      </c>
      <c r="Z338" s="170">
        <v>25990.254589737444</v>
      </c>
      <c r="AA338" s="170">
        <v>17569.334040826598</v>
      </c>
      <c r="AB338" s="170">
        <v>22232.44454434991</v>
      </c>
      <c r="AC338" s="170">
        <v>25059.294917019775</v>
      </c>
      <c r="AD338" s="172">
        <f t="shared" si="238"/>
        <v>24212.273145672003</v>
      </c>
      <c r="AG338">
        <v>2030</v>
      </c>
      <c r="AH338" t="s">
        <v>240</v>
      </c>
      <c r="AI338" t="s">
        <v>240</v>
      </c>
      <c r="AJ338" s="170">
        <v>25990.254589737444</v>
      </c>
      <c r="AK338" s="170">
        <v>17569.334040826598</v>
      </c>
      <c r="AL338" s="170">
        <v>22232.44454434991</v>
      </c>
      <c r="AM338" s="170">
        <v>25059.294917019775</v>
      </c>
      <c r="AN338" s="172">
        <f t="shared" si="239"/>
        <v>24212.249571325188</v>
      </c>
    </row>
    <row r="339" spans="5:40">
      <c r="E339">
        <v>2040</v>
      </c>
      <c r="F339" s="320" t="s">
        <v>240</v>
      </c>
      <c r="G339" s="320" t="s">
        <v>240</v>
      </c>
      <c r="H339" s="330">
        <f>H338*($C$6+1)^10</f>
        <v>30056.992430696628</v>
      </c>
      <c r="I339" s="330">
        <f t="shared" ref="I339:K345" si="251">I338*($C$6+1)^10</f>
        <v>20318.436606851279</v>
      </c>
      <c r="J339" s="330">
        <f t="shared" si="251"/>
        <v>25711.191672946145</v>
      </c>
      <c r="K339" s="330">
        <f t="shared" si="251"/>
        <v>28980.363968303351</v>
      </c>
      <c r="L339" s="330">
        <f t="shared" si="236"/>
        <v>28012.178490500915</v>
      </c>
      <c r="M339" s="330"/>
      <c r="N339">
        <v>2040</v>
      </c>
      <c r="O339" s="320" t="s">
        <v>240</v>
      </c>
      <c r="P339" s="320" t="s">
        <v>240</v>
      </c>
      <c r="Q339" s="330">
        <f>Q338*($C$6+1)^10</f>
        <v>30056.992430696628</v>
      </c>
      <c r="R339" s="330">
        <f t="shared" ref="R339:T339" si="252">R338*($C$6+1)^10</f>
        <v>20318.436606851279</v>
      </c>
      <c r="S339" s="330">
        <f t="shared" si="252"/>
        <v>25711.191672946145</v>
      </c>
      <c r="T339" s="330">
        <f t="shared" si="252"/>
        <v>28980.363968303351</v>
      </c>
      <c r="U339" s="172">
        <f t="shared" si="237"/>
        <v>28013.614837728677</v>
      </c>
      <c r="W339">
        <v>2040</v>
      </c>
      <c r="Z339" s="170">
        <v>37571.240538370781</v>
      </c>
      <c r="AA339" s="170">
        <v>25398.045758564091</v>
      </c>
      <c r="AB339" s="170">
        <v>32138.989591182682</v>
      </c>
      <c r="AC339" s="170">
        <v>36225.454960379189</v>
      </c>
      <c r="AD339" s="172">
        <f t="shared" si="238"/>
        <v>35019.107054432701</v>
      </c>
      <c r="AG339">
        <v>2040</v>
      </c>
      <c r="AH339" t="s">
        <v>240</v>
      </c>
      <c r="AI339" t="s">
        <v>240</v>
      </c>
      <c r="AJ339" s="170">
        <v>37571.240538370781</v>
      </c>
      <c r="AK339" s="170">
        <v>25398.045758564091</v>
      </c>
      <c r="AL339" s="170">
        <v>32138.989591182682</v>
      </c>
      <c r="AM339" s="170">
        <v>36225.454960379189</v>
      </c>
      <c r="AN339" s="172">
        <f t="shared" si="239"/>
        <v>35015.43321835198</v>
      </c>
    </row>
    <row r="340" spans="5:40">
      <c r="E340">
        <v>2050</v>
      </c>
      <c r="F340" s="320" t="s">
        <v>240</v>
      </c>
      <c r="G340" s="320" t="s">
        <v>240</v>
      </c>
      <c r="H340" s="330">
        <f t="shared" ref="H340:H344" si="253">H339*($C$6+1)^10</f>
        <v>43450.074279749519</v>
      </c>
      <c r="I340" s="330">
        <f t="shared" si="251"/>
        <v>29372.11971063495</v>
      </c>
      <c r="J340" s="330">
        <f t="shared" si="251"/>
        <v>37167.830100973784</v>
      </c>
      <c r="K340" s="330">
        <f t="shared" si="251"/>
        <v>41893.711421072243</v>
      </c>
      <c r="L340" s="330">
        <f t="shared" si="236"/>
        <v>40494.112608114228</v>
      </c>
      <c r="M340" s="330"/>
      <c r="N340">
        <v>2050</v>
      </c>
      <c r="O340" s="320" t="s">
        <v>240</v>
      </c>
      <c r="P340" s="320" t="s">
        <v>240</v>
      </c>
      <c r="Q340" s="330">
        <f t="shared" ref="Q340:T344" si="254">Q339*($C$6+1)^10</f>
        <v>43450.074279749519</v>
      </c>
      <c r="R340" s="330">
        <f t="shared" si="254"/>
        <v>29372.11971063495</v>
      </c>
      <c r="S340" s="330">
        <f t="shared" si="254"/>
        <v>37167.830100973784</v>
      </c>
      <c r="T340" s="330">
        <f t="shared" si="254"/>
        <v>41893.711421072243</v>
      </c>
      <c r="U340" s="172">
        <f t="shared" si="237"/>
        <v>40496.188976662474</v>
      </c>
      <c r="W340">
        <v>2050</v>
      </c>
      <c r="Z340" s="170">
        <v>54312.592849686895</v>
      </c>
      <c r="AA340" s="170">
        <v>36715.149638293675</v>
      </c>
      <c r="AB340" s="170">
        <v>46459.787626217236</v>
      </c>
      <c r="AC340" s="170">
        <v>52367.139276340306</v>
      </c>
      <c r="AD340" s="172">
        <f t="shared" si="238"/>
        <v>50623.255345123558</v>
      </c>
      <c r="AG340">
        <v>2050</v>
      </c>
      <c r="AH340" t="s">
        <v>240</v>
      </c>
      <c r="AI340" t="s">
        <v>240</v>
      </c>
      <c r="AJ340" s="170">
        <v>54312.592849686895</v>
      </c>
      <c r="AK340" s="170">
        <v>36715.149638293675</v>
      </c>
      <c r="AL340" s="170">
        <v>46459.787626217236</v>
      </c>
      <c r="AM340" s="170">
        <v>52367.139276340306</v>
      </c>
      <c r="AN340" s="172">
        <f t="shared" si="239"/>
        <v>50617.944486062486</v>
      </c>
    </row>
    <row r="341" spans="5:40">
      <c r="E341">
        <v>2060</v>
      </c>
      <c r="F341" s="320" t="s">
        <v>240</v>
      </c>
      <c r="G341" s="320" t="s">
        <v>240</v>
      </c>
      <c r="H341" s="330">
        <f t="shared" si="253"/>
        <v>62810.973495394224</v>
      </c>
      <c r="I341" s="330">
        <f t="shared" si="251"/>
        <v>42460.029429870832</v>
      </c>
      <c r="J341" s="330">
        <f t="shared" si="251"/>
        <v>53729.426935447766</v>
      </c>
      <c r="K341" s="330">
        <f t="shared" si="251"/>
        <v>60561.111604797756</v>
      </c>
      <c r="L341" s="330">
        <f t="shared" si="236"/>
        <v>58537.866181121637</v>
      </c>
      <c r="M341" s="330"/>
      <c r="N341">
        <v>2060</v>
      </c>
      <c r="O341" s="320" t="s">
        <v>240</v>
      </c>
      <c r="P341" s="320" t="s">
        <v>240</v>
      </c>
      <c r="Q341" s="330">
        <f t="shared" si="254"/>
        <v>62810.973495394224</v>
      </c>
      <c r="R341" s="330">
        <f t="shared" si="254"/>
        <v>42460.029429870832</v>
      </c>
      <c r="S341" s="330">
        <f t="shared" si="254"/>
        <v>53729.426935447766</v>
      </c>
      <c r="T341" s="330">
        <f t="shared" si="254"/>
        <v>60561.111604797756</v>
      </c>
      <c r="U341" s="172">
        <f t="shared" si="237"/>
        <v>58540.867757805048</v>
      </c>
      <c r="W341">
        <v>2060</v>
      </c>
      <c r="Z341" s="170">
        <v>78513.71686924278</v>
      </c>
      <c r="AA341" s="170">
        <v>53075.036787338518</v>
      </c>
      <c r="AB341" s="170">
        <v>67161.78366930972</v>
      </c>
      <c r="AC341" s="170">
        <v>75701.389505997198</v>
      </c>
      <c r="AD341" s="172">
        <f t="shared" si="238"/>
        <v>73180.449111799782</v>
      </c>
      <c r="AG341">
        <v>2060</v>
      </c>
      <c r="AH341" t="s">
        <v>240</v>
      </c>
      <c r="AI341" t="s">
        <v>240</v>
      </c>
      <c r="AJ341" s="170">
        <v>78513.71686924278</v>
      </c>
      <c r="AK341" s="170">
        <v>53075.036787338518</v>
      </c>
      <c r="AL341" s="170">
        <v>67161.78366930972</v>
      </c>
      <c r="AM341" s="170">
        <v>75701.389505997198</v>
      </c>
      <c r="AN341" s="172">
        <f t="shared" si="239"/>
        <v>73172.771789418824</v>
      </c>
    </row>
    <row r="342" spans="5:40">
      <c r="E342">
        <v>2070</v>
      </c>
      <c r="F342" s="320" t="s">
        <v>240</v>
      </c>
      <c r="G342" s="320" t="s">
        <v>240</v>
      </c>
      <c r="H342" s="330">
        <f t="shared" si="253"/>
        <v>90798.887155823279</v>
      </c>
      <c r="I342" s="330">
        <f t="shared" si="251"/>
        <v>61379.775002507777</v>
      </c>
      <c r="J342" s="330">
        <f t="shared" si="251"/>
        <v>77670.698315422662</v>
      </c>
      <c r="K342" s="330">
        <f t="shared" si="251"/>
        <v>87546.510309038131</v>
      </c>
      <c r="L342" s="330">
        <f t="shared" si="236"/>
        <v>84621.727859576873</v>
      </c>
      <c r="M342" s="330"/>
      <c r="N342">
        <v>2070</v>
      </c>
      <c r="O342" s="320" t="s">
        <v>240</v>
      </c>
      <c r="P342" s="320" t="s">
        <v>240</v>
      </c>
      <c r="Q342" s="330">
        <f t="shared" si="254"/>
        <v>90798.887155823279</v>
      </c>
      <c r="R342" s="330">
        <f t="shared" si="254"/>
        <v>61379.775002507777</v>
      </c>
      <c r="S342" s="330">
        <f t="shared" si="254"/>
        <v>77670.698315422662</v>
      </c>
      <c r="T342" s="330">
        <f t="shared" si="254"/>
        <v>87546.510309038131</v>
      </c>
      <c r="U342" s="172">
        <f t="shared" si="237"/>
        <v>84626.066907475688</v>
      </c>
      <c r="W342">
        <v>2070</v>
      </c>
      <c r="Z342" s="170">
        <v>113498.6089447791</v>
      </c>
      <c r="AA342" s="170">
        <v>76724.718753134686</v>
      </c>
      <c r="AB342" s="170">
        <v>97088.372894278335</v>
      </c>
      <c r="AC342" s="170">
        <v>109433.13788629767</v>
      </c>
      <c r="AD342" s="172">
        <f t="shared" si="238"/>
        <v>105788.89278641755</v>
      </c>
      <c r="AG342">
        <v>2070</v>
      </c>
      <c r="AH342" t="s">
        <v>240</v>
      </c>
      <c r="AI342" t="s">
        <v>240</v>
      </c>
      <c r="AJ342" s="170">
        <v>113498.6089447791</v>
      </c>
      <c r="AK342" s="170">
        <v>76724.718753134686</v>
      </c>
      <c r="AL342" s="170">
        <v>97088.372894278335</v>
      </c>
      <c r="AM342" s="170">
        <v>109433.13788629767</v>
      </c>
      <c r="AN342" s="172">
        <f t="shared" si="239"/>
        <v>105777.79452938166</v>
      </c>
    </row>
    <row r="343" spans="5:40">
      <c r="E343">
        <v>2080</v>
      </c>
      <c r="F343" s="320" t="s">
        <v>240</v>
      </c>
      <c r="G343" s="320" t="s">
        <v>240</v>
      </c>
      <c r="H343" s="330">
        <f t="shared" si="253"/>
        <v>131257.92277905825</v>
      </c>
      <c r="I343" s="330">
        <f t="shared" si="251"/>
        <v>88729.961564935729</v>
      </c>
      <c r="J343" s="330">
        <f t="shared" si="251"/>
        <v>112279.95012962491</v>
      </c>
      <c r="K343" s="330">
        <f t="shared" si="251"/>
        <v>126556.32078396878</v>
      </c>
      <c r="L343" s="330">
        <f t="shared" si="236"/>
        <v>122328.28582757001</v>
      </c>
      <c r="M343" s="330"/>
      <c r="N343">
        <v>2080</v>
      </c>
      <c r="O343" s="320" t="s">
        <v>240</v>
      </c>
      <c r="P343" s="320" t="s">
        <v>240</v>
      </c>
      <c r="Q343" s="330">
        <f t="shared" si="254"/>
        <v>131257.92277905825</v>
      </c>
      <c r="R343" s="330">
        <f t="shared" si="254"/>
        <v>88729.961564935729</v>
      </c>
      <c r="S343" s="330">
        <f t="shared" si="254"/>
        <v>112279.95012962491</v>
      </c>
      <c r="T343" s="330">
        <f t="shared" si="254"/>
        <v>126556.32078396878</v>
      </c>
      <c r="U343" s="172">
        <f t="shared" si="237"/>
        <v>122334.55830988642</v>
      </c>
      <c r="W343">
        <v>2080</v>
      </c>
      <c r="Z343" s="170">
        <v>164072.40347382281</v>
      </c>
      <c r="AA343" s="170">
        <v>110912.45195616961</v>
      </c>
      <c r="AB343" s="170">
        <v>140349.93766203115</v>
      </c>
      <c r="AC343" s="170">
        <v>158195.40097996098</v>
      </c>
      <c r="AD343" s="172">
        <f t="shared" si="238"/>
        <v>152927.31833168873</v>
      </c>
      <c r="AG343">
        <v>2080</v>
      </c>
      <c r="AH343" t="s">
        <v>240</v>
      </c>
      <c r="AI343" t="s">
        <v>240</v>
      </c>
      <c r="AJ343" s="170">
        <v>164072.40347382281</v>
      </c>
      <c r="AK343" s="170">
        <v>110912.45195616961</v>
      </c>
      <c r="AL343" s="170">
        <v>140349.93766203115</v>
      </c>
      <c r="AM343" s="170">
        <v>158195.40097996098</v>
      </c>
      <c r="AN343" s="172">
        <f t="shared" si="239"/>
        <v>152911.274807251</v>
      </c>
    </row>
    <row r="344" spans="5:40">
      <c r="E344">
        <v>2090</v>
      </c>
      <c r="F344" s="320" t="s">
        <v>240</v>
      </c>
      <c r="G344" s="320" t="s">
        <v>240</v>
      </c>
      <c r="H344" s="330">
        <f t="shared" si="253"/>
        <v>189745.08203725578</v>
      </c>
      <c r="I344" s="330">
        <f t="shared" si="251"/>
        <v>128267.10555705533</v>
      </c>
      <c r="J344" s="330">
        <f t="shared" si="251"/>
        <v>162310.72302085627</v>
      </c>
      <c r="K344" s="330">
        <f t="shared" si="251"/>
        <v>182948.49530651476</v>
      </c>
      <c r="L344" s="330">
        <f t="shared" si="236"/>
        <v>176836.49213998084</v>
      </c>
      <c r="M344" s="330"/>
      <c r="N344">
        <v>2090</v>
      </c>
      <c r="O344" s="320" t="s">
        <v>240</v>
      </c>
      <c r="P344" s="320" t="s">
        <v>240</v>
      </c>
      <c r="Q344" s="330">
        <f t="shared" si="254"/>
        <v>189745.08203725578</v>
      </c>
      <c r="R344" s="330">
        <f t="shared" si="254"/>
        <v>128267.10555705533</v>
      </c>
      <c r="S344" s="330">
        <f t="shared" si="254"/>
        <v>162310.72302085627</v>
      </c>
      <c r="T344" s="330">
        <f t="shared" si="254"/>
        <v>182948.49530651476</v>
      </c>
      <c r="U344" s="172">
        <f t="shared" si="237"/>
        <v>176845.55957489452</v>
      </c>
      <c r="W344">
        <v>2090</v>
      </c>
      <c r="Z344" s="170">
        <v>237181.35254656972</v>
      </c>
      <c r="AA344" s="170">
        <v>160333.8819463191</v>
      </c>
      <c r="AB344" s="170">
        <v>202888.40377607039</v>
      </c>
      <c r="AC344" s="170">
        <v>228685.61913314345</v>
      </c>
      <c r="AD344" s="172">
        <f t="shared" si="238"/>
        <v>221070.1338876696</v>
      </c>
      <c r="AG344">
        <v>2090</v>
      </c>
      <c r="AH344" t="s">
        <v>240</v>
      </c>
      <c r="AI344" t="s">
        <v>240</v>
      </c>
      <c r="AJ344" s="170">
        <v>237181.35254656972</v>
      </c>
      <c r="AK344" s="170">
        <v>160333.8819463191</v>
      </c>
      <c r="AL344" s="170">
        <v>202888.40377607039</v>
      </c>
      <c r="AM344" s="170">
        <v>228685.61913314345</v>
      </c>
      <c r="AN344" s="172">
        <f t="shared" si="239"/>
        <v>221046.94153633455</v>
      </c>
    </row>
    <row r="345" spans="5:40">
      <c r="E345">
        <v>2100</v>
      </c>
      <c r="F345" s="320" t="s">
        <v>240</v>
      </c>
      <c r="G345" s="320" t="s">
        <v>240</v>
      </c>
      <c r="H345" s="330">
        <f>H344*($C$6+1)^10</f>
        <v>274293.50849874271</v>
      </c>
      <c r="I345" s="330">
        <f t="shared" si="251"/>
        <v>185421.58790347597</v>
      </c>
      <c r="J345" s="330">
        <f t="shared" si="251"/>
        <v>234634.68568643488</v>
      </c>
      <c r="K345" s="330">
        <f t="shared" si="251"/>
        <v>264468.43371854408</v>
      </c>
      <c r="L345" s="330">
        <f t="shared" si="236"/>
        <v>255632.98578754146</v>
      </c>
      <c r="M345" s="330"/>
      <c r="N345">
        <v>2100</v>
      </c>
      <c r="O345" s="320" t="s">
        <v>240</v>
      </c>
      <c r="P345" s="320" t="s">
        <v>240</v>
      </c>
      <c r="Q345" s="330">
        <f>Q344*($C$6+1)^10</f>
        <v>274293.50849874271</v>
      </c>
      <c r="R345" s="330">
        <f t="shared" ref="R345:T345" si="255">R344*($C$6+1)^10</f>
        <v>185421.58790347597</v>
      </c>
      <c r="S345" s="330">
        <f t="shared" si="255"/>
        <v>234634.68568643488</v>
      </c>
      <c r="T345" s="330">
        <f t="shared" si="255"/>
        <v>264468.43371854408</v>
      </c>
      <c r="U345" s="172">
        <f t="shared" si="237"/>
        <v>255646.09357673334</v>
      </c>
      <c r="W345">
        <v>2100</v>
      </c>
      <c r="Z345" s="170">
        <v>342866.88562342839</v>
      </c>
      <c r="AA345" s="170">
        <v>231776.98487934488</v>
      </c>
      <c r="AB345" s="170">
        <v>293293.35710804368</v>
      </c>
      <c r="AC345" s="170">
        <v>330585.54214818013</v>
      </c>
      <c r="AD345" s="172">
        <f t="shared" si="238"/>
        <v>319576.67622937192</v>
      </c>
      <c r="AG345">
        <v>2100</v>
      </c>
      <c r="AH345" t="s">
        <v>240</v>
      </c>
      <c r="AI345" t="s">
        <v>240</v>
      </c>
      <c r="AJ345" s="170">
        <v>342866.88562342839</v>
      </c>
      <c r="AK345" s="170">
        <v>231776.98487934488</v>
      </c>
      <c r="AL345" s="170">
        <v>293293.35710804368</v>
      </c>
      <c r="AM345" s="170">
        <v>330585.54214818013</v>
      </c>
      <c r="AN345" s="172">
        <f t="shared" si="239"/>
        <v>319543.14960855141</v>
      </c>
    </row>
    <row r="346" spans="5:40">
      <c r="F346" s="581" t="s">
        <v>298</v>
      </c>
      <c r="G346" s="581"/>
      <c r="H346" s="581"/>
      <c r="I346" s="581"/>
      <c r="J346" s="581"/>
      <c r="K346" s="581"/>
      <c r="L346" s="330"/>
      <c r="M346" s="330"/>
      <c r="O346" s="581" t="s">
        <v>299</v>
      </c>
      <c r="P346" s="581"/>
      <c r="Q346" s="581"/>
      <c r="R346" s="581"/>
      <c r="S346" s="581"/>
      <c r="T346" s="581"/>
      <c r="X346" s="581" t="s">
        <v>299</v>
      </c>
      <c r="Y346" s="581"/>
      <c r="Z346" s="581"/>
      <c r="AA346" s="581"/>
      <c r="AB346" s="581"/>
      <c r="AC346" s="581"/>
      <c r="AD346" s="172"/>
      <c r="AH346" s="581" t="s">
        <v>299</v>
      </c>
      <c r="AI346" s="581"/>
      <c r="AJ346" s="581"/>
      <c r="AK346" s="581"/>
      <c r="AL346" s="581"/>
      <c r="AM346" s="581"/>
    </row>
    <row r="347" spans="5:40">
      <c r="E347">
        <v>2020</v>
      </c>
      <c r="F347" s="320"/>
      <c r="G347" s="320"/>
      <c r="H347" s="330">
        <f>'Demographic-Economic'!E30*$C$9</f>
        <v>0</v>
      </c>
      <c r="I347" s="330">
        <f>'Demographic-Economic'!F30*$C$9</f>
        <v>0</v>
      </c>
      <c r="J347" s="330">
        <f>'Demographic-Economic'!G30*$C$9</f>
        <v>0</v>
      </c>
      <c r="K347" s="330">
        <f>'Demographic-Economic'!H30*$C$9</f>
        <v>0</v>
      </c>
      <c r="L347" s="330">
        <f t="shared" ref="L347:L364" si="256">SUMPRODUCT(H347:K347, H43:K43)/SUM(H43:K43)</f>
        <v>0</v>
      </c>
      <c r="M347" s="330"/>
      <c r="N347">
        <v>2020</v>
      </c>
      <c r="O347" s="320" t="s">
        <v>240</v>
      </c>
      <c r="P347" s="320" t="s">
        <v>240</v>
      </c>
      <c r="Q347" s="179">
        <f>'Demographic-Economic'!E30*$C$9</f>
        <v>0</v>
      </c>
      <c r="R347" s="179">
        <f>'Demographic-Economic'!F30*$C$9</f>
        <v>0</v>
      </c>
      <c r="S347" s="179">
        <f>'Demographic-Economic'!G30*$C$9</f>
        <v>0</v>
      </c>
      <c r="T347" s="179">
        <f>'Demographic-Economic'!H30*$C$9</f>
        <v>0</v>
      </c>
      <c r="U347" s="330">
        <f t="shared" ref="U347:U364" si="257">SUMPRODUCT(Q347:T347, Q43:T43)/SUM(Q43:T43)</f>
        <v>0</v>
      </c>
      <c r="W347">
        <v>2020</v>
      </c>
      <c r="Z347" s="170">
        <v>8989.5</v>
      </c>
      <c r="AA347" s="170">
        <v>6076.875</v>
      </c>
      <c r="AB347" s="170">
        <v>7689.75</v>
      </c>
      <c r="AC347" s="170">
        <v>8667.5</v>
      </c>
      <c r="AD347" s="172">
        <f t="shared" ref="AD347:AD364" si="258">SUMPRODUCT(Z347:AC347, Z43:AC43)/SUM(Z43:AC43)</f>
        <v>8349.8005818056699</v>
      </c>
      <c r="AG347">
        <v>2020</v>
      </c>
      <c r="AJ347" s="170">
        <v>8989.5</v>
      </c>
      <c r="AK347" s="170">
        <v>6076.875</v>
      </c>
      <c r="AL347" s="170">
        <v>7689.75</v>
      </c>
      <c r="AM347" s="170">
        <v>8667.5</v>
      </c>
      <c r="AN347" s="172">
        <f t="shared" ref="AN347:AN364" si="259">SUMPRODUCT(AJ347:AM347, AJ43:AM43)/SUM(AJ43:AM43)</f>
        <v>8349.8005818056699</v>
      </c>
    </row>
    <row r="348" spans="5:40">
      <c r="E348">
        <v>2021</v>
      </c>
      <c r="F348" s="320"/>
      <c r="G348" s="320"/>
      <c r="H348" s="330">
        <f>H347*(1+$C$6)</f>
        <v>0</v>
      </c>
      <c r="I348" s="330">
        <f t="shared" ref="I348:K357" si="260">I347*(1+$C$6)</f>
        <v>0</v>
      </c>
      <c r="J348" s="330">
        <f t="shared" si="260"/>
        <v>0</v>
      </c>
      <c r="K348" s="330">
        <f t="shared" si="260"/>
        <v>0</v>
      </c>
      <c r="L348" s="330">
        <f t="shared" si="256"/>
        <v>0</v>
      </c>
      <c r="M348" s="330"/>
      <c r="N348">
        <v>2021</v>
      </c>
      <c r="O348" s="320" t="s">
        <v>240</v>
      </c>
      <c r="P348" s="320" t="s">
        <v>240</v>
      </c>
      <c r="Q348" s="330">
        <f>Q347*(1+$C$6)</f>
        <v>0</v>
      </c>
      <c r="R348" s="330">
        <f t="shared" ref="R348:R357" si="261">R347*(1+$C$6)</f>
        <v>0</v>
      </c>
      <c r="S348" s="330">
        <f t="shared" ref="S348:S357" si="262">S347*(1+$C$6)</f>
        <v>0</v>
      </c>
      <c r="T348" s="330">
        <f t="shared" ref="T348:T357" si="263">T347*(1+$C$6)</f>
        <v>0</v>
      </c>
      <c r="U348" s="330">
        <f t="shared" si="257"/>
        <v>0</v>
      </c>
      <c r="W348">
        <v>2021</v>
      </c>
      <c r="Z348" s="170">
        <v>9326.9583387500006</v>
      </c>
      <c r="AA348" s="170">
        <v>6304.9958234374999</v>
      </c>
      <c r="AB348" s="170">
        <v>7978.4168068750005</v>
      </c>
      <c r="AC348" s="170">
        <v>8992.8707270833329</v>
      </c>
      <c r="AD348" s="172">
        <f t="shared" si="258"/>
        <v>8662.3495264249868</v>
      </c>
      <c r="AG348">
        <v>2021</v>
      </c>
      <c r="AJ348" s="170">
        <v>9326.9583387500006</v>
      </c>
      <c r="AK348" s="170">
        <v>6304.9958234374999</v>
      </c>
      <c r="AL348" s="170">
        <v>7978.4168068750005</v>
      </c>
      <c r="AM348" s="170">
        <v>8992.8707270833329</v>
      </c>
      <c r="AN348" s="172">
        <f t="shared" si="259"/>
        <v>8662.3495264249868</v>
      </c>
    </row>
    <row r="349" spans="5:40">
      <c r="E349">
        <v>2022</v>
      </c>
      <c r="F349" s="320"/>
      <c r="G349" s="320"/>
      <c r="H349" s="330">
        <f t="shared" ref="H349:H357" si="264">H348*(1+$C$6)</f>
        <v>0</v>
      </c>
      <c r="I349" s="330">
        <f t="shared" si="260"/>
        <v>0</v>
      </c>
      <c r="J349" s="330">
        <f t="shared" si="260"/>
        <v>0</v>
      </c>
      <c r="K349" s="330">
        <f t="shared" si="260"/>
        <v>0</v>
      </c>
      <c r="L349" s="330">
        <f t="shared" si="256"/>
        <v>0</v>
      </c>
      <c r="M349" s="330"/>
      <c r="N349">
        <v>2022</v>
      </c>
      <c r="O349" s="320" t="s">
        <v>240</v>
      </c>
      <c r="P349" s="320" t="s">
        <v>240</v>
      </c>
      <c r="Q349" s="330">
        <f t="shared" ref="Q349:Q357" si="265">Q348*(1+$C$6)</f>
        <v>0</v>
      </c>
      <c r="R349" s="330">
        <f t="shared" si="261"/>
        <v>0</v>
      </c>
      <c r="S349" s="330">
        <f t="shared" si="262"/>
        <v>0</v>
      </c>
      <c r="T349" s="330">
        <f t="shared" si="263"/>
        <v>0</v>
      </c>
      <c r="U349" s="330">
        <f t="shared" si="257"/>
        <v>0</v>
      </c>
      <c r="W349">
        <v>2022</v>
      </c>
      <c r="Z349" s="170">
        <v>9677.0845823213931</v>
      </c>
      <c r="AA349" s="170">
        <v>6541.6801124861577</v>
      </c>
      <c r="AB349" s="170">
        <v>8277.9199251244154</v>
      </c>
      <c r="AC349" s="170">
        <v>9330.4556001191013</v>
      </c>
      <c r="AD349" s="172">
        <f t="shared" si="258"/>
        <v>8986.7771280936522</v>
      </c>
      <c r="AG349">
        <v>2022</v>
      </c>
      <c r="AJ349" s="170">
        <v>9677.0845823213931</v>
      </c>
      <c r="AK349" s="170">
        <v>6541.6801124861577</v>
      </c>
      <c r="AL349" s="170">
        <v>8277.9199251244154</v>
      </c>
      <c r="AM349" s="170">
        <v>9330.4556001191013</v>
      </c>
      <c r="AN349" s="172">
        <f t="shared" si="259"/>
        <v>8986.8008743163737</v>
      </c>
    </row>
    <row r="350" spans="5:40">
      <c r="E350">
        <v>2023</v>
      </c>
      <c r="F350" s="320"/>
      <c r="G350" s="320"/>
      <c r="H350" s="330">
        <f t="shared" si="264"/>
        <v>0</v>
      </c>
      <c r="I350" s="330">
        <f t="shared" si="260"/>
        <v>0</v>
      </c>
      <c r="J350" s="330">
        <f t="shared" si="260"/>
        <v>0</v>
      </c>
      <c r="K350" s="330">
        <f t="shared" si="260"/>
        <v>0</v>
      </c>
      <c r="L350" s="330">
        <f t="shared" si="256"/>
        <v>0</v>
      </c>
      <c r="M350" s="330"/>
      <c r="N350">
        <v>2023</v>
      </c>
      <c r="O350" s="320" t="s">
        <v>240</v>
      </c>
      <c r="P350" s="320" t="s">
        <v>240</v>
      </c>
      <c r="Q350" s="330">
        <f t="shared" si="265"/>
        <v>0</v>
      </c>
      <c r="R350" s="330">
        <f t="shared" si="261"/>
        <v>0</v>
      </c>
      <c r="S350" s="330">
        <f t="shared" si="262"/>
        <v>0</v>
      </c>
      <c r="T350" s="330">
        <f t="shared" si="263"/>
        <v>0</v>
      </c>
      <c r="U350" s="330">
        <f t="shared" si="257"/>
        <v>0</v>
      </c>
      <c r="W350">
        <v>2023</v>
      </c>
      <c r="Z350" s="170">
        <v>10040.354273304587</v>
      </c>
      <c r="AA350" s="170">
        <v>6787.2493325087944</v>
      </c>
      <c r="AB350" s="170">
        <v>8588.6661408469827</v>
      </c>
      <c r="AC350" s="170">
        <v>9680.7131279679052</v>
      </c>
      <c r="AD350" s="172">
        <f t="shared" si="258"/>
        <v>9323.5329068342562</v>
      </c>
      <c r="AG350">
        <v>2023</v>
      </c>
      <c r="AJ350" s="170">
        <v>10040.354273304587</v>
      </c>
      <c r="AK350" s="170">
        <v>6787.2493325087944</v>
      </c>
      <c r="AL350" s="170">
        <v>8588.6661408469827</v>
      </c>
      <c r="AM350" s="170">
        <v>9680.7131279679052</v>
      </c>
      <c r="AN350" s="172">
        <f t="shared" si="259"/>
        <v>9323.5933851456903</v>
      </c>
    </row>
    <row r="351" spans="5:40">
      <c r="E351">
        <v>2024</v>
      </c>
      <c r="F351" s="320"/>
      <c r="G351" s="320"/>
      <c r="H351" s="330">
        <f t="shared" si="264"/>
        <v>0</v>
      </c>
      <c r="I351" s="330">
        <f t="shared" si="260"/>
        <v>0</v>
      </c>
      <c r="J351" s="330">
        <f t="shared" si="260"/>
        <v>0</v>
      </c>
      <c r="K351" s="330">
        <f t="shared" si="260"/>
        <v>0</v>
      </c>
      <c r="L351" s="330">
        <f t="shared" si="256"/>
        <v>0</v>
      </c>
      <c r="M351" s="330"/>
      <c r="N351">
        <v>2024</v>
      </c>
      <c r="O351" s="320" t="s">
        <v>240</v>
      </c>
      <c r="P351" s="320" t="s">
        <v>240</v>
      </c>
      <c r="Q351" s="330">
        <f t="shared" si="265"/>
        <v>0</v>
      </c>
      <c r="R351" s="330">
        <f t="shared" si="261"/>
        <v>0</v>
      </c>
      <c r="S351" s="330">
        <f t="shared" si="262"/>
        <v>0</v>
      </c>
      <c r="T351" s="330">
        <f t="shared" si="263"/>
        <v>0</v>
      </c>
      <c r="U351" s="330">
        <f t="shared" si="257"/>
        <v>0</v>
      </c>
      <c r="W351">
        <v>2024</v>
      </c>
      <c r="Z351" s="170">
        <v>10417.260805762548</v>
      </c>
      <c r="AA351" s="170">
        <v>7042.0370164100641</v>
      </c>
      <c r="AB351" s="170">
        <v>8911.0775105525936</v>
      </c>
      <c r="AC351" s="170">
        <v>10044.119031530881</v>
      </c>
      <c r="AD351" s="172">
        <f t="shared" si="258"/>
        <v>9673.0828066377471</v>
      </c>
      <c r="AG351">
        <v>2024</v>
      </c>
      <c r="AJ351" s="170">
        <v>10417.260805762548</v>
      </c>
      <c r="AK351" s="170">
        <v>7042.0370164100641</v>
      </c>
      <c r="AL351" s="170">
        <v>8911.0775105525936</v>
      </c>
      <c r="AM351" s="170">
        <v>10044.119031530881</v>
      </c>
      <c r="AN351" s="172">
        <f t="shared" si="259"/>
        <v>9673.1833366799365</v>
      </c>
    </row>
    <row r="352" spans="5:40">
      <c r="E352">
        <v>2025</v>
      </c>
      <c r="F352" s="320"/>
      <c r="G352" s="320"/>
      <c r="H352" s="330">
        <f t="shared" si="264"/>
        <v>0</v>
      </c>
      <c r="I352" s="330">
        <f t="shared" si="260"/>
        <v>0</v>
      </c>
      <c r="J352" s="330">
        <f t="shared" si="260"/>
        <v>0</v>
      </c>
      <c r="K352" s="330">
        <f t="shared" si="260"/>
        <v>0</v>
      </c>
      <c r="L352" s="330">
        <f t="shared" si="256"/>
        <v>0</v>
      </c>
      <c r="M352" s="330"/>
      <c r="N352">
        <v>2025</v>
      </c>
      <c r="O352" s="320" t="s">
        <v>240</v>
      </c>
      <c r="P352" s="320" t="s">
        <v>240</v>
      </c>
      <c r="Q352" s="330">
        <f t="shared" si="265"/>
        <v>0</v>
      </c>
      <c r="R352" s="330">
        <f t="shared" si="261"/>
        <v>0</v>
      </c>
      <c r="S352" s="330">
        <f t="shared" si="262"/>
        <v>0</v>
      </c>
      <c r="T352" s="330">
        <f t="shared" si="263"/>
        <v>0</v>
      </c>
      <c r="U352" s="330">
        <f t="shared" si="257"/>
        <v>0</v>
      </c>
      <c r="W352">
        <v>2025</v>
      </c>
      <c r="Z352" s="170">
        <v>10808.316095360202</v>
      </c>
      <c r="AA352" s="170">
        <v>7306.3892176419176</v>
      </c>
      <c r="AB352" s="170">
        <v>9245.5919344008125</v>
      </c>
      <c r="AC352" s="170">
        <v>10421.166889875358</v>
      </c>
      <c r="AD352" s="172">
        <f t="shared" si="258"/>
        <v>10035.909839326549</v>
      </c>
      <c r="AG352">
        <v>2025</v>
      </c>
      <c r="AJ352" s="170">
        <v>10808.316095360202</v>
      </c>
      <c r="AK352" s="170">
        <v>7306.3892176419176</v>
      </c>
      <c r="AL352" s="170">
        <v>9245.5919344008125</v>
      </c>
      <c r="AM352" s="170">
        <v>10421.166889875358</v>
      </c>
      <c r="AN352" s="172">
        <f t="shared" si="259"/>
        <v>10036.04505587671</v>
      </c>
    </row>
    <row r="353" spans="5:40">
      <c r="E353">
        <v>2026</v>
      </c>
      <c r="F353" s="320"/>
      <c r="G353" s="320"/>
      <c r="H353" s="330">
        <f t="shared" si="264"/>
        <v>0</v>
      </c>
      <c r="I353" s="330">
        <f t="shared" si="260"/>
        <v>0</v>
      </c>
      <c r="J353" s="330">
        <f t="shared" si="260"/>
        <v>0</v>
      </c>
      <c r="K353" s="330">
        <f t="shared" si="260"/>
        <v>0</v>
      </c>
      <c r="L353" s="330">
        <f t="shared" si="256"/>
        <v>0</v>
      </c>
      <c r="M353" s="330"/>
      <c r="N353">
        <v>2026</v>
      </c>
      <c r="O353" s="320" t="s">
        <v>240</v>
      </c>
      <c r="P353" s="320" t="s">
        <v>240</v>
      </c>
      <c r="Q353" s="330">
        <f t="shared" si="265"/>
        <v>0</v>
      </c>
      <c r="R353" s="330">
        <f t="shared" si="261"/>
        <v>0</v>
      </c>
      <c r="S353" s="330">
        <f t="shared" si="262"/>
        <v>0</v>
      </c>
      <c r="T353" s="330">
        <f t="shared" si="263"/>
        <v>0</v>
      </c>
      <c r="U353" s="330">
        <f t="shared" si="257"/>
        <v>0</v>
      </c>
      <c r="W353">
        <v>2026</v>
      </c>
      <c r="Z353" s="170">
        <v>11214.051274649944</v>
      </c>
      <c r="AA353" s="170">
        <v>7580.6649802145139</v>
      </c>
      <c r="AB353" s="170">
        <v>9592.6637509582742</v>
      </c>
      <c r="AC353" s="170">
        <v>10812.368810615537</v>
      </c>
      <c r="AD353" s="172">
        <f t="shared" si="258"/>
        <v>10412.514756829405</v>
      </c>
      <c r="AG353">
        <v>2026</v>
      </c>
      <c r="AJ353" s="170">
        <v>11214.051274649944</v>
      </c>
      <c r="AK353" s="170">
        <v>7580.6649802145139</v>
      </c>
      <c r="AL353" s="170">
        <v>9592.6637509582742</v>
      </c>
      <c r="AM353" s="170">
        <v>10812.368810615537</v>
      </c>
      <c r="AN353" s="172">
        <f t="shared" si="259"/>
        <v>10412.671489116914</v>
      </c>
    </row>
    <row r="354" spans="5:40">
      <c r="E354">
        <v>2027</v>
      </c>
      <c r="F354" s="320"/>
      <c r="G354" s="320"/>
      <c r="H354" s="330">
        <f t="shared" si="264"/>
        <v>0</v>
      </c>
      <c r="I354" s="330">
        <f t="shared" si="260"/>
        <v>0</v>
      </c>
      <c r="J354" s="330">
        <f t="shared" si="260"/>
        <v>0</v>
      </c>
      <c r="K354" s="330">
        <f t="shared" si="260"/>
        <v>0</v>
      </c>
      <c r="L354" s="330">
        <f t="shared" si="256"/>
        <v>0</v>
      </c>
      <c r="M354" s="330"/>
      <c r="N354">
        <v>2027</v>
      </c>
      <c r="O354" s="320" t="s">
        <v>240</v>
      </c>
      <c r="P354" s="320" t="s">
        <v>240</v>
      </c>
      <c r="Q354" s="330">
        <f t="shared" si="265"/>
        <v>0</v>
      </c>
      <c r="R354" s="330">
        <f t="shared" si="261"/>
        <v>0</v>
      </c>
      <c r="S354" s="330">
        <f t="shared" si="262"/>
        <v>0</v>
      </c>
      <c r="T354" s="330">
        <f t="shared" si="263"/>
        <v>0</v>
      </c>
      <c r="U354" s="330">
        <f t="shared" si="257"/>
        <v>0</v>
      </c>
      <c r="W354">
        <v>2027</v>
      </c>
      <c r="Z354" s="170">
        <v>11635.017414457574</v>
      </c>
      <c r="AA354" s="170">
        <v>7865.2368263509497</v>
      </c>
      <c r="AB354" s="170">
        <v>9952.7643542827882</v>
      </c>
      <c r="AC354" s="170">
        <v>11218.256125458702</v>
      </c>
      <c r="AD354" s="172">
        <f t="shared" si="258"/>
        <v>10803.416751867935</v>
      </c>
      <c r="AG354">
        <v>2027</v>
      </c>
      <c r="AJ354" s="170">
        <v>11635.017414457574</v>
      </c>
      <c r="AK354" s="170">
        <v>7865.2368263509497</v>
      </c>
      <c r="AL354" s="170">
        <v>9952.7643542827882</v>
      </c>
      <c r="AM354" s="170">
        <v>11218.256125458702</v>
      </c>
      <c r="AN354" s="172">
        <f t="shared" si="259"/>
        <v>10803.57480979679</v>
      </c>
    </row>
    <row r="355" spans="5:40">
      <c r="E355">
        <v>2028</v>
      </c>
      <c r="F355" s="320"/>
      <c r="G355" s="320"/>
      <c r="H355" s="330">
        <f t="shared" si="264"/>
        <v>0</v>
      </c>
      <c r="I355" s="330">
        <f t="shared" si="260"/>
        <v>0</v>
      </c>
      <c r="J355" s="330">
        <f t="shared" si="260"/>
        <v>0</v>
      </c>
      <c r="K355" s="330">
        <f t="shared" si="260"/>
        <v>0</v>
      </c>
      <c r="L355" s="330">
        <f t="shared" si="256"/>
        <v>0</v>
      </c>
      <c r="M355" s="330"/>
      <c r="N355">
        <v>2028</v>
      </c>
      <c r="O355" s="320" t="s">
        <v>240</v>
      </c>
      <c r="P355" s="320" t="s">
        <v>240</v>
      </c>
      <c r="Q355" s="330">
        <f t="shared" si="265"/>
        <v>0</v>
      </c>
      <c r="R355" s="330">
        <f t="shared" si="261"/>
        <v>0</v>
      </c>
      <c r="S355" s="330">
        <f t="shared" si="262"/>
        <v>0</v>
      </c>
      <c r="T355" s="330">
        <f t="shared" si="263"/>
        <v>0</v>
      </c>
      <c r="U355" s="330">
        <f t="shared" si="257"/>
        <v>0</v>
      </c>
      <c r="W355">
        <v>2028</v>
      </c>
      <c r="Z355" s="170">
        <v>12071.786272348467</v>
      </c>
      <c r="AA355" s="170">
        <v>8160.4912624481422</v>
      </c>
      <c r="AB355" s="170">
        <v>10326.382834172269</v>
      </c>
      <c r="AC355" s="170">
        <v>11639.38011186165</v>
      </c>
      <c r="AD355" s="172">
        <f t="shared" si="258"/>
        <v>11209.154187105629</v>
      </c>
      <c r="AG355">
        <v>2028</v>
      </c>
      <c r="AJ355" s="170">
        <v>12071.786272348467</v>
      </c>
      <c r="AK355" s="170">
        <v>8160.4912624481422</v>
      </c>
      <c r="AL355" s="170">
        <v>10326.382834172269</v>
      </c>
      <c r="AM355" s="170">
        <v>11639.38011186165</v>
      </c>
      <c r="AN355" s="172">
        <f t="shared" si="259"/>
        <v>11209.287062043957</v>
      </c>
    </row>
    <row r="356" spans="5:40">
      <c r="E356">
        <v>2029</v>
      </c>
      <c r="F356" s="320"/>
      <c r="G356" s="320"/>
      <c r="H356" s="330">
        <f t="shared" si="264"/>
        <v>0</v>
      </c>
      <c r="I356" s="330">
        <f t="shared" si="260"/>
        <v>0</v>
      </c>
      <c r="J356" s="330">
        <f t="shared" si="260"/>
        <v>0</v>
      </c>
      <c r="K356" s="330">
        <f t="shared" si="260"/>
        <v>0</v>
      </c>
      <c r="L356" s="330">
        <f t="shared" si="256"/>
        <v>0</v>
      </c>
      <c r="M356" s="330"/>
      <c r="N356">
        <v>2029</v>
      </c>
      <c r="O356" s="320" t="s">
        <v>240</v>
      </c>
      <c r="P356" s="320" t="s">
        <v>240</v>
      </c>
      <c r="Q356" s="330">
        <f t="shared" si="265"/>
        <v>0</v>
      </c>
      <c r="R356" s="330">
        <f t="shared" si="261"/>
        <v>0</v>
      </c>
      <c r="S356" s="330">
        <f t="shared" si="262"/>
        <v>0</v>
      </c>
      <c r="T356" s="330">
        <f t="shared" si="263"/>
        <v>0</v>
      </c>
      <c r="U356" s="330">
        <f t="shared" si="257"/>
        <v>0</v>
      </c>
      <c r="W356">
        <v>2029</v>
      </c>
      <c r="Z356" s="170">
        <v>12524.951069190534</v>
      </c>
      <c r="AA356" s="170">
        <v>8466.82930403106</v>
      </c>
      <c r="AB356" s="170">
        <v>10714.026640448068</v>
      </c>
      <c r="AC356" s="170">
        <v>12076.31274177751</v>
      </c>
      <c r="AD356" s="172">
        <f t="shared" si="258"/>
        <v>11630.285352891557</v>
      </c>
      <c r="AG356">
        <v>2029</v>
      </c>
      <c r="AJ356" s="170">
        <v>12524.951069190534</v>
      </c>
      <c r="AK356" s="170">
        <v>8466.82930403106</v>
      </c>
      <c r="AL356" s="170">
        <v>10714.026640448068</v>
      </c>
      <c r="AM356" s="170">
        <v>12076.31274177751</v>
      </c>
      <c r="AN356" s="172">
        <f t="shared" si="259"/>
        <v>11630.360839763795</v>
      </c>
    </row>
    <row r="357" spans="5:40">
      <c r="E357">
        <v>2030</v>
      </c>
      <c r="F357" s="320"/>
      <c r="G357" s="320"/>
      <c r="H357" s="330">
        <f t="shared" si="264"/>
        <v>0</v>
      </c>
      <c r="I357" s="330">
        <f t="shared" si="260"/>
        <v>0</v>
      </c>
      <c r="J357" s="330">
        <f t="shared" si="260"/>
        <v>0</v>
      </c>
      <c r="K357" s="330">
        <f t="shared" si="260"/>
        <v>0</v>
      </c>
      <c r="L357" s="330">
        <f t="shared" si="256"/>
        <v>0</v>
      </c>
      <c r="M357" s="330"/>
      <c r="N357">
        <v>2030</v>
      </c>
      <c r="O357" s="320" t="s">
        <v>240</v>
      </c>
      <c r="P357" s="320" t="s">
        <v>240</v>
      </c>
      <c r="Q357" s="330">
        <f t="shared" si="265"/>
        <v>0</v>
      </c>
      <c r="R357" s="330">
        <f t="shared" si="261"/>
        <v>0</v>
      </c>
      <c r="S357" s="330">
        <f t="shared" si="262"/>
        <v>0</v>
      </c>
      <c r="T357" s="330">
        <f t="shared" si="263"/>
        <v>0</v>
      </c>
      <c r="U357" s="330">
        <f t="shared" si="257"/>
        <v>0</v>
      </c>
      <c r="W357">
        <v>2030</v>
      </c>
      <c r="Z357" s="170">
        <v>12995.127294868722</v>
      </c>
      <c r="AA357" s="170">
        <v>8784.6670204132988</v>
      </c>
      <c r="AB357" s="170">
        <v>11116.222272174955</v>
      </c>
      <c r="AC357" s="170">
        <v>12529.647458509888</v>
      </c>
      <c r="AD357" s="172">
        <f t="shared" si="258"/>
        <v>12067.389253836423</v>
      </c>
      <c r="AG357">
        <v>2030</v>
      </c>
      <c r="AJ357" s="170">
        <v>12995.127294868722</v>
      </c>
      <c r="AK357" s="170">
        <v>8784.6670204132988</v>
      </c>
      <c r="AL357" s="170">
        <v>11116.222272174955</v>
      </c>
      <c r="AM357" s="170">
        <v>12529.647458509888</v>
      </c>
      <c r="AN357" s="172">
        <f t="shared" si="259"/>
        <v>12067.370000581916</v>
      </c>
    </row>
    <row r="358" spans="5:40">
      <c r="E358">
        <v>2040</v>
      </c>
      <c r="F358" s="320"/>
      <c r="G358" s="320"/>
      <c r="H358" s="330">
        <f>H357*(1+$C$6)^10</f>
        <v>0</v>
      </c>
      <c r="I358" s="330">
        <f t="shared" ref="I358:K364" si="266">I357*(1+$C$6)^10</f>
        <v>0</v>
      </c>
      <c r="J358" s="330">
        <f t="shared" si="266"/>
        <v>0</v>
      </c>
      <c r="K358" s="330">
        <f t="shared" si="266"/>
        <v>0</v>
      </c>
      <c r="L358" s="330">
        <f t="shared" si="256"/>
        <v>0</v>
      </c>
      <c r="M358" s="330"/>
      <c r="N358">
        <v>2040</v>
      </c>
      <c r="O358" s="320" t="s">
        <v>240</v>
      </c>
      <c r="P358" s="320" t="s">
        <v>240</v>
      </c>
      <c r="Q358" s="330">
        <f>Q357*(1+$C$6)^10</f>
        <v>0</v>
      </c>
      <c r="R358" s="330">
        <f t="shared" ref="R358:R364" si="267">R357*(1+$C$6)^10</f>
        <v>0</v>
      </c>
      <c r="S358" s="330">
        <f t="shared" ref="S358:S364" si="268">S357*(1+$C$6)^10</f>
        <v>0</v>
      </c>
      <c r="T358" s="330">
        <f t="shared" ref="T358:T364" si="269">T357*(1+$C$6)^10</f>
        <v>0</v>
      </c>
      <c r="U358" s="330">
        <f t="shared" si="257"/>
        <v>0</v>
      </c>
      <c r="W358">
        <v>2040</v>
      </c>
      <c r="Z358" s="170">
        <v>18785.62026918539</v>
      </c>
      <c r="AA358" s="170">
        <v>12699.022879282045</v>
      </c>
      <c r="AB358" s="170">
        <v>16069.494795591341</v>
      </c>
      <c r="AC358" s="170">
        <v>18112.727480189595</v>
      </c>
      <c r="AD358" s="172">
        <f t="shared" si="258"/>
        <v>17453.739681308933</v>
      </c>
      <c r="AG358">
        <v>2040</v>
      </c>
      <c r="AJ358" s="170">
        <v>18785.62026918539</v>
      </c>
      <c r="AK358" s="170">
        <v>12699.022879282045</v>
      </c>
      <c r="AL358" s="170">
        <v>16069.494795591341</v>
      </c>
      <c r="AM358" s="170">
        <v>18112.727480189595</v>
      </c>
      <c r="AN358" s="172">
        <f t="shared" si="259"/>
        <v>17451.854435655572</v>
      </c>
    </row>
    <row r="359" spans="5:40">
      <c r="E359">
        <v>2050</v>
      </c>
      <c r="F359" s="320"/>
      <c r="G359" s="320"/>
      <c r="H359" s="330">
        <f t="shared" ref="H359:H364" si="270">H358*(1+$C$6)^10</f>
        <v>0</v>
      </c>
      <c r="I359" s="330">
        <f t="shared" si="266"/>
        <v>0</v>
      </c>
      <c r="J359" s="330">
        <f t="shared" si="266"/>
        <v>0</v>
      </c>
      <c r="K359" s="330">
        <f t="shared" si="266"/>
        <v>0</v>
      </c>
      <c r="L359" s="330">
        <f t="shared" si="256"/>
        <v>0</v>
      </c>
      <c r="M359" s="330"/>
      <c r="N359">
        <v>2050</v>
      </c>
      <c r="O359" s="320" t="s">
        <v>240</v>
      </c>
      <c r="P359" s="320" t="s">
        <v>240</v>
      </c>
      <c r="Q359" s="330">
        <f t="shared" ref="Q359:Q364" si="271">Q358*(1+$C$6)^10</f>
        <v>0</v>
      </c>
      <c r="R359" s="330">
        <f t="shared" si="267"/>
        <v>0</v>
      </c>
      <c r="S359" s="330">
        <f t="shared" si="268"/>
        <v>0</v>
      </c>
      <c r="T359" s="330">
        <f t="shared" si="269"/>
        <v>0</v>
      </c>
      <c r="U359" s="330">
        <f t="shared" si="257"/>
        <v>0</v>
      </c>
      <c r="W359">
        <v>2050</v>
      </c>
      <c r="Z359" s="170">
        <v>27156.296424843447</v>
      </c>
      <c r="AA359" s="170">
        <v>18357.574819146837</v>
      </c>
      <c r="AB359" s="170">
        <v>23229.893813108618</v>
      </c>
      <c r="AC359" s="170">
        <v>26183.569638170153</v>
      </c>
      <c r="AD359" s="172">
        <f t="shared" si="258"/>
        <v>25230.943759954502</v>
      </c>
      <c r="AG359">
        <v>2050</v>
      </c>
      <c r="AJ359" s="170">
        <v>27156.296424843447</v>
      </c>
      <c r="AK359" s="170">
        <v>18357.574819146837</v>
      </c>
      <c r="AL359" s="170">
        <v>23229.893813108618</v>
      </c>
      <c r="AM359" s="170">
        <v>26183.569638170153</v>
      </c>
      <c r="AN359" s="172">
        <f t="shared" si="259"/>
        <v>25228.21846853145</v>
      </c>
    </row>
    <row r="360" spans="5:40">
      <c r="E360">
        <v>2060</v>
      </c>
      <c r="F360" s="320"/>
      <c r="G360" s="320"/>
      <c r="H360" s="330">
        <f t="shared" si="270"/>
        <v>0</v>
      </c>
      <c r="I360" s="330">
        <f t="shared" si="266"/>
        <v>0</v>
      </c>
      <c r="J360" s="330">
        <f t="shared" si="266"/>
        <v>0</v>
      </c>
      <c r="K360" s="330">
        <f t="shared" si="266"/>
        <v>0</v>
      </c>
      <c r="L360" s="330">
        <f t="shared" si="256"/>
        <v>0</v>
      </c>
      <c r="M360" s="330"/>
      <c r="N360">
        <v>2060</v>
      </c>
      <c r="O360" s="320" t="s">
        <v>240</v>
      </c>
      <c r="P360" s="320" t="s">
        <v>240</v>
      </c>
      <c r="Q360" s="330">
        <f t="shared" si="271"/>
        <v>0</v>
      </c>
      <c r="R360" s="330">
        <f t="shared" si="267"/>
        <v>0</v>
      </c>
      <c r="S360" s="330">
        <f t="shared" si="268"/>
        <v>0</v>
      </c>
      <c r="T360" s="330">
        <f t="shared" si="269"/>
        <v>0</v>
      </c>
      <c r="U360" s="330">
        <f t="shared" si="257"/>
        <v>0</v>
      </c>
      <c r="W360">
        <v>2060</v>
      </c>
      <c r="Z360" s="170">
        <v>39256.85843462139</v>
      </c>
      <c r="AA360" s="170">
        <v>26537.518393669259</v>
      </c>
      <c r="AB360" s="170">
        <v>33580.89183465486</v>
      </c>
      <c r="AC360" s="170">
        <v>37850.694752998599</v>
      </c>
      <c r="AD360" s="172">
        <f t="shared" si="258"/>
        <v>36473.588734666271</v>
      </c>
      <c r="AG360">
        <v>2060</v>
      </c>
      <c r="AJ360" s="170">
        <v>39256.85843462139</v>
      </c>
      <c r="AK360" s="170">
        <v>26537.518393669259</v>
      </c>
      <c r="AL360" s="170">
        <v>33580.89183465486</v>
      </c>
      <c r="AM360" s="170">
        <v>37850.694752998599</v>
      </c>
      <c r="AN360" s="172">
        <f t="shared" si="259"/>
        <v>36469.64908185375</v>
      </c>
    </row>
    <row r="361" spans="5:40">
      <c r="E361">
        <v>2070</v>
      </c>
      <c r="F361" s="320"/>
      <c r="G361" s="320"/>
      <c r="H361" s="330">
        <f t="shared" si="270"/>
        <v>0</v>
      </c>
      <c r="I361" s="330">
        <f t="shared" si="266"/>
        <v>0</v>
      </c>
      <c r="J361" s="330">
        <f t="shared" si="266"/>
        <v>0</v>
      </c>
      <c r="K361" s="330">
        <f t="shared" si="266"/>
        <v>0</v>
      </c>
      <c r="L361" s="330">
        <f t="shared" si="256"/>
        <v>0</v>
      </c>
      <c r="M361" s="330"/>
      <c r="N361">
        <v>2070</v>
      </c>
      <c r="O361" s="320" t="s">
        <v>240</v>
      </c>
      <c r="P361" s="320" t="s">
        <v>240</v>
      </c>
      <c r="Q361" s="330">
        <f t="shared" si="271"/>
        <v>0</v>
      </c>
      <c r="R361" s="330">
        <f t="shared" si="267"/>
        <v>0</v>
      </c>
      <c r="S361" s="330">
        <f t="shared" si="268"/>
        <v>0</v>
      </c>
      <c r="T361" s="330">
        <f t="shared" si="269"/>
        <v>0</v>
      </c>
      <c r="U361" s="330">
        <f t="shared" si="257"/>
        <v>0</v>
      </c>
      <c r="W361">
        <v>2070</v>
      </c>
      <c r="Z361" s="170">
        <v>56749.304472389551</v>
      </c>
      <c r="AA361" s="170">
        <v>38362.359376567343</v>
      </c>
      <c r="AB361" s="170">
        <v>48544.186447139167</v>
      </c>
      <c r="AC361" s="170">
        <v>54716.568943148835</v>
      </c>
      <c r="AD361" s="172">
        <f t="shared" si="258"/>
        <v>52725.838868421815</v>
      </c>
      <c r="AG361">
        <v>2070</v>
      </c>
      <c r="AJ361" s="170">
        <v>56749.304472389551</v>
      </c>
      <c r="AK361" s="170">
        <v>38362.359376567343</v>
      </c>
      <c r="AL361" s="170">
        <v>48544.186447139167</v>
      </c>
      <c r="AM361" s="170">
        <v>54716.568943148835</v>
      </c>
      <c r="AN361" s="172">
        <f t="shared" si="259"/>
        <v>52720.143747470014</v>
      </c>
    </row>
    <row r="362" spans="5:40">
      <c r="E362">
        <v>2080</v>
      </c>
      <c r="F362" s="320"/>
      <c r="G362" s="320"/>
      <c r="H362" s="330">
        <f t="shared" si="270"/>
        <v>0</v>
      </c>
      <c r="I362" s="330">
        <f t="shared" si="266"/>
        <v>0</v>
      </c>
      <c r="J362" s="330">
        <f t="shared" si="266"/>
        <v>0</v>
      </c>
      <c r="K362" s="330">
        <f t="shared" si="266"/>
        <v>0</v>
      </c>
      <c r="L362" s="330">
        <f t="shared" si="256"/>
        <v>0</v>
      </c>
      <c r="M362" s="330"/>
      <c r="N362">
        <v>2080</v>
      </c>
      <c r="O362" s="320" t="s">
        <v>240</v>
      </c>
      <c r="P362" s="320" t="s">
        <v>240</v>
      </c>
      <c r="Q362" s="330">
        <f t="shared" si="271"/>
        <v>0</v>
      </c>
      <c r="R362" s="330">
        <f t="shared" si="267"/>
        <v>0</v>
      </c>
      <c r="S362" s="330">
        <f t="shared" si="268"/>
        <v>0</v>
      </c>
      <c r="T362" s="330">
        <f t="shared" si="269"/>
        <v>0</v>
      </c>
      <c r="U362" s="330">
        <f t="shared" si="257"/>
        <v>0</v>
      </c>
      <c r="W362">
        <v>2080</v>
      </c>
      <c r="Z362" s="170">
        <v>82036.201736911404</v>
      </c>
      <c r="AA362" s="170">
        <v>55456.225978084804</v>
      </c>
      <c r="AB362" s="170">
        <v>70174.968831015576</v>
      </c>
      <c r="AC362" s="170">
        <v>79097.700489980489</v>
      </c>
      <c r="AD362" s="172">
        <f t="shared" si="258"/>
        <v>76219.921889301826</v>
      </c>
      <c r="AG362">
        <v>2080</v>
      </c>
      <c r="AJ362" s="170">
        <v>82036.201736911404</v>
      </c>
      <c r="AK362" s="170">
        <v>55456.225978084804</v>
      </c>
      <c r="AL362" s="170">
        <v>70174.968831015576</v>
      </c>
      <c r="AM362" s="170">
        <v>79097.700489980489</v>
      </c>
      <c r="AN362" s="172">
        <f t="shared" si="259"/>
        <v>76211.689081945617</v>
      </c>
    </row>
    <row r="363" spans="5:40">
      <c r="E363">
        <v>2090</v>
      </c>
      <c r="F363" s="320"/>
      <c r="G363" s="320"/>
      <c r="H363" s="330">
        <f t="shared" si="270"/>
        <v>0</v>
      </c>
      <c r="I363" s="330">
        <f t="shared" si="266"/>
        <v>0</v>
      </c>
      <c r="J363" s="330">
        <f t="shared" si="266"/>
        <v>0</v>
      </c>
      <c r="K363" s="330">
        <f t="shared" si="266"/>
        <v>0</v>
      </c>
      <c r="L363" s="330">
        <f t="shared" si="256"/>
        <v>0</v>
      </c>
      <c r="M363" s="330"/>
      <c r="N363">
        <v>2090</v>
      </c>
      <c r="O363" s="320" t="s">
        <v>240</v>
      </c>
      <c r="P363" s="320" t="s">
        <v>240</v>
      </c>
      <c r="Q363" s="330">
        <f t="shared" si="271"/>
        <v>0</v>
      </c>
      <c r="R363" s="330">
        <f t="shared" si="267"/>
        <v>0</v>
      </c>
      <c r="S363" s="330">
        <f t="shared" si="268"/>
        <v>0</v>
      </c>
      <c r="T363" s="330">
        <f t="shared" si="269"/>
        <v>0</v>
      </c>
      <c r="U363" s="330">
        <f t="shared" si="257"/>
        <v>0</v>
      </c>
      <c r="W363">
        <v>2090</v>
      </c>
      <c r="Z363" s="170">
        <v>118590.67627328486</v>
      </c>
      <c r="AA363" s="170">
        <v>80166.940973159552</v>
      </c>
      <c r="AB363" s="170">
        <v>101444.2018880352</v>
      </c>
      <c r="AC363" s="170">
        <v>114342.80956657173</v>
      </c>
      <c r="AD363" s="172">
        <f t="shared" si="258"/>
        <v>110182.72288296655</v>
      </c>
      <c r="AG363">
        <v>2090</v>
      </c>
      <c r="AJ363" s="170">
        <v>118590.67627328486</v>
      </c>
      <c r="AK363" s="170">
        <v>80166.940973159552</v>
      </c>
      <c r="AL363" s="170">
        <v>101444.2018880352</v>
      </c>
      <c r="AM363" s="170">
        <v>114342.80956657173</v>
      </c>
      <c r="AN363" s="172">
        <f t="shared" si="259"/>
        <v>110170.82162265311</v>
      </c>
    </row>
    <row r="364" spans="5:40">
      <c r="E364">
        <v>2100</v>
      </c>
      <c r="F364" s="320"/>
      <c r="G364" s="320"/>
      <c r="H364" s="330">
        <f t="shared" si="270"/>
        <v>0</v>
      </c>
      <c r="I364" s="330">
        <f t="shared" si="266"/>
        <v>0</v>
      </c>
      <c r="J364" s="330">
        <f t="shared" si="266"/>
        <v>0</v>
      </c>
      <c r="K364" s="330">
        <f t="shared" si="266"/>
        <v>0</v>
      </c>
      <c r="L364" s="330">
        <f t="shared" si="256"/>
        <v>0</v>
      </c>
      <c r="M364" s="330"/>
      <c r="N364">
        <v>2100</v>
      </c>
      <c r="O364" s="320" t="s">
        <v>240</v>
      </c>
      <c r="P364" s="320" t="s">
        <v>240</v>
      </c>
      <c r="Q364" s="330">
        <f t="shared" si="271"/>
        <v>0</v>
      </c>
      <c r="R364" s="330">
        <f t="shared" si="267"/>
        <v>0</v>
      </c>
      <c r="S364" s="330">
        <f t="shared" si="268"/>
        <v>0</v>
      </c>
      <c r="T364" s="330">
        <f t="shared" si="269"/>
        <v>0</v>
      </c>
      <c r="U364" s="330">
        <f t="shared" si="257"/>
        <v>0</v>
      </c>
      <c r="W364">
        <v>2100</v>
      </c>
      <c r="Z364" s="170">
        <v>171433.44281171419</v>
      </c>
      <c r="AA364" s="170">
        <v>115888.49243967244</v>
      </c>
      <c r="AB364" s="170">
        <v>146646.67855402184</v>
      </c>
      <c r="AC364" s="170">
        <v>165292.77107409007</v>
      </c>
      <c r="AD364" s="172">
        <f t="shared" si="258"/>
        <v>159278.99322091279</v>
      </c>
      <c r="AG364">
        <v>2100</v>
      </c>
      <c r="AJ364" s="170">
        <v>171433.44281171419</v>
      </c>
      <c r="AK364" s="170">
        <v>115888.49243967244</v>
      </c>
      <c r="AL364" s="170">
        <v>146646.67855402184</v>
      </c>
      <c r="AM364" s="170">
        <v>165292.77107409007</v>
      </c>
      <c r="AN364" s="172">
        <f t="shared" si="259"/>
        <v>159261.78888332529</v>
      </c>
    </row>
    <row r="365" spans="5:40">
      <c r="F365" s="581" t="s">
        <v>249</v>
      </c>
      <c r="G365" s="581"/>
      <c r="H365" s="581"/>
      <c r="I365" s="581"/>
      <c r="J365" s="581"/>
      <c r="K365" s="581"/>
      <c r="O365" s="581" t="s">
        <v>249</v>
      </c>
      <c r="P365" s="581"/>
      <c r="Q365" s="581"/>
      <c r="R365" s="581"/>
      <c r="S365" s="581"/>
      <c r="T365" s="581"/>
      <c r="X365" s="581" t="s">
        <v>249</v>
      </c>
      <c r="Y365" s="581"/>
      <c r="Z365" s="581"/>
      <c r="AA365" s="581"/>
      <c r="AB365" s="581"/>
      <c r="AC365" s="581"/>
      <c r="AH365" s="581" t="s">
        <v>249</v>
      </c>
      <c r="AI365" s="581"/>
      <c r="AJ365" s="581"/>
      <c r="AK365" s="581"/>
      <c r="AL365" s="581"/>
      <c r="AM365" s="581"/>
    </row>
    <row r="366" spans="5:40">
      <c r="E366">
        <v>2020</v>
      </c>
      <c r="F366" s="320" t="s">
        <v>240</v>
      </c>
      <c r="G366" s="320" t="s">
        <v>240</v>
      </c>
      <c r="H366" s="179">
        <f>SUM($L214,$L252,$L290,$L328)*H138 + SUM($L233,$L271,$L309,$L347)*H157</f>
        <v>254674751.12372297</v>
      </c>
      <c r="I366" s="179">
        <f>SUM($L214,$L252,$L290,$L328)*I138 + SUM($L233,$L271,$L309,$L347)*I157</f>
        <v>122561848.77719733</v>
      </c>
      <c r="J366" s="179">
        <f t="shared" ref="J366:K366" si="272">SUM($L214,$L252,$L290,$L328)*J138 + SUM($L233,$L271,$L309,$L347)*J157</f>
        <v>77449134.445635572</v>
      </c>
      <c r="K366" s="179">
        <f t="shared" si="272"/>
        <v>27140094.364077259</v>
      </c>
      <c r="L366" s="433">
        <f>SUM(H366:K366)/(SUM(F404:K404)*1000)</f>
        <v>3.7151003839688379E-4</v>
      </c>
      <c r="M366" s="194"/>
      <c r="N366">
        <v>2020</v>
      </c>
      <c r="O366" s="320" t="s">
        <v>240</v>
      </c>
      <c r="P366" s="320" t="s">
        <v>240</v>
      </c>
      <c r="Q366" s="179">
        <f>SUM($U214,$U252,$U290,$U328)*Q138 + SUM($U233,$U271,$U309,$U347)*Q157</f>
        <v>254674751.12372297</v>
      </c>
      <c r="R366" s="179">
        <f t="shared" ref="R366:T366" si="273">SUM($U214,$U252,$U290,$U328)*R138 + SUM($U233,$U271,$U309,$U347)*R157</f>
        <v>122561848.77719733</v>
      </c>
      <c r="S366" s="179">
        <f t="shared" si="273"/>
        <v>77449134.445635572</v>
      </c>
      <c r="T366" s="179">
        <f t="shared" si="273"/>
        <v>27140094.364077259</v>
      </c>
      <c r="U366" s="433">
        <f>SUM(Q366:T366)/(SUM(O404:T404)*1000)</f>
        <v>3.7151003839688379E-4</v>
      </c>
      <c r="W366">
        <v>2020</v>
      </c>
      <c r="X366" t="s">
        <v>240</v>
      </c>
      <c r="Y366" t="s">
        <v>240</v>
      </c>
      <c r="Z366" s="179">
        <f>SUM($AD214,$AD252,$AD290,$AD328)*Z138 + SUM($AD233,$AD271,$AD309,$AD347)*Z157</f>
        <v>344476646.86586118</v>
      </c>
      <c r="AA366" s="179">
        <f t="shared" ref="AA366:AC366" si="274">SUM($AD214,$AD252,$AD290,$AD328)*AA138 + SUM($AD233,$AD271,$AD309,$AD347)*AA157</f>
        <v>166184838.2448456</v>
      </c>
      <c r="AB366" s="179">
        <f t="shared" si="274"/>
        <v>106406423.88472822</v>
      </c>
      <c r="AC366" s="179">
        <f t="shared" si="274"/>
        <v>35818671.159137286</v>
      </c>
      <c r="AD366" s="433">
        <f>SUM(Z366:AC366)/(SUM(X404:AC404)*1000)</f>
        <v>5.0340580352678489E-4</v>
      </c>
      <c r="AG366">
        <v>2020</v>
      </c>
      <c r="AH366" t="s">
        <v>240</v>
      </c>
      <c r="AI366" t="s">
        <v>240</v>
      </c>
      <c r="AJ366" s="179">
        <f>SUM($AN214,$AN252,$AN290,$AN328)*AJ138 + SUM($AN233,$AN271,$AN309,$AN347)*AJ157</f>
        <v>350151385.76062077</v>
      </c>
      <c r="AK366" s="179">
        <f t="shared" ref="AK366:AM366" si="275">SUM($AN214,$AN252,$AN290,$AN328)*AK138 + SUM($AN233,$AN271,$AN309,$AN347)*AK157</f>
        <v>169372885.08287662</v>
      </c>
      <c r="AL366" s="179">
        <f t="shared" si="275"/>
        <v>109987312.92749526</v>
      </c>
      <c r="AM366" s="179">
        <f t="shared" si="275"/>
        <v>35419747.392928682</v>
      </c>
      <c r="AN366" s="433">
        <f>SUM(AJ366:AM366)/(SUM(AH404:AM404)*1000)</f>
        <v>5.126928646250632E-4</v>
      </c>
    </row>
    <row r="367" spans="5:40">
      <c r="E367">
        <v>2021</v>
      </c>
      <c r="F367" s="320" t="s">
        <v>240</v>
      </c>
      <c r="G367" s="320" t="s">
        <v>240</v>
      </c>
      <c r="H367" s="179">
        <f t="shared" ref="H367:K367" si="276">SUM($L215,$L253,$L291,$L329)*H139 + SUM($L234,$L272,$L310,$L348)*H158</f>
        <v>280654366.49519622</v>
      </c>
      <c r="I367" s="179">
        <f t="shared" si="276"/>
        <v>116458640.50776489</v>
      </c>
      <c r="J367" s="179">
        <f t="shared" si="276"/>
        <v>76662541.045034379</v>
      </c>
      <c r="K367" s="179">
        <f t="shared" si="276"/>
        <v>28457383.755734831</v>
      </c>
      <c r="L367" s="433">
        <f t="shared" ref="L367:L383" si="277">SUM(H367:K367)/(SUM(F405:K405)*1000)</f>
        <v>3.6773147259859713E-4</v>
      </c>
      <c r="M367" s="194"/>
      <c r="N367">
        <v>2021</v>
      </c>
      <c r="O367" s="320" t="s">
        <v>240</v>
      </c>
      <c r="P367" s="320" t="s">
        <v>240</v>
      </c>
      <c r="Q367" s="179">
        <f t="shared" ref="Q367:T367" si="278">SUM($U215,$U253,$U291,$U329)*Q139 + SUM($U234,$U272,$U310,$U348)*Q158</f>
        <v>280310690.08310729</v>
      </c>
      <c r="R367" s="179">
        <f t="shared" si="278"/>
        <v>117611070.8408771</v>
      </c>
      <c r="S367" s="179">
        <f t="shared" si="278"/>
        <v>76751481.308497965</v>
      </c>
      <c r="T367" s="179">
        <f t="shared" si="278"/>
        <v>28667632.518933143</v>
      </c>
      <c r="U367" s="433">
        <f t="shared" ref="U367:U383" si="279">SUM(Q367:T367)/(SUM(O405:T405)*1000)</f>
        <v>3.7272372924609514E-4</v>
      </c>
      <c r="W367">
        <v>2021</v>
      </c>
      <c r="X367" t="s">
        <v>240</v>
      </c>
      <c r="Y367" t="s">
        <v>240</v>
      </c>
      <c r="Z367" s="179">
        <f t="shared" ref="Z367:AC383" si="280">SUM($AD215,$AD253,$AD291,$AD329)*Z139 + SUM($AD234,$AD272,$AD310,$AD348)*Z158</f>
        <v>378692561.45723557</v>
      </c>
      <c r="AA367" s="179">
        <f t="shared" si="280"/>
        <v>160914275.44789696</v>
      </c>
      <c r="AB367" s="179">
        <f t="shared" si="280"/>
        <v>105554079.15031879</v>
      </c>
      <c r="AC367" s="179">
        <f t="shared" si="280"/>
        <v>38090095.818136424</v>
      </c>
      <c r="AD367" s="433">
        <f t="shared" ref="AD367:AD383" si="281">SUM(Z367:AC367)/(SUM(X405:AC405)*1000)</f>
        <v>5.0964007269369753E-4</v>
      </c>
      <c r="AG367">
        <v>2021</v>
      </c>
      <c r="AH367" t="s">
        <v>240</v>
      </c>
      <c r="AI367" t="s">
        <v>240</v>
      </c>
      <c r="AJ367" s="179">
        <f t="shared" ref="AJ367:AM383" si="282">SUM($AN215,$AN253,$AN291,$AN329)*AJ139 + SUM($AN234,$AN272,$AN310,$AN348)*AJ158</f>
        <v>385809252.26687324</v>
      </c>
      <c r="AK367" s="179">
        <f t="shared" si="282"/>
        <v>161143971.25073963</v>
      </c>
      <c r="AL367" s="179">
        <f t="shared" si="282"/>
        <v>108886430.86967996</v>
      </c>
      <c r="AM367" s="179">
        <f t="shared" si="282"/>
        <v>37174271.60044086</v>
      </c>
      <c r="AN367" s="433">
        <f t="shared" ref="AN367:AN383" si="283">SUM(AJ367:AM367)/(SUM(AH405:AM405)*1000)</f>
        <v>5.0281504983644084E-4</v>
      </c>
    </row>
    <row r="368" spans="5:40">
      <c r="E368">
        <v>2022</v>
      </c>
      <c r="F368" s="320" t="s">
        <v>240</v>
      </c>
      <c r="G368" s="320" t="s">
        <v>240</v>
      </c>
      <c r="H368" s="179">
        <f t="shared" ref="H368:K368" si="284">SUM($L216,$L254,$L292,$L330)*H140 + SUM($L235,$L273,$L311,$L349)*H159</f>
        <v>306765056.62274772</v>
      </c>
      <c r="I368" s="179">
        <f t="shared" si="284"/>
        <v>110819228.7043303</v>
      </c>
      <c r="J368" s="179">
        <f t="shared" si="284"/>
        <v>76078445.264384672</v>
      </c>
      <c r="K368" s="179">
        <f t="shared" si="284"/>
        <v>29813074.219431356</v>
      </c>
      <c r="L368" s="433">
        <f t="shared" si="277"/>
        <v>3.6489803274195769E-4</v>
      </c>
      <c r="M368" s="194"/>
      <c r="N368">
        <v>2022</v>
      </c>
      <c r="O368" s="320" t="s">
        <v>240</v>
      </c>
      <c r="P368" s="320" t="s">
        <v>240</v>
      </c>
      <c r="Q368" s="179">
        <f t="shared" ref="Q368:T368" si="285">SUM($U216,$U254,$U292,$U330)*Q140 + SUM($U235,$U273,$U311,$U349)*Q159</f>
        <v>306690963.5445168</v>
      </c>
      <c r="R368" s="179">
        <f t="shared" si="285"/>
        <v>112721954.58128913</v>
      </c>
      <c r="S368" s="179">
        <f t="shared" si="285"/>
        <v>76119937.629592299</v>
      </c>
      <c r="T368" s="179">
        <f t="shared" si="285"/>
        <v>30243343.081433259</v>
      </c>
      <c r="U368" s="433">
        <f t="shared" si="279"/>
        <v>3.7450041524330144E-4</v>
      </c>
      <c r="W368">
        <v>2022</v>
      </c>
      <c r="X368" t="s">
        <v>240</v>
      </c>
      <c r="Y368" t="s">
        <v>240</v>
      </c>
      <c r="Z368" s="179">
        <f t="shared" si="280"/>
        <v>414618822.31778795</v>
      </c>
      <c r="AA368" s="179">
        <f t="shared" si="280"/>
        <v>155284893.5064292</v>
      </c>
      <c r="AB368" s="179">
        <f t="shared" si="280"/>
        <v>104605064.69695655</v>
      </c>
      <c r="AC368" s="179">
        <f t="shared" si="280"/>
        <v>40450010.094732061</v>
      </c>
      <c r="AD368" s="433">
        <f t="shared" si="281"/>
        <v>5.1645098261828958E-4</v>
      </c>
      <c r="AG368">
        <v>2022</v>
      </c>
      <c r="AH368" t="s">
        <v>240</v>
      </c>
      <c r="AI368" t="s">
        <v>240</v>
      </c>
      <c r="AJ368" s="179">
        <f t="shared" si="282"/>
        <v>421759593.19332325</v>
      </c>
      <c r="AK368" s="179">
        <f t="shared" si="282"/>
        <v>153480174.07902879</v>
      </c>
      <c r="AL368" s="179">
        <f t="shared" si="282"/>
        <v>108048867.32365163</v>
      </c>
      <c r="AM368" s="179">
        <f t="shared" si="282"/>
        <v>38979718.996404961</v>
      </c>
      <c r="AN368" s="433">
        <f t="shared" si="283"/>
        <v>4.9484087065003674E-4</v>
      </c>
    </row>
    <row r="369" spans="5:40">
      <c r="E369">
        <v>2023</v>
      </c>
      <c r="F369" s="320" t="s">
        <v>240</v>
      </c>
      <c r="G369" s="320" t="s">
        <v>240</v>
      </c>
      <c r="H369" s="179">
        <f t="shared" ref="H369:K369" si="286">SUM($L217,$L255,$L293,$L331)*H141 + SUM($L236,$L274,$L312,$L350)*H160</f>
        <v>333109144.44085515</v>
      </c>
      <c r="I369" s="179">
        <f t="shared" si="286"/>
        <v>105589513.89060491</v>
      </c>
      <c r="J369" s="179">
        <f t="shared" si="286"/>
        <v>75680125.922741368</v>
      </c>
      <c r="K369" s="179">
        <f t="shared" si="286"/>
        <v>31210170.205805983</v>
      </c>
      <c r="L369" s="433">
        <f t="shared" si="277"/>
        <v>3.6290287648866151E-4</v>
      </c>
      <c r="M369" s="194"/>
      <c r="N369">
        <v>2023</v>
      </c>
      <c r="O369" s="320" t="s">
        <v>240</v>
      </c>
      <c r="P369" s="320" t="s">
        <v>240</v>
      </c>
      <c r="Q369" s="179">
        <f t="shared" ref="Q369:T369" si="287">SUM($U217,$U255,$U293,$U331)*Q141 + SUM($U236,$U274,$U312,$U350)*Q160</f>
        <v>333843902.68679005</v>
      </c>
      <c r="R369" s="179">
        <f t="shared" si="287"/>
        <v>107898808.32967487</v>
      </c>
      <c r="S369" s="179">
        <f t="shared" si="287"/>
        <v>75557857.658500463</v>
      </c>
      <c r="T369" s="179">
        <f t="shared" si="287"/>
        <v>31869355.872993954</v>
      </c>
      <c r="U369" s="433">
        <f t="shared" si="279"/>
        <v>3.7680425394386925E-4</v>
      </c>
      <c r="W369">
        <v>2023</v>
      </c>
      <c r="X369" t="s">
        <v>240</v>
      </c>
      <c r="Y369" t="s">
        <v>240</v>
      </c>
      <c r="Z369" s="179">
        <f t="shared" si="280"/>
        <v>452266314.26835817</v>
      </c>
      <c r="AA369" s="179">
        <f t="shared" si="280"/>
        <v>149326220.99226159</v>
      </c>
      <c r="AB369" s="179">
        <f t="shared" si="280"/>
        <v>103574557.07678051</v>
      </c>
      <c r="AC369" s="179">
        <f t="shared" si="280"/>
        <v>42899641.99083598</v>
      </c>
      <c r="AD369" s="433">
        <f t="shared" si="281"/>
        <v>5.2382536476773805E-4</v>
      </c>
      <c r="AG369">
        <v>2023</v>
      </c>
      <c r="AH369" t="s">
        <v>240</v>
      </c>
      <c r="AI369" t="s">
        <v>240</v>
      </c>
      <c r="AJ369" s="179">
        <f t="shared" si="282"/>
        <v>458125607.4018327</v>
      </c>
      <c r="AK369" s="179">
        <f t="shared" si="282"/>
        <v>146320524.40000671</v>
      </c>
      <c r="AL369" s="179">
        <f t="shared" si="282"/>
        <v>107455425.53017059</v>
      </c>
      <c r="AM369" s="179">
        <f t="shared" si="282"/>
        <v>40839954.228343971</v>
      </c>
      <c r="AN369" s="433">
        <f t="shared" si="283"/>
        <v>4.8849934359180181E-4</v>
      </c>
    </row>
    <row r="370" spans="5:40">
      <c r="E370">
        <v>2024</v>
      </c>
      <c r="F370" s="320" t="s">
        <v>240</v>
      </c>
      <c r="G370" s="320" t="s">
        <v>240</v>
      </c>
      <c r="H370" s="179">
        <f t="shared" ref="H370:K370" si="288">SUM($L218,$L256,$L294,$L332)*H142 + SUM($L237,$L275,$L313,$L351)*H161</f>
        <v>359780214.39184517</v>
      </c>
      <c r="I370" s="179">
        <f t="shared" si="288"/>
        <v>100722892.75429963</v>
      </c>
      <c r="J370" s="179">
        <f t="shared" si="288"/>
        <v>75453452.560120746</v>
      </c>
      <c r="K370" s="179">
        <f t="shared" si="288"/>
        <v>32651601.231753577</v>
      </c>
      <c r="L370" s="433">
        <f t="shared" si="277"/>
        <v>3.616586787508776E-4</v>
      </c>
      <c r="M370" s="194"/>
      <c r="N370">
        <v>2024</v>
      </c>
      <c r="O370" s="320" t="s">
        <v>240</v>
      </c>
      <c r="P370" s="320" t="s">
        <v>240</v>
      </c>
      <c r="Q370" s="179">
        <f t="shared" ref="Q370:T370" si="289">SUM($U218,$U256,$U294,$U332)*Q142 + SUM($U237,$U275,$U313,$U351)*Q161</f>
        <v>361801101.27026206</v>
      </c>
      <c r="R370" s="179">
        <f t="shared" si="289"/>
        <v>103144579.18796147</v>
      </c>
      <c r="S370" s="179">
        <f t="shared" si="289"/>
        <v>75068131.020397305</v>
      </c>
      <c r="T370" s="179">
        <f t="shared" si="289"/>
        <v>33547941.607115038</v>
      </c>
      <c r="U370" s="433">
        <f t="shared" si="279"/>
        <v>3.7960552358784982E-4</v>
      </c>
      <c r="W370">
        <v>2024</v>
      </c>
      <c r="X370" t="s">
        <v>240</v>
      </c>
      <c r="Y370" t="s">
        <v>240</v>
      </c>
      <c r="Z370" s="179">
        <f t="shared" si="280"/>
        <v>491648131.48577404</v>
      </c>
      <c r="AA370" s="179">
        <f t="shared" si="280"/>
        <v>143067668.08830696</v>
      </c>
      <c r="AB370" s="179">
        <f t="shared" si="280"/>
        <v>102477749.64733417</v>
      </c>
      <c r="AC370" s="179">
        <f t="shared" si="280"/>
        <v>45440441.268693358</v>
      </c>
      <c r="AD370" s="433">
        <f t="shared" si="281"/>
        <v>5.3175319790488664E-4</v>
      </c>
      <c r="AG370">
        <v>2024</v>
      </c>
      <c r="AH370" t="s">
        <v>240</v>
      </c>
      <c r="AI370" t="s">
        <v>240</v>
      </c>
      <c r="AJ370" s="179">
        <f t="shared" si="282"/>
        <v>495022091.18512779</v>
      </c>
      <c r="AK370" s="179">
        <f t="shared" si="282"/>
        <v>139611698.26815709</v>
      </c>
      <c r="AL370" s="179">
        <f t="shared" si="282"/>
        <v>107089675.59024081</v>
      </c>
      <c r="AM370" s="179">
        <f t="shared" si="282"/>
        <v>42758776.989699148</v>
      </c>
      <c r="AN370" s="433">
        <f t="shared" si="283"/>
        <v>4.8357502512869245E-4</v>
      </c>
    </row>
    <row r="371" spans="5:40">
      <c r="E371">
        <v>2025</v>
      </c>
      <c r="F371" s="320" t="s">
        <v>240</v>
      </c>
      <c r="G371" s="320" t="s">
        <v>240</v>
      </c>
      <c r="H371" s="179">
        <f t="shared" ref="H371:K371" si="290">SUM($L219,$L257,$L295,$L333)*H143 + SUM($L238,$L276,$L314,$L352)*H162</f>
        <v>386864807.09755963</v>
      </c>
      <c r="I371" s="179">
        <f t="shared" si="290"/>
        <v>96179020.903981358</v>
      </c>
      <c r="J371" s="179">
        <f t="shared" si="290"/>
        <v>75386468.364124253</v>
      </c>
      <c r="K371" s="179">
        <f t="shared" si="290"/>
        <v>34140249.280898653</v>
      </c>
      <c r="L371" s="433">
        <f t="shared" si="277"/>
        <v>3.6109358046939363E-4</v>
      </c>
      <c r="M371" s="194"/>
      <c r="N371">
        <v>2025</v>
      </c>
      <c r="O371" s="320" t="s">
        <v>240</v>
      </c>
      <c r="P371" s="320" t="s">
        <v>240</v>
      </c>
      <c r="Q371" s="179">
        <f t="shared" ref="Q371:T371" si="291">SUM($U219,$U257,$U295,$U333)*Q143 + SUM($U238,$U276,$U314,$U352)*Q162</f>
        <v>390597251.92567897</v>
      </c>
      <c r="R371" s="179">
        <f t="shared" si="291"/>
        <v>98461017.794507027</v>
      </c>
      <c r="S371" s="179">
        <f t="shared" si="291"/>
        <v>74653246.735347122</v>
      </c>
      <c r="T371" s="179">
        <f t="shared" si="291"/>
        <v>35281507.321466528</v>
      </c>
      <c r="U371" s="433">
        <f t="shared" si="279"/>
        <v>3.8287961520264374E-4</v>
      </c>
      <c r="W371">
        <v>2025</v>
      </c>
      <c r="X371" t="s">
        <v>240</v>
      </c>
      <c r="Y371" t="s">
        <v>240</v>
      </c>
      <c r="Z371" s="179">
        <f t="shared" si="280"/>
        <v>532780271.62853646</v>
      </c>
      <c r="AA371" s="179">
        <f t="shared" si="280"/>
        <v>136538093.70502725</v>
      </c>
      <c r="AB371" s="179">
        <f t="shared" si="280"/>
        <v>101329667.16968983</v>
      </c>
      <c r="AC371" s="179">
        <f t="shared" si="280"/>
        <v>48074103.241396174</v>
      </c>
      <c r="AD371" s="433">
        <f t="shared" si="281"/>
        <v>5.4022721990922376E-4</v>
      </c>
      <c r="AG371">
        <v>2025</v>
      </c>
      <c r="AH371" t="s">
        <v>240</v>
      </c>
      <c r="AI371" t="s">
        <v>240</v>
      </c>
      <c r="AJ371" s="179">
        <f t="shared" si="282"/>
        <v>532557018.40093583</v>
      </c>
      <c r="AK371" s="179">
        <f t="shared" si="282"/>
        <v>133306875.80007499</v>
      </c>
      <c r="AL371" s="179">
        <f t="shared" si="282"/>
        <v>106937555.35470983</v>
      </c>
      <c r="AM371" s="179">
        <f t="shared" si="282"/>
        <v>44739950.175811574</v>
      </c>
      <c r="AN371" s="433">
        <f t="shared" si="283"/>
        <v>4.7989479421001858E-4</v>
      </c>
    </row>
    <row r="372" spans="5:40">
      <c r="E372">
        <v>2026</v>
      </c>
      <c r="F372" s="320" t="s">
        <v>240</v>
      </c>
      <c r="G372" s="320" t="s">
        <v>240</v>
      </c>
      <c r="H372" s="179">
        <f t="shared" ref="H372:K372" si="292">SUM($L220,$L258,$L296,$L334)*H144 + SUM($L239,$L277,$L315,$L353)*H163</f>
        <v>414443805.85259598</v>
      </c>
      <c r="I372" s="179">
        <f t="shared" si="292"/>
        <v>91922808.557840481</v>
      </c>
      <c r="J372" s="179">
        <f t="shared" si="292"/>
        <v>75469052.037989199</v>
      </c>
      <c r="K372" s="179">
        <f t="shared" si="292"/>
        <v>35678971.765502706</v>
      </c>
      <c r="L372" s="433">
        <f t="shared" si="277"/>
        <v>3.6114811531252466E-4</v>
      </c>
      <c r="M372" s="194"/>
      <c r="N372">
        <v>2026</v>
      </c>
      <c r="O372" s="320" t="s">
        <v>240</v>
      </c>
      <c r="P372" s="320" t="s">
        <v>240</v>
      </c>
      <c r="Q372" s="179">
        <f t="shared" ref="Q372:T372" si="293">SUM($U220,$U258,$U296,$U334)*Q144 + SUM($U239,$U277,$U315,$U353)*Q163</f>
        <v>420269999.00030714</v>
      </c>
      <c r="R372" s="179">
        <f t="shared" si="293"/>
        <v>93848832.145405784</v>
      </c>
      <c r="S372" s="179">
        <f t="shared" si="293"/>
        <v>74315353.311937064</v>
      </c>
      <c r="T372" s="179">
        <f t="shared" si="293"/>
        <v>37072592.659535371</v>
      </c>
      <c r="U372" s="433">
        <f t="shared" si="279"/>
        <v>3.866062262428534E-4</v>
      </c>
      <c r="W372">
        <v>2026</v>
      </c>
      <c r="X372" t="s">
        <v>240</v>
      </c>
      <c r="Y372" t="s">
        <v>240</v>
      </c>
      <c r="Z372" s="179">
        <f t="shared" si="280"/>
        <v>575682254.04384899</v>
      </c>
      <c r="AA372" s="179">
        <f t="shared" si="280"/>
        <v>129765430.57136454</v>
      </c>
      <c r="AB372" s="179">
        <f t="shared" si="280"/>
        <v>100145005.97713862</v>
      </c>
      <c r="AC372" s="179">
        <f t="shared" si="280"/>
        <v>50802588.49747552</v>
      </c>
      <c r="AD372" s="433">
        <f t="shared" si="281"/>
        <v>5.4924260718006179E-4</v>
      </c>
      <c r="AG372">
        <v>2026</v>
      </c>
      <c r="AH372" t="s">
        <v>240</v>
      </c>
      <c r="AI372" t="s">
        <v>240</v>
      </c>
      <c r="AJ372" s="179">
        <f t="shared" si="282"/>
        <v>570832866.78244913</v>
      </c>
      <c r="AK372" s="179">
        <f t="shared" si="282"/>
        <v>127364793.48769635</v>
      </c>
      <c r="AL372" s="179">
        <f t="shared" si="282"/>
        <v>106987039.52637698</v>
      </c>
      <c r="AM372" s="179">
        <f t="shared" si="282"/>
        <v>46787224.141986907</v>
      </c>
      <c r="AN372" s="433">
        <f t="shared" si="283"/>
        <v>4.7731825053066589E-4</v>
      </c>
    </row>
    <row r="373" spans="5:40">
      <c r="E373">
        <v>2027</v>
      </c>
      <c r="F373" s="320" t="s">
        <v>240</v>
      </c>
      <c r="G373" s="320" t="s">
        <v>240</v>
      </c>
      <c r="H373" s="179">
        <f t="shared" ref="H373:K373" si="294">SUM($L221,$L259,$L297,$L335)*H145 + SUM($L240,$L278,$L316,$L354)*H164</f>
        <v>442593580.32037699</v>
      </c>
      <c r="I373" s="179">
        <f t="shared" si="294"/>
        <v>87923600.13649714</v>
      </c>
      <c r="J373" s="179">
        <f t="shared" si="294"/>
        <v>75692642.002743602</v>
      </c>
      <c r="K373" s="179">
        <f t="shared" si="294"/>
        <v>37270621.002078436</v>
      </c>
      <c r="L373" s="433">
        <f t="shared" si="277"/>
        <v>3.6177284982391497E-4</v>
      </c>
      <c r="M373" s="194"/>
      <c r="N373">
        <v>2027</v>
      </c>
      <c r="O373" s="320" t="s">
        <v>240</v>
      </c>
      <c r="P373" s="320" t="s">
        <v>240</v>
      </c>
      <c r="Q373" s="179">
        <f t="shared" ref="Q373:T373" si="295">SUM($U221,$U259,$U297,$U335)*Q145 + SUM($U240,$U278,$U316,$U354)*Q164</f>
        <v>450859809.61535519</v>
      </c>
      <c r="R373" s="179">
        <f t="shared" si="295"/>
        <v>89307829.369645938</v>
      </c>
      <c r="S373" s="179">
        <f t="shared" si="295"/>
        <v>74056314.4722642</v>
      </c>
      <c r="T373" s="179">
        <f t="shared" si="295"/>
        <v>38923867.019763328</v>
      </c>
      <c r="U373" s="433">
        <f t="shared" si="279"/>
        <v>3.9076871068698246E-4</v>
      </c>
      <c r="W373">
        <v>2027</v>
      </c>
      <c r="X373" t="s">
        <v>240</v>
      </c>
      <c r="Y373" t="s">
        <v>240</v>
      </c>
      <c r="Z373" s="179">
        <f t="shared" si="280"/>
        <v>620377657.81130373</v>
      </c>
      <c r="AA373" s="179">
        <f t="shared" si="280"/>
        <v>122776371.22704151</v>
      </c>
      <c r="AB373" s="179">
        <f t="shared" si="280"/>
        <v>98938000.949172646</v>
      </c>
      <c r="AC373" s="179">
        <f t="shared" si="280"/>
        <v>53628138.71337489</v>
      </c>
      <c r="AD373" s="433">
        <f t="shared" si="281"/>
        <v>5.5879670876445649E-4</v>
      </c>
      <c r="AG373">
        <v>2027</v>
      </c>
      <c r="AH373" t="s">
        <v>240</v>
      </c>
      <c r="AI373" t="s">
        <v>240</v>
      </c>
      <c r="AJ373" s="179">
        <f t="shared" si="282"/>
        <v>609947739.10335636</v>
      </c>
      <c r="AK373" s="179">
        <f t="shared" si="282"/>
        <v>121748953.3747372</v>
      </c>
      <c r="AL373" s="179">
        <f t="shared" si="282"/>
        <v>107227864.07934639</v>
      </c>
      <c r="AM373" s="179">
        <f t="shared" si="282"/>
        <v>48904357.824909836</v>
      </c>
      <c r="AN373" s="433">
        <f t="shared" si="283"/>
        <v>4.7573062549213633E-4</v>
      </c>
    </row>
    <row r="374" spans="5:40">
      <c r="E374">
        <v>2028</v>
      </c>
      <c r="F374" s="320" t="s">
        <v>240</v>
      </c>
      <c r="G374" s="320" t="s">
        <v>240</v>
      </c>
      <c r="H374" s="179">
        <f t="shared" ref="H374:K374" si="296">SUM($L222,$L260,$L298,$L336)*H146 + SUM($L241,$L279,$L317,$L355)*H165</f>
        <v>471386937.69290978</v>
      </c>
      <c r="I374" s="179">
        <f t="shared" si="296"/>
        <v>84154500.079966456</v>
      </c>
      <c r="J374" s="179">
        <f t="shared" si="296"/>
        <v>76050010.171761483</v>
      </c>
      <c r="K374" s="179">
        <f t="shared" si="296"/>
        <v>38918060.935893387</v>
      </c>
      <c r="L374" s="433">
        <f t="shared" si="277"/>
        <v>3.6292655128372029E-4</v>
      </c>
      <c r="M374" s="194"/>
      <c r="N374">
        <v>2028</v>
      </c>
      <c r="O374" s="320" t="s">
        <v>240</v>
      </c>
      <c r="P374" s="320" t="s">
        <v>240</v>
      </c>
      <c r="Q374" s="179">
        <f t="shared" ref="Q374:T374" si="297">SUM($U222,$U260,$U298,$U336)*Q146 + SUM($U241,$U279,$U317,$U355)*Q165</f>
        <v>482409863.79279083</v>
      </c>
      <c r="R374" s="179">
        <f t="shared" si="297"/>
        <v>84837044.943663999</v>
      </c>
      <c r="S374" s="179">
        <f t="shared" si="297"/>
        <v>73877760.290570498</v>
      </c>
      <c r="T374" s="179">
        <f t="shared" si="297"/>
        <v>40838127.56719774</v>
      </c>
      <c r="U374" s="433">
        <f t="shared" si="279"/>
        <v>3.9535355169257252E-4</v>
      </c>
      <c r="W374">
        <v>2028</v>
      </c>
      <c r="X374" t="s">
        <v>240</v>
      </c>
      <c r="Y374" t="s">
        <v>240</v>
      </c>
      <c r="Z374" s="179">
        <f t="shared" si="280"/>
        <v>666894579.04154861</v>
      </c>
      <c r="AA374" s="179">
        <f t="shared" si="280"/>
        <v>115596115.22495727</v>
      </c>
      <c r="AB374" s="179">
        <f t="shared" si="280"/>
        <v>97722319.385121614</v>
      </c>
      <c r="AC374" s="179">
        <f t="shared" si="280"/>
        <v>56553288.834856898</v>
      </c>
      <c r="AD374" s="433">
        <f t="shared" si="281"/>
        <v>5.6888882510236754E-4</v>
      </c>
      <c r="AG374">
        <v>2028</v>
      </c>
      <c r="AH374" t="s">
        <v>240</v>
      </c>
      <c r="AI374" t="s">
        <v>240</v>
      </c>
      <c r="AJ374" s="179">
        <f t="shared" si="282"/>
        <v>649996317.77444637</v>
      </c>
      <c r="AK374" s="179">
        <f t="shared" si="282"/>
        <v>116426960.09798323</v>
      </c>
      <c r="AL374" s="179">
        <f t="shared" si="282"/>
        <v>107651295.78333436</v>
      </c>
      <c r="AM374" s="179">
        <f t="shared" si="282"/>
        <v>51095137.333913907</v>
      </c>
      <c r="AN374" s="433">
        <f t="shared" si="283"/>
        <v>4.7503747134889192E-4</v>
      </c>
    </row>
    <row r="375" spans="5:40">
      <c r="E375">
        <v>2029</v>
      </c>
      <c r="F375" s="320" t="s">
        <v>240</v>
      </c>
      <c r="G375" s="320" t="s">
        <v>240</v>
      </c>
      <c r="H375" s="179">
        <f t="shared" ref="H375:K375" si="298">SUM($L223,$L261,$L299,$L337)*H147 + SUM($L242,$L280,$L318,$L356)*H166</f>
        <v>500893920.25816542</v>
      </c>
      <c r="I375" s="179">
        <f t="shared" si="298"/>
        <v>80591815.704184368</v>
      </c>
      <c r="J375" s="179">
        <f t="shared" si="298"/>
        <v>76535075.414637774</v>
      </c>
      <c r="K375" s="179">
        <f t="shared" si="298"/>
        <v>40624181.686592095</v>
      </c>
      <c r="L375" s="433">
        <f t="shared" si="277"/>
        <v>3.6457475085488933E-4</v>
      </c>
      <c r="M375" s="194"/>
      <c r="N375">
        <v>2029</v>
      </c>
      <c r="O375" s="320" t="s">
        <v>240</v>
      </c>
      <c r="P375" s="320" t="s">
        <v>240</v>
      </c>
      <c r="Q375" s="179">
        <f t="shared" ref="Q375:T375" si="299">SUM($U223,$U261,$U299,$U337)*Q147 + SUM($U242,$U280,$U318,$U356)*Q166</f>
        <v>514965963.88898885</v>
      </c>
      <c r="R375" s="179">
        <f t="shared" si="299"/>
        <v>80434859.287805513</v>
      </c>
      <c r="S375" s="179">
        <f t="shared" si="299"/>
        <v>73781133.703940168</v>
      </c>
      <c r="T375" s="179">
        <f t="shared" si="299"/>
        <v>42818298.085932218</v>
      </c>
      <c r="U375" s="433">
        <f t="shared" si="279"/>
        <v>4.0034993106703005E-4</v>
      </c>
      <c r="W375">
        <v>2029</v>
      </c>
      <c r="X375" t="s">
        <v>240</v>
      </c>
      <c r="Y375" t="s">
        <v>240</v>
      </c>
      <c r="Z375" s="179">
        <f t="shared" si="280"/>
        <v>715266009.94294858</v>
      </c>
      <c r="AA375" s="179">
        <f t="shared" si="280"/>
        <v>108248175.65020709</v>
      </c>
      <c r="AB375" s="179">
        <f t="shared" si="280"/>
        <v>96510980.914610863</v>
      </c>
      <c r="AC375" s="179">
        <f t="shared" si="280"/>
        <v>59580876.002697892</v>
      </c>
      <c r="AD375" s="433">
        <f t="shared" si="281"/>
        <v>5.7952002339019596E-4</v>
      </c>
      <c r="AG375">
        <v>2029</v>
      </c>
      <c r="AH375" t="s">
        <v>240</v>
      </c>
      <c r="AI375" t="s">
        <v>240</v>
      </c>
      <c r="AJ375" s="179">
        <f t="shared" si="282"/>
        <v>691070683.63106835</v>
      </c>
      <c r="AK375" s="179">
        <f t="shared" si="282"/>
        <v>111369962.68786946</v>
      </c>
      <c r="AL375" s="179">
        <f t="shared" si="282"/>
        <v>108249938.69746257</v>
      </c>
      <c r="AM375" s="179">
        <f t="shared" si="282"/>
        <v>53363392.498430647</v>
      </c>
      <c r="AN375" s="433">
        <f t="shared" si="283"/>
        <v>4.7516062958843848E-4</v>
      </c>
    </row>
    <row r="376" spans="5:40">
      <c r="E376">
        <v>2030</v>
      </c>
      <c r="F376" s="320" t="s">
        <v>240</v>
      </c>
      <c r="G376" s="320" t="s">
        <v>240</v>
      </c>
      <c r="H376" s="179">
        <f t="shared" ref="H376:K376" si="300">SUM($L224,$L262,$L300,$L338)*H148 + SUM($L243,$L281,$L319,$L357)*H167</f>
        <v>531182479.77701938</v>
      </c>
      <c r="I376" s="179">
        <f t="shared" si="300"/>
        <v>77214594.326264217</v>
      </c>
      <c r="J376" s="179">
        <f t="shared" si="300"/>
        <v>77142749.000415668</v>
      </c>
      <c r="K376" s="179">
        <f t="shared" si="300"/>
        <v>42391912.363829561</v>
      </c>
      <c r="L376" s="433">
        <f t="shared" si="277"/>
        <v>3.6668860627487427E-4</v>
      </c>
      <c r="M376" s="194"/>
      <c r="N376">
        <v>2030</v>
      </c>
      <c r="O376" s="320" t="s">
        <v>240</v>
      </c>
      <c r="P376" s="320" t="s">
        <v>240</v>
      </c>
      <c r="Q376" s="179">
        <f t="shared" ref="Q376:T376" si="301">SUM($U224,$U262,$U300,$U338)*Q148 + SUM($U243,$U281,$U319,$U357)*Q167</f>
        <v>548576463.10530603</v>
      </c>
      <c r="R376" s="179">
        <f t="shared" si="301"/>
        <v>76099102.030577824</v>
      </c>
      <c r="S376" s="179">
        <f t="shared" si="301"/>
        <v>73767732.486538514</v>
      </c>
      <c r="T376" s="179">
        <f t="shared" si="301"/>
        <v>44867428.639068842</v>
      </c>
      <c r="U376" s="433">
        <f t="shared" si="279"/>
        <v>4.0574937582444444E-4</v>
      </c>
      <c r="W376">
        <v>2030</v>
      </c>
      <c r="X376" t="s">
        <v>240</v>
      </c>
      <c r="Y376" t="s">
        <v>240</v>
      </c>
      <c r="Z376" s="179">
        <f t="shared" si="280"/>
        <v>765530144.6302017</v>
      </c>
      <c r="AA376" s="179">
        <f t="shared" si="280"/>
        <v>100754241.32081708</v>
      </c>
      <c r="AB376" s="179">
        <f t="shared" si="280"/>
        <v>95316301.827010691</v>
      </c>
      <c r="AC376" s="179">
        <f t="shared" si="280"/>
        <v>62714045.660215728</v>
      </c>
      <c r="AD376" s="433">
        <f t="shared" si="281"/>
        <v>5.906929831924093E-4</v>
      </c>
      <c r="AG376">
        <v>2030</v>
      </c>
      <c r="AH376" t="s">
        <v>240</v>
      </c>
      <c r="AI376" t="s">
        <v>240</v>
      </c>
      <c r="AJ376" s="179">
        <f>SUM($AN224,$AN262,$AN300,$AN338)*AJ148 + SUM($AN243,$AN281,$AN319,$AN357)*AJ167</f>
        <v>733261023.58127761</v>
      </c>
      <c r="AK376" s="179">
        <f t="shared" si="282"/>
        <v>106552182.61440226</v>
      </c>
      <c r="AL376" s="179">
        <f t="shared" si="282"/>
        <v>109017571.11613776</v>
      </c>
      <c r="AM376" s="179">
        <f t="shared" si="282"/>
        <v>55713011.764037222</v>
      </c>
      <c r="AN376" s="433">
        <f t="shared" si="283"/>
        <v>4.7603513344443847E-4</v>
      </c>
    </row>
    <row r="377" spans="5:40">
      <c r="E377">
        <v>2040</v>
      </c>
      <c r="F377" s="320" t="s">
        <v>240</v>
      </c>
      <c r="G377" s="320" t="s">
        <v>240</v>
      </c>
      <c r="H377" s="179">
        <f t="shared" ref="H377:K377" si="302">SUM($L225,$L263,$L301,$L339)*H149 + SUM($L244,$L282,$L320,$L358)*H168</f>
        <v>0</v>
      </c>
      <c r="I377" s="179">
        <f t="shared" si="302"/>
        <v>0</v>
      </c>
      <c r="J377" s="179">
        <f t="shared" si="302"/>
        <v>0</v>
      </c>
      <c r="K377" s="179">
        <f t="shared" si="302"/>
        <v>0</v>
      </c>
      <c r="L377" s="433">
        <f t="shared" si="277"/>
        <v>0</v>
      </c>
      <c r="M377" s="194"/>
      <c r="N377">
        <v>2040</v>
      </c>
      <c r="O377" s="320" t="s">
        <v>240</v>
      </c>
      <c r="P377" s="320" t="s">
        <v>240</v>
      </c>
      <c r="Q377" s="179">
        <f t="shared" ref="Q377:T377" si="303">SUM($U225,$U263,$U301,$U339)*Q149 + SUM($U244,$U282,$U320,$U358)*Q168</f>
        <v>0</v>
      </c>
      <c r="R377" s="179">
        <f t="shared" si="303"/>
        <v>0</v>
      </c>
      <c r="S377" s="179">
        <f t="shared" si="303"/>
        <v>0</v>
      </c>
      <c r="T377" s="179">
        <f t="shared" si="303"/>
        <v>0</v>
      </c>
      <c r="U377" s="433">
        <f t="shared" si="279"/>
        <v>0</v>
      </c>
      <c r="W377">
        <v>2040</v>
      </c>
      <c r="X377" t="s">
        <v>240</v>
      </c>
      <c r="Y377" t="s">
        <v>240</v>
      </c>
      <c r="Z377" s="179">
        <f t="shared" si="280"/>
        <v>0</v>
      </c>
      <c r="AA377" s="179">
        <f t="shared" si="280"/>
        <v>0</v>
      </c>
      <c r="AB377" s="179">
        <f t="shared" si="280"/>
        <v>0</v>
      </c>
      <c r="AC377" s="179">
        <f t="shared" si="280"/>
        <v>0</v>
      </c>
      <c r="AD377" s="433">
        <f t="shared" si="281"/>
        <v>0</v>
      </c>
      <c r="AG377">
        <v>2040</v>
      </c>
      <c r="AH377" t="s">
        <v>240</v>
      </c>
      <c r="AI377" t="s">
        <v>240</v>
      </c>
      <c r="AJ377" s="179">
        <f t="shared" si="282"/>
        <v>0</v>
      </c>
      <c r="AK377" s="179">
        <f t="shared" si="282"/>
        <v>0</v>
      </c>
      <c r="AL377" s="179">
        <f t="shared" si="282"/>
        <v>0</v>
      </c>
      <c r="AM377" s="179">
        <f t="shared" si="282"/>
        <v>0</v>
      </c>
      <c r="AN377" s="433">
        <f t="shared" si="283"/>
        <v>0</v>
      </c>
    </row>
    <row r="378" spans="5:40">
      <c r="E378">
        <v>2050</v>
      </c>
      <c r="F378" s="320" t="s">
        <v>240</v>
      </c>
      <c r="G378" s="320" t="s">
        <v>240</v>
      </c>
      <c r="H378" s="179">
        <f t="shared" ref="H378:K378" si="304">SUM($L226,$L264,$L302,$L340)*H150 + SUM($L245,$L283,$L321,$L359)*H169</f>
        <v>0</v>
      </c>
      <c r="I378" s="179">
        <f t="shared" si="304"/>
        <v>0</v>
      </c>
      <c r="J378" s="179">
        <f t="shared" si="304"/>
        <v>0</v>
      </c>
      <c r="K378" s="179">
        <f t="shared" si="304"/>
        <v>0</v>
      </c>
      <c r="L378" s="433">
        <f t="shared" si="277"/>
        <v>0</v>
      </c>
      <c r="M378" s="194"/>
      <c r="N378">
        <v>2050</v>
      </c>
      <c r="O378" s="320" t="s">
        <v>240</v>
      </c>
      <c r="P378" s="320" t="s">
        <v>240</v>
      </c>
      <c r="Q378" s="179">
        <f t="shared" ref="Q378:T378" si="305">SUM($U226,$U264,$U302,$U340)*Q150 + SUM($U245,$U283,$U321,$U359)*Q169</f>
        <v>0</v>
      </c>
      <c r="R378" s="179">
        <f t="shared" si="305"/>
        <v>0</v>
      </c>
      <c r="S378" s="179">
        <f t="shared" si="305"/>
        <v>0</v>
      </c>
      <c r="T378" s="179">
        <f t="shared" si="305"/>
        <v>0</v>
      </c>
      <c r="U378" s="433">
        <f t="shared" si="279"/>
        <v>0</v>
      </c>
      <c r="W378">
        <v>2050</v>
      </c>
      <c r="X378" t="s">
        <v>240</v>
      </c>
      <c r="Y378" t="s">
        <v>240</v>
      </c>
      <c r="Z378" s="179">
        <f t="shared" si="280"/>
        <v>0</v>
      </c>
      <c r="AA378" s="179">
        <f t="shared" si="280"/>
        <v>0</v>
      </c>
      <c r="AB378" s="179">
        <f t="shared" si="280"/>
        <v>0</v>
      </c>
      <c r="AC378" s="179">
        <f t="shared" si="280"/>
        <v>0</v>
      </c>
      <c r="AD378" s="433">
        <f t="shared" si="281"/>
        <v>0</v>
      </c>
      <c r="AG378">
        <v>2050</v>
      </c>
      <c r="AH378" t="s">
        <v>240</v>
      </c>
      <c r="AI378" t="s">
        <v>240</v>
      </c>
      <c r="AJ378" s="179">
        <f t="shared" si="282"/>
        <v>0</v>
      </c>
      <c r="AK378" s="179">
        <f t="shared" si="282"/>
        <v>0</v>
      </c>
      <c r="AL378" s="179">
        <f t="shared" si="282"/>
        <v>0</v>
      </c>
      <c r="AM378" s="179">
        <f t="shared" si="282"/>
        <v>0</v>
      </c>
      <c r="AN378" s="433">
        <f t="shared" si="283"/>
        <v>0</v>
      </c>
    </row>
    <row r="379" spans="5:40">
      <c r="E379">
        <v>2060</v>
      </c>
      <c r="F379" s="320" t="s">
        <v>240</v>
      </c>
      <c r="G379" s="320" t="s">
        <v>240</v>
      </c>
      <c r="H379" s="179">
        <f>SUM($L227,$L265,$L303,$L341)*H151 + SUM($L246,$L284,$L322,$L360)*H170</f>
        <v>0</v>
      </c>
      <c r="I379" s="179">
        <f t="shared" ref="I379:K379" si="306">SUM($L227,$L265,$L303,$L341)*I151 + SUM($L246,$L284,$L322,$L360)*I170</f>
        <v>0</v>
      </c>
      <c r="J379" s="179">
        <f t="shared" si="306"/>
        <v>0</v>
      </c>
      <c r="K379" s="179">
        <f t="shared" si="306"/>
        <v>0</v>
      </c>
      <c r="L379" s="433">
        <f t="shared" si="277"/>
        <v>0</v>
      </c>
      <c r="M379" s="194"/>
      <c r="N379">
        <v>2060</v>
      </c>
      <c r="O379" s="320" t="s">
        <v>240</v>
      </c>
      <c r="P379" s="320" t="s">
        <v>240</v>
      </c>
      <c r="Q379" s="179">
        <f t="shared" ref="Q379:T379" si="307">SUM($U227,$U265,$U303,$U341)*Q151 + SUM($U246,$U284,$U322,$U360)*Q170</f>
        <v>0</v>
      </c>
      <c r="R379" s="179">
        <f t="shared" si="307"/>
        <v>0</v>
      </c>
      <c r="S379" s="179">
        <f t="shared" si="307"/>
        <v>0</v>
      </c>
      <c r="T379" s="179">
        <f t="shared" si="307"/>
        <v>0</v>
      </c>
      <c r="U379" s="433">
        <f t="shared" si="279"/>
        <v>0</v>
      </c>
      <c r="W379">
        <v>2060</v>
      </c>
      <c r="X379" t="s">
        <v>240</v>
      </c>
      <c r="Y379" t="s">
        <v>240</v>
      </c>
      <c r="Z379" s="179">
        <f t="shared" si="280"/>
        <v>0</v>
      </c>
      <c r="AA379" s="179">
        <f t="shared" si="280"/>
        <v>0</v>
      </c>
      <c r="AB379" s="179">
        <f t="shared" si="280"/>
        <v>0</v>
      </c>
      <c r="AC379" s="179">
        <f t="shared" si="280"/>
        <v>0</v>
      </c>
      <c r="AD379" s="433">
        <f t="shared" si="281"/>
        <v>0</v>
      </c>
      <c r="AG379">
        <v>2060</v>
      </c>
      <c r="AH379" t="s">
        <v>240</v>
      </c>
      <c r="AI379" t="s">
        <v>240</v>
      </c>
      <c r="AJ379" s="179">
        <f t="shared" si="282"/>
        <v>0</v>
      </c>
      <c r="AK379" s="179">
        <f t="shared" si="282"/>
        <v>0</v>
      </c>
      <c r="AL379" s="179">
        <f t="shared" si="282"/>
        <v>0</v>
      </c>
      <c r="AM379" s="179">
        <f t="shared" si="282"/>
        <v>0</v>
      </c>
      <c r="AN379" s="433">
        <f t="shared" si="283"/>
        <v>0</v>
      </c>
    </row>
    <row r="380" spans="5:40">
      <c r="E380">
        <v>2070</v>
      </c>
      <c r="F380" s="320" t="s">
        <v>240</v>
      </c>
      <c r="G380" s="320" t="s">
        <v>240</v>
      </c>
      <c r="H380" s="179">
        <f t="shared" ref="H380:K380" si="308">SUM($L228,$L266,$L304,$L342)*H152 + SUM($L247,$L285,$L323,$L361)*H171</f>
        <v>0</v>
      </c>
      <c r="I380" s="179">
        <f t="shared" si="308"/>
        <v>0</v>
      </c>
      <c r="J380" s="179">
        <f t="shared" si="308"/>
        <v>0</v>
      </c>
      <c r="K380" s="179">
        <f t="shared" si="308"/>
        <v>0</v>
      </c>
      <c r="L380" s="433">
        <f t="shared" si="277"/>
        <v>0</v>
      </c>
      <c r="M380" s="194"/>
      <c r="N380">
        <v>2070</v>
      </c>
      <c r="O380" s="320" t="s">
        <v>240</v>
      </c>
      <c r="P380" s="320" t="s">
        <v>240</v>
      </c>
      <c r="Q380" s="179">
        <f t="shared" ref="Q380:T380" si="309">SUM($U228,$U266,$U304,$U342)*Q152 + SUM($U247,$U285,$U323,$U361)*Q171</f>
        <v>0</v>
      </c>
      <c r="R380" s="179">
        <f t="shared" si="309"/>
        <v>0</v>
      </c>
      <c r="S380" s="179">
        <f t="shared" si="309"/>
        <v>0</v>
      </c>
      <c r="T380" s="179">
        <f t="shared" si="309"/>
        <v>0</v>
      </c>
      <c r="U380" s="433">
        <f t="shared" si="279"/>
        <v>0</v>
      </c>
      <c r="W380">
        <v>2070</v>
      </c>
      <c r="X380" t="s">
        <v>240</v>
      </c>
      <c r="Y380" t="s">
        <v>240</v>
      </c>
      <c r="Z380" s="179">
        <f t="shared" si="280"/>
        <v>0</v>
      </c>
      <c r="AA380" s="179">
        <f t="shared" si="280"/>
        <v>0</v>
      </c>
      <c r="AB380" s="179">
        <f t="shared" si="280"/>
        <v>0</v>
      </c>
      <c r="AC380" s="179">
        <f t="shared" si="280"/>
        <v>0</v>
      </c>
      <c r="AD380" s="433">
        <f t="shared" si="281"/>
        <v>0</v>
      </c>
      <c r="AG380">
        <v>2070</v>
      </c>
      <c r="AH380" t="s">
        <v>240</v>
      </c>
      <c r="AI380" t="s">
        <v>240</v>
      </c>
      <c r="AJ380" s="179">
        <f t="shared" si="282"/>
        <v>0</v>
      </c>
      <c r="AK380" s="179">
        <f t="shared" si="282"/>
        <v>0</v>
      </c>
      <c r="AL380" s="179">
        <f t="shared" si="282"/>
        <v>0</v>
      </c>
      <c r="AM380" s="179">
        <f t="shared" si="282"/>
        <v>0</v>
      </c>
      <c r="AN380" s="433">
        <f t="shared" si="283"/>
        <v>0</v>
      </c>
    </row>
    <row r="381" spans="5:40">
      <c r="E381">
        <v>2080</v>
      </c>
      <c r="F381" s="320" t="s">
        <v>240</v>
      </c>
      <c r="G381" s="320" t="s">
        <v>240</v>
      </c>
      <c r="H381" s="179">
        <f t="shared" ref="H381:K381" si="310">SUM($L229,$L267,$L305,$L343)*H153 + SUM($L248,$L286,$L324,$L362)*H172</f>
        <v>0</v>
      </c>
      <c r="I381" s="179">
        <f t="shared" si="310"/>
        <v>0</v>
      </c>
      <c r="J381" s="179">
        <f t="shared" si="310"/>
        <v>0</v>
      </c>
      <c r="K381" s="179">
        <f t="shared" si="310"/>
        <v>0</v>
      </c>
      <c r="L381" s="433">
        <f t="shared" si="277"/>
        <v>0</v>
      </c>
      <c r="M381" s="194"/>
      <c r="N381">
        <v>2080</v>
      </c>
      <c r="O381" s="320" t="s">
        <v>240</v>
      </c>
      <c r="P381" s="320" t="s">
        <v>240</v>
      </c>
      <c r="Q381" s="179">
        <f t="shared" ref="Q381:T381" si="311">SUM($U229,$U267,$U305,$U343)*Q153 + SUM($U248,$U286,$U324,$U362)*Q172</f>
        <v>0</v>
      </c>
      <c r="R381" s="179">
        <f t="shared" si="311"/>
        <v>0</v>
      </c>
      <c r="S381" s="179">
        <f t="shared" si="311"/>
        <v>0</v>
      </c>
      <c r="T381" s="179">
        <f t="shared" si="311"/>
        <v>0</v>
      </c>
      <c r="U381" s="433">
        <f t="shared" si="279"/>
        <v>0</v>
      </c>
      <c r="W381">
        <v>2080</v>
      </c>
      <c r="X381" t="s">
        <v>240</v>
      </c>
      <c r="Y381" t="s">
        <v>240</v>
      </c>
      <c r="Z381" s="179">
        <f t="shared" si="280"/>
        <v>0</v>
      </c>
      <c r="AA381" s="179">
        <f t="shared" si="280"/>
        <v>0</v>
      </c>
      <c r="AB381" s="179">
        <f t="shared" si="280"/>
        <v>0</v>
      </c>
      <c r="AC381" s="179">
        <f t="shared" si="280"/>
        <v>0</v>
      </c>
      <c r="AD381" s="433">
        <f t="shared" si="281"/>
        <v>0</v>
      </c>
      <c r="AG381">
        <v>2080</v>
      </c>
      <c r="AH381" t="s">
        <v>240</v>
      </c>
      <c r="AI381" t="s">
        <v>240</v>
      </c>
      <c r="AJ381" s="179">
        <f t="shared" si="282"/>
        <v>0</v>
      </c>
      <c r="AK381" s="179">
        <f t="shared" si="282"/>
        <v>0</v>
      </c>
      <c r="AL381" s="179">
        <f t="shared" si="282"/>
        <v>0</v>
      </c>
      <c r="AM381" s="179">
        <f t="shared" si="282"/>
        <v>0</v>
      </c>
      <c r="AN381" s="433">
        <f t="shared" si="283"/>
        <v>0</v>
      </c>
    </row>
    <row r="382" spans="5:40">
      <c r="E382">
        <v>2090</v>
      </c>
      <c r="F382" s="320" t="s">
        <v>240</v>
      </c>
      <c r="G382" s="320" t="s">
        <v>240</v>
      </c>
      <c r="H382" s="179">
        <f t="shared" ref="H382:K382" si="312">SUM($L230,$L268,$L306,$L344)*H154 + SUM($L249,$L287,$L325,$L363)*H173</f>
        <v>0</v>
      </c>
      <c r="I382" s="179">
        <f t="shared" si="312"/>
        <v>0</v>
      </c>
      <c r="J382" s="179">
        <f t="shared" si="312"/>
        <v>0</v>
      </c>
      <c r="K382" s="179">
        <f t="shared" si="312"/>
        <v>0</v>
      </c>
      <c r="L382" s="433">
        <f t="shared" si="277"/>
        <v>0</v>
      </c>
      <c r="M382" s="194"/>
      <c r="N382">
        <v>2090</v>
      </c>
      <c r="O382" s="320" t="s">
        <v>240</v>
      </c>
      <c r="P382" s="320" t="s">
        <v>240</v>
      </c>
      <c r="Q382" s="179">
        <f t="shared" ref="Q382:T382" si="313">SUM($U230,$U268,$U306,$U344)*Q154 + SUM($U249,$U287,$U325,$U363)*Q173</f>
        <v>0</v>
      </c>
      <c r="R382" s="179">
        <f t="shared" si="313"/>
        <v>0</v>
      </c>
      <c r="S382" s="179">
        <f t="shared" si="313"/>
        <v>0</v>
      </c>
      <c r="T382" s="179">
        <f t="shared" si="313"/>
        <v>0</v>
      </c>
      <c r="U382" s="433">
        <f t="shared" si="279"/>
        <v>0</v>
      </c>
      <c r="W382">
        <v>2090</v>
      </c>
      <c r="X382" t="s">
        <v>240</v>
      </c>
      <c r="Y382" t="s">
        <v>240</v>
      </c>
      <c r="Z382" s="179">
        <f t="shared" si="280"/>
        <v>0</v>
      </c>
      <c r="AA382" s="179">
        <f t="shared" si="280"/>
        <v>0</v>
      </c>
      <c r="AB382" s="179">
        <f t="shared" si="280"/>
        <v>0</v>
      </c>
      <c r="AC382" s="179">
        <f t="shared" si="280"/>
        <v>0</v>
      </c>
      <c r="AD382" s="433">
        <f t="shared" si="281"/>
        <v>0</v>
      </c>
      <c r="AG382">
        <v>2090</v>
      </c>
      <c r="AH382" t="s">
        <v>240</v>
      </c>
      <c r="AI382" t="s">
        <v>240</v>
      </c>
      <c r="AJ382" s="179">
        <f t="shared" si="282"/>
        <v>0</v>
      </c>
      <c r="AK382" s="179">
        <f t="shared" si="282"/>
        <v>0</v>
      </c>
      <c r="AL382" s="179">
        <f t="shared" si="282"/>
        <v>0</v>
      </c>
      <c r="AM382" s="179">
        <f t="shared" si="282"/>
        <v>0</v>
      </c>
      <c r="AN382" s="433">
        <f t="shared" si="283"/>
        <v>0</v>
      </c>
    </row>
    <row r="383" spans="5:40">
      <c r="E383">
        <v>2100</v>
      </c>
      <c r="F383" s="320" t="s">
        <v>240</v>
      </c>
      <c r="G383" s="320" t="s">
        <v>240</v>
      </c>
      <c r="H383" s="179">
        <f t="shared" ref="H383:K383" si="314">SUM($L231,$L269,$L307,$L345)*H155 + SUM($L250,$L288,$L326,$L364)*H174</f>
        <v>0</v>
      </c>
      <c r="I383" s="179">
        <f t="shared" si="314"/>
        <v>0</v>
      </c>
      <c r="J383" s="179">
        <f t="shared" si="314"/>
        <v>0</v>
      </c>
      <c r="K383" s="179">
        <f t="shared" si="314"/>
        <v>0</v>
      </c>
      <c r="L383" s="433">
        <f t="shared" si="277"/>
        <v>0</v>
      </c>
      <c r="M383" s="194"/>
      <c r="N383">
        <v>2100</v>
      </c>
      <c r="O383" s="320" t="s">
        <v>240</v>
      </c>
      <c r="P383" s="320" t="s">
        <v>240</v>
      </c>
      <c r="Q383" s="179">
        <f t="shared" ref="Q383:T383" si="315">SUM($U231,$U269,$U307,$U345)*Q155 + SUM($U250,$U288,$U326,$U364)*Q174</f>
        <v>0</v>
      </c>
      <c r="R383" s="179">
        <f t="shared" si="315"/>
        <v>0</v>
      </c>
      <c r="S383" s="179">
        <f t="shared" si="315"/>
        <v>0</v>
      </c>
      <c r="T383" s="179">
        <f t="shared" si="315"/>
        <v>0</v>
      </c>
      <c r="U383" s="433">
        <f t="shared" si="279"/>
        <v>0</v>
      </c>
      <c r="W383">
        <v>2100</v>
      </c>
      <c r="X383" t="s">
        <v>240</v>
      </c>
      <c r="Y383" t="s">
        <v>240</v>
      </c>
      <c r="Z383" s="179">
        <f t="shared" si="280"/>
        <v>0</v>
      </c>
      <c r="AA383" s="179">
        <f t="shared" si="280"/>
        <v>0</v>
      </c>
      <c r="AB383" s="179">
        <f t="shared" si="280"/>
        <v>0</v>
      </c>
      <c r="AC383" s="179">
        <f t="shared" si="280"/>
        <v>0</v>
      </c>
      <c r="AD383" s="433">
        <f t="shared" si="281"/>
        <v>0</v>
      </c>
      <c r="AG383">
        <v>2100</v>
      </c>
      <c r="AH383" t="s">
        <v>240</v>
      </c>
      <c r="AI383" t="s">
        <v>240</v>
      </c>
      <c r="AJ383" s="179">
        <f t="shared" si="282"/>
        <v>0</v>
      </c>
      <c r="AK383" s="179">
        <f t="shared" si="282"/>
        <v>0</v>
      </c>
      <c r="AL383" s="179">
        <f t="shared" si="282"/>
        <v>0</v>
      </c>
      <c r="AM383" s="179">
        <f t="shared" si="282"/>
        <v>0</v>
      </c>
      <c r="AN383" s="433">
        <f t="shared" si="283"/>
        <v>0</v>
      </c>
    </row>
    <row r="384" spans="5:40">
      <c r="F384" s="581" t="s">
        <v>250</v>
      </c>
      <c r="G384" s="581"/>
      <c r="H384" s="581"/>
      <c r="I384" s="581"/>
      <c r="J384" s="581"/>
      <c r="K384" s="581"/>
      <c r="L384" s="181"/>
      <c r="O384" s="581" t="s">
        <v>250</v>
      </c>
      <c r="P384" s="581"/>
      <c r="Q384" s="581"/>
      <c r="R384" s="581"/>
      <c r="S384" s="581"/>
      <c r="T384" s="581"/>
      <c r="U384" s="181"/>
      <c r="X384" s="581" t="s">
        <v>250</v>
      </c>
      <c r="Y384" s="581"/>
      <c r="Z384" s="581"/>
      <c r="AA384" s="581"/>
      <c r="AB384" s="581"/>
      <c r="AC384" s="581"/>
      <c r="AD384" s="181"/>
      <c r="AH384" s="581" t="s">
        <v>250</v>
      </c>
      <c r="AI384" s="581"/>
      <c r="AJ384" s="581"/>
      <c r="AK384" s="581"/>
      <c r="AL384" s="581"/>
      <c r="AM384" s="581"/>
      <c r="AN384" s="181"/>
    </row>
    <row r="385" spans="5:40">
      <c r="E385">
        <v>2020</v>
      </c>
      <c r="H385" s="330">
        <f>H366+H195</f>
        <v>492778813.75819778</v>
      </c>
      <c r="I385" s="330">
        <f t="shared" ref="H385:K402" si="316">I366+I195</f>
        <v>194469361.81433827</v>
      </c>
      <c r="J385" s="330">
        <f t="shared" si="316"/>
        <v>128352511.90301487</v>
      </c>
      <c r="K385" s="330">
        <f t="shared" si="316"/>
        <v>45575741.787855074</v>
      </c>
      <c r="L385" s="433">
        <f>SUM(H385:K385)/(SUM(F404:K404)*1000)</f>
        <v>6.6400692789402298E-4</v>
      </c>
      <c r="M385" s="194"/>
      <c r="N385">
        <v>2020</v>
      </c>
      <c r="O385" s="320" t="s">
        <v>240</v>
      </c>
      <c r="P385" s="320" t="s">
        <v>240</v>
      </c>
      <c r="Q385" s="170">
        <f t="shared" ref="Q385:T402" si="317">Q366+Q195</f>
        <v>492778813.75819778</v>
      </c>
      <c r="R385" s="170">
        <f t="shared" si="317"/>
        <v>194469361.81433827</v>
      </c>
      <c r="S385" s="170">
        <f t="shared" si="317"/>
        <v>128352511.90301487</v>
      </c>
      <c r="T385" s="170">
        <f t="shared" si="317"/>
        <v>45575741.787855074</v>
      </c>
      <c r="U385" s="433">
        <f>SUM(Q385:T385)/(SUM(O404:T404)*1000)</f>
        <v>6.6400692789402298E-4</v>
      </c>
      <c r="W385">
        <v>2020</v>
      </c>
      <c r="X385" t="s">
        <v>240</v>
      </c>
      <c r="Y385" t="s">
        <v>240</v>
      </c>
      <c r="Z385" s="170">
        <f t="shared" ref="Z385:AC402" si="318">Z366+Z195</f>
        <v>582580709.50033593</v>
      </c>
      <c r="AA385" s="170">
        <f t="shared" si="318"/>
        <v>238092351.28198653</v>
      </c>
      <c r="AB385" s="170">
        <f t="shared" si="318"/>
        <v>157309801.34210753</v>
      </c>
      <c r="AC385" s="170">
        <f t="shared" si="318"/>
        <v>54254318.582915097</v>
      </c>
      <c r="AD385" s="433">
        <f>SUM(Z385:AC385)/(SUM(X404:AC404)*1000)</f>
        <v>7.9590269302392408E-4</v>
      </c>
      <c r="AG385">
        <v>2020</v>
      </c>
      <c r="AH385" t="s">
        <v>240</v>
      </c>
      <c r="AI385" t="s">
        <v>240</v>
      </c>
      <c r="AJ385">
        <f t="shared" ref="AJ385:AM402" si="319">AJ366+AJ195</f>
        <v>588255448.39509559</v>
      </c>
      <c r="AK385">
        <f t="shared" si="319"/>
        <v>241280398.12001759</v>
      </c>
      <c r="AL385">
        <f t="shared" si="319"/>
        <v>160890690.38487455</v>
      </c>
      <c r="AM385">
        <f t="shared" si="319"/>
        <v>53855394.816706493</v>
      </c>
      <c r="AN385" s="433">
        <f>SUM(AJ385:AM385)/(SUM(AH404:AM404)*1000)</f>
        <v>8.0518975412220239E-4</v>
      </c>
    </row>
    <row r="386" spans="5:40">
      <c r="E386">
        <v>2021</v>
      </c>
      <c r="H386" s="330">
        <f t="shared" si="316"/>
        <v>543077354.99447179</v>
      </c>
      <c r="I386" s="330">
        <f t="shared" si="316"/>
        <v>184793111.95789534</v>
      </c>
      <c r="J386" s="330">
        <f t="shared" si="316"/>
        <v>127054634.28257197</v>
      </c>
      <c r="K386" s="330">
        <f t="shared" si="316"/>
        <v>47790023.996427804</v>
      </c>
      <c r="L386" s="433">
        <f t="shared" ref="L386:L402" si="320">SUM(H386:K386)/(SUM(F405:K405)*1000)</f>
        <v>6.6096175960855623E-4</v>
      </c>
      <c r="M386" s="194"/>
      <c r="N386">
        <v>2021</v>
      </c>
      <c r="O386" s="320" t="s">
        <v>240</v>
      </c>
      <c r="P386" s="320" t="s">
        <v>240</v>
      </c>
      <c r="Q386" s="170">
        <f t="shared" si="317"/>
        <v>542412327.47616863</v>
      </c>
      <c r="R386" s="170">
        <f t="shared" si="317"/>
        <v>186621754.1835126</v>
      </c>
      <c r="S386" s="170">
        <f t="shared" si="317"/>
        <v>127202037.07529604</v>
      </c>
      <c r="T386" s="170">
        <f t="shared" si="317"/>
        <v>48143106.118266985</v>
      </c>
      <c r="U386" s="433">
        <f t="shared" ref="U386:U402" si="321">SUM(Q386:T386)/(SUM(O405:T405)*1000)</f>
        <v>6.6969247730272084E-4</v>
      </c>
      <c r="W386">
        <v>2021</v>
      </c>
      <c r="X386" t="s">
        <v>240</v>
      </c>
      <c r="Y386" t="s">
        <v>240</v>
      </c>
      <c r="Z386" s="170">
        <f t="shared" si="318"/>
        <v>640475243.74828947</v>
      </c>
      <c r="AA386" s="170">
        <f t="shared" si="318"/>
        <v>230548789.41251636</v>
      </c>
      <c r="AB386" s="170">
        <f t="shared" si="318"/>
        <v>156055175.21954292</v>
      </c>
      <c r="AC386" s="170">
        <f t="shared" si="318"/>
        <v>57696964.801744737</v>
      </c>
      <c r="AD386" s="433">
        <f t="shared" ref="AD386:AD402" si="322">SUM(Z386:AC386)/(SUM(X405:AC405)*1000)</f>
        <v>8.0913953751918959E-4</v>
      </c>
      <c r="AG386">
        <v>2021</v>
      </c>
      <c r="AH386" t="s">
        <v>240</v>
      </c>
      <c r="AI386" t="s">
        <v>240</v>
      </c>
      <c r="AJ386">
        <f t="shared" si="319"/>
        <v>648192073.67371261</v>
      </c>
      <c r="AK386">
        <f t="shared" si="319"/>
        <v>229566047.52483255</v>
      </c>
      <c r="AL386">
        <f t="shared" si="319"/>
        <v>159286319.00733244</v>
      </c>
      <c r="AM386">
        <f t="shared" si="319"/>
        <v>56525440.565572232</v>
      </c>
      <c r="AN386" s="433">
        <f t="shared" ref="AN386:AN402" si="323">SUM(AJ386:AM386)/(SUM(AH405:AM405)*1000)</f>
        <v>7.9343772683358705E-4</v>
      </c>
    </row>
    <row r="387" spans="5:40">
      <c r="E387">
        <v>2022</v>
      </c>
      <c r="H387" s="330">
        <f t="shared" si="316"/>
        <v>593628067.19429874</v>
      </c>
      <c r="I387" s="330">
        <f t="shared" si="316"/>
        <v>175850439.07956254</v>
      </c>
      <c r="J387" s="330">
        <f t="shared" si="316"/>
        <v>126091042.41116807</v>
      </c>
      <c r="K387" s="330">
        <f t="shared" si="316"/>
        <v>50068508.106648237</v>
      </c>
      <c r="L387" s="433">
        <f t="shared" si="320"/>
        <v>6.5917366846374973E-4</v>
      </c>
      <c r="M387" s="194"/>
      <c r="N387">
        <v>2022</v>
      </c>
      <c r="O387" s="320" t="s">
        <v>240</v>
      </c>
      <c r="P387" s="320" t="s">
        <v>240</v>
      </c>
      <c r="Q387" s="170">
        <f t="shared" si="317"/>
        <v>593485158.59637094</v>
      </c>
      <c r="R387" s="170">
        <f t="shared" si="317"/>
        <v>178869835.74573371</v>
      </c>
      <c r="S387" s="170">
        <f t="shared" si="317"/>
        <v>126159893.22076438</v>
      </c>
      <c r="T387" s="170">
        <f t="shared" si="317"/>
        <v>50791141.575122967</v>
      </c>
      <c r="U387" s="433">
        <f t="shared" si="321"/>
        <v>6.7617268125040727E-4</v>
      </c>
      <c r="W387">
        <v>2022</v>
      </c>
      <c r="X387" t="s">
        <v>240</v>
      </c>
      <c r="Y387" t="s">
        <v>240</v>
      </c>
      <c r="Z387" s="170">
        <f t="shared" si="318"/>
        <v>701261874.33415616</v>
      </c>
      <c r="AA387" s="170">
        <f t="shared" si="318"/>
        <v>222489251.77108967</v>
      </c>
      <c r="AB387" s="170">
        <f t="shared" si="318"/>
        <v>154656517.59742409</v>
      </c>
      <c r="AC387" s="170">
        <f t="shared" si="318"/>
        <v>61273484.835204646</v>
      </c>
      <c r="AD387" s="433">
        <f t="shared" si="322"/>
        <v>8.2324946057081485E-4</v>
      </c>
      <c r="AG387">
        <v>2022</v>
      </c>
      <c r="AH387" t="s">
        <v>240</v>
      </c>
      <c r="AI387" t="s">
        <v>240</v>
      </c>
      <c r="AJ387">
        <f t="shared" si="319"/>
        <v>708619227.87483311</v>
      </c>
      <c r="AK387">
        <f t="shared" si="319"/>
        <v>218654445.01067364</v>
      </c>
      <c r="AL387">
        <f t="shared" si="319"/>
        <v>158065878.9794659</v>
      </c>
      <c r="AM387">
        <f t="shared" si="319"/>
        <v>59272667.504791148</v>
      </c>
      <c r="AN387" s="433">
        <f t="shared" si="323"/>
        <v>7.8419731997456002E-4</v>
      </c>
    </row>
    <row r="388" spans="5:40">
      <c r="E388">
        <v>2023</v>
      </c>
      <c r="H388" s="330">
        <f t="shared" si="316"/>
        <v>644628031.66864681</v>
      </c>
      <c r="I388" s="330">
        <f t="shared" si="316"/>
        <v>167555971.29286659</v>
      </c>
      <c r="J388" s="330">
        <f t="shared" si="316"/>
        <v>125434216.10542789</v>
      </c>
      <c r="K388" s="330">
        <f t="shared" si="316"/>
        <v>52416235.30175665</v>
      </c>
      <c r="L388" s="433">
        <f t="shared" si="320"/>
        <v>6.5852937156486962E-4</v>
      </c>
      <c r="M388" s="194"/>
      <c r="N388">
        <v>2023</v>
      </c>
      <c r="O388" s="320" t="s">
        <v>240</v>
      </c>
      <c r="P388" s="320" t="s">
        <v>240</v>
      </c>
      <c r="Q388" s="170">
        <f t="shared" si="317"/>
        <v>646051180.76941371</v>
      </c>
      <c r="R388" s="170">
        <f t="shared" si="317"/>
        <v>171220757.17751002</v>
      </c>
      <c r="S388" s="170">
        <f t="shared" si="317"/>
        <v>125231765.24936309</v>
      </c>
      <c r="T388" s="170">
        <f t="shared" si="317"/>
        <v>53523398.401164919</v>
      </c>
      <c r="U388" s="433">
        <f t="shared" si="321"/>
        <v>6.8340823513638436E-4</v>
      </c>
      <c r="W388">
        <v>2023</v>
      </c>
      <c r="X388" t="s">
        <v>240</v>
      </c>
      <c r="Y388" t="s">
        <v>240</v>
      </c>
      <c r="Z388" s="170">
        <f t="shared" si="318"/>
        <v>764958094.73054051</v>
      </c>
      <c r="AA388" s="170">
        <f t="shared" si="318"/>
        <v>213956214.57768703</v>
      </c>
      <c r="AB388" s="170">
        <f t="shared" si="318"/>
        <v>153136328.3290031</v>
      </c>
      <c r="AC388" s="170">
        <f t="shared" si="318"/>
        <v>64985696.958077975</v>
      </c>
      <c r="AD388" s="433">
        <f t="shared" si="322"/>
        <v>8.3821130633846919E-4</v>
      </c>
      <c r="AG388">
        <v>2023</v>
      </c>
      <c r="AH388" t="s">
        <v>240</v>
      </c>
      <c r="AI388" t="s">
        <v>240</v>
      </c>
      <c r="AJ388">
        <f t="shared" si="319"/>
        <v>769743014.5247376</v>
      </c>
      <c r="AK388">
        <f t="shared" si="319"/>
        <v>208459175.01276362</v>
      </c>
      <c r="AL388">
        <f t="shared" si="319"/>
        <v>157201468.52371681</v>
      </c>
      <c r="AM388">
        <f t="shared" si="319"/>
        <v>62102945.777756035</v>
      </c>
      <c r="AN388" s="433">
        <f t="shared" si="323"/>
        <v>7.7713422328679906E-4</v>
      </c>
    </row>
    <row r="389" spans="5:40">
      <c r="E389">
        <v>2024</v>
      </c>
      <c r="H389" s="330">
        <f t="shared" si="316"/>
        <v>696257567.9304297</v>
      </c>
      <c r="I389" s="330">
        <f t="shared" si="316"/>
        <v>159836138.18075302</v>
      </c>
      <c r="J389" s="330">
        <f t="shared" si="316"/>
        <v>125060890.21671987</v>
      </c>
      <c r="K389" s="330">
        <f t="shared" si="316"/>
        <v>54838120.458022684</v>
      </c>
      <c r="L389" s="433">
        <f t="shared" si="320"/>
        <v>6.5893489205331903E-4</v>
      </c>
      <c r="M389" s="194"/>
      <c r="N389">
        <v>2024</v>
      </c>
      <c r="O389" s="320" t="s">
        <v>240</v>
      </c>
      <c r="P389" s="320" t="s">
        <v>240</v>
      </c>
      <c r="Q389" s="170">
        <f t="shared" si="317"/>
        <v>700170635.32187676</v>
      </c>
      <c r="R389" s="170">
        <f t="shared" si="317"/>
        <v>163679478.91099039</v>
      </c>
      <c r="S389" s="170">
        <f t="shared" si="317"/>
        <v>124422554.9777365</v>
      </c>
      <c r="T389" s="170">
        <f t="shared" si="317"/>
        <v>56343664.687722243</v>
      </c>
      <c r="U389" s="433">
        <f t="shared" si="321"/>
        <v>6.9136780520060088E-4</v>
      </c>
      <c r="W389">
        <v>2024</v>
      </c>
      <c r="X389" t="s">
        <v>240</v>
      </c>
      <c r="Y389" t="s">
        <v>240</v>
      </c>
      <c r="Z389" s="170">
        <f t="shared" si="318"/>
        <v>831585100.95053303</v>
      </c>
      <c r="AA389" s="170">
        <f t="shared" si="318"/>
        <v>204991997.33707458</v>
      </c>
      <c r="AB389" s="170">
        <f t="shared" si="318"/>
        <v>151517138.39071289</v>
      </c>
      <c r="AC389" s="170">
        <f t="shared" si="318"/>
        <v>68835755.324662283</v>
      </c>
      <c r="AD389" s="433">
        <f t="shared" si="322"/>
        <v>8.5400909098209835E-4</v>
      </c>
      <c r="AG389">
        <v>2024</v>
      </c>
      <c r="AH389" t="s">
        <v>240</v>
      </c>
      <c r="AI389" t="s">
        <v>240</v>
      </c>
      <c r="AJ389">
        <f t="shared" si="319"/>
        <v>831755554.37437057</v>
      </c>
      <c r="AK389">
        <f t="shared" si="319"/>
        <v>198904631.24911353</v>
      </c>
      <c r="AL389">
        <f t="shared" si="319"/>
        <v>156669199.27224311</v>
      </c>
      <c r="AM389">
        <f t="shared" si="319"/>
        <v>65022046.786458753</v>
      </c>
      <c r="AN389" s="433">
        <f t="shared" si="323"/>
        <v>7.7198162379820703E-4</v>
      </c>
    </row>
    <row r="390" spans="5:40">
      <c r="E390">
        <v>2025</v>
      </c>
      <c r="H390" s="330">
        <f t="shared" si="316"/>
        <v>748683475.46234655</v>
      </c>
      <c r="I390" s="330">
        <f t="shared" si="316"/>
        <v>152627227.51630172</v>
      </c>
      <c r="J390" s="330">
        <f t="shared" si="316"/>
        <v>124951371.35430944</v>
      </c>
      <c r="K390" s="330">
        <f t="shared" si="316"/>
        <v>57338997.96333088</v>
      </c>
      <c r="L390" s="433">
        <f t="shared" si="320"/>
        <v>6.6031191369629626E-4</v>
      </c>
      <c r="M390" s="194"/>
      <c r="N390">
        <v>2025</v>
      </c>
      <c r="O390" s="320" t="s">
        <v>240</v>
      </c>
      <c r="P390" s="320" t="s">
        <v>240</v>
      </c>
      <c r="Q390" s="170">
        <f t="shared" si="317"/>
        <v>755909808.98234212</v>
      </c>
      <c r="R390" s="170">
        <f t="shared" si="317"/>
        <v>156249034.290766</v>
      </c>
      <c r="S390" s="170">
        <f t="shared" si="317"/>
        <v>123736487.84342837</v>
      </c>
      <c r="T390" s="170">
        <f t="shared" si="317"/>
        <v>59255958.470954843</v>
      </c>
      <c r="U390" s="433">
        <f t="shared" si="321"/>
        <v>7.0002669096534231E-4</v>
      </c>
      <c r="W390">
        <v>2025</v>
      </c>
      <c r="X390" t="s">
        <v>240</v>
      </c>
      <c r="Y390" t="s">
        <v>240</v>
      </c>
      <c r="Z390" s="170">
        <f t="shared" si="318"/>
        <v>901168975.28211665</v>
      </c>
      <c r="AA390" s="170">
        <f t="shared" si="318"/>
        <v>195638137.96840489</v>
      </c>
      <c r="AB390" s="170">
        <f t="shared" si="318"/>
        <v>149821233.51130247</v>
      </c>
      <c r="AC390" s="170">
        <f t="shared" si="318"/>
        <v>72826186.257602245</v>
      </c>
      <c r="AD390" s="433">
        <f t="shared" si="322"/>
        <v>8.706314670744701E-4</v>
      </c>
      <c r="AG390">
        <v>2025</v>
      </c>
      <c r="AH390" t="s">
        <v>240</v>
      </c>
      <c r="AI390" t="s">
        <v>240</v>
      </c>
      <c r="AJ390">
        <f t="shared" si="319"/>
        <v>894837608.49319935</v>
      </c>
      <c r="AK390">
        <f t="shared" si="319"/>
        <v>189924407.45165214</v>
      </c>
      <c r="AL390">
        <f t="shared" si="319"/>
        <v>156448619.00091049</v>
      </c>
      <c r="AM390">
        <f t="shared" si="319"/>
        <v>68035685.756095931</v>
      </c>
      <c r="AN390" s="433">
        <f t="shared" si="323"/>
        <v>7.6852437546253447E-4</v>
      </c>
    </row>
    <row r="391" spans="5:40">
      <c r="E391">
        <v>2026</v>
      </c>
      <c r="H391" s="330">
        <f t="shared" si="316"/>
        <v>802061687.96541786</v>
      </c>
      <c r="I391" s="330">
        <f t="shared" si="316"/>
        <v>145873806.99132833</v>
      </c>
      <c r="J391" s="330">
        <f t="shared" si="316"/>
        <v>125088983.62650479</v>
      </c>
      <c r="K391" s="330">
        <f t="shared" si="316"/>
        <v>59923660.138213843</v>
      </c>
      <c r="L391" s="433">
        <f t="shared" si="320"/>
        <v>6.625949568248809E-4</v>
      </c>
      <c r="M391" s="194"/>
      <c r="N391">
        <v>2026</v>
      </c>
      <c r="O391" s="320" t="s">
        <v>240</v>
      </c>
      <c r="P391" s="320" t="s">
        <v>240</v>
      </c>
      <c r="Q391" s="170">
        <f t="shared" si="317"/>
        <v>813340743.27374363</v>
      </c>
      <c r="R391" s="170">
        <f t="shared" si="317"/>
        <v>148930775.57053965</v>
      </c>
      <c r="S391" s="170">
        <f t="shared" si="317"/>
        <v>123177213.21289207</v>
      </c>
      <c r="T391" s="170">
        <f t="shared" si="317"/>
        <v>62264521.258016169</v>
      </c>
      <c r="U391" s="433">
        <f t="shared" si="321"/>
        <v>7.0936575894199616E-4</v>
      </c>
      <c r="W391">
        <v>2026</v>
      </c>
      <c r="X391" t="s">
        <v>240</v>
      </c>
      <c r="Y391" t="s">
        <v>240</v>
      </c>
      <c r="Z391" s="170">
        <f t="shared" si="318"/>
        <v>973741740.40188241</v>
      </c>
      <c r="AA391" s="170">
        <f t="shared" si="318"/>
        <v>185934851.41096041</v>
      </c>
      <c r="AB391" s="170">
        <f t="shared" si="318"/>
        <v>148070415.79460496</v>
      </c>
      <c r="AC391" s="170">
        <f t="shared" si="318"/>
        <v>76959918.315724611</v>
      </c>
      <c r="AD391" s="433">
        <f t="shared" si="322"/>
        <v>8.8807126889189512E-4</v>
      </c>
      <c r="AG391">
        <v>2026</v>
      </c>
      <c r="AH391" t="s">
        <v>240</v>
      </c>
      <c r="AI391" t="s">
        <v>240</v>
      </c>
      <c r="AJ391">
        <f t="shared" si="319"/>
        <v>959160781.80587971</v>
      </c>
      <c r="AK391">
        <f t="shared" si="319"/>
        <v>181459960.19399488</v>
      </c>
      <c r="AL391">
        <f t="shared" si="319"/>
        <v>156522232.75156051</v>
      </c>
      <c r="AM391">
        <f t="shared" si="319"/>
        <v>71149558.433061138</v>
      </c>
      <c r="AN391" s="433">
        <f t="shared" si="323"/>
        <v>7.6658746585754264E-4</v>
      </c>
    </row>
    <row r="392" spans="5:40">
      <c r="E392">
        <v>2027</v>
      </c>
      <c r="H392" s="330">
        <f t="shared" si="316"/>
        <v>856539464.35091567</v>
      </c>
      <c r="I392" s="330">
        <f t="shared" si="316"/>
        <v>139527434.30018336</v>
      </c>
      <c r="J392" s="330">
        <f t="shared" si="316"/>
        <v>125459616.32247573</v>
      </c>
      <c r="K392" s="330">
        <f t="shared" si="316"/>
        <v>62596889.841328874</v>
      </c>
      <c r="L392" s="433">
        <f t="shared" si="320"/>
        <v>6.6572916559597811E-4</v>
      </c>
      <c r="M392" s="194"/>
      <c r="N392">
        <v>2027</v>
      </c>
      <c r="O392" s="320" t="s">
        <v>240</v>
      </c>
      <c r="P392" s="320" t="s">
        <v>240</v>
      </c>
      <c r="Q392" s="170">
        <f t="shared" si="317"/>
        <v>872540978.97318482</v>
      </c>
      <c r="R392" s="170">
        <f t="shared" si="317"/>
        <v>141724600.90534922</v>
      </c>
      <c r="S392" s="170">
        <f t="shared" si="317"/>
        <v>122747897.50713803</v>
      </c>
      <c r="T392" s="170">
        <f t="shared" si="317"/>
        <v>65373813.016849399</v>
      </c>
      <c r="U392" s="433">
        <f t="shared" si="321"/>
        <v>7.1937058731030802E-4</v>
      </c>
      <c r="W392">
        <v>2027</v>
      </c>
      <c r="X392" t="s">
        <v>240</v>
      </c>
      <c r="Y392" t="s">
        <v>240</v>
      </c>
      <c r="Z392" s="170">
        <f t="shared" si="318"/>
        <v>1049342276.5393431</v>
      </c>
      <c r="AA392" s="170">
        <f t="shared" si="318"/>
        <v>175920575.97884804</v>
      </c>
      <c r="AB392" s="170">
        <f t="shared" si="318"/>
        <v>146285805.20075661</v>
      </c>
      <c r="AC392" s="170">
        <f t="shared" si="318"/>
        <v>81240306.3744331</v>
      </c>
      <c r="AD392" s="433">
        <f t="shared" si="322"/>
        <v>9.0632512254593849E-4</v>
      </c>
      <c r="AG392">
        <v>2027</v>
      </c>
      <c r="AH392" t="s">
        <v>240</v>
      </c>
      <c r="AI392" t="s">
        <v>240</v>
      </c>
      <c r="AJ392">
        <f t="shared" si="319"/>
        <v>1024889387.2293675</v>
      </c>
      <c r="AK392">
        <f t="shared" si="319"/>
        <v>173459492.47223574</v>
      </c>
      <c r="AL392">
        <f t="shared" si="319"/>
        <v>156875103.79725629</v>
      </c>
      <c r="AM392">
        <f t="shared" si="319"/>
        <v>74369373.057804838</v>
      </c>
      <c r="AN392" s="433">
        <f t="shared" si="323"/>
        <v>7.6602747522279283E-4</v>
      </c>
    </row>
    <row r="393" spans="5:40">
      <c r="E393">
        <v>2028</v>
      </c>
      <c r="H393" s="330">
        <f t="shared" si="316"/>
        <v>912257212.08810902</v>
      </c>
      <c r="I393" s="330">
        <f t="shared" si="316"/>
        <v>133545596.62864755</v>
      </c>
      <c r="J393" s="330">
        <f t="shared" si="316"/>
        <v>126051352.71283419</v>
      </c>
      <c r="K393" s="330">
        <f t="shared" si="316"/>
        <v>65363488.481850453</v>
      </c>
      <c r="L393" s="433">
        <f t="shared" si="320"/>
        <v>6.6966855640777055E-4</v>
      </c>
      <c r="M393" s="194"/>
      <c r="N393">
        <v>2028</v>
      </c>
      <c r="O393" s="320" t="s">
        <v>240</v>
      </c>
      <c r="P393" s="320" t="s">
        <v>240</v>
      </c>
      <c r="Q393" s="170">
        <f t="shared" si="317"/>
        <v>933593337.45360398</v>
      </c>
      <c r="R393" s="170">
        <f t="shared" si="317"/>
        <v>134629161.44781959</v>
      </c>
      <c r="S393" s="170">
        <f t="shared" si="317"/>
        <v>122451309.75104418</v>
      </c>
      <c r="T393" s="170">
        <f t="shared" si="317"/>
        <v>68588508.623690248</v>
      </c>
      <c r="U393" s="433">
        <f t="shared" si="321"/>
        <v>7.3003077606882683E-4</v>
      </c>
      <c r="W393">
        <v>2028</v>
      </c>
      <c r="X393" t="s">
        <v>240</v>
      </c>
      <c r="Y393" t="s">
        <v>240</v>
      </c>
      <c r="Z393" s="170">
        <f t="shared" si="318"/>
        <v>1128017100.6354384</v>
      </c>
      <c r="AA393" s="170">
        <f t="shared" si="318"/>
        <v>165631607.95270732</v>
      </c>
      <c r="AB393" s="170">
        <f t="shared" si="318"/>
        <v>144487681.04859853</v>
      </c>
      <c r="AC393" s="170">
        <f t="shared" si="318"/>
        <v>85671150.147231877</v>
      </c>
      <c r="AD393" s="433">
        <f t="shared" si="322"/>
        <v>9.2539310892039977E-4</v>
      </c>
      <c r="AG393">
        <v>2028</v>
      </c>
      <c r="AH393" t="s">
        <v>240</v>
      </c>
      <c r="AI393" t="s">
        <v>240</v>
      </c>
      <c r="AJ393">
        <f t="shared" si="319"/>
        <v>1092182034.0016067</v>
      </c>
      <c r="AK393">
        <f t="shared" si="319"/>
        <v>165877017.33973643</v>
      </c>
      <c r="AL393">
        <f t="shared" si="319"/>
        <v>157494519.75220439</v>
      </c>
      <c r="AM393">
        <f t="shared" si="319"/>
        <v>77700878.52293998</v>
      </c>
      <c r="AN393" s="433">
        <f t="shared" si="323"/>
        <v>7.6672615780675054E-4</v>
      </c>
    </row>
    <row r="394" spans="5:40">
      <c r="E394">
        <v>2029</v>
      </c>
      <c r="H394" s="330">
        <f t="shared" si="316"/>
        <v>969350017.05572522</v>
      </c>
      <c r="I394" s="330">
        <f t="shared" si="316"/>
        <v>127890833.85988146</v>
      </c>
      <c r="J394" s="330">
        <f t="shared" si="316"/>
        <v>126854163.83311829</v>
      </c>
      <c r="K394" s="330">
        <f t="shared" si="316"/>
        <v>68228300.391121238</v>
      </c>
      <c r="L394" s="433">
        <f t="shared" si="320"/>
        <v>6.7437461846691792E-4</v>
      </c>
      <c r="M394" s="194"/>
      <c r="N394">
        <v>2029</v>
      </c>
      <c r="O394" s="320" t="s">
        <v>240</v>
      </c>
      <c r="P394" s="320" t="s">
        <v>240</v>
      </c>
      <c r="Q394" s="170">
        <f t="shared" si="317"/>
        <v>996585739.48090637</v>
      </c>
      <c r="R394" s="170">
        <f t="shared" si="317"/>
        <v>127642048.40008813</v>
      </c>
      <c r="S394" s="170">
        <f t="shared" si="317"/>
        <v>122289899.45191497</v>
      </c>
      <c r="T394" s="170">
        <f t="shared" si="317"/>
        <v>71913495.733279437</v>
      </c>
      <c r="U394" s="433">
        <f t="shared" si="321"/>
        <v>7.4133938797800415E-4</v>
      </c>
      <c r="W394">
        <v>2029</v>
      </c>
      <c r="X394" t="s">
        <v>240</v>
      </c>
      <c r="Y394" t="s">
        <v>240</v>
      </c>
      <c r="Z394" s="170">
        <f t="shared" si="318"/>
        <v>1209821011.7399008</v>
      </c>
      <c r="AA394" s="170">
        <f t="shared" si="318"/>
        <v>155101821.71156973</v>
      </c>
      <c r="AB394" s="170">
        <f t="shared" si="318"/>
        <v>142695362.2725172</v>
      </c>
      <c r="AC394" s="170">
        <f t="shared" si="318"/>
        <v>90256707.72151868</v>
      </c>
      <c r="AD394" s="433">
        <f t="shared" si="322"/>
        <v>9.4527847035963473E-4</v>
      </c>
      <c r="AG394">
        <v>2029</v>
      </c>
      <c r="AH394" t="s">
        <v>240</v>
      </c>
      <c r="AI394" t="s">
        <v>240</v>
      </c>
      <c r="AJ394">
        <f t="shared" si="319"/>
        <v>1161192990.9564624</v>
      </c>
      <c r="AK394">
        <f t="shared" si="319"/>
        <v>158671569.14452887</v>
      </c>
      <c r="AL394">
        <f t="shared" si="319"/>
        <v>158369712.10854119</v>
      </c>
      <c r="AM394">
        <f t="shared" si="319"/>
        <v>81149889.447299197</v>
      </c>
      <c r="AN394" s="433">
        <f t="shared" si="323"/>
        <v>7.6858555361512489E-4</v>
      </c>
    </row>
    <row r="395" spans="5:40">
      <c r="E395">
        <v>2030</v>
      </c>
      <c r="H395" s="330">
        <f t="shared" si="316"/>
        <v>1027948937.8285779</v>
      </c>
      <c r="I395" s="330">
        <f t="shared" si="316"/>
        <v>122530009.8288421</v>
      </c>
      <c r="J395" s="330">
        <f t="shared" si="316"/>
        <v>127859654.6544472</v>
      </c>
      <c r="K395" s="330">
        <f t="shared" si="316"/>
        <v>71196234.301256925</v>
      </c>
      <c r="L395" s="433">
        <f t="shared" si="320"/>
        <v>6.7981518629521402E-4</v>
      </c>
      <c r="M395" s="194"/>
      <c r="N395">
        <v>2030</v>
      </c>
      <c r="O395" s="320" t="s">
        <v>240</v>
      </c>
      <c r="P395" s="320" t="s">
        <v>240</v>
      </c>
      <c r="Q395" s="170">
        <f t="shared" si="317"/>
        <v>1061611061.102623</v>
      </c>
      <c r="R395" s="170">
        <f t="shared" si="317"/>
        <v>120759960.43312973</v>
      </c>
      <c r="S395" s="170">
        <f t="shared" si="317"/>
        <v>122265866.93990821</v>
      </c>
      <c r="T395" s="170">
        <f t="shared" si="317"/>
        <v>75353874.016645864</v>
      </c>
      <c r="U395" s="433">
        <f t="shared" si="321"/>
        <v>7.5329249362637797E-4</v>
      </c>
      <c r="W395">
        <v>2030</v>
      </c>
      <c r="X395" t="s">
        <v>240</v>
      </c>
      <c r="Y395" t="s">
        <v>240</v>
      </c>
      <c r="Z395" s="170">
        <f t="shared" si="318"/>
        <v>1294817611.1092758</v>
      </c>
      <c r="AA395" s="170">
        <f t="shared" si="318"/>
        <v>144362470.1880976</v>
      </c>
      <c r="AB395" s="170">
        <f t="shared" si="318"/>
        <v>140927124.03874311</v>
      </c>
      <c r="AC395" s="170">
        <f t="shared" si="318"/>
        <v>95001704.777184397</v>
      </c>
      <c r="AD395" s="433">
        <f t="shared" si="322"/>
        <v>9.6598735426338118E-4</v>
      </c>
      <c r="AG395">
        <v>2030</v>
      </c>
      <c r="AH395" t="s">
        <v>240</v>
      </c>
      <c r="AI395" t="s">
        <v>240</v>
      </c>
      <c r="AJ395">
        <f t="shared" si="319"/>
        <v>1232073365.4898281</v>
      </c>
      <c r="AK395">
        <f t="shared" si="319"/>
        <v>151806536.34952754</v>
      </c>
      <c r="AL395">
        <f t="shared" si="319"/>
        <v>159491619.80622742</v>
      </c>
      <c r="AM395">
        <f t="shared" si="319"/>
        <v>84722308.756107986</v>
      </c>
      <c r="AN395" s="433">
        <f t="shared" si="323"/>
        <v>7.7152422049051375E-4</v>
      </c>
    </row>
    <row r="396" spans="5:40">
      <c r="E396">
        <v>2040</v>
      </c>
      <c r="H396" s="330">
        <f t="shared" si="316"/>
        <v>0</v>
      </c>
      <c r="I396" s="330">
        <f t="shared" si="316"/>
        <v>0</v>
      </c>
      <c r="J396" s="330">
        <f t="shared" si="316"/>
        <v>0</v>
      </c>
      <c r="K396" s="330">
        <f t="shared" si="316"/>
        <v>0</v>
      </c>
      <c r="L396" s="433">
        <f t="shared" si="320"/>
        <v>0</v>
      </c>
      <c r="M396" s="194"/>
      <c r="N396">
        <v>2040</v>
      </c>
      <c r="O396" s="320" t="s">
        <v>240</v>
      </c>
      <c r="P396" s="320" t="s">
        <v>240</v>
      </c>
      <c r="Q396" s="170">
        <f t="shared" si="317"/>
        <v>0</v>
      </c>
      <c r="R396" s="170">
        <f t="shared" si="317"/>
        <v>0</v>
      </c>
      <c r="S396" s="170">
        <f t="shared" si="317"/>
        <v>0</v>
      </c>
      <c r="T396" s="170">
        <f t="shared" si="317"/>
        <v>0</v>
      </c>
      <c r="U396" s="433">
        <f t="shared" si="321"/>
        <v>0</v>
      </c>
      <c r="W396">
        <v>2040</v>
      </c>
      <c r="X396" t="s">
        <v>240</v>
      </c>
      <c r="Y396" t="s">
        <v>240</v>
      </c>
      <c r="Z396" s="170">
        <f t="shared" si="318"/>
        <v>0</v>
      </c>
      <c r="AA396" s="170">
        <f t="shared" si="318"/>
        <v>0</v>
      </c>
      <c r="AB396" s="170">
        <f t="shared" si="318"/>
        <v>0</v>
      </c>
      <c r="AC396" s="170">
        <f t="shared" si="318"/>
        <v>0</v>
      </c>
      <c r="AD396" s="433">
        <f t="shared" si="322"/>
        <v>0</v>
      </c>
      <c r="AG396">
        <v>2040</v>
      </c>
      <c r="AH396" t="s">
        <v>240</v>
      </c>
      <c r="AI396" t="s">
        <v>240</v>
      </c>
      <c r="AJ396">
        <f t="shared" si="319"/>
        <v>0</v>
      </c>
      <c r="AK396">
        <f t="shared" si="319"/>
        <v>0</v>
      </c>
      <c r="AL396">
        <f t="shared" si="319"/>
        <v>0</v>
      </c>
      <c r="AM396">
        <f t="shared" si="319"/>
        <v>0</v>
      </c>
      <c r="AN396" s="433">
        <f t="shared" si="323"/>
        <v>0</v>
      </c>
    </row>
    <row r="397" spans="5:40">
      <c r="E397">
        <v>2050</v>
      </c>
      <c r="H397" s="330">
        <f t="shared" si="316"/>
        <v>0</v>
      </c>
      <c r="I397" s="330">
        <f t="shared" si="316"/>
        <v>0</v>
      </c>
      <c r="J397" s="330">
        <f t="shared" si="316"/>
        <v>0</v>
      </c>
      <c r="K397" s="330">
        <f t="shared" si="316"/>
        <v>0</v>
      </c>
      <c r="L397" s="433">
        <f t="shared" si="320"/>
        <v>0</v>
      </c>
      <c r="M397" s="194"/>
      <c r="N397">
        <v>2050</v>
      </c>
      <c r="O397" s="320" t="s">
        <v>240</v>
      </c>
      <c r="P397" s="320" t="s">
        <v>240</v>
      </c>
      <c r="Q397" s="170">
        <f t="shared" si="317"/>
        <v>0</v>
      </c>
      <c r="R397" s="170">
        <f t="shared" si="317"/>
        <v>0</v>
      </c>
      <c r="S397" s="170">
        <f t="shared" si="317"/>
        <v>0</v>
      </c>
      <c r="T397" s="170">
        <f t="shared" si="317"/>
        <v>0</v>
      </c>
      <c r="U397" s="433">
        <f t="shared" si="321"/>
        <v>0</v>
      </c>
      <c r="W397">
        <v>2050</v>
      </c>
      <c r="X397" t="s">
        <v>240</v>
      </c>
      <c r="Y397" t="s">
        <v>240</v>
      </c>
      <c r="Z397" s="170">
        <f t="shared" si="318"/>
        <v>0</v>
      </c>
      <c r="AA397" s="170">
        <f t="shared" si="318"/>
        <v>0</v>
      </c>
      <c r="AB397" s="170">
        <f t="shared" si="318"/>
        <v>0</v>
      </c>
      <c r="AC397" s="170">
        <f t="shared" si="318"/>
        <v>0</v>
      </c>
      <c r="AD397" s="433">
        <f t="shared" si="322"/>
        <v>0</v>
      </c>
      <c r="AG397">
        <v>2050</v>
      </c>
      <c r="AH397" t="s">
        <v>240</v>
      </c>
      <c r="AI397" t="s">
        <v>240</v>
      </c>
      <c r="AJ397">
        <f t="shared" si="319"/>
        <v>0</v>
      </c>
      <c r="AK397">
        <f t="shared" si="319"/>
        <v>0</v>
      </c>
      <c r="AL397">
        <f t="shared" si="319"/>
        <v>0</v>
      </c>
      <c r="AM397">
        <f t="shared" si="319"/>
        <v>0</v>
      </c>
      <c r="AN397" s="433">
        <f t="shared" si="323"/>
        <v>0</v>
      </c>
    </row>
    <row r="398" spans="5:40">
      <c r="E398">
        <v>2060</v>
      </c>
      <c r="H398" s="330">
        <f t="shared" si="316"/>
        <v>0</v>
      </c>
      <c r="I398" s="330">
        <f t="shared" si="316"/>
        <v>0</v>
      </c>
      <c r="J398" s="330">
        <f t="shared" si="316"/>
        <v>0</v>
      </c>
      <c r="K398" s="330">
        <f t="shared" si="316"/>
        <v>0</v>
      </c>
      <c r="L398" s="433">
        <f t="shared" si="320"/>
        <v>0</v>
      </c>
      <c r="M398" s="194"/>
      <c r="N398">
        <v>2060</v>
      </c>
      <c r="O398" s="320" t="s">
        <v>240</v>
      </c>
      <c r="P398" s="320" t="s">
        <v>240</v>
      </c>
      <c r="Q398" s="170">
        <f t="shared" si="317"/>
        <v>0</v>
      </c>
      <c r="R398" s="170">
        <f t="shared" si="317"/>
        <v>0</v>
      </c>
      <c r="S398" s="170">
        <f t="shared" si="317"/>
        <v>0</v>
      </c>
      <c r="T398" s="170">
        <f t="shared" si="317"/>
        <v>0</v>
      </c>
      <c r="U398" s="433">
        <f t="shared" si="321"/>
        <v>0</v>
      </c>
      <c r="W398">
        <v>2060</v>
      </c>
      <c r="X398" t="s">
        <v>240</v>
      </c>
      <c r="Y398" t="s">
        <v>240</v>
      </c>
      <c r="Z398" s="170">
        <f t="shared" si="318"/>
        <v>0</v>
      </c>
      <c r="AA398" s="170">
        <f t="shared" si="318"/>
        <v>0</v>
      </c>
      <c r="AB398" s="170">
        <f t="shared" si="318"/>
        <v>0</v>
      </c>
      <c r="AC398" s="170">
        <f t="shared" si="318"/>
        <v>0</v>
      </c>
      <c r="AD398" s="433">
        <f t="shared" si="322"/>
        <v>0</v>
      </c>
      <c r="AG398">
        <v>2060</v>
      </c>
      <c r="AH398" t="s">
        <v>240</v>
      </c>
      <c r="AI398" t="s">
        <v>240</v>
      </c>
      <c r="AJ398">
        <f t="shared" si="319"/>
        <v>0</v>
      </c>
      <c r="AK398">
        <f t="shared" si="319"/>
        <v>0</v>
      </c>
      <c r="AL398">
        <f t="shared" si="319"/>
        <v>0</v>
      </c>
      <c r="AM398">
        <f t="shared" si="319"/>
        <v>0</v>
      </c>
      <c r="AN398" s="433">
        <f t="shared" si="323"/>
        <v>0</v>
      </c>
    </row>
    <row r="399" spans="5:40">
      <c r="E399">
        <v>2070</v>
      </c>
      <c r="H399" s="330">
        <f t="shared" si="316"/>
        <v>0</v>
      </c>
      <c r="I399" s="330">
        <f t="shared" si="316"/>
        <v>0</v>
      </c>
      <c r="J399" s="330">
        <f t="shared" si="316"/>
        <v>0</v>
      </c>
      <c r="K399" s="330">
        <f t="shared" si="316"/>
        <v>0</v>
      </c>
      <c r="L399" s="433">
        <f t="shared" si="320"/>
        <v>0</v>
      </c>
      <c r="M399" s="194"/>
      <c r="N399">
        <v>2070</v>
      </c>
      <c r="O399" s="320" t="s">
        <v>240</v>
      </c>
      <c r="P399" s="320" t="s">
        <v>240</v>
      </c>
      <c r="Q399" s="170">
        <f t="shared" si="317"/>
        <v>0</v>
      </c>
      <c r="R399" s="170">
        <f t="shared" si="317"/>
        <v>0</v>
      </c>
      <c r="S399" s="170">
        <f t="shared" si="317"/>
        <v>0</v>
      </c>
      <c r="T399" s="170">
        <f t="shared" si="317"/>
        <v>0</v>
      </c>
      <c r="U399" s="433">
        <f t="shared" si="321"/>
        <v>0</v>
      </c>
      <c r="W399">
        <v>2070</v>
      </c>
      <c r="X399" t="s">
        <v>240</v>
      </c>
      <c r="Y399" t="s">
        <v>240</v>
      </c>
      <c r="Z399" s="170">
        <f t="shared" si="318"/>
        <v>0</v>
      </c>
      <c r="AA399" s="170">
        <f t="shared" si="318"/>
        <v>0</v>
      </c>
      <c r="AB399" s="170">
        <f t="shared" si="318"/>
        <v>0</v>
      </c>
      <c r="AC399" s="170">
        <f t="shared" si="318"/>
        <v>0</v>
      </c>
      <c r="AD399" s="433">
        <f t="shared" si="322"/>
        <v>0</v>
      </c>
      <c r="AG399">
        <v>2070</v>
      </c>
      <c r="AH399" t="s">
        <v>240</v>
      </c>
      <c r="AI399" t="s">
        <v>240</v>
      </c>
      <c r="AJ399">
        <f t="shared" si="319"/>
        <v>0</v>
      </c>
      <c r="AK399">
        <f t="shared" si="319"/>
        <v>0</v>
      </c>
      <c r="AL399">
        <f t="shared" si="319"/>
        <v>0</v>
      </c>
      <c r="AM399">
        <f t="shared" si="319"/>
        <v>0</v>
      </c>
      <c r="AN399" s="433">
        <f t="shared" si="323"/>
        <v>0</v>
      </c>
    </row>
    <row r="400" spans="5:40">
      <c r="E400">
        <v>2080</v>
      </c>
      <c r="H400" s="330">
        <f t="shared" si="316"/>
        <v>0</v>
      </c>
      <c r="I400" s="330">
        <f t="shared" si="316"/>
        <v>0</v>
      </c>
      <c r="J400" s="330">
        <f t="shared" si="316"/>
        <v>0</v>
      </c>
      <c r="K400" s="330">
        <f t="shared" si="316"/>
        <v>0</v>
      </c>
      <c r="L400" s="433">
        <f t="shared" si="320"/>
        <v>0</v>
      </c>
      <c r="M400" s="194"/>
      <c r="N400">
        <v>2080</v>
      </c>
      <c r="O400" s="320" t="s">
        <v>240</v>
      </c>
      <c r="P400" s="320" t="s">
        <v>240</v>
      </c>
      <c r="Q400" s="170">
        <f t="shared" si="317"/>
        <v>0</v>
      </c>
      <c r="R400" s="170">
        <f t="shared" si="317"/>
        <v>0</v>
      </c>
      <c r="S400" s="170">
        <f t="shared" si="317"/>
        <v>0</v>
      </c>
      <c r="T400" s="170">
        <f t="shared" si="317"/>
        <v>0</v>
      </c>
      <c r="U400" s="433">
        <f t="shared" si="321"/>
        <v>0</v>
      </c>
      <c r="W400">
        <v>2080</v>
      </c>
      <c r="X400" t="s">
        <v>240</v>
      </c>
      <c r="Y400" t="s">
        <v>240</v>
      </c>
      <c r="Z400" s="170">
        <f t="shared" si="318"/>
        <v>0</v>
      </c>
      <c r="AA400" s="170">
        <f t="shared" si="318"/>
        <v>0</v>
      </c>
      <c r="AB400" s="170">
        <f t="shared" si="318"/>
        <v>0</v>
      </c>
      <c r="AC400" s="170">
        <f t="shared" si="318"/>
        <v>0</v>
      </c>
      <c r="AD400" s="433">
        <f t="shared" si="322"/>
        <v>0</v>
      </c>
      <c r="AG400">
        <v>2080</v>
      </c>
      <c r="AH400" t="s">
        <v>240</v>
      </c>
      <c r="AI400" t="s">
        <v>240</v>
      </c>
      <c r="AJ400">
        <f t="shared" si="319"/>
        <v>0</v>
      </c>
      <c r="AK400">
        <f t="shared" si="319"/>
        <v>0</v>
      </c>
      <c r="AL400">
        <f t="shared" si="319"/>
        <v>0</v>
      </c>
      <c r="AM400">
        <f t="shared" si="319"/>
        <v>0</v>
      </c>
      <c r="AN400" s="433">
        <f t="shared" si="323"/>
        <v>0</v>
      </c>
    </row>
    <row r="401" spans="5:40">
      <c r="E401">
        <v>2090</v>
      </c>
      <c r="H401" s="330">
        <f t="shared" si="316"/>
        <v>0</v>
      </c>
      <c r="I401" s="330">
        <f t="shared" si="316"/>
        <v>0</v>
      </c>
      <c r="J401" s="330">
        <f t="shared" si="316"/>
        <v>0</v>
      </c>
      <c r="K401" s="330">
        <f t="shared" si="316"/>
        <v>0</v>
      </c>
      <c r="L401" s="433">
        <f t="shared" si="320"/>
        <v>0</v>
      </c>
      <c r="M401" s="194"/>
      <c r="N401">
        <v>2090</v>
      </c>
      <c r="O401" s="320" t="s">
        <v>240</v>
      </c>
      <c r="P401" s="320" t="s">
        <v>240</v>
      </c>
      <c r="Q401" s="170">
        <f t="shared" si="317"/>
        <v>0</v>
      </c>
      <c r="R401" s="170">
        <f t="shared" si="317"/>
        <v>0</v>
      </c>
      <c r="S401" s="170">
        <f t="shared" si="317"/>
        <v>0</v>
      </c>
      <c r="T401" s="170">
        <f t="shared" si="317"/>
        <v>0</v>
      </c>
      <c r="U401" s="433">
        <f t="shared" si="321"/>
        <v>0</v>
      </c>
      <c r="W401">
        <v>2090</v>
      </c>
      <c r="X401" t="s">
        <v>240</v>
      </c>
      <c r="Y401" t="s">
        <v>240</v>
      </c>
      <c r="Z401" s="170">
        <f t="shared" si="318"/>
        <v>0</v>
      </c>
      <c r="AA401" s="170">
        <f t="shared" si="318"/>
        <v>0</v>
      </c>
      <c r="AB401" s="170">
        <f t="shared" si="318"/>
        <v>0</v>
      </c>
      <c r="AC401" s="170">
        <f t="shared" si="318"/>
        <v>0</v>
      </c>
      <c r="AD401" s="433">
        <f t="shared" si="322"/>
        <v>0</v>
      </c>
      <c r="AG401">
        <v>2090</v>
      </c>
      <c r="AH401" t="s">
        <v>240</v>
      </c>
      <c r="AI401" t="s">
        <v>240</v>
      </c>
      <c r="AJ401">
        <f t="shared" si="319"/>
        <v>0</v>
      </c>
      <c r="AK401">
        <f t="shared" si="319"/>
        <v>0</v>
      </c>
      <c r="AL401">
        <f t="shared" si="319"/>
        <v>0</v>
      </c>
      <c r="AM401">
        <f t="shared" si="319"/>
        <v>0</v>
      </c>
      <c r="AN401" s="433">
        <f t="shared" si="323"/>
        <v>0</v>
      </c>
    </row>
    <row r="402" spans="5:40">
      <c r="E402">
        <v>2100</v>
      </c>
      <c r="H402" s="330">
        <f t="shared" si="316"/>
        <v>0</v>
      </c>
      <c r="I402" s="330">
        <f t="shared" si="316"/>
        <v>0</v>
      </c>
      <c r="J402" s="330">
        <f t="shared" si="316"/>
        <v>0</v>
      </c>
      <c r="K402" s="330">
        <f t="shared" si="316"/>
        <v>0</v>
      </c>
      <c r="L402" s="433">
        <f t="shared" si="320"/>
        <v>0</v>
      </c>
      <c r="M402" s="194"/>
      <c r="N402">
        <v>2100</v>
      </c>
      <c r="O402" s="320" t="s">
        <v>240</v>
      </c>
      <c r="P402" s="320" t="s">
        <v>240</v>
      </c>
      <c r="Q402" s="170">
        <f t="shared" si="317"/>
        <v>0</v>
      </c>
      <c r="R402" s="170">
        <f t="shared" si="317"/>
        <v>0</v>
      </c>
      <c r="S402" s="170">
        <f t="shared" si="317"/>
        <v>0</v>
      </c>
      <c r="T402" s="170">
        <f t="shared" si="317"/>
        <v>0</v>
      </c>
      <c r="U402" s="433">
        <f t="shared" si="321"/>
        <v>0</v>
      </c>
      <c r="W402">
        <v>2100</v>
      </c>
      <c r="X402" t="s">
        <v>240</v>
      </c>
      <c r="Y402" t="s">
        <v>240</v>
      </c>
      <c r="Z402" s="170">
        <f t="shared" si="318"/>
        <v>0</v>
      </c>
      <c r="AA402" s="170">
        <f t="shared" si="318"/>
        <v>0</v>
      </c>
      <c r="AB402" s="170">
        <f t="shared" si="318"/>
        <v>0</v>
      </c>
      <c r="AC402" s="170">
        <f t="shared" si="318"/>
        <v>0</v>
      </c>
      <c r="AD402" s="433">
        <f t="shared" si="322"/>
        <v>0</v>
      </c>
      <c r="AG402">
        <v>2100</v>
      </c>
      <c r="AH402" t="s">
        <v>240</v>
      </c>
      <c r="AI402" t="s">
        <v>240</v>
      </c>
      <c r="AJ402">
        <f t="shared" si="319"/>
        <v>0</v>
      </c>
      <c r="AK402">
        <f t="shared" si="319"/>
        <v>0</v>
      </c>
      <c r="AL402">
        <f t="shared" si="319"/>
        <v>0</v>
      </c>
      <c r="AM402">
        <f t="shared" si="319"/>
        <v>0</v>
      </c>
      <c r="AN402" s="433">
        <f t="shared" si="323"/>
        <v>0</v>
      </c>
    </row>
    <row r="403" spans="5:40">
      <c r="F403" s="581" t="s">
        <v>251</v>
      </c>
      <c r="G403" s="581"/>
      <c r="H403" s="581"/>
      <c r="I403" s="581"/>
      <c r="J403" s="581"/>
      <c r="K403" s="581"/>
      <c r="O403" s="581" t="s">
        <v>251</v>
      </c>
      <c r="P403" s="581"/>
      <c r="Q403" s="581"/>
      <c r="R403" s="581"/>
      <c r="S403" s="581"/>
      <c r="T403" s="581"/>
      <c r="X403" s="581" t="s">
        <v>251</v>
      </c>
      <c r="Y403" s="581"/>
      <c r="Z403" s="581"/>
      <c r="AA403" s="581"/>
      <c r="AB403" s="581"/>
      <c r="AC403" s="581"/>
      <c r="AH403" s="581" t="s">
        <v>251</v>
      </c>
      <c r="AI403" s="581"/>
      <c r="AJ403" s="581"/>
      <c r="AK403" s="581"/>
      <c r="AL403" s="581"/>
      <c r="AM403" s="581"/>
    </row>
    <row r="404" spans="5:40">
      <c r="E404">
        <v>2020</v>
      </c>
      <c r="F404" s="61">
        <f>'Demographic-Economic'!C$38</f>
        <v>531771287</v>
      </c>
      <c r="G404" s="61">
        <f>'Demographic-Economic'!D$38</f>
        <v>222153795</v>
      </c>
      <c r="H404" s="61">
        <f>'Demographic-Economic'!E$38</f>
        <v>417708522</v>
      </c>
      <c r="I404" s="61">
        <f>'Demographic-Economic'!F$38</f>
        <v>45815957</v>
      </c>
      <c r="J404" s="61">
        <f>'Demographic-Economic'!G$38</f>
        <v>69643447</v>
      </c>
      <c r="K404" s="61">
        <f>'Demographic-Economic'!H$38</f>
        <v>9845914</v>
      </c>
      <c r="N404">
        <v>2020</v>
      </c>
      <c r="O404" s="61">
        <f>'Demographic-Economic'!C$38</f>
        <v>531771287</v>
      </c>
      <c r="P404" s="61">
        <f>'Demographic-Economic'!D$38</f>
        <v>222153795</v>
      </c>
      <c r="Q404" s="61">
        <f>'Demographic-Economic'!E$38</f>
        <v>417708522</v>
      </c>
      <c r="R404" s="61">
        <f>'Demographic-Economic'!F$38</f>
        <v>45815957</v>
      </c>
      <c r="S404" s="61">
        <f>'Demographic-Economic'!G$38</f>
        <v>69643447</v>
      </c>
      <c r="T404" s="61">
        <f>'Demographic-Economic'!H$38</f>
        <v>9845914</v>
      </c>
      <c r="W404">
        <v>2020</v>
      </c>
      <c r="X404" s="61">
        <f>'Demographic-Economic'!C$38</f>
        <v>531771287</v>
      </c>
      <c r="Y404" s="61">
        <f>'Demographic-Economic'!D$38</f>
        <v>222153795</v>
      </c>
      <c r="Z404" s="61">
        <f>'Demographic-Economic'!E$38</f>
        <v>417708522</v>
      </c>
      <c r="AA404" s="61">
        <f>'Demographic-Economic'!F$38</f>
        <v>45815957</v>
      </c>
      <c r="AB404" s="61">
        <f>'Demographic-Economic'!G$38</f>
        <v>69643447</v>
      </c>
      <c r="AC404" s="61">
        <f>'Demographic-Economic'!H$38</f>
        <v>9845914</v>
      </c>
      <c r="AG404">
        <v>2020</v>
      </c>
      <c r="AH404" s="61">
        <f>'Demographic-Economic'!C$38</f>
        <v>531771287</v>
      </c>
      <c r="AI404" s="61">
        <f>'Demographic-Economic'!D$38</f>
        <v>222153795</v>
      </c>
      <c r="AJ404" s="61">
        <f>'Demographic-Economic'!E$38</f>
        <v>417708522</v>
      </c>
      <c r="AK404" s="61">
        <f>'Demographic-Economic'!F$38</f>
        <v>45815957</v>
      </c>
      <c r="AL404" s="61">
        <f>'Demographic-Economic'!G$38</f>
        <v>69643447</v>
      </c>
      <c r="AM404" s="61">
        <f>'Demographic-Economic'!H$38</f>
        <v>9845914</v>
      </c>
    </row>
    <row r="405" spans="5:40">
      <c r="E405">
        <v>2021</v>
      </c>
      <c r="F405" s="61">
        <f>F$404*'Economic Projections'!$H4</f>
        <v>559989321.41034174</v>
      </c>
      <c r="G405" s="61">
        <f>G$404*'Economic Projections'!$H4</f>
        <v>233942215.29449028</v>
      </c>
      <c r="H405" s="61">
        <f>H$404*'Economic Projections'!$H4</f>
        <v>439873903.50035357</v>
      </c>
      <c r="I405" s="61">
        <f>I$404*'Economic Projections'!$H4</f>
        <v>48247145.525545083</v>
      </c>
      <c r="J405" s="61">
        <f>J$404*'Economic Projections'!$H4</f>
        <v>73339022.958956987</v>
      </c>
      <c r="K405" s="61">
        <f>K$404*'Economic Projections'!$H4</f>
        <v>10368379.85486152</v>
      </c>
      <c r="N405">
        <v>2021</v>
      </c>
      <c r="O405" s="61">
        <f>O$404*'Economic Projections'!$I4</f>
        <v>553707641.09896207</v>
      </c>
      <c r="P405" s="61">
        <f>P$404*'Economic Projections'!$I4</f>
        <v>231317968.45329183</v>
      </c>
      <c r="Q405" s="61">
        <f>Q$404*'Economic Projections'!$I4</f>
        <v>434939617.91049826</v>
      </c>
      <c r="R405" s="61">
        <f>R$404*'Economic Projections'!$I4</f>
        <v>47705933.162129305</v>
      </c>
      <c r="S405" s="61">
        <f>S$404*'Economic Projections'!$I4</f>
        <v>72516342.456020176</v>
      </c>
      <c r="T405" s="61">
        <f>T$404*'Economic Projections'!$I4</f>
        <v>10252072.552016608</v>
      </c>
      <c r="W405">
        <v>2021</v>
      </c>
      <c r="X405" s="61">
        <f>X$404*'Economic Projections'!$J4</f>
        <v>549695364.36366522</v>
      </c>
      <c r="Y405" s="61">
        <f>Y$404*'Economic Projections'!$J4</f>
        <v>229641792.01216632</v>
      </c>
      <c r="Z405" s="61">
        <f>Z$404*'Economic Projections'!$J4</f>
        <v>431787958.11628336</v>
      </c>
      <c r="AA405" s="61">
        <f>AA$404*'Economic Projections'!$J4</f>
        <v>47360246.392515399</v>
      </c>
      <c r="AB405" s="61">
        <f>AB$404*'Economic Projections'!$J4</f>
        <v>71990874.479476377</v>
      </c>
      <c r="AC405" s="61">
        <f>AC$404*'Economic Projections'!$J4</f>
        <v>10177783.975995893</v>
      </c>
      <c r="AG405">
        <v>2021</v>
      </c>
      <c r="AH405" s="61">
        <f>AH$404*'Economic Projections'!$K4</f>
        <v>565117886.84229636</v>
      </c>
      <c r="AI405" s="61">
        <f>AI$404*'Economic Projections'!$K4</f>
        <v>236084734.64720312</v>
      </c>
      <c r="AJ405" s="61">
        <f>AJ$404*'Economic Projections'!$K4</f>
        <v>443902412.63375854</v>
      </c>
      <c r="AK405" s="61">
        <f>AK$404*'Economic Projections'!$K4</f>
        <v>48689008.670559369</v>
      </c>
      <c r="AL405" s="61">
        <f>AL$404*'Economic Projections'!$K4</f>
        <v>74010685.727477908</v>
      </c>
      <c r="AM405" s="61">
        <f>AM$404*'Economic Projections'!$K4</f>
        <v>10463336.870068694</v>
      </c>
    </row>
    <row r="406" spans="5:40">
      <c r="E406">
        <v>2022</v>
      </c>
      <c r="F406" s="61">
        <f>F$404*'Economic Projections'!$H5</f>
        <v>588207355.8206836</v>
      </c>
      <c r="G406" s="61">
        <f>G$404*'Economic Projections'!$H5</f>
        <v>245730635.58898056</v>
      </c>
      <c r="H406" s="61">
        <f>H$404*'Economic Projections'!$H5</f>
        <v>462039285.00070715</v>
      </c>
      <c r="I406" s="61">
        <f>I$404*'Economic Projections'!$H5</f>
        <v>50678334.051090159</v>
      </c>
      <c r="J406" s="61">
        <f>J$404*'Economic Projections'!$H5</f>
        <v>77034598.917913973</v>
      </c>
      <c r="K406" s="61">
        <f>K$404*'Economic Projections'!$H5</f>
        <v>10890845.70972304</v>
      </c>
      <c r="N406">
        <v>2022</v>
      </c>
      <c r="O406" s="61">
        <f>O$404*'Economic Projections'!$I5</f>
        <v>575643995.19792414</v>
      </c>
      <c r="P406" s="61">
        <f>P$404*'Economic Projections'!$I5</f>
        <v>240482141.90658364</v>
      </c>
      <c r="Q406" s="61">
        <f>Q$404*'Economic Projections'!$I5</f>
        <v>452170713.82099646</v>
      </c>
      <c r="R406" s="61">
        <f>R$404*'Economic Projections'!$I5</f>
        <v>49595909.324258603</v>
      </c>
      <c r="S406" s="61">
        <f>S$404*'Economic Projections'!$I5</f>
        <v>75389237.912040338</v>
      </c>
      <c r="T406" s="61">
        <f>T$404*'Economic Projections'!$I5</f>
        <v>10658231.104033215</v>
      </c>
      <c r="W406">
        <v>2022</v>
      </c>
      <c r="X406" s="61">
        <f>X$404*'Economic Projections'!$J5</f>
        <v>567619441.72733057</v>
      </c>
      <c r="Y406" s="61">
        <f>Y$404*'Economic Projections'!$J5</f>
        <v>237129789.02433264</v>
      </c>
      <c r="Z406" s="61">
        <f>Z$404*'Economic Projections'!$J5</f>
        <v>445867394.23256671</v>
      </c>
      <c r="AA406" s="61">
        <f>AA$404*'Economic Projections'!$J5</f>
        <v>48904535.785030797</v>
      </c>
      <c r="AB406" s="61">
        <f>AB$404*'Economic Projections'!$J5</f>
        <v>74338301.95895277</v>
      </c>
      <c r="AC406" s="61">
        <f>AC$404*'Economic Projections'!$J5</f>
        <v>10509653.951991785</v>
      </c>
      <c r="AG406">
        <v>2022</v>
      </c>
      <c r="AH406" s="61">
        <f>AH$404*'Economic Projections'!$K5</f>
        <v>598464486.68459272</v>
      </c>
      <c r="AI406" s="61">
        <f>AI$404*'Economic Projections'!$K5</f>
        <v>250015674.29440629</v>
      </c>
      <c r="AJ406" s="61">
        <f>AJ$404*'Economic Projections'!$K5</f>
        <v>470096303.26751721</v>
      </c>
      <c r="AK406" s="61">
        <f>AK$404*'Economic Projections'!$K5</f>
        <v>51562060.341118746</v>
      </c>
      <c r="AL406" s="61">
        <f>AL$404*'Economic Projections'!$K5</f>
        <v>78377924.454955846</v>
      </c>
      <c r="AM406" s="61">
        <f>AM$404*'Economic Projections'!$K5</f>
        <v>11080759.740137389</v>
      </c>
    </row>
    <row r="407" spans="5:40">
      <c r="E407">
        <v>2023</v>
      </c>
      <c r="F407" s="61">
        <f>F$404*'Economic Projections'!$H6</f>
        <v>616425390.23102546</v>
      </c>
      <c r="G407" s="61">
        <f>G$404*'Economic Projections'!$H6</f>
        <v>257519055.88347089</v>
      </c>
      <c r="H407" s="61">
        <f>H$404*'Economic Projections'!$H6</f>
        <v>484204666.50106084</v>
      </c>
      <c r="I407" s="61">
        <f>I$404*'Economic Projections'!$H6</f>
        <v>53109522.576635249</v>
      </c>
      <c r="J407" s="61">
        <f>J$404*'Economic Projections'!$H6</f>
        <v>80730174.876870975</v>
      </c>
      <c r="K407" s="61">
        <f>K$404*'Economic Projections'!$H6</f>
        <v>11413311.564584564</v>
      </c>
      <c r="N407">
        <v>2023</v>
      </c>
      <c r="O407" s="61">
        <f>O$404*'Economic Projections'!$I6</f>
        <v>597580349.29688621</v>
      </c>
      <c r="P407" s="61">
        <f>P$404*'Economic Projections'!$I6</f>
        <v>249646315.35987547</v>
      </c>
      <c r="Q407" s="61">
        <f>Q$404*'Economic Projections'!$I6</f>
        <v>469401809.73149472</v>
      </c>
      <c r="R407" s="61">
        <f>R$404*'Economic Projections'!$I6</f>
        <v>51485885.486387908</v>
      </c>
      <c r="S407" s="61">
        <f>S$404*'Economic Projections'!$I6</f>
        <v>78262133.368060499</v>
      </c>
      <c r="T407" s="61">
        <f>T$404*'Economic Projections'!$I6</f>
        <v>11064389.656049823</v>
      </c>
      <c r="W407">
        <v>2023</v>
      </c>
      <c r="X407" s="61">
        <f>X$404*'Economic Projections'!$J6</f>
        <v>585543519.09099591</v>
      </c>
      <c r="Y407" s="61">
        <f>Y$404*'Economic Projections'!$J6</f>
        <v>244617786.03649899</v>
      </c>
      <c r="Z407" s="61">
        <f>Z$404*'Economic Projections'!$J6</f>
        <v>459946830.34885013</v>
      </c>
      <c r="AA407" s="61">
        <f>AA$404*'Economic Projections'!$J6</f>
        <v>50448825.177546203</v>
      </c>
      <c r="AB407" s="61">
        <f>AB$404*'Economic Projections'!$J6</f>
        <v>76685729.438429162</v>
      </c>
      <c r="AC407" s="61">
        <f>AC$404*'Economic Projections'!$J6</f>
        <v>10841523.92798768</v>
      </c>
      <c r="AG407">
        <v>2023</v>
      </c>
      <c r="AH407" s="61">
        <f>AH$404*'Economic Projections'!$K6</f>
        <v>631811086.52688909</v>
      </c>
      <c r="AI407" s="61">
        <f>AI$404*'Economic Projections'!$K6</f>
        <v>263946613.94160941</v>
      </c>
      <c r="AJ407" s="61">
        <f>AJ$404*'Economic Projections'!$K6</f>
        <v>496290193.90127575</v>
      </c>
      <c r="AK407" s="61">
        <f>AK$404*'Economic Projections'!$K6</f>
        <v>54435112.011678115</v>
      </c>
      <c r="AL407" s="61">
        <f>AL$404*'Economic Projections'!$K6</f>
        <v>82745163.182433754</v>
      </c>
      <c r="AM407" s="61">
        <f>AM$404*'Economic Projections'!$K6</f>
        <v>11698182.610206084</v>
      </c>
    </row>
    <row r="408" spans="5:40">
      <c r="E408">
        <v>2024</v>
      </c>
      <c r="F408" s="61">
        <f>F$404*'Economic Projections'!$H7</f>
        <v>644643424.64136732</v>
      </c>
      <c r="G408" s="61">
        <f>G$404*'Economic Projections'!$H7</f>
        <v>269307476.17796117</v>
      </c>
      <c r="H408" s="61">
        <f>H$404*'Economic Projections'!$H7</f>
        <v>506370048.00141436</v>
      </c>
      <c r="I408" s="61">
        <f>I$404*'Economic Projections'!$H7</f>
        <v>55540711.102180332</v>
      </c>
      <c r="J408" s="61">
        <f>J$404*'Economic Projections'!$H7</f>
        <v>84425750.835827947</v>
      </c>
      <c r="K408" s="61">
        <f>K$404*'Economic Projections'!$H7</f>
        <v>11935777.419446085</v>
      </c>
      <c r="N408">
        <v>2024</v>
      </c>
      <c r="O408" s="61">
        <f>O$404*'Economic Projections'!$I7</f>
        <v>619516703.39584816</v>
      </c>
      <c r="P408" s="61">
        <f>P$404*'Economic Projections'!$I7</f>
        <v>258810488.81316727</v>
      </c>
      <c r="Q408" s="61">
        <f>Q$404*'Economic Projections'!$I7</f>
        <v>486632905.64199287</v>
      </c>
      <c r="R408" s="61">
        <f>R$404*'Economic Projections'!$I7</f>
        <v>53375861.648517199</v>
      </c>
      <c r="S408" s="61">
        <f>S$404*'Economic Projections'!$I7</f>
        <v>81135028.824080661</v>
      </c>
      <c r="T408" s="61">
        <f>T$404*'Economic Projections'!$I7</f>
        <v>11470548.20806643</v>
      </c>
      <c r="W408">
        <v>2024</v>
      </c>
      <c r="X408" s="61">
        <f>X$404*'Economic Projections'!$J7</f>
        <v>603467596.45466125</v>
      </c>
      <c r="Y408" s="61">
        <f>Y$404*'Economic Projections'!$J7</f>
        <v>252105783.04866531</v>
      </c>
      <c r="Z408" s="61">
        <f>Z$404*'Economic Projections'!$J7</f>
        <v>474026266.46513349</v>
      </c>
      <c r="AA408" s="61">
        <f>AA$404*'Economic Projections'!$J7</f>
        <v>51993114.570061602</v>
      </c>
      <c r="AB408" s="61">
        <f>AB$404*'Economic Projections'!$J7</f>
        <v>79033156.917905554</v>
      </c>
      <c r="AC408" s="61">
        <f>AC$404*'Economic Projections'!$J7</f>
        <v>11173393.903983572</v>
      </c>
      <c r="AG408">
        <v>2024</v>
      </c>
      <c r="AH408" s="61">
        <f>AH$404*'Economic Projections'!$K7</f>
        <v>665157686.36918545</v>
      </c>
      <c r="AI408" s="61">
        <f>AI$404*'Economic Projections'!$K7</f>
        <v>277877553.58881259</v>
      </c>
      <c r="AJ408" s="61">
        <f>AJ$404*'Economic Projections'!$K7</f>
        <v>522484084.53503436</v>
      </c>
      <c r="AK408" s="61">
        <f>AK$404*'Economic Projections'!$K7</f>
        <v>57308163.682237491</v>
      </c>
      <c r="AL408" s="61">
        <f>AL$404*'Economic Projections'!$K7</f>
        <v>87112401.909911677</v>
      </c>
      <c r="AM408" s="61">
        <f>AM$404*'Economic Projections'!$K7</f>
        <v>12315605.48027478</v>
      </c>
    </row>
    <row r="409" spans="5:40">
      <c r="E409">
        <v>2025</v>
      </c>
      <c r="F409" s="61">
        <f>F$404*'Economic Projections'!$H8</f>
        <v>672861459.05170894</v>
      </c>
      <c r="G409" s="61">
        <f>G$404*'Economic Projections'!$H8</f>
        <v>281095896.47245139</v>
      </c>
      <c r="H409" s="61">
        <f>H$404*'Economic Projections'!$H8</f>
        <v>528535429.50176787</v>
      </c>
      <c r="I409" s="61">
        <f>I$404*'Economic Projections'!$H8</f>
        <v>57971899.6277254</v>
      </c>
      <c r="J409" s="61">
        <f>J$404*'Economic Projections'!$H8</f>
        <v>88121326.794784918</v>
      </c>
      <c r="K409" s="61">
        <f>K$404*'Economic Projections'!$H8</f>
        <v>12458243.274307603</v>
      </c>
      <c r="N409">
        <v>2025</v>
      </c>
      <c r="O409" s="61">
        <f>O$404*'Economic Projections'!$I8</f>
        <v>641453057.49481022</v>
      </c>
      <c r="P409" s="61">
        <f>P$404*'Economic Projections'!$I8</f>
        <v>267974662.26645911</v>
      </c>
      <c r="Q409" s="61">
        <f>Q$404*'Economic Projections'!$I8</f>
        <v>503864001.55249113</v>
      </c>
      <c r="R409" s="61">
        <f>R$404*'Economic Projections'!$I8</f>
        <v>55265837.810646504</v>
      </c>
      <c r="S409" s="61">
        <f>S$404*'Economic Projections'!$I8</f>
        <v>84007924.280100837</v>
      </c>
      <c r="T409" s="61">
        <f>T$404*'Economic Projections'!$I8</f>
        <v>11876706.760083038</v>
      </c>
      <c r="W409">
        <v>2025</v>
      </c>
      <c r="X409" s="61">
        <f>X$404*'Economic Projections'!$J8</f>
        <v>621391673.81832647</v>
      </c>
      <c r="Y409" s="61">
        <f>Y$404*'Economic Projections'!$J8</f>
        <v>259593780.06083164</v>
      </c>
      <c r="Z409" s="61">
        <f>Z$404*'Economic Projections'!$J8</f>
        <v>488105702.58141685</v>
      </c>
      <c r="AA409" s="61">
        <f>AA$404*'Economic Projections'!$J8</f>
        <v>53537403.962577</v>
      </c>
      <c r="AB409" s="61">
        <f>AB$404*'Economic Projections'!$J8</f>
        <v>81380584.397381932</v>
      </c>
      <c r="AC409" s="61">
        <f>AC$404*'Economic Projections'!$J8</f>
        <v>11505263.879979467</v>
      </c>
      <c r="AG409">
        <v>2025</v>
      </c>
      <c r="AH409" s="61">
        <f>AH$404*'Economic Projections'!$K8</f>
        <v>698504286.21148193</v>
      </c>
      <c r="AI409" s="61">
        <f>AI$404*'Economic Projections'!$K8</f>
        <v>291808493.23601574</v>
      </c>
      <c r="AJ409" s="61">
        <f>AJ$404*'Economic Projections'!$K8</f>
        <v>548677975.16879296</v>
      </c>
      <c r="AK409" s="61">
        <f>AK$404*'Economic Projections'!$K8</f>
        <v>60181215.352796867</v>
      </c>
      <c r="AL409" s="61">
        <f>AL$404*'Economic Projections'!$K8</f>
        <v>91479640.637389615</v>
      </c>
      <c r="AM409" s="61">
        <f>AM$404*'Economic Projections'!$K8</f>
        <v>12933028.350343475</v>
      </c>
    </row>
    <row r="410" spans="5:40">
      <c r="E410">
        <v>2026</v>
      </c>
      <c r="F410" s="61">
        <f>F$404*'Economic Projections'!$H9</f>
        <v>701079493.4620508</v>
      </c>
      <c r="G410" s="61">
        <f>G$404*'Economic Projections'!$H9</f>
        <v>292884316.76694167</v>
      </c>
      <c r="H410" s="61">
        <f>H$404*'Economic Projections'!$H9</f>
        <v>550700811.00212145</v>
      </c>
      <c r="I410" s="61">
        <f>I$404*'Economic Projections'!$H9</f>
        <v>60403088.153270483</v>
      </c>
      <c r="J410" s="61">
        <f>J$404*'Economic Projections'!$H9</f>
        <v>91816902.753741905</v>
      </c>
      <c r="K410" s="61">
        <f>K$404*'Economic Projections'!$H9</f>
        <v>12980709.129169123</v>
      </c>
      <c r="N410">
        <v>2026</v>
      </c>
      <c r="O410" s="61">
        <f>O$404*'Economic Projections'!$I9</f>
        <v>663389411.59377229</v>
      </c>
      <c r="P410" s="61">
        <f>P$404*'Economic Projections'!$I9</f>
        <v>277138835.71975088</v>
      </c>
      <c r="Q410" s="61">
        <f>Q$404*'Economic Projections'!$I9</f>
        <v>521095097.46298933</v>
      </c>
      <c r="R410" s="61">
        <f>R$404*'Economic Projections'!$I9</f>
        <v>57155813.972775802</v>
      </c>
      <c r="S410" s="61">
        <f>S$404*'Economic Projections'!$I9</f>
        <v>86880819.736120999</v>
      </c>
      <c r="T410" s="61">
        <f>T$404*'Economic Projections'!$I9</f>
        <v>12282865.312099645</v>
      </c>
      <c r="W410">
        <v>2026</v>
      </c>
      <c r="X410" s="61">
        <f>X$404*'Economic Projections'!$J9</f>
        <v>639315751.18199182</v>
      </c>
      <c r="Y410" s="61">
        <f>Y$404*'Economic Projections'!$J9</f>
        <v>267081777.07299793</v>
      </c>
      <c r="Z410" s="61">
        <f>Z$404*'Economic Projections'!$J9</f>
        <v>502185138.6977002</v>
      </c>
      <c r="AA410" s="61">
        <f>AA$404*'Economic Projections'!$J9</f>
        <v>55081693.355092399</v>
      </c>
      <c r="AB410" s="61">
        <f>AB$404*'Economic Projections'!$J9</f>
        <v>83728011.876858309</v>
      </c>
      <c r="AC410" s="61">
        <f>AC$404*'Economic Projections'!$J9</f>
        <v>11837133.85597536</v>
      </c>
      <c r="AG410">
        <v>2026</v>
      </c>
      <c r="AH410" s="61">
        <f>AH$404*'Economic Projections'!$K9</f>
        <v>731850886.05377829</v>
      </c>
      <c r="AI410" s="61">
        <f>AI$404*'Economic Projections'!$K9</f>
        <v>305739432.88321888</v>
      </c>
      <c r="AJ410" s="61">
        <f>AJ$404*'Economic Projections'!$K9</f>
        <v>574871865.80255151</v>
      </c>
      <c r="AK410" s="61">
        <f>AK$404*'Economic Projections'!$K9</f>
        <v>63054267.023356237</v>
      </c>
      <c r="AL410" s="61">
        <f>AL$404*'Economic Projections'!$K9</f>
        <v>95846879.364867523</v>
      </c>
      <c r="AM410" s="61">
        <f>AM$404*'Economic Projections'!$K9</f>
        <v>13550451.220412169</v>
      </c>
    </row>
    <row r="411" spans="5:40">
      <c r="E411">
        <v>2027</v>
      </c>
      <c r="F411" s="61">
        <f>F$404*'Economic Projections'!$H10</f>
        <v>729297527.87239242</v>
      </c>
      <c r="G411" s="61">
        <f>G$404*'Economic Projections'!$H10</f>
        <v>304672737.06143194</v>
      </c>
      <c r="H411" s="61">
        <f>H$404*'Economic Projections'!$H10</f>
        <v>572866192.5024749</v>
      </c>
      <c r="I411" s="61">
        <f>I$404*'Economic Projections'!$H10</f>
        <v>62834276.678815551</v>
      </c>
      <c r="J411" s="61">
        <f>J$404*'Economic Projections'!$H10</f>
        <v>95512478.712698877</v>
      </c>
      <c r="K411" s="61">
        <f>K$404*'Economic Projections'!$H10</f>
        <v>13503174.984030642</v>
      </c>
      <c r="N411">
        <v>2027</v>
      </c>
      <c r="O411" s="61">
        <f>O$404*'Economic Projections'!$I10</f>
        <v>685325765.69273436</v>
      </c>
      <c r="P411" s="61">
        <f>P$404*'Economic Projections'!$I10</f>
        <v>286303009.17304271</v>
      </c>
      <c r="Q411" s="61">
        <f>Q$404*'Economic Projections'!$I10</f>
        <v>538326193.37348759</v>
      </c>
      <c r="R411" s="61">
        <f>R$404*'Economic Projections'!$I10</f>
        <v>59045790.134905107</v>
      </c>
      <c r="S411" s="61">
        <f>S$404*'Economic Projections'!$I10</f>
        <v>89753715.192141175</v>
      </c>
      <c r="T411" s="61">
        <f>T$404*'Economic Projections'!$I10</f>
        <v>12689023.864116253</v>
      </c>
      <c r="W411">
        <v>2027</v>
      </c>
      <c r="X411" s="61">
        <f>X$404*'Economic Projections'!$J10</f>
        <v>657239828.54565716</v>
      </c>
      <c r="Y411" s="61">
        <f>Y$404*'Economic Projections'!$J10</f>
        <v>274569774.08516431</v>
      </c>
      <c r="Z411" s="61">
        <f>Z$404*'Economic Projections'!$J10</f>
        <v>516264574.81398362</v>
      </c>
      <c r="AA411" s="61">
        <f>AA$404*'Economic Projections'!$J10</f>
        <v>56625982.747607812</v>
      </c>
      <c r="AB411" s="61">
        <f>AB$404*'Economic Projections'!$J10</f>
        <v>86075439.356334716</v>
      </c>
      <c r="AC411" s="61">
        <f>AC$404*'Economic Projections'!$J10</f>
        <v>12169003.831971254</v>
      </c>
      <c r="AG411">
        <v>2027</v>
      </c>
      <c r="AH411" s="61">
        <f>AH$404*'Economic Projections'!$K10</f>
        <v>765197485.89607453</v>
      </c>
      <c r="AI411" s="61">
        <f>AI$404*'Economic Projections'!$K10</f>
        <v>319670372.53042197</v>
      </c>
      <c r="AJ411" s="61">
        <f>AJ$404*'Economic Projections'!$K10</f>
        <v>601065756.43631005</v>
      </c>
      <c r="AK411" s="61">
        <f>AK$404*'Economic Projections'!$K10</f>
        <v>65927318.693915598</v>
      </c>
      <c r="AL411" s="61">
        <f>AL$404*'Economic Projections'!$K10</f>
        <v>100214118.09234543</v>
      </c>
      <c r="AM411" s="61">
        <f>AM$404*'Economic Projections'!$K10</f>
        <v>14167874.090480864</v>
      </c>
    </row>
    <row r="412" spans="5:40">
      <c r="E412">
        <v>2028</v>
      </c>
      <c r="F412" s="61">
        <f>F$404*'Economic Projections'!$H11</f>
        <v>757515562.28273416</v>
      </c>
      <c r="G412" s="61">
        <f>G$404*'Economic Projections'!$H11</f>
        <v>316461157.35592222</v>
      </c>
      <c r="H412" s="61">
        <f>H$404*'Economic Projections'!$H11</f>
        <v>595031574.00282848</v>
      </c>
      <c r="I412" s="61">
        <f>I$404*'Economic Projections'!$H11</f>
        <v>65265465.204360634</v>
      </c>
      <c r="J412" s="61">
        <f>J$404*'Economic Projections'!$H11</f>
        <v>99208054.671655864</v>
      </c>
      <c r="K412" s="61">
        <f>K$404*'Economic Projections'!$H11</f>
        <v>14025640.838892162</v>
      </c>
      <c r="N412">
        <v>2028</v>
      </c>
      <c r="O412" s="61">
        <f>O$404*'Economic Projections'!$I11</f>
        <v>707262119.79169643</v>
      </c>
      <c r="P412" s="61">
        <f>P$404*'Economic Projections'!$I11</f>
        <v>295467182.62633455</v>
      </c>
      <c r="Q412" s="61">
        <f>Q$404*'Economic Projections'!$I11</f>
        <v>555557289.28398585</v>
      </c>
      <c r="R412" s="61">
        <f>R$404*'Economic Projections'!$I11</f>
        <v>60935766.297034413</v>
      </c>
      <c r="S412" s="61">
        <f>S$404*'Economic Projections'!$I11</f>
        <v>92626610.648161352</v>
      </c>
      <c r="T412" s="61">
        <f>T$404*'Economic Projections'!$I11</f>
        <v>13095182.416132862</v>
      </c>
      <c r="W412">
        <v>2028</v>
      </c>
      <c r="X412" s="61">
        <f>X$404*'Economic Projections'!$J11</f>
        <v>675163905.90932238</v>
      </c>
      <c r="Y412" s="61">
        <f>Y$404*'Economic Projections'!$J11</f>
        <v>282057771.09733063</v>
      </c>
      <c r="Z412" s="61">
        <f>Z$404*'Economic Projections'!$J11</f>
        <v>530344010.93026698</v>
      </c>
      <c r="AA412" s="61">
        <f>AA$404*'Economic Projections'!$J11</f>
        <v>58170272.140123211</v>
      </c>
      <c r="AB412" s="61">
        <f>AB$404*'Economic Projections'!$J11</f>
        <v>88422866.835811093</v>
      </c>
      <c r="AC412" s="61">
        <f>AC$404*'Economic Projections'!$J11</f>
        <v>12500873.807967147</v>
      </c>
      <c r="AG412">
        <v>2028</v>
      </c>
      <c r="AH412" s="61">
        <f>AH$404*'Economic Projections'!$K11</f>
        <v>798544085.73837078</v>
      </c>
      <c r="AI412" s="61">
        <f>AI$404*'Economic Projections'!$K11</f>
        <v>333601312.17762506</v>
      </c>
      <c r="AJ412" s="61">
        <f>AJ$404*'Economic Projections'!$K11</f>
        <v>627259647.0700686</v>
      </c>
      <c r="AK412" s="61">
        <f>AK$404*'Economic Projections'!$K11</f>
        <v>68800370.364474952</v>
      </c>
      <c r="AL412" s="61">
        <f>AL$404*'Economic Projections'!$K11</f>
        <v>104581356.81982332</v>
      </c>
      <c r="AM412" s="61">
        <f>AM$404*'Economic Projections'!$K11</f>
        <v>14785296.960549554</v>
      </c>
    </row>
    <row r="413" spans="5:40">
      <c r="E413">
        <v>2029</v>
      </c>
      <c r="F413" s="61">
        <f>F$404*'Economic Projections'!$H12</f>
        <v>785733596.6930759</v>
      </c>
      <c r="G413" s="61">
        <f>G$404*'Economic Projections'!$H12</f>
        <v>328249577.65041244</v>
      </c>
      <c r="H413" s="61">
        <f>H$404*'Economic Projections'!$H12</f>
        <v>617196955.50318193</v>
      </c>
      <c r="I413" s="61">
        <f>I$404*'Economic Projections'!$H12</f>
        <v>67696653.72990571</v>
      </c>
      <c r="J413" s="61">
        <f>J$404*'Economic Projections'!$H12</f>
        <v>102903630.63061284</v>
      </c>
      <c r="K413" s="61">
        <f>K$404*'Economic Projections'!$H12</f>
        <v>14548106.69375368</v>
      </c>
      <c r="N413">
        <v>2029</v>
      </c>
      <c r="O413" s="61">
        <f>O$404*'Economic Projections'!$I12</f>
        <v>729198473.89065838</v>
      </c>
      <c r="P413" s="61">
        <f>P$404*'Economic Projections'!$I12</f>
        <v>304631356.07962638</v>
      </c>
      <c r="Q413" s="61">
        <f>Q$404*'Economic Projections'!$I12</f>
        <v>572788385.194484</v>
      </c>
      <c r="R413" s="61">
        <f>R$404*'Economic Projections'!$I12</f>
        <v>62825742.45916371</v>
      </c>
      <c r="S413" s="61">
        <f>S$404*'Economic Projections'!$I12</f>
        <v>95499506.104181498</v>
      </c>
      <c r="T413" s="61">
        <f>T$404*'Economic Projections'!$I12</f>
        <v>13501340.968149468</v>
      </c>
      <c r="W413">
        <v>2029</v>
      </c>
      <c r="X413" s="61">
        <f>X$404*'Economic Projections'!$J12</f>
        <v>693087983.27298772</v>
      </c>
      <c r="Y413" s="61">
        <f>Y$404*'Economic Projections'!$J12</f>
        <v>289545768.10949695</v>
      </c>
      <c r="Z413" s="61">
        <f>Z$404*'Economic Projections'!$J12</f>
        <v>544423447.04655027</v>
      </c>
      <c r="AA413" s="61">
        <f>AA$404*'Economic Projections'!$J12</f>
        <v>59714561.532638609</v>
      </c>
      <c r="AB413" s="61">
        <f>AB$404*'Economic Projections'!$J12</f>
        <v>90770294.315287471</v>
      </c>
      <c r="AC413" s="61">
        <f>AC$404*'Economic Projections'!$J12</f>
        <v>12832743.78396304</v>
      </c>
      <c r="AG413">
        <v>2029</v>
      </c>
      <c r="AH413" s="61">
        <f>AH$404*'Economic Projections'!$K12</f>
        <v>831890685.58066702</v>
      </c>
      <c r="AI413" s="61">
        <f>AI$404*'Economic Projections'!$K12</f>
        <v>347532251.82482815</v>
      </c>
      <c r="AJ413" s="61">
        <f>AJ$404*'Economic Projections'!$K12</f>
        <v>653453537.70382714</v>
      </c>
      <c r="AK413" s="61">
        <f>AK$404*'Economic Projections'!$K12</f>
        <v>71673422.035034329</v>
      </c>
      <c r="AL413" s="61">
        <f>AL$404*'Economic Projections'!$K12</f>
        <v>108948595.54730125</v>
      </c>
      <c r="AM413" s="61">
        <f>AM$404*'Economic Projections'!$K12</f>
        <v>15402719.830618249</v>
      </c>
    </row>
    <row r="414" spans="5:40">
      <c r="E414">
        <v>2030</v>
      </c>
      <c r="F414" s="61">
        <f>F$404*'Economic Projections'!$H13</f>
        <v>813951631.10341775</v>
      </c>
      <c r="G414" s="61">
        <f>G$404*'Economic Projections'!$H13</f>
        <v>340037997.94490278</v>
      </c>
      <c r="H414" s="61">
        <f>H$404*'Economic Projections'!$H13</f>
        <v>639362337.00353563</v>
      </c>
      <c r="I414" s="61">
        <f>I$404*'Economic Projections'!$H13</f>
        <v>70127842.2554508</v>
      </c>
      <c r="J414" s="61">
        <f>J$404*'Economic Projections'!$H13</f>
        <v>106599206.58956982</v>
      </c>
      <c r="K414" s="61">
        <f>K$404*'Economic Projections'!$H13</f>
        <v>15070572.548615202</v>
      </c>
      <c r="N414">
        <v>2030</v>
      </c>
      <c r="O414" s="61">
        <f>O$404*'Economic Projections'!$I13</f>
        <v>751134827.98962033</v>
      </c>
      <c r="P414" s="61">
        <f>P$404*'Economic Projections'!$I13</f>
        <v>313795529.5329181</v>
      </c>
      <c r="Q414" s="61">
        <f>Q$404*'Economic Projections'!$I13</f>
        <v>590019481.10498214</v>
      </c>
      <c r="R414" s="61">
        <f>R$404*'Economic Projections'!$I13</f>
        <v>64715718.621292993</v>
      </c>
      <c r="S414" s="61">
        <f>S$404*'Economic Projections'!$I13</f>
        <v>98372401.560201645</v>
      </c>
      <c r="T414" s="61">
        <f>T$404*'Economic Projections'!$I13</f>
        <v>13907499.520166071</v>
      </c>
      <c r="W414">
        <v>2030</v>
      </c>
      <c r="X414" s="61">
        <f>X$404*'Economic Projections'!$J13</f>
        <v>711012060.63665283</v>
      </c>
      <c r="Y414" s="61">
        <f>Y$404*'Economic Projections'!$J13</f>
        <v>297033765.12166321</v>
      </c>
      <c r="Z414" s="61">
        <f>Z$404*'Economic Projections'!$J13</f>
        <v>558502883.16283357</v>
      </c>
      <c r="AA414" s="61">
        <f>AA$404*'Economic Projections'!$J13</f>
        <v>61258850.925153993</v>
      </c>
      <c r="AB414" s="61">
        <f>AB$404*'Economic Projections'!$J13</f>
        <v>93117721.794763848</v>
      </c>
      <c r="AC414" s="61">
        <f>AC$404*'Economic Projections'!$J13</f>
        <v>13164613.75995893</v>
      </c>
      <c r="AG414">
        <v>2030</v>
      </c>
      <c r="AH414" s="61">
        <f>AH$404*'Economic Projections'!$K13</f>
        <v>865237285.42296374</v>
      </c>
      <c r="AI414" s="61">
        <f>AI$404*'Economic Projections'!$K13</f>
        <v>361463191.47203141</v>
      </c>
      <c r="AJ414" s="61">
        <f>AJ$404*'Economic Projections'!$K13</f>
        <v>679647428.33758593</v>
      </c>
      <c r="AK414" s="61">
        <f>AK$404*'Economic Projections'!$K13</f>
        <v>74546473.70559372</v>
      </c>
      <c r="AL414" s="61">
        <f>AL$404*'Economic Projections'!$K13</f>
        <v>113315834.2747792</v>
      </c>
      <c r="AM414" s="61">
        <f>AM$404*'Economic Projections'!$K13</f>
        <v>16020142.700686948</v>
      </c>
    </row>
    <row r="415" spans="5:40">
      <c r="E415">
        <v>2040</v>
      </c>
      <c r="F415" s="61">
        <f>F$404*'Economic Projections'!$H14</f>
        <v>1165697812.39835</v>
      </c>
      <c r="G415" s="61">
        <f>G$404*'Economic Projections'!$H14</f>
        <v>486984158.75073659</v>
      </c>
      <c r="H415" s="61">
        <f>H$404*'Economic Projections'!$H14</f>
        <v>915660401.79139662</v>
      </c>
      <c r="I415" s="61">
        <f>I$404*'Economic Projections'!$H14</f>
        <v>100433329.42840306</v>
      </c>
      <c r="J415" s="61">
        <f>J$404*'Economic Projections'!$H14</f>
        <v>152665658.71538007</v>
      </c>
      <c r="K415" s="61">
        <f>K$404*'Economic Projections'!$H14</f>
        <v>21583264.631703004</v>
      </c>
      <c r="N415">
        <v>2040</v>
      </c>
      <c r="O415" s="61">
        <f>O$404*'Economic Projections'!$I14</f>
        <v>974546054.73438108</v>
      </c>
      <c r="P415" s="61">
        <f>P$404*'Economic Projections'!$I14</f>
        <v>407128233.047153</v>
      </c>
      <c r="Q415" s="61">
        <f>Q$404*'Economic Projections'!$I14</f>
        <v>765509913.93416369</v>
      </c>
      <c r="R415" s="61">
        <f>R$404*'Economic Projections'!$I14</f>
        <v>83964217.756326601</v>
      </c>
      <c r="S415" s="61">
        <f>S$404*'Economic Projections'!$I14</f>
        <v>127631461.44058916</v>
      </c>
      <c r="T415" s="61">
        <f>T$404*'Economic Projections'!$I14</f>
        <v>18044029.225583233</v>
      </c>
      <c r="W415">
        <v>2040</v>
      </c>
      <c r="X415" s="61">
        <f>X$404*'Economic Projections'!$J14</f>
        <v>837348688.78018475</v>
      </c>
      <c r="Y415" s="61">
        <f>Y$404*'Economic Projections'!$J14</f>
        <v>349812397.73254621</v>
      </c>
      <c r="Z415" s="61">
        <f>Z$404*'Economic Projections'!$J14</f>
        <v>657740821.55174541</v>
      </c>
      <c r="AA415" s="61">
        <f>AA$404*'Economic Projections'!$J14</f>
        <v>72143668.635420948</v>
      </c>
      <c r="AB415" s="61">
        <f>AB$404*'Economic Projections'!$J14</f>
        <v>109663403.14568788</v>
      </c>
      <c r="AC415" s="61">
        <f>AC$404*'Economic Projections'!$J14</f>
        <v>15503776.490554415</v>
      </c>
      <c r="AG415">
        <v>2040</v>
      </c>
      <c r="AH415" s="61">
        <f>AH$404*'Economic Projections'!$K14</f>
        <v>1357869370.7301276</v>
      </c>
      <c r="AI415" s="61">
        <f>AI$404*'Economic Projections'!$K14</f>
        <v>567266118.34151125</v>
      </c>
      <c r="AJ415" s="61">
        <f>AJ$404*'Economic Projections'!$K14</f>
        <v>1066611947.2463199</v>
      </c>
      <c r="AK415" s="61">
        <f>AK$404*'Economic Projections'!$K14</f>
        <v>116990304.33169773</v>
      </c>
      <c r="AL415" s="61">
        <f>AL$404*'Economic Projections'!$K14</f>
        <v>177833414.22374877</v>
      </c>
      <c r="AM415" s="61">
        <f>AM$404*'Economic Projections'!$K14</f>
        <v>25141381.97055937</v>
      </c>
    </row>
    <row r="416" spans="5:40">
      <c r="E416">
        <v>2050</v>
      </c>
      <c r="F416" s="61">
        <f>F$404*'Economic Projections'!$H15</f>
        <v>1521360989.0306425</v>
      </c>
      <c r="G416" s="61">
        <f>G$404*'Economic Projections'!$H15</f>
        <v>635566691.05774903</v>
      </c>
      <c r="H416" s="61">
        <f>H$404*'Economic Projections'!$H15</f>
        <v>1195035282.445492</v>
      </c>
      <c r="I416" s="61">
        <f>I$404*'Economic Projections'!$H15</f>
        <v>131076294.18680024</v>
      </c>
      <c r="J416" s="61">
        <f>J$404*'Economic Projections'!$H15</f>
        <v>199245100.28579849</v>
      </c>
      <c r="K416" s="61">
        <f>K$404*'Economic Projections'!$H15</f>
        <v>28168481.125515617</v>
      </c>
      <c r="N416">
        <v>2050</v>
      </c>
      <c r="O416" s="61">
        <f>O$404*'Economic Projections'!$I15</f>
        <v>1210047771.3970938</v>
      </c>
      <c r="P416" s="61">
        <f>P$404*'Economic Projections'!$I15</f>
        <v>505511882.8692171</v>
      </c>
      <c r="Q416" s="61">
        <f>Q$404*'Economic Projections'!$I15</f>
        <v>950497476.06939507</v>
      </c>
      <c r="R416" s="61">
        <f>R$404*'Economic Projections'!$I15</f>
        <v>104254400.37396204</v>
      </c>
      <c r="S416" s="61">
        <f>S$404*'Economic Projections'!$I15</f>
        <v>158473952.79685649</v>
      </c>
      <c r="T416" s="61">
        <f>T$404*'Economic Projections'!$I15</f>
        <v>22404418.185646504</v>
      </c>
      <c r="W416">
        <v>2050</v>
      </c>
      <c r="X416" s="61">
        <f>X$404*'Economic Projections'!$J15</f>
        <v>936332399.59445584</v>
      </c>
      <c r="Y416" s="61">
        <f>Y$404*'Economic Projections'!$J15</f>
        <v>391164023.02361393</v>
      </c>
      <c r="Z416" s="61">
        <f>Z$404*'Economic Projections'!$J15</f>
        <v>735492931.44763863</v>
      </c>
      <c r="AA416" s="61">
        <f>AA$404*'Economic Projections'!$J15</f>
        <v>80671833.937371656</v>
      </c>
      <c r="AB416" s="61">
        <f>AB$404*'Economic Projections'!$J15</f>
        <v>122626808.62936345</v>
      </c>
      <c r="AC416" s="61">
        <f>AC$404*'Economic Projections'!$J15</f>
        <v>17336491.283367556</v>
      </c>
      <c r="AG416">
        <v>2050</v>
      </c>
      <c r="AH416" s="61">
        <f>AH$404*'Economic Projections'!$K15</f>
        <v>1903208914.3169773</v>
      </c>
      <c r="AI416" s="61">
        <f>AI$404*'Economic Projections'!$K15</f>
        <v>795088214.29342484</v>
      </c>
      <c r="AJ416" s="61">
        <f>AJ$404*'Economic Projections'!$K15</f>
        <v>1494978390.3179586</v>
      </c>
      <c r="AK416" s="61">
        <f>AK$404*'Economic Projections'!$K15</f>
        <v>163975265.14131501</v>
      </c>
      <c r="AL416" s="61">
        <f>AL$404*'Economic Projections'!$K15</f>
        <v>249253828.46810597</v>
      </c>
      <c r="AM416" s="61">
        <f>AM$404*'Economic Projections'!$K15</f>
        <v>35238516.543670259</v>
      </c>
    </row>
    <row r="417" spans="5:39">
      <c r="E417">
        <v>2060</v>
      </c>
      <c r="F417" s="61">
        <f>F$404*'Economic Projections'!$H16</f>
        <v>1860781691.6640153</v>
      </c>
      <c r="G417" s="61">
        <f>G$404*'Economic Projections'!$H16</f>
        <v>777363736.20654106</v>
      </c>
      <c r="H417" s="61">
        <f>H$404*'Economic Projections'!$H16</f>
        <v>1461651633.3076019</v>
      </c>
      <c r="I417" s="61">
        <f>I$404*'Economic Projections'!$H16</f>
        <v>160319851.89088592</v>
      </c>
      <c r="J417" s="61">
        <f>J$404*'Economic Projections'!$H16</f>
        <v>243697345.62590852</v>
      </c>
      <c r="K417" s="61">
        <f>K$404*'Economic Projections'!$H16</f>
        <v>34452963.062856026</v>
      </c>
      <c r="N417">
        <v>2060</v>
      </c>
      <c r="O417" s="61">
        <f>O$404*'Economic Projections'!$I16</f>
        <v>1464631435.1911824</v>
      </c>
      <c r="P417" s="61">
        <f>P$404*'Economic Projections'!$I16</f>
        <v>611867243.60320282</v>
      </c>
      <c r="Q417" s="61">
        <f>Q$404*'Economic Projections'!$I16</f>
        <v>1150473985.7615659</v>
      </c>
      <c r="R417" s="61">
        <f>R$404*'Economic Projections'!$I16</f>
        <v>126188631.27066034</v>
      </c>
      <c r="S417" s="61">
        <f>S$404*'Economic Projections'!$I16</f>
        <v>191815512.09114274</v>
      </c>
      <c r="T417" s="61">
        <f>T$404*'Economic Projections'!$I16</f>
        <v>27118115.447607752</v>
      </c>
      <c r="W417">
        <v>2060</v>
      </c>
      <c r="X417" s="61">
        <f>X$404*'Economic Projections'!$J16</f>
        <v>1023195656.0233059</v>
      </c>
      <c r="Y417" s="61">
        <f>Y$404*'Economic Projections'!$J16</f>
        <v>427452183.99332643</v>
      </c>
      <c r="Z417" s="61">
        <f>Z$404*'Economic Projections'!$J16</f>
        <v>803724374.82566726</v>
      </c>
      <c r="AA417" s="61">
        <f>AA$404*'Economic Projections'!$J16</f>
        <v>88155734.100308001</v>
      </c>
      <c r="AB417" s="61">
        <f>AB$404*'Economic Projections'!$J16</f>
        <v>134002858.33952771</v>
      </c>
      <c r="AC417" s="61">
        <f>AC$404*'Economic Projections'!$J16</f>
        <v>18944792.019917861</v>
      </c>
      <c r="AG417">
        <v>2060</v>
      </c>
      <c r="AH417" s="61">
        <f>AH$404*'Economic Projections'!$K16</f>
        <v>2496037355.9578018</v>
      </c>
      <c r="AI417" s="61">
        <f>AI$404*'Economic Projections'!$K16</f>
        <v>1042749363.5770363</v>
      </c>
      <c r="AJ417" s="61">
        <f>AJ$404*'Economic Projections'!$K16</f>
        <v>1960647557.1403337</v>
      </c>
      <c r="AK417" s="61">
        <f>AK$404*'Economic Projections'!$K16</f>
        <v>215051739.28459272</v>
      </c>
      <c r="AL417" s="61">
        <f>AL$404*'Economic Projections'!$K16</f>
        <v>326893628.06771344</v>
      </c>
      <c r="AM417" s="61">
        <f>AM$404*'Economic Projections'!$K16</f>
        <v>46214923.12266928</v>
      </c>
    </row>
    <row r="418" spans="5:39">
      <c r="E418">
        <v>2070</v>
      </c>
      <c r="F418" s="61">
        <f>F$404*'Economic Projections'!$H17</f>
        <v>2189809300.0022593</v>
      </c>
      <c r="G418" s="61">
        <f>G$404*'Economic Projections'!$H17</f>
        <v>914818942.30553937</v>
      </c>
      <c r="H418" s="61">
        <f>H$404*'Economic Projections'!$H17</f>
        <v>1720104166.0713027</v>
      </c>
      <c r="I418" s="61">
        <f>I$404*'Economic Projections'!$H17</f>
        <v>188667969.06825775</v>
      </c>
      <c r="J418" s="61">
        <f>J$404*'Economic Projections'!$H17</f>
        <v>286788458.97299159</v>
      </c>
      <c r="K418" s="61">
        <f>K$404*'Economic Projections'!$H17</f>
        <v>40545013.563739941</v>
      </c>
      <c r="N418">
        <v>2070</v>
      </c>
      <c r="O418" s="61">
        <f>O$404*'Economic Projections'!$I17</f>
        <v>1756748185.0783908</v>
      </c>
      <c r="P418" s="61">
        <f>P$404*'Economic Projections'!$I17</f>
        <v>733902498.52758014</v>
      </c>
      <c r="Q418" s="61">
        <f>Q$404*'Economic Projections'!$I17</f>
        <v>1379932888.1690392</v>
      </c>
      <c r="R418" s="61">
        <f>R$404*'Economic Projections'!$I17</f>
        <v>151356610.0220443</v>
      </c>
      <c r="S418" s="61">
        <f>S$404*'Economic Projections'!$I17</f>
        <v>230072593.44533414</v>
      </c>
      <c r="T418" s="61">
        <f>T$404*'Economic Projections'!$I17</f>
        <v>32526749.700079087</v>
      </c>
      <c r="W418">
        <v>2070</v>
      </c>
      <c r="X418" s="61">
        <f>X$404*'Economic Projections'!$J17</f>
        <v>1114208257.1967146</v>
      </c>
      <c r="Y418" s="61">
        <f>Y$404*'Economic Projections'!$J17</f>
        <v>465473783.19917864</v>
      </c>
      <c r="Z418" s="61">
        <f>Z$404*'Economic Projections'!$J17</f>
        <v>875215145.48008204</v>
      </c>
      <c r="AA418" s="61">
        <f>AA$404*'Economic Projections'!$J17</f>
        <v>95997130.43696098</v>
      </c>
      <c r="AB418" s="61">
        <f>AB$404*'Economic Projections'!$J17</f>
        <v>145922327.14332649</v>
      </c>
      <c r="AC418" s="61">
        <f>AC$404*'Economic Projections'!$J17</f>
        <v>20629919.190143738</v>
      </c>
      <c r="AG418">
        <v>2070</v>
      </c>
      <c r="AH418" s="61">
        <f>AH$404*'Economic Projections'!$K17</f>
        <v>3161403784.7360153</v>
      </c>
      <c r="AI418" s="61">
        <f>AI$404*'Economic Projections'!$K17</f>
        <v>1320714121.7958782</v>
      </c>
      <c r="AJ418" s="61">
        <f>AJ$404*'Economic Projections'!$K17</f>
        <v>2483295609.6918545</v>
      </c>
      <c r="AK418" s="61">
        <f>AK$404*'Economic Projections'!$K17</f>
        <v>272377887.64082426</v>
      </c>
      <c r="AL418" s="61">
        <f>AL$404*'Economic Projections'!$K17</f>
        <v>414033367.93523055</v>
      </c>
      <c r="AM418" s="61">
        <f>AM$404*'Economic Projections'!$K17</f>
        <v>58534393.534838066</v>
      </c>
    </row>
    <row r="419" spans="5:39">
      <c r="E419">
        <v>2080</v>
      </c>
      <c r="F419" s="61">
        <f>F$404*'Economic Projections'!$H18</f>
        <v>2482957231.0502849</v>
      </c>
      <c r="G419" s="61">
        <f>G$404*'Economic Projections'!$H18</f>
        <v>1037284985.4537419</v>
      </c>
      <c r="H419" s="61">
        <f>H$404*'Economic Projections'!$H18</f>
        <v>1950373065.5002947</v>
      </c>
      <c r="I419" s="61">
        <f>I$404*'Economic Projections'!$H18</f>
        <v>213924791.56295425</v>
      </c>
      <c r="J419" s="61">
        <f>J$404*'Economic Projections'!$H18</f>
        <v>325180589.00746417</v>
      </c>
      <c r="K419" s="61">
        <f>K$404*'Economic Projections'!$H18</f>
        <v>45972740.462384604</v>
      </c>
      <c r="N419">
        <v>2080</v>
      </c>
      <c r="O419" s="61">
        <f>O$404*'Economic Projections'!$I18</f>
        <v>2073676722.9711349</v>
      </c>
      <c r="P419" s="61">
        <f>P$404*'Economic Projections'!$I18</f>
        <v>866303173.70106769</v>
      </c>
      <c r="Q419" s="61">
        <f>Q$404*'Economic Projections'!$I18</f>
        <v>1628881551.5871887</v>
      </c>
      <c r="R419" s="61">
        <f>R$404*'Economic Projections'!$I18</f>
        <v>178662304.44207197</v>
      </c>
      <c r="S419" s="61">
        <f>S$404*'Economic Projections'!$I18</f>
        <v>271579151.56741798</v>
      </c>
      <c r="T419" s="61">
        <f>T$404*'Economic Projections'!$I18</f>
        <v>38394782.075128511</v>
      </c>
      <c r="W419">
        <v>2080</v>
      </c>
      <c r="X419" s="61">
        <f>X$404*'Economic Projections'!$J18</f>
        <v>1208496656.8526695</v>
      </c>
      <c r="Y419" s="61">
        <f>Y$404*'Economic Projections'!$J18</f>
        <v>504863886.27566731</v>
      </c>
      <c r="Z419" s="61">
        <f>Z$404*'Economic Projections'!$J18</f>
        <v>949279069.24743319</v>
      </c>
      <c r="AA419" s="61">
        <f>AA$404*'Economic Projections'!$J18</f>
        <v>104120760.5949692</v>
      </c>
      <c r="AB419" s="61">
        <f>AB$404*'Economic Projections'!$J18</f>
        <v>158270811.02104723</v>
      </c>
      <c r="AC419" s="61">
        <f>AC$404*'Economic Projections'!$J18</f>
        <v>22375698.808008213</v>
      </c>
      <c r="AG419">
        <v>2080</v>
      </c>
      <c r="AH419" s="61">
        <f>AH$404*'Economic Projections'!$K18</f>
        <v>3864865703.1619234</v>
      </c>
      <c r="AI419" s="61">
        <f>AI$404*'Economic Projections'!$K18</f>
        <v>1614593724.9950931</v>
      </c>
      <c r="AJ419" s="61">
        <f>AJ$404*'Economic Projections'!$K18</f>
        <v>3035867825.2522078</v>
      </c>
      <c r="AK419" s="61">
        <f>AK$404*'Economic Projections'!$K18</f>
        <v>332986239.00098133</v>
      </c>
      <c r="AL419" s="61">
        <f>AL$404*'Economic Projections'!$K18</f>
        <v>506162285.06575072</v>
      </c>
      <c r="AM419" s="61">
        <f>AM$404*'Economic Projections'!$K18</f>
        <v>71559214.017664373</v>
      </c>
    </row>
    <row r="420" spans="5:39">
      <c r="E420">
        <v>2090</v>
      </c>
      <c r="F420" s="61">
        <f>F$404*'Economic Projections'!$H19</f>
        <v>2741270016.8980556</v>
      </c>
      <c r="G420" s="61">
        <f>G$404*'Economic Projections'!$H19</f>
        <v>1145198231.3847969</v>
      </c>
      <c r="H420" s="61">
        <f>H$404*'Economic Projections'!$H19</f>
        <v>2153278815.8255749</v>
      </c>
      <c r="I420" s="61">
        <f>I$404*'Economic Projections'!$H19</f>
        <v>236180313.39776078</v>
      </c>
      <c r="J420" s="61">
        <f>J$404*'Economic Projections'!$H19</f>
        <v>359010532.91455513</v>
      </c>
      <c r="K420" s="61">
        <f>K$404*'Economic Projections'!$H19</f>
        <v>50755483.601649977</v>
      </c>
      <c r="N420">
        <v>2090</v>
      </c>
      <c r="O420" s="61">
        <f>O$404*'Economic Projections'!$I19</f>
        <v>2417572310.1156583</v>
      </c>
      <c r="P420" s="61">
        <f>P$404*'Economic Projections'!$I19</f>
        <v>1009969655.2046263</v>
      </c>
      <c r="Q420" s="61">
        <f>Q$404*'Economic Projections'!$I19</f>
        <v>1899012942.5444839</v>
      </c>
      <c r="R420" s="61">
        <f>R$404*'Economic Projections'!$I19</f>
        <v>208291405.93416369</v>
      </c>
      <c r="S420" s="61">
        <f>S$404*'Economic Projections'!$I19</f>
        <v>316617450.32918149</v>
      </c>
      <c r="T420" s="61">
        <f>T$404*'Economic Projections'!$I19</f>
        <v>44762117.918149464</v>
      </c>
      <c r="W420">
        <v>2090</v>
      </c>
      <c r="X420" s="61">
        <f>X$404*'Economic Projections'!$J19</f>
        <v>1310810762.7908623</v>
      </c>
      <c r="Y420" s="61">
        <f>Y$404*'Economic Projections'!$J19</f>
        <v>547606823.83521557</v>
      </c>
      <c r="Z420" s="61">
        <f>Z$404*'Economic Projections'!$J19</f>
        <v>1029647218.1414784</v>
      </c>
      <c r="AA420" s="61">
        <f>AA$404*'Economic Projections'!$J19</f>
        <v>112935863.61529773</v>
      </c>
      <c r="AB420" s="61">
        <f>AB$404*'Economic Projections'!$J19</f>
        <v>171670381.82987681</v>
      </c>
      <c r="AC420" s="61">
        <f>AC$404*'Economic Projections'!$J19</f>
        <v>24270076.922587268</v>
      </c>
      <c r="AG420">
        <v>2090</v>
      </c>
      <c r="AH420" s="61">
        <f>AH$404*'Economic Projections'!$K19</f>
        <v>4604335687.1452398</v>
      </c>
      <c r="AI420" s="61">
        <f>AI$404*'Economic Projections'!$K19</f>
        <v>1923516126.8743865</v>
      </c>
      <c r="AJ420" s="61">
        <f>AJ$404*'Economic Projections'!$K19</f>
        <v>3616724523.6565256</v>
      </c>
      <c r="AK420" s="61">
        <f>AK$404*'Economic Projections'!$K19</f>
        <v>396696946.62512267</v>
      </c>
      <c r="AL420" s="61">
        <f>AL$404*'Economic Projections'!$K19</f>
        <v>603006999.88321877</v>
      </c>
      <c r="AM420" s="61">
        <f>AM$404*'Economic Projections'!$K19</f>
        <v>85250735.252208039</v>
      </c>
    </row>
    <row r="421" spans="5:39">
      <c r="E421">
        <v>2100</v>
      </c>
      <c r="F421" s="61">
        <f>F$404*'Economic Projections'!$H20</f>
        <v>2952839991.719996</v>
      </c>
      <c r="G421" s="61">
        <f>G$404*'Economic Projections'!$H20</f>
        <v>1233584110.7351208</v>
      </c>
      <c r="H421" s="61">
        <f>H$404*'Economic Projections'!$H20</f>
        <v>2319467896.8137889</v>
      </c>
      <c r="I421" s="61">
        <f>I$404*'Economic Projections'!$H20</f>
        <v>254408602.71292478</v>
      </c>
      <c r="J421" s="61">
        <f>J$404*'Economic Projections'!$H20</f>
        <v>386718802.78265566</v>
      </c>
      <c r="K421" s="61">
        <f>K$404*'Economic Projections'!$H20</f>
        <v>54672768.772932626</v>
      </c>
      <c r="N421">
        <v>2100</v>
      </c>
      <c r="O421" s="61">
        <f>O$404*'Economic Projections'!$I20</f>
        <v>2796214913.9374261</v>
      </c>
      <c r="P421" s="61">
        <f>P$404*'Economic Projections'!$I20</f>
        <v>1168152117.1841638</v>
      </c>
      <c r="Q421" s="61">
        <f>Q$404*'Economic Projections'!$I20</f>
        <v>2196438257.2900357</v>
      </c>
      <c r="R421" s="61">
        <f>R$404*'Economic Projections'!$I20</f>
        <v>240914215.17408067</v>
      </c>
      <c r="S421" s="61">
        <f>S$404*'Economic Projections'!$I20</f>
        <v>366206393.46293002</v>
      </c>
      <c r="T421" s="61">
        <f>T$404*'Economic Projections'!$I20</f>
        <v>51772805.79300119</v>
      </c>
      <c r="W421">
        <v>2100</v>
      </c>
      <c r="X421" s="61">
        <f>X$404*'Economic Projections'!$J20</f>
        <v>1427920558.5418892</v>
      </c>
      <c r="Y421" s="61">
        <f>Y$404*'Economic Projections'!$J20</f>
        <v>596530837.21047235</v>
      </c>
      <c r="Z421" s="61">
        <f>Z$404*'Economic Projections'!$J20</f>
        <v>1121637441.9289529</v>
      </c>
      <c r="AA421" s="61">
        <f>AA$404*'Economic Projections'!$J20</f>
        <v>123025722.72874744</v>
      </c>
      <c r="AB421" s="61">
        <f>AB$404*'Economic Projections'!$J20</f>
        <v>187007670.72258729</v>
      </c>
      <c r="AC421" s="61">
        <f>AC$404*'Economic Projections'!$J20</f>
        <v>26438401.925667353</v>
      </c>
      <c r="AG421">
        <v>2100</v>
      </c>
      <c r="AH421" s="61">
        <f>AH$404*'Economic Projections'!$K20</f>
        <v>5380335592.7085381</v>
      </c>
      <c r="AI421" s="61">
        <f>AI$404*'Economic Projections'!$K20</f>
        <v>2247699339.008832</v>
      </c>
      <c r="AJ421" s="61">
        <f>AJ$404*'Economic Projections'!$K20</f>
        <v>4226275624.9460254</v>
      </c>
      <c r="AK421" s="61">
        <f>AK$404*'Economic Projections'!$K20</f>
        <v>463554972.19823354</v>
      </c>
      <c r="AL421" s="61">
        <f>AL$404*'Economic Projections'!$K20</f>
        <v>704635857.28164864</v>
      </c>
      <c r="AM421" s="61">
        <f>AM$404*'Economic Projections'!$K20</f>
        <v>99618619.56820412</v>
      </c>
    </row>
  </sheetData>
  <mergeCells count="93">
    <mergeCell ref="F4:K4"/>
    <mergeCell ref="O4:T4"/>
    <mergeCell ref="X4:AC4"/>
    <mergeCell ref="AH4:AM4"/>
    <mergeCell ref="B2:C2"/>
    <mergeCell ref="F2:K2"/>
    <mergeCell ref="O2:T2"/>
    <mergeCell ref="X2:AC2"/>
    <mergeCell ref="AH2:AM2"/>
    <mergeCell ref="F61:K61"/>
    <mergeCell ref="O61:T61"/>
    <mergeCell ref="X61:AC61"/>
    <mergeCell ref="AH61:AM61"/>
    <mergeCell ref="F80:K80"/>
    <mergeCell ref="O80:T80"/>
    <mergeCell ref="X80:AC80"/>
    <mergeCell ref="AH80:AM80"/>
    <mergeCell ref="F99:K99"/>
    <mergeCell ref="O99:T99"/>
    <mergeCell ref="X99:AC99"/>
    <mergeCell ref="AH99:AM99"/>
    <mergeCell ref="F118:K118"/>
    <mergeCell ref="O118:T118"/>
    <mergeCell ref="X118:AC118"/>
    <mergeCell ref="AH118:AM118"/>
    <mergeCell ref="F251:K251"/>
    <mergeCell ref="O251:T251"/>
    <mergeCell ref="X251:AC251"/>
    <mergeCell ref="AH251:AM251"/>
    <mergeCell ref="F175:K175"/>
    <mergeCell ref="O175:T175"/>
    <mergeCell ref="X175:AC175"/>
    <mergeCell ref="AH175:AM175"/>
    <mergeCell ref="F194:K194"/>
    <mergeCell ref="O194:T194"/>
    <mergeCell ref="X194:AC194"/>
    <mergeCell ref="AH194:AM194"/>
    <mergeCell ref="F403:K403"/>
    <mergeCell ref="O403:T403"/>
    <mergeCell ref="X403:AC403"/>
    <mergeCell ref="AH403:AM403"/>
    <mergeCell ref="F156:K156"/>
    <mergeCell ref="F232:K232"/>
    <mergeCell ref="F365:K365"/>
    <mergeCell ref="O365:T365"/>
    <mergeCell ref="X365:AC365"/>
    <mergeCell ref="AH365:AM365"/>
    <mergeCell ref="F384:K384"/>
    <mergeCell ref="O384:T384"/>
    <mergeCell ref="X384:AC384"/>
    <mergeCell ref="AH384:AM384"/>
    <mergeCell ref="F289:K289"/>
    <mergeCell ref="O289:T289"/>
    <mergeCell ref="F270:K270"/>
    <mergeCell ref="F308:K308"/>
    <mergeCell ref="F346:K346"/>
    <mergeCell ref="O23:T23"/>
    <mergeCell ref="O42:T42"/>
    <mergeCell ref="O137:T137"/>
    <mergeCell ref="O156:T156"/>
    <mergeCell ref="O232:T232"/>
    <mergeCell ref="O270:T270"/>
    <mergeCell ref="F23:K23"/>
    <mergeCell ref="F42:K42"/>
    <mergeCell ref="F137:K137"/>
    <mergeCell ref="F327:K327"/>
    <mergeCell ref="O327:T327"/>
    <mergeCell ref="O308:T308"/>
    <mergeCell ref="F213:K213"/>
    <mergeCell ref="O346:T346"/>
    <mergeCell ref="X23:AC23"/>
    <mergeCell ref="X42:AC42"/>
    <mergeCell ref="X137:AC137"/>
    <mergeCell ref="X156:AC156"/>
    <mergeCell ref="X232:AC232"/>
    <mergeCell ref="X270:AC270"/>
    <mergeCell ref="X308:AC308"/>
    <mergeCell ref="X346:AC346"/>
    <mergeCell ref="X289:AC289"/>
    <mergeCell ref="X327:AC327"/>
    <mergeCell ref="O213:T213"/>
    <mergeCell ref="X213:AC213"/>
    <mergeCell ref="AH270:AM270"/>
    <mergeCell ref="AH308:AM308"/>
    <mergeCell ref="AH346:AM346"/>
    <mergeCell ref="AH23:AM23"/>
    <mergeCell ref="AH42:AM42"/>
    <mergeCell ref="AH137:AM137"/>
    <mergeCell ref="AH156:AM156"/>
    <mergeCell ref="AH232:AM232"/>
    <mergeCell ref="AH289:AM289"/>
    <mergeCell ref="AH327:AM327"/>
    <mergeCell ref="AH213:AM213"/>
  </mergeCells>
  <dataValidations count="1">
    <dataValidation type="list" errorStyle="warning" allowBlank="1" showInputMessage="1" showErrorMessage="1" promptTitle="Inflation" prompt="Please select an inflation level" sqref="C6" xr:uid="{626836E4-325F-48D9-8D44-25096E5F3CDD}">
      <formula1>"0, 0.0125, 0.025, ='Inflation-Interest'!$C$70, 0.05, 0.0625, 0.075"</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5AF43-B95F-4E9C-B901-74F145F3CEE0}">
  <sheetPr>
    <tabColor theme="9" tint="0.79998168889431442"/>
  </sheetPr>
  <dimension ref="B1:AQ421"/>
  <sheetViews>
    <sheetView zoomScale="90" zoomScaleNormal="90" workbookViewId="0">
      <pane ySplit="11" topLeftCell="A144" activePane="bottomLeft" state="frozen"/>
      <selection pane="bottomLeft" activeCell="F176" sqref="F176"/>
      <selection activeCell="B1" sqref="B1"/>
    </sheetView>
  </sheetViews>
  <sheetFormatPr defaultColWidth="8.7109375" defaultRowHeight="15"/>
  <cols>
    <col min="1" max="1" width="1.7109375" customWidth="1"/>
    <col min="2" max="2" width="43.7109375" bestFit="1" customWidth="1"/>
    <col min="3" max="3" width="11.140625" bestFit="1" customWidth="1"/>
    <col min="4" max="4" width="3.7109375" customWidth="1"/>
    <col min="5" max="5" width="5.42578125" bestFit="1" customWidth="1"/>
    <col min="6" max="11" width="19.7109375" customWidth="1"/>
    <col min="12" max="12" width="9.7109375" bestFit="1" customWidth="1"/>
    <col min="13" max="13" width="9.42578125" customWidth="1"/>
    <col min="14" max="14" width="5.42578125" bestFit="1" customWidth="1"/>
    <col min="15" max="20" width="19.7109375" customWidth="1"/>
    <col min="21" max="21" width="12.140625" bestFit="1" customWidth="1"/>
    <col min="23" max="23" width="5.42578125" bestFit="1" customWidth="1"/>
    <col min="24" max="25" width="15.7109375" customWidth="1"/>
    <col min="26" max="26" width="17.7109375" bestFit="1" customWidth="1"/>
    <col min="27" max="29" width="15.7109375" customWidth="1"/>
    <col min="30" max="30" width="12.140625" bestFit="1" customWidth="1"/>
    <col min="34" max="39" width="15.7109375" customWidth="1"/>
    <col min="40" max="40" width="12.140625" bestFit="1" customWidth="1"/>
  </cols>
  <sheetData>
    <row r="1" spans="2:39" ht="7.35" customHeight="1"/>
    <row r="2" spans="2:39">
      <c r="B2" s="582" t="s">
        <v>228</v>
      </c>
      <c r="C2" s="582"/>
      <c r="D2" s="321"/>
      <c r="F2" s="582" t="s">
        <v>201</v>
      </c>
      <c r="G2" s="582"/>
      <c r="H2" s="582"/>
      <c r="I2" s="582"/>
      <c r="J2" s="582"/>
      <c r="K2" s="582"/>
      <c r="O2" s="582" t="s">
        <v>202</v>
      </c>
      <c r="P2" s="582"/>
      <c r="Q2" s="582"/>
      <c r="R2" s="582"/>
      <c r="S2" s="582"/>
      <c r="T2" s="582"/>
      <c r="X2" s="582" t="s">
        <v>203</v>
      </c>
      <c r="Y2" s="582"/>
      <c r="Z2" s="582"/>
      <c r="AA2" s="582"/>
      <c r="AB2" s="582"/>
      <c r="AC2" s="582"/>
      <c r="AH2" s="582" t="s">
        <v>204</v>
      </c>
      <c r="AI2" s="582"/>
      <c r="AJ2" s="582"/>
      <c r="AK2" s="582"/>
      <c r="AL2" s="582"/>
      <c r="AM2" s="582"/>
    </row>
    <row r="3" spans="2:39">
      <c r="B3" t="s">
        <v>300</v>
      </c>
      <c r="C3" s="195">
        <v>1E-3</v>
      </c>
      <c r="F3" s="1" t="s">
        <v>230</v>
      </c>
      <c r="G3" s="1" t="s">
        <v>3</v>
      </c>
      <c r="H3" s="1" t="s">
        <v>231</v>
      </c>
      <c r="I3" s="1" t="s">
        <v>5</v>
      </c>
      <c r="J3" s="1" t="s">
        <v>232</v>
      </c>
      <c r="K3" s="1" t="s">
        <v>233</v>
      </c>
      <c r="O3" t="s">
        <v>230</v>
      </c>
      <c r="P3" t="s">
        <v>3</v>
      </c>
      <c r="Q3" t="s">
        <v>231</v>
      </c>
      <c r="R3" t="s">
        <v>5</v>
      </c>
      <c r="S3" t="s">
        <v>232</v>
      </c>
      <c r="T3" t="s">
        <v>233</v>
      </c>
      <c r="X3" t="s">
        <v>230</v>
      </c>
      <c r="Y3" t="s">
        <v>3</v>
      </c>
      <c r="Z3" t="s">
        <v>231</v>
      </c>
      <c r="AA3" t="s">
        <v>5</v>
      </c>
      <c r="AB3" t="s">
        <v>232</v>
      </c>
      <c r="AC3" t="s">
        <v>233</v>
      </c>
      <c r="AH3" t="s">
        <v>230</v>
      </c>
      <c r="AI3" t="s">
        <v>3</v>
      </c>
      <c r="AJ3" t="s">
        <v>231</v>
      </c>
      <c r="AK3" t="s">
        <v>5</v>
      </c>
      <c r="AL3" t="s">
        <v>232</v>
      </c>
      <c r="AM3" t="s">
        <v>233</v>
      </c>
    </row>
    <row r="4" spans="2:39">
      <c r="B4" t="s">
        <v>301</v>
      </c>
      <c r="C4" s="195">
        <f>C3/2</f>
        <v>5.0000000000000001E-4</v>
      </c>
      <c r="F4" s="581" t="s">
        <v>235</v>
      </c>
      <c r="G4" s="581"/>
      <c r="H4" s="581"/>
      <c r="I4" s="581"/>
      <c r="J4" s="581"/>
      <c r="K4" s="581"/>
      <c r="O4" s="581" t="s">
        <v>235</v>
      </c>
      <c r="P4" s="581"/>
      <c r="Q4" s="581"/>
      <c r="R4" s="581"/>
      <c r="S4" s="581"/>
      <c r="T4" s="581"/>
      <c r="X4" s="581" t="s">
        <v>235</v>
      </c>
      <c r="Y4" s="581"/>
      <c r="Z4" s="581"/>
      <c r="AA4" s="581"/>
      <c r="AB4" s="581"/>
      <c r="AC4" s="581"/>
      <c r="AH4" s="581" t="s">
        <v>235</v>
      </c>
      <c r="AI4" s="581"/>
      <c r="AJ4" s="581"/>
      <c r="AK4" s="581"/>
      <c r="AL4" s="581"/>
      <c r="AM4" s="581"/>
    </row>
    <row r="5" spans="2:39">
      <c r="B5" t="s">
        <v>276</v>
      </c>
      <c r="C5" s="59">
        <v>0.1</v>
      </c>
      <c r="E5">
        <v>2020</v>
      </c>
      <c r="F5" s="61">
        <f>'Demographic-Economic'!C10</f>
        <v>6306408</v>
      </c>
      <c r="G5" s="61">
        <f>'Demographic-Economic'!D10</f>
        <v>4212348</v>
      </c>
      <c r="H5" s="61">
        <f>'Demographic-Economic'!E10</f>
        <v>4993764</v>
      </c>
      <c r="I5" s="61">
        <f>'Demographic-Economic'!F10</f>
        <v>1010676</v>
      </c>
      <c r="J5" s="61">
        <f>'Demographic-Economic'!G10</f>
        <v>1266672</v>
      </c>
      <c r="K5" s="61">
        <f>'Demographic-Economic'!H10</f>
        <v>307884</v>
      </c>
      <c r="N5">
        <v>2020</v>
      </c>
      <c r="O5" s="61">
        <f>'Demographic-Economic'!C10</f>
        <v>6306408</v>
      </c>
      <c r="P5" s="61">
        <f>'Demographic-Economic'!D10</f>
        <v>4212348</v>
      </c>
      <c r="Q5" s="61">
        <f>'Demographic-Economic'!E10</f>
        <v>4993764</v>
      </c>
      <c r="R5" s="61">
        <f>'Demographic-Economic'!F10</f>
        <v>1010676</v>
      </c>
      <c r="S5" s="61">
        <f>'Demographic-Economic'!G10</f>
        <v>1266672</v>
      </c>
      <c r="T5" s="61">
        <f>'Demographic-Economic'!H10</f>
        <v>307884</v>
      </c>
      <c r="W5">
        <v>2020</v>
      </c>
      <c r="X5" s="61">
        <f>'Demographic-Economic'!C10</f>
        <v>6306408</v>
      </c>
      <c r="Y5" s="61">
        <f>'Demographic-Economic'!D10</f>
        <v>4212348</v>
      </c>
      <c r="Z5" s="61">
        <f>'Demographic-Economic'!E10</f>
        <v>4993764</v>
      </c>
      <c r="AA5" s="61">
        <f>'Demographic-Economic'!F10</f>
        <v>1010676</v>
      </c>
      <c r="AB5" s="61">
        <f>'Demographic-Economic'!G10</f>
        <v>1266672</v>
      </c>
      <c r="AC5" s="61">
        <f>'Demographic-Economic'!H10</f>
        <v>307884</v>
      </c>
      <c r="AG5">
        <v>2020</v>
      </c>
      <c r="AH5" s="61">
        <f>'Demographic-Economic'!C10</f>
        <v>6306408</v>
      </c>
      <c r="AI5" s="61">
        <f>'Demographic-Economic'!D10</f>
        <v>4212348</v>
      </c>
      <c r="AJ5" s="61">
        <f>'Demographic-Economic'!E10</f>
        <v>4993764</v>
      </c>
      <c r="AK5" s="61">
        <f>'Demographic-Economic'!F10</f>
        <v>1010676</v>
      </c>
      <c r="AL5" s="61">
        <f>'Demographic-Economic'!G10</f>
        <v>1266672</v>
      </c>
      <c r="AM5" s="61">
        <f>'Demographic-Economic'!H10</f>
        <v>307884</v>
      </c>
    </row>
    <row r="6" spans="2:39">
      <c r="B6" t="s">
        <v>237</v>
      </c>
      <c r="C6" s="180">
        <f>'Inflation-Interest'!$C$70</f>
        <v>3.7539166666666658E-2</v>
      </c>
      <c r="E6">
        <v>2021</v>
      </c>
      <c r="F6" s="61">
        <f>(F5+0.5*F119)*('Economic Projections'!$B4/'Economic Projections'!$B3)</f>
        <v>6344756.4517076518</v>
      </c>
      <c r="G6" s="61">
        <f>(G5+0.5*G119)*('Economic Projections'!$B4/'Economic Projections'!$B3)</f>
        <v>4236902.9879588392</v>
      </c>
      <c r="H6" s="61">
        <f>(H5+0.5*H119)*('Economic Projections'!$B4/'Economic Projections'!$B3)</f>
        <v>5027338.4025323512</v>
      </c>
      <c r="I6" s="61">
        <f>(I5+0.5*I119)*('Economic Projections'!$B4/'Economic Projections'!$B3)</f>
        <v>1018020.0849193843</v>
      </c>
      <c r="J6" s="61">
        <f>(J5+0.5*J119)*('Economic Projections'!$B4/'Economic Projections'!$B3)</f>
        <v>1275306.1731519115</v>
      </c>
      <c r="K6" s="61">
        <f>(K5+0.5*K119)*('Economic Projections'!$B4/'Economic Projections'!$B3)</f>
        <v>310031.07862168283</v>
      </c>
      <c r="N6">
        <v>2021</v>
      </c>
      <c r="O6" s="61">
        <f>(O5+0.5*O119)*'Economic Projections'!$C4/'Economic Projections'!$C3</f>
        <v>6358683.4401642578</v>
      </c>
      <c r="P6" s="61">
        <f>(P5+0.5*P119)*'Economic Projections'!$C4/'Economic Projections'!$C3</f>
        <v>4246203.1556570306</v>
      </c>
      <c r="Q6" s="61">
        <f>(Q5+0.5*Q119)*'Economic Projections'!$C4/'Economic Projections'!$C3</f>
        <v>5038373.6068672119</v>
      </c>
      <c r="R6" s="61">
        <f>(R5+0.5*R119)*'Economic Projections'!$C4/'Economic Projections'!$C3</f>
        <v>1020254.6788047729</v>
      </c>
      <c r="S6" s="61">
        <f>(S5+0.5*S119)*'Economic Projections'!$C4/'Economic Projections'!$C3</f>
        <v>1278105.5200594426</v>
      </c>
      <c r="T6" s="61">
        <f>(T5+0.5*T119)*'Economic Projections'!$C4/'Economic Projections'!$C3</f>
        <v>310711.60895976872</v>
      </c>
      <c r="W6">
        <v>2021</v>
      </c>
      <c r="X6" s="61">
        <f>(X5+0.5*X119)*'Economic Projections'!$D4/'Economic Projections'!$D3</f>
        <v>6371154.9490698706</v>
      </c>
      <c r="Y6" s="61">
        <f>(Y5+0.5*Y119)*'Economic Projections'!$D4/'Economic Projections'!$D3</f>
        <v>4254531.3828709098</v>
      </c>
      <c r="Z6" s="61">
        <f>(Z5+0.5*Z119)*'Economic Projections'!$D4/'Economic Projections'!$D3</f>
        <v>5048255.5457778592</v>
      </c>
      <c r="AA6" s="61">
        <f>(AA5+0.5*AA119)*'Economic Projections'!$D4/'Economic Projections'!$D3</f>
        <v>1022255.7400987407</v>
      </c>
      <c r="AB6" s="61">
        <f>(AB5+0.5*AB119)*'Economic Projections'!$D4/'Economic Projections'!$D3</f>
        <v>1280612.3132542493</v>
      </c>
      <c r="AC6" s="61">
        <f>(AC5+0.5*AC119)*'Economic Projections'!$D4/'Economic Projections'!$D3</f>
        <v>311321.01853876153</v>
      </c>
      <c r="AG6">
        <v>2021</v>
      </c>
      <c r="AH6" s="61">
        <f>(AH5+0.5*AH119)*'Economic Projections'!$E4/'Economic Projections'!$E3</f>
        <v>6346585.2483178815</v>
      </c>
      <c r="AI6" s="61">
        <f>(AI5+0.5*AI119)*'Economic Projections'!$E4/'Economic Projections'!$E3</f>
        <v>4238124.2221986763</v>
      </c>
      <c r="AJ6" s="61">
        <f>(AJ5+0.5*AJ119)*'Economic Projections'!$E4/'Economic Projections'!$E3</f>
        <v>5028787.4698841088</v>
      </c>
      <c r="AK6" s="61">
        <f>(AK5+0.5*AK119)*'Economic Projections'!$E4/'Economic Projections'!$E3</f>
        <v>1018313.5164631506</v>
      </c>
      <c r="AL6" s="61">
        <f>(AL5+0.5*AL119)*'Economic Projections'!$E4/'Economic Projections'!$E3</f>
        <v>1275673.7641893637</v>
      </c>
      <c r="AM6" s="61">
        <f>(AM5+0.5*AM119)*'Economic Projections'!$E4/'Economic Projections'!$E3</f>
        <v>310120.44119847589</v>
      </c>
    </row>
    <row r="7" spans="2:39">
      <c r="B7" t="s">
        <v>353</v>
      </c>
      <c r="C7" s="477">
        <f>5000</f>
        <v>5000</v>
      </c>
      <c r="E7">
        <v>2022</v>
      </c>
      <c r="F7" s="61">
        <f>(F6+0.5*F120)*('Economic Projections'!$B5/'Economic Projections'!$B4)</f>
        <v>6383085.3350389507</v>
      </c>
      <c r="G7" s="61">
        <f>(G6+0.5*G120)*('Economic Projections'!$B5/'Economic Projections'!$B4)</f>
        <v>4261432.3678427199</v>
      </c>
      <c r="H7" s="61">
        <f>(H6+0.5*H120)*('Economic Projections'!$B5/'Economic Projections'!$B4)</f>
        <v>5061048.3056199299</v>
      </c>
      <c r="I7" s="61">
        <f>(I6+0.5*I120)*('Economic Projections'!$B5/'Economic Projections'!$B4)</f>
        <v>1025293.3018977086</v>
      </c>
      <c r="J7" s="61">
        <f>(J6+0.5*J120)*('Economic Projections'!$B5/'Economic Projections'!$B4)</f>
        <v>1283917.4273622441</v>
      </c>
      <c r="K7" s="61">
        <f>(K6+0.5*K120)*('Economic Projections'!$B5/'Economic Projections'!$B4)</f>
        <v>312181.62002209079</v>
      </c>
      <c r="N7">
        <v>2022</v>
      </c>
      <c r="O7" s="61">
        <f>(O6+0.5*O120)*'Economic Projections'!$C5/'Economic Projections'!$C4</f>
        <v>6410932.3484579334</v>
      </c>
      <c r="P7" s="61">
        <f>(P6+0.5*P120)*'Economic Projections'!$C5/'Economic Projections'!$C4</f>
        <v>4280023.4030714035</v>
      </c>
      <c r="Q7" s="61">
        <f>(Q6+0.5*Q120)*'Economic Projections'!$C5/'Economic Projections'!$C4</f>
        <v>5083120.7322911369</v>
      </c>
      <c r="R7" s="61">
        <f>(R6+0.5*R120)*'Economic Projections'!$C5/'Economic Projections'!$C4</f>
        <v>1029772.876273869</v>
      </c>
      <c r="S7" s="61">
        <f>(S6+0.5*S120)*'Economic Projections'!$C5/'Economic Projections'!$C4</f>
        <v>1289518.0894954286</v>
      </c>
      <c r="T7" s="61">
        <f>(T6+0.5*T120)*'Economic Projections'!$C5/'Economic Projections'!$C4</f>
        <v>313544.57143519749</v>
      </c>
      <c r="W7">
        <v>2022</v>
      </c>
      <c r="X7" s="61">
        <f>(X6+0.5*X120)*'Economic Projections'!$D5/'Economic Projections'!$D4</f>
        <v>6435869.1305147056</v>
      </c>
      <c r="Y7" s="61">
        <f>(Y6+0.5*Y120)*'Economic Projections'!$D5/'Economic Projections'!$D4</f>
        <v>4296671.5292719472</v>
      </c>
      <c r="Z7" s="61">
        <f>(Z6+0.5*Z120)*'Economic Projections'!$D5/'Economic Projections'!$D4</f>
        <v>5102886.1505265972</v>
      </c>
      <c r="AA7" s="61">
        <f>(AA6+0.5*AA120)*'Economic Projections'!$D5/'Economic Projections'!$D4</f>
        <v>1033784.5503530557</v>
      </c>
      <c r="AB7" s="61">
        <f>(AB6+0.5*AB120)*'Economic Projections'!$D5/'Economic Projections'!$D4</f>
        <v>1294533.416155033</v>
      </c>
      <c r="AC7" s="61">
        <f>(AC6+0.5*AC120)*'Economic Projections'!$D5/'Economic Projections'!$D4</f>
        <v>314765.12239944044</v>
      </c>
      <c r="AG7">
        <v>2022</v>
      </c>
      <c r="AH7" s="61">
        <f>(AH6+0.5*AH120)*'Economic Projections'!$E5/'Economic Projections'!$E4</f>
        <v>6386742.0138611021</v>
      </c>
      <c r="AI7" s="61">
        <f>(AI6+0.5*AI120)*'Economic Projections'!$E5/'Economic Projections'!$E4</f>
        <v>4263873.6150881527</v>
      </c>
      <c r="AJ7" s="61">
        <f>(AJ6+0.5*AJ120)*'Economic Projections'!$E5/'Economic Projections'!$E4</f>
        <v>5063946.7226865487</v>
      </c>
      <c r="AK7" s="61">
        <f>(AK6+0.5*AK120)*'Economic Projections'!$E5/'Economic Projections'!$E4</f>
        <v>1025881.5125733463</v>
      </c>
      <c r="AL7" s="61">
        <f>(AL6+0.5*AL120)*'Economic Projections'!$E5/'Economic Projections'!$E4</f>
        <v>1284652.8693587023</v>
      </c>
      <c r="AM7" s="61">
        <f>(AM6+0.5*AM120)*'Economic Projections'!$E5/'Economic Projections'!$E4</f>
        <v>312360.59093545674</v>
      </c>
    </row>
    <row r="8" spans="2:39">
      <c r="B8" s="432" t="s">
        <v>278</v>
      </c>
      <c r="C8" s="417">
        <v>0</v>
      </c>
      <c r="E8">
        <v>2023</v>
      </c>
      <c r="F8" s="61">
        <f>(F7+0.5*F121)*('Economic Projections'!$B6/'Economic Projections'!$B5)</f>
        <v>6421394.6573813036</v>
      </c>
      <c r="G8" s="61">
        <f>(G7+0.5*G121)*('Economic Projections'!$B6/'Economic Projections'!$B5)</f>
        <v>4285936.1591209685</v>
      </c>
      <c r="H8" s="61">
        <f>(H7+0.5*H121)*('Economic Projections'!$B6/'Economic Projections'!$B5)</f>
        <v>5094883.1836429853</v>
      </c>
      <c r="I8" s="61">
        <f>(I7+0.5*I121)*('Economic Projections'!$B6/'Economic Projections'!$B5)</f>
        <v>1032503.5376188835</v>
      </c>
      <c r="J8" s="61">
        <f>(J7+0.5*J121)*('Economic Projections'!$B6/'Economic Projections'!$B5)</f>
        <v>1292508.5097237604</v>
      </c>
      <c r="K8" s="61">
        <f>(K7+0.5*K121)*('Economic Projections'!$B6/'Economic Projections'!$B5)</f>
        <v>314335.48918756045</v>
      </c>
      <c r="N8">
        <v>2023</v>
      </c>
      <c r="O8" s="61">
        <f>(O7+0.5*O121)*'Economic Projections'!$C6/'Economic Projections'!$C5</f>
        <v>6463154.7348797461</v>
      </c>
      <c r="P8" s="61">
        <f>(P7+0.5*P121)*'Economic Projections'!$C6/'Economic Projections'!$C5</f>
        <v>4313808.7686875733</v>
      </c>
      <c r="Q8" s="61">
        <f>(Q7+0.5*Q121)*'Economic Projections'!$C6/'Economic Projections'!$C5</f>
        <v>5127999.4365266524</v>
      </c>
      <c r="R8" s="61">
        <f>(R7+0.5*R121)*'Economic Projections'!$C6/'Economic Projections'!$C5</f>
        <v>1039234.9809824704</v>
      </c>
      <c r="S8" s="61">
        <f>(S7+0.5*S121)*'Economic Projections'!$C6/'Economic Projections'!$C5</f>
        <v>1300911.404926263</v>
      </c>
      <c r="T8" s="61">
        <f>(T7+0.5*T121)*'Economic Projections'!$C6/'Economic Projections'!$C5</f>
        <v>316382.70553474542</v>
      </c>
      <c r="W8">
        <v>2023</v>
      </c>
      <c r="X8" s="61">
        <f>(X7+0.5*X121)*'Economic Projections'!$D6/'Economic Projections'!$D5</f>
        <v>6500550.5566716343</v>
      </c>
      <c r="Y8" s="61">
        <f>(Y7+0.5*Y121)*'Economic Projections'!$D6/'Economic Projections'!$D5</f>
        <v>4338768.471893739</v>
      </c>
      <c r="Z8" s="61">
        <f>(Z7+0.5*Z121)*'Economic Projections'!$D6/'Economic Projections'!$D5</f>
        <v>5157653.7833422953</v>
      </c>
      <c r="AA8" s="61">
        <f>(AA7+0.5*AA121)*'Economic Projections'!$D6/'Economic Projections'!$D5</f>
        <v>1045263.920216482</v>
      </c>
      <c r="AB8" s="61">
        <f>(AB7+0.5*AB121)*'Economic Projections'!$D6/'Economic Projections'!$D5</f>
        <v>1308435.9639988421</v>
      </c>
      <c r="AC8" s="61">
        <f>(AC7+0.5*AC121)*'Economic Projections'!$D6/'Economic Projections'!$D5</f>
        <v>318216.15270817711</v>
      </c>
      <c r="AG8">
        <v>2023</v>
      </c>
      <c r="AH8" s="61">
        <f>(AH7+0.5*AH121)*'Economic Projections'!$E6/'Economic Projections'!$E5</f>
        <v>6426878.3043599753</v>
      </c>
      <c r="AI8" s="61">
        <f>(AI7+0.5*AI121)*'Economic Projections'!$E6/'Economic Projections'!$E5</f>
        <v>4289596.1990536852</v>
      </c>
      <c r="AJ8" s="61">
        <f>(AJ7+0.5*AJ121)*'Economic Projections'!$E6/'Economic Projections'!$E5</f>
        <v>5099231.846593935</v>
      </c>
      <c r="AK8" s="61">
        <f>(AK7+0.5*AK121)*'Economic Projections'!$E6/'Economic Projections'!$E5</f>
        <v>1033387.4017334451</v>
      </c>
      <c r="AL8" s="61">
        <f>(AL7+0.5*AL121)*'Economic Projections'!$E6/'Economic Projections'!$E5</f>
        <v>1293611.9309578948</v>
      </c>
      <c r="AM8" s="61">
        <f>(AM7+0.5*AM121)*'Economic Projections'!$E6/'Economic Projections'!$E5</f>
        <v>314604.30405602994</v>
      </c>
    </row>
    <row r="9" spans="2:39">
      <c r="B9" s="432" t="s">
        <v>279</v>
      </c>
      <c r="C9" s="180">
        <v>0</v>
      </c>
      <c r="E9">
        <v>2024</v>
      </c>
      <c r="F9" s="61">
        <f>(F8+0.5*F122)*('Economic Projections'!$B7/'Economic Projections'!$B6)</f>
        <v>6459684.4261196535</v>
      </c>
      <c r="G9" s="61">
        <f>(G8+0.5*G122)*('Economic Projections'!$B7/'Economic Projections'!$B6)</f>
        <v>4310414.3812498478</v>
      </c>
      <c r="H9" s="61">
        <f>(H8+0.5*H122)*('Economic Projections'!$B7/'Economic Projections'!$B6)</f>
        <v>5128834.0851893546</v>
      </c>
      <c r="I9" s="61">
        <f>(I8+0.5*I122)*('Economic Projections'!$B7/'Economic Projections'!$B6)</f>
        <v>1039657.4982237066</v>
      </c>
      <c r="J9" s="61">
        <f>(J8+0.5*J122)*('Economic Projections'!$B7/'Economic Projections'!$B6)</f>
        <v>1301081.7536302621</v>
      </c>
      <c r="K9" s="61">
        <f>(K8+0.5*K122)*('Economic Projections'!$B7/'Economic Projections'!$B6)</f>
        <v>316492.57115445874</v>
      </c>
      <c r="N9">
        <v>2024</v>
      </c>
      <c r="O9" s="61">
        <f>(O8+0.5*O122)*'Economic Projections'!$C7/'Economic Projections'!$C6</f>
        <v>6515350.6094250772</v>
      </c>
      <c r="P9" s="61">
        <f>(P8+0.5*P122)*'Economic Projections'!$C7/'Economic Projections'!$C6</f>
        <v>4347559.2789322762</v>
      </c>
      <c r="Q9" s="61">
        <f>(Q8+0.5*Q122)*'Economic Projections'!$C7/'Economic Projections'!$C6</f>
        <v>5173004.2810540693</v>
      </c>
      <c r="R9" s="61">
        <f>(R8+0.5*R122)*'Economic Projections'!$C7/'Economic Projections'!$C6</f>
        <v>1048645.0089720448</v>
      </c>
      <c r="S9" s="61">
        <f>(S8+0.5*S122)*'Economic Projections'!$C7/'Economic Projections'!$C6</f>
        <v>1312287.0178335363</v>
      </c>
      <c r="T9" s="61">
        <f>(T8+0.5*T122)*'Economic Projections'!$C7/'Economic Projections'!$C6</f>
        <v>319225.8458329307</v>
      </c>
      <c r="W9">
        <v>2024</v>
      </c>
      <c r="X9" s="61">
        <f>(X8+0.5*X122)*'Economic Projections'!$D7/'Economic Projections'!$D6</f>
        <v>6565199.2398736635</v>
      </c>
      <c r="Y9" s="61">
        <f>(Y8+0.5*Y122)*'Economic Projections'!$D7/'Economic Projections'!$D6</f>
        <v>4380822.2434050264</v>
      </c>
      <c r="Z9" s="61">
        <f>(Z8+0.5*Z122)*'Economic Projections'!$D7/'Economic Projections'!$D6</f>
        <v>5212556.2700859634</v>
      </c>
      <c r="AA9" s="61">
        <f>(AA8+0.5*AA122)*'Economic Projections'!$D7/'Economic Projections'!$D6</f>
        <v>1056695.4384292315</v>
      </c>
      <c r="AB9" s="61">
        <f>(AB8+0.5*AB122)*'Economic Projections'!$D7/'Economic Projections'!$D6</f>
        <v>1322320.6548538343</v>
      </c>
      <c r="AC9" s="61">
        <f>(AC8+0.5*AC122)*'Economic Projections'!$D7/'Economic Projections'!$D6</f>
        <v>321673.95179383975</v>
      </c>
      <c r="AG9">
        <v>2024</v>
      </c>
      <c r="AH9" s="61">
        <f>(AH8+0.5*AH122)*'Economic Projections'!$E7/'Economic Projections'!$E6</f>
        <v>6466994.1275422229</v>
      </c>
      <c r="AI9" s="61">
        <f>(AI8+0.5*AI122)*'Economic Projections'!$E7/'Economic Projections'!$E6</f>
        <v>4315291.9944668477</v>
      </c>
      <c r="AJ9" s="61">
        <f>(AJ8+0.5*AJ122)*'Economic Projections'!$E7/'Economic Projections'!$E6</f>
        <v>5134634.3428218532</v>
      </c>
      <c r="AK9" s="61">
        <f>(AK8+0.5*AK122)*'Economic Projections'!$E7/'Economic Projections'!$E6</f>
        <v>1040837.5393700029</v>
      </c>
      <c r="AL9" s="61">
        <f>(AL8+0.5*AL122)*'Economic Projections'!$E7/'Economic Projections'!$E6</f>
        <v>1302553.1888012942</v>
      </c>
      <c r="AM9" s="61">
        <f>(AM8+0.5*AM122)*'Economic Projections'!$E7/'Economic Projections'!$E6</f>
        <v>316851.45600440085</v>
      </c>
    </row>
    <row r="10" spans="2:39">
      <c r="B10" s="60" t="s">
        <v>351</v>
      </c>
      <c r="C10" s="433">
        <v>0</v>
      </c>
      <c r="E10">
        <v>2025</v>
      </c>
      <c r="F10" s="61">
        <f>(F9+0.5*F123)*('Economic Projections'!$B8/'Economic Projections'!$B7)</f>
        <v>6497954.6486364678</v>
      </c>
      <c r="G10" s="61">
        <f>(G9+0.5*G123)*('Economic Projections'!$B8/'Economic Projections'!$B7)</f>
        <v>4334867.0536725586</v>
      </c>
      <c r="H10" s="61">
        <f>(H9+0.5*H123)*('Economic Projections'!$B8/'Economic Projections'!$B7)</f>
        <v>5162893.3386624521</v>
      </c>
      <c r="I10" s="61">
        <f>(I9+0.5*I123)*('Economic Projections'!$B8/'Economic Projections'!$B7)</f>
        <v>1046760.9300791752</v>
      </c>
      <c r="J10" s="61">
        <f>(J9+0.5*J123)*('Economic Projections'!$B8/'Economic Projections'!$B7)</f>
        <v>1309639.1561454171</v>
      </c>
      <c r="K10" s="61">
        <f>(K9+0.5*K123)*('Economic Projections'!$B8/'Economic Projections'!$B7)</f>
        <v>318652.76726303477</v>
      </c>
      <c r="N10">
        <v>2025</v>
      </c>
      <c r="O10" s="61">
        <f>(O9+0.5*O123)*'Economic Projections'!$C8/'Economic Projections'!$C7</f>
        <v>6567519.9820859628</v>
      </c>
      <c r="P10" s="61">
        <f>(P9+0.5*P123)*'Economic Projections'!$C8/'Economic Projections'!$C7</f>
        <v>4381274.9602145413</v>
      </c>
      <c r="Q10" s="61">
        <f>(Q9+0.5*Q123)*'Economic Projections'!$C8/'Economic Projections'!$C7</f>
        <v>5218130.281439363</v>
      </c>
      <c r="R10" s="61">
        <f>(R9+0.5*R123)*'Economic Projections'!$C8/'Economic Projections'!$C7</f>
        <v>1058006.6389141167</v>
      </c>
      <c r="S10" s="61">
        <f>(S9+0.5*S123)*'Economic Projections'!$C8/'Economic Projections'!$C7</f>
        <v>1323646.3482032563</v>
      </c>
      <c r="T10" s="61">
        <f>(T9+0.5*T123)*'Economic Projections'!$C8/'Economic Projections'!$C7</f>
        <v>322073.84170517395</v>
      </c>
      <c r="W10">
        <v>2025</v>
      </c>
      <c r="X10" s="61">
        <f>(X9+0.5*X123)*'Economic Projections'!$D8/'Economic Projections'!$D7</f>
        <v>6629815.1924496815</v>
      </c>
      <c r="Y10" s="61">
        <f>(Y9+0.5*Y123)*'Economic Projections'!$D8/'Economic Projections'!$D7</f>
        <v>4422832.8764526844</v>
      </c>
      <c r="Z10" s="61">
        <f>(Z9+0.5*Z123)*'Economic Projections'!$D8/'Economic Projections'!$D7</f>
        <v>5267591.3317649905</v>
      </c>
      <c r="AA10" s="61">
        <f>(AA9+0.5*AA123)*'Economic Projections'!$D8/'Economic Projections'!$D7</f>
        <v>1068080.7655694459</v>
      </c>
      <c r="AB10" s="61">
        <f>(AB9+0.5*AB123)*'Economic Projections'!$D8/'Economic Projections'!$D7</f>
        <v>1336188.2174065087</v>
      </c>
      <c r="AC10" s="61">
        <f>(AC9+0.5*AC123)*'Economic Projections'!$D8/'Economic Projections'!$D7</f>
        <v>325138.36440863519</v>
      </c>
      <c r="AG10">
        <v>2025</v>
      </c>
      <c r="AH10" s="61">
        <f>(AH9+0.5*AH123)*'Economic Projections'!$E8/'Economic Projections'!$E7</f>
        <v>6507089.4911329849</v>
      </c>
      <c r="AI10" s="61">
        <f>(AI9+0.5*AI123)*'Economic Projections'!$E8/'Economic Projections'!$E7</f>
        <v>4340961.0216855472</v>
      </c>
      <c r="AJ10" s="61">
        <f>(AJ9+0.5*AJ123)*'Economic Projections'!$E8/'Economic Projections'!$E7</f>
        <v>5170146.8738159649</v>
      </c>
      <c r="AK10" s="61">
        <f>(AK9+0.5*AK123)*'Economic Projections'!$E8/'Economic Projections'!$E7</f>
        <v>1048237.4114643265</v>
      </c>
      <c r="AL10" s="61">
        <f>(AL9+0.5*AL123)*'Economic Projections'!$E8/'Economic Projections'!$E7</f>
        <v>1311478.5740057146</v>
      </c>
      <c r="AM10" s="61">
        <f>(AM9+0.5*AM123)*'Economic Projections'!$E8/'Economic Projections'!$E7</f>
        <v>319101.93915374001</v>
      </c>
    </row>
    <row r="11" spans="2:39">
      <c r="B11" s="60" t="s">
        <v>352</v>
      </c>
      <c r="C11" s="433">
        <v>0</v>
      </c>
      <c r="E11">
        <v>2026</v>
      </c>
      <c r="F11" s="61">
        <f>(F10+0.5*F124)*('Economic Projections'!$B9/'Economic Projections'!$B8)</f>
        <v>6536205.3323117467</v>
      </c>
      <c r="G11" s="61">
        <f>(G10+0.5*G124)*('Economic Projections'!$B9/'Economic Projections'!$B8)</f>
        <v>4359294.1958192512</v>
      </c>
      <c r="H11" s="61">
        <f>(H10+0.5*H124)*('Economic Projections'!$B9/'Economic Projections'!$B8)</f>
        <v>5197054.3231441313</v>
      </c>
      <c r="I11" s="61">
        <f>(I10+0.5*I124)*('Economic Projections'!$B9/'Economic Projections'!$B8)</f>
        <v>1053818.7916134798</v>
      </c>
      <c r="J11" s="61">
        <f>(J10+0.5*J124)*('Economic Projections'!$B9/'Economic Projections'!$B8)</f>
        <v>1318182.4382220346</v>
      </c>
      <c r="K11" s="61">
        <f>(K10+0.5*K124)*('Economic Projections'!$B9/'Economic Projections'!$B8)</f>
        <v>320815.99224028282</v>
      </c>
      <c r="N11">
        <v>2026</v>
      </c>
      <c r="O11" s="61">
        <f>(O10+0.5*O124)*'Economic Projections'!$C9/'Economic Projections'!$C8</f>
        <v>6619662.8628511075</v>
      </c>
      <c r="P11" s="61">
        <f>(P10+0.5*P124)*'Economic Projections'!$C9/'Economic Projections'!$C8</f>
        <v>4414955.8389257053</v>
      </c>
      <c r="Q11" s="61">
        <f>(Q10+0.5*Q124)*'Economic Projections'!$C9/'Economic Projections'!$C8</f>
        <v>5263372.8648008592</v>
      </c>
      <c r="R11" s="61">
        <f>(R10+0.5*R124)*'Economic Projections'!$C9/'Economic Projections'!$C8</f>
        <v>1067323.2438219551</v>
      </c>
      <c r="S11" s="61">
        <f>(S10+0.5*S124)*'Economic Projections'!$C9/'Economic Projections'!$C8</f>
        <v>1334990.6968355125</v>
      </c>
      <c r="T11" s="61">
        <f>(T10+0.5*T124)*'Economic Projections'!$C9/'Economic Projections'!$C8</f>
        <v>324926.55583975971</v>
      </c>
      <c r="W11">
        <v>2026</v>
      </c>
      <c r="X11" s="61">
        <f>(X10+0.5*X124)*'Economic Projections'!$D9/'Economic Projections'!$D8</f>
        <v>6694398.42672446</v>
      </c>
      <c r="Y11" s="61">
        <f>(Y10+0.5*Y124)*'Economic Projections'!$D9/'Economic Projections'!$D8</f>
        <v>4464800.4036617344</v>
      </c>
      <c r="Z11" s="61">
        <f>(Z10+0.5*Z124)*'Economic Projections'!$D9/'Economic Projections'!$D8</f>
        <v>5322756.6183301248</v>
      </c>
      <c r="AA11" s="61">
        <f>(AA10+0.5*AA124)*'Economic Projections'!$D9/'Economic Projections'!$D8</f>
        <v>1079421.6099264447</v>
      </c>
      <c r="AB11" s="61">
        <f>(AB10+0.5*AB124)*'Economic Projections'!$D9/'Economic Projections'!$D8</f>
        <v>1350039.4002960846</v>
      </c>
      <c r="AC11" s="61">
        <f>(AC10+0.5*AC124)*'Economic Projections'!$D9/'Economic Projections'!$D8</f>
        <v>328609.2387234887</v>
      </c>
      <c r="AG11">
        <v>2026</v>
      </c>
      <c r="AH11" s="61">
        <f>(AH10+0.5*AH124)*'Economic Projections'!$E9/'Economic Projections'!$E8</f>
        <v>6547164.4028548179</v>
      </c>
      <c r="AI11" s="61">
        <f>(AI10+0.5*AI124)*'Economic Projections'!$E9/'Economic Projections'!$E8</f>
        <v>4366603.3010540288</v>
      </c>
      <c r="AJ11" s="61">
        <f>(AJ10+0.5*AJ124)*'Economic Projections'!$E9/'Economic Projections'!$E8</f>
        <v>5205763.064685083</v>
      </c>
      <c r="AK11" s="61">
        <f>(AK10+0.5*AK124)*'Economic Projections'!$E9/'Economic Projections'!$E8</f>
        <v>1055591.7832276949</v>
      </c>
      <c r="AL11" s="61">
        <f>(AL10+0.5*AL124)*'Economic Projections'!$E9/'Economic Projections'!$E8</f>
        <v>1320389.7617774932</v>
      </c>
      <c r="AM11" s="61">
        <f>(AM10+0.5*AM124)*'Economic Projections'!$E9/'Economic Projections'!$E8</f>
        <v>321355.65991081332</v>
      </c>
    </row>
    <row r="12" spans="2:39">
      <c r="E12">
        <v>2027</v>
      </c>
      <c r="F12" s="61">
        <f>(F11+0.5*F125)*('Economic Projections'!$B10/'Economic Projections'!$B9)</f>
        <v>6574436.4845230225</v>
      </c>
      <c r="G12" s="61">
        <f>(G11+0.5*G125)*('Economic Projections'!$B10/'Economic Projections'!$B9)</f>
        <v>4383695.8271070337</v>
      </c>
      <c r="H12" s="61">
        <f>(H11+0.5*H125)*('Economic Projections'!$B10/'Economic Projections'!$B9)</f>
        <v>5231311.287960209</v>
      </c>
      <c r="I12" s="61">
        <f>(I11+0.5*I125)*('Economic Projections'!$B10/'Economic Projections'!$B9)</f>
        <v>1060835.3886286994</v>
      </c>
      <c r="J12" s="61">
        <f>(J11+0.5*J125)*('Economic Projections'!$B10/'Economic Projections'!$B9)</f>
        <v>1326713.0921219178</v>
      </c>
      <c r="K12" s="61">
        <f>(K11+0.5*K125)*('Economic Projections'!$B10/'Economic Projections'!$B9)</f>
        <v>322982.17190186528</v>
      </c>
      <c r="N12">
        <v>2027</v>
      </c>
      <c r="O12" s="61">
        <f>(O11+0.5*O125)*'Economic Projections'!$C10/'Economic Projections'!$C9</f>
        <v>6671779.2617058689</v>
      </c>
      <c r="P12" s="61">
        <f>(P11+0.5*P125)*'Economic Projections'!$C10/'Economic Projections'!$C9</f>
        <v>4448601.9414394172</v>
      </c>
      <c r="Q12" s="61">
        <f>(Q11+0.5*Q125)*'Economic Projections'!$C10/'Economic Projections'!$C9</f>
        <v>5308727.8314643661</v>
      </c>
      <c r="R12" s="61">
        <f>(R11+0.5*R125)*'Economic Projections'!$C10/'Economic Projections'!$C9</f>
        <v>1076597.9196260518</v>
      </c>
      <c r="S12" s="61">
        <f>(S11+0.5*S125)*'Economic Projections'!$C10/'Economic Projections'!$C9</f>
        <v>1346321.2564432279</v>
      </c>
      <c r="T12" s="61">
        <f>(T11+0.5*T125)*'Economic Projections'!$C10/'Economic Projections'!$C9</f>
        <v>327783.86290844803</v>
      </c>
      <c r="W12">
        <v>2027</v>
      </c>
      <c r="X12" s="61">
        <f>(X11+0.5*X125)*'Economic Projections'!$D10/'Economic Projections'!$D9</f>
        <v>6758948.9550186507</v>
      </c>
      <c r="Y12" s="61">
        <f>(Y11+0.5*Y125)*'Economic Projections'!$D10/'Economic Projections'!$D9</f>
        <v>4506724.8576353546</v>
      </c>
      <c r="Z12" s="61">
        <f>(Z11+0.5*Z125)*'Economic Projections'!$D10/'Economic Projections'!$D9</f>
        <v>5378049.7380532315</v>
      </c>
      <c r="AA12" s="61">
        <f>(AA11+0.5*AA125)*'Economic Projections'!$D10/'Economic Projections'!$D9</f>
        <v>1090719.7065690246</v>
      </c>
      <c r="AB12" s="61">
        <f>(AB11+0.5*AB125)*'Economic Projections'!$D10/'Economic Projections'!$D9</f>
        <v>1363874.9628769804</v>
      </c>
      <c r="AC12" s="61">
        <f>(AC11+0.5*AC125)*'Economic Projections'!$D10/'Economic Projections'!$D9</f>
        <v>332086.4271194819</v>
      </c>
      <c r="AG12">
        <v>2027</v>
      </c>
      <c r="AH12" s="61">
        <f>(AH11+0.5*AH125)*'Economic Projections'!$E10/'Economic Projections'!$E9</f>
        <v>6587218.8704276979</v>
      </c>
      <c r="AI12" s="61">
        <f>(AI11+0.5*AI125)*'Economic Projections'!$E10/'Economic Projections'!$E9</f>
        <v>4392218.8529028874</v>
      </c>
      <c r="AJ12" s="61">
        <f>(AJ11+0.5*AJ125)*'Economic Projections'!$E10/'Economic Projections'!$E9</f>
        <v>5241477.344970813</v>
      </c>
      <c r="AK12" s="61">
        <f>(AK11+0.5*AK125)*'Economic Projections'!$E10/'Economic Projections'!$E9</f>
        <v>1062904.8175754766</v>
      </c>
      <c r="AL12" s="61">
        <f>(AL11+0.5*AL125)*'Economic Projections'!$E10/'Economic Projections'!$E9</f>
        <v>1329288.2134767151</v>
      </c>
      <c r="AM12" s="61">
        <f>(AM11+0.5*AM125)*'Economic Projections'!$E10/'Economic Projections'!$E9</f>
        <v>323612.53640799742</v>
      </c>
    </row>
    <row r="13" spans="2:39">
      <c r="E13">
        <v>2028</v>
      </c>
      <c r="F13" s="61">
        <f>(F12+0.5*F126)*('Economic Projections'!$B11/'Economic Projections'!$B10)</f>
        <v>6612648.1126453606</v>
      </c>
      <c r="G13" s="61">
        <f>(G12+0.5*G126)*('Economic Projections'!$B11/'Economic Projections'!$B10)</f>
        <v>4408071.9669399792</v>
      </c>
      <c r="H13" s="61">
        <f>(H12+0.5*H126)*('Economic Projections'!$B11/'Economic Projections'!$B10)</f>
        <v>5265659.2090840992</v>
      </c>
      <c r="I13" s="61">
        <f>(I12+0.5*I126)*('Economic Projections'!$B11/'Economic Projections'!$B10)</f>
        <v>1067814.4819881809</v>
      </c>
      <c r="J13" s="61">
        <f>(J12+0.5*J126)*('Economic Projections'!$B11/'Economic Projections'!$B10)</f>
        <v>1335232.4191544305</v>
      </c>
      <c r="K13" s="61">
        <f>(K12+0.5*K126)*('Economic Projections'!$B11/'Economic Projections'!$B10)</f>
        <v>325151.24132251984</v>
      </c>
      <c r="N13">
        <v>2028</v>
      </c>
      <c r="O13" s="61">
        <f>(O12+0.5*O126)*'Economic Projections'!$C11/'Economic Projections'!$C10</f>
        <v>6723869.188632275</v>
      </c>
      <c r="P13" s="61">
        <f>(P12+0.5*P126)*'Economic Projections'!$C11/'Economic Projections'!$C10</f>
        <v>4482213.294111657</v>
      </c>
      <c r="Q13" s="61">
        <f>(Q12+0.5*Q126)*'Economic Projections'!$C11/'Economic Projections'!$C10</f>
        <v>5354191.3204118405</v>
      </c>
      <c r="R13" s="61">
        <f>(R12+0.5*R126)*'Economic Projections'!$C11/'Economic Projections'!$C10</f>
        <v>1085833.5109112407</v>
      </c>
      <c r="S13" s="61">
        <f>(S12+0.5*S126)*'Economic Projections'!$C11/'Economic Projections'!$C10</f>
        <v>1357639.1216539906</v>
      </c>
      <c r="T13" s="61">
        <f>(T12+0.5*T126)*'Economic Projections'!$C11/'Economic Projections'!$C10</f>
        <v>330645.64837886021</v>
      </c>
      <c r="W13">
        <v>2028</v>
      </c>
      <c r="X13" s="61">
        <f>(X12+0.5*X126)*'Economic Projections'!$D11/'Economic Projections'!$D10</f>
        <v>6823466.7896487936</v>
      </c>
      <c r="Y13" s="61">
        <f>(Y12+0.5*Y126)*'Economic Projections'!$D11/'Economic Projections'!$D10</f>
        <v>4548606.2709549023</v>
      </c>
      <c r="Z13" s="61">
        <f>(Z12+0.5*Z126)*'Economic Projections'!$D11/'Economic Projections'!$D10</f>
        <v>5433468.282735006</v>
      </c>
      <c r="AA13" s="61">
        <f>(AA12+0.5*AA126)*'Economic Projections'!$D11/'Economic Projections'!$D10</f>
        <v>1101976.7994227705</v>
      </c>
      <c r="AB13" s="61">
        <f>(AB12+0.5*AB126)*'Economic Projections'!$D11/'Economic Projections'!$D10</f>
        <v>1377695.667323974</v>
      </c>
      <c r="AC13" s="61">
        <f>(AC12+0.5*AC126)*'Economic Projections'!$D11/'Economic Projections'!$D10</f>
        <v>335569.78679766948</v>
      </c>
      <c r="AG13">
        <v>2028</v>
      </c>
      <c r="AH13" s="61">
        <f>(AH12+0.5*AH126)*'Economic Projections'!$E11/'Economic Projections'!$E10</f>
        <v>6627252.9015690153</v>
      </c>
      <c r="AI13" s="61">
        <f>(AI12+0.5*AI126)*'Economic Projections'!$E11/'Economic Projections'!$E10</f>
        <v>4417807.6975490712</v>
      </c>
      <c r="AJ13" s="61">
        <f>(AJ12+0.5*AJ126)*'Economic Projections'!$E11/'Economic Projections'!$E10</f>
        <v>5277284.8213512935</v>
      </c>
      <c r="AK13" s="61">
        <f>(AK12+0.5*AK126)*'Economic Projections'!$E11/'Economic Projections'!$E10</f>
        <v>1070180.1704397807</v>
      </c>
      <c r="AL13" s="61">
        <f>(AL12+0.5*AL126)*'Economic Projections'!$E11/'Economic Projections'!$E10</f>
        <v>1338175.210458115</v>
      </c>
      <c r="AM13" s="61">
        <f>(AM12+0.5*AM126)*'Economic Projections'!$E11/'Economic Projections'!$E10</f>
        <v>325872.49664596707</v>
      </c>
    </row>
    <row r="14" spans="2:39">
      <c r="E14">
        <v>2029</v>
      </c>
      <c r="F14" s="61">
        <f>(F13+0.5*F127)*('Economic Projections'!$B12/'Economic Projections'!$B11)</f>
        <v>6650840.2240513563</v>
      </c>
      <c r="G14" s="61">
        <f>(G13+0.5*G127)*('Economic Projections'!$B12/'Economic Projections'!$B11)</f>
        <v>4432422.6347091347</v>
      </c>
      <c r="H14" s="61">
        <f>(H13+0.5*H127)*('Economic Projections'!$B12/'Economic Projections'!$B11)</f>
        <v>5300093.6737459488</v>
      </c>
      <c r="I14" s="61">
        <f>(I13+0.5*I127)*('Economic Projections'!$B12/'Economic Projections'!$B11)</f>
        <v>1074759.3741521039</v>
      </c>
      <c r="J14" s="61">
        <f>(J13+0.5*J127)*('Economic Projections'!$B12/'Economic Projections'!$B11)</f>
        <v>1343741.5600025114</v>
      </c>
      <c r="K14" s="61">
        <f>(K13+0.5*K127)*('Economic Projections'!$B12/'Economic Projections'!$B11)</f>
        <v>327323.14336533454</v>
      </c>
      <c r="N14">
        <v>2029</v>
      </c>
      <c r="O14" s="61">
        <f>(O13+0.5*O127)*'Economic Projections'!$C12/'Economic Projections'!$C11</f>
        <v>6775932.6536090123</v>
      </c>
      <c r="P14" s="61">
        <f>(P13+0.5*P127)*'Economic Projections'!$C12/'Economic Projections'!$C11</f>
        <v>4515789.9232807383</v>
      </c>
      <c r="Q14" s="61">
        <f>(Q13+0.5*Q127)*'Economic Projections'!$C12/'Economic Projections'!$C11</f>
        <v>5399759.7781555504</v>
      </c>
      <c r="R14" s="61">
        <f>(R13+0.5*R127)*'Economic Projections'!$C12/'Economic Projections'!$C11</f>
        <v>1095032.6340925081</v>
      </c>
      <c r="S14" s="61">
        <f>(S13+0.5*S127)*'Economic Projections'!$C12/'Economic Projections'!$C11</f>
        <v>1368945.2980212059</v>
      </c>
      <c r="T14" s="61">
        <f>(T13+0.5*T127)*'Economic Projections'!$C12/'Economic Projections'!$C11</f>
        <v>333511.80745332857</v>
      </c>
      <c r="W14">
        <v>2029</v>
      </c>
      <c r="X14" s="61">
        <f>(X13+0.5*X127)*'Economic Projections'!$D12/'Economic Projections'!$D11</f>
        <v>6887951.9429273102</v>
      </c>
      <c r="Y14" s="61">
        <f>(Y13+0.5*Y127)*'Economic Projections'!$D12/'Economic Projections'!$D11</f>
        <v>4590444.6761799147</v>
      </c>
      <c r="Z14" s="61">
        <f>(Z13+0.5*Z127)*'Economic Projections'!$D12/'Economic Projections'!$D11</f>
        <v>5489009.8490475006</v>
      </c>
      <c r="AA14" s="61">
        <f>(AA13+0.5*AA127)*'Economic Projections'!$D12/'Economic Projections'!$D11</f>
        <v>1113194.6261314137</v>
      </c>
      <c r="AB14" s="61">
        <f>(AB13+0.5*AB127)*'Economic Projections'!$D12/'Economic Projections'!$D11</f>
        <v>1391502.2719777469</v>
      </c>
      <c r="AC14" s="61">
        <f>(AC13+0.5*AC127)*'Economic Projections'!$D12/'Economic Projections'!$D11</f>
        <v>339059.18022961699</v>
      </c>
      <c r="AG14">
        <v>2029</v>
      </c>
      <c r="AH14" s="61">
        <f>(AH13+0.5*AH127)*'Economic Projections'!$E12/'Economic Projections'!$E11</f>
        <v>6667266.5039935838</v>
      </c>
      <c r="AI14" s="61">
        <f>(AI13+0.5*AI127)*'Economic Projections'!$E12/'Economic Projections'!$E11</f>
        <v>4443369.8552958965</v>
      </c>
      <c r="AJ14" s="61">
        <f>(AJ13+0.5*AJ127)*'Economic Projections'!$E12/'Economic Projections'!$E11</f>
        <v>5313181.1743305856</v>
      </c>
      <c r="AK14" s="61">
        <f>(AK13+0.5*AK127)*'Economic Projections'!$E12/'Economic Projections'!$E11</f>
        <v>1077421.0681230575</v>
      </c>
      <c r="AL14" s="61">
        <f>(AL13+0.5*AL127)*'Economic Projections'!$E12/'Economic Projections'!$E11</f>
        <v>1347051.8815358034</v>
      </c>
      <c r="AM14" s="61">
        <f>(AM13+0.5*AM127)*'Economic Projections'!$E12/'Economic Projections'!$E11</f>
        <v>328135.47698597406</v>
      </c>
    </row>
    <row r="15" spans="2:39">
      <c r="E15">
        <v>2030</v>
      </c>
      <c r="F15" s="61">
        <f>(F14+0.5*F128)*('Economic Projections'!$B13/'Economic Projections'!$B12)</f>
        <v>6689012.8261111435</v>
      </c>
      <c r="G15" s="61">
        <f>(G14+0.5*G128)*('Economic Projections'!$B13/'Economic Projections'!$B12)</f>
        <v>4456747.8497925298</v>
      </c>
      <c r="H15" s="61">
        <f>(H14+0.5*H128)*('Economic Projections'!$B13/'Economic Projections'!$B12)</f>
        <v>5334610.7868798384</v>
      </c>
      <c r="I15" s="61">
        <f>(I14+0.5*I128)*('Economic Projections'!$B13/'Economic Projections'!$B12)</f>
        <v>1081672.979336146</v>
      </c>
      <c r="J15" s="61">
        <f>(J14+0.5*J128)*('Economic Projections'!$B13/'Economic Projections'!$B12)</f>
        <v>1352241.5193095568</v>
      </c>
      <c r="K15" s="61">
        <f>(K14+0.5*K128)*('Economic Projections'!$B13/'Economic Projections'!$B12)</f>
        <v>329497.82748899824</v>
      </c>
      <c r="N15">
        <v>2030</v>
      </c>
      <c r="O15" s="61">
        <f>(O14+0.5*O128)*'Economic Projections'!$C13/'Economic Projections'!$C12</f>
        <v>6827969.6666114414</v>
      </c>
      <c r="P15" s="61">
        <f>(P14+0.5*P128)*'Economic Projections'!$C13/'Economic Projections'!$C12</f>
        <v>4549331.8552673301</v>
      </c>
      <c r="Q15" s="61">
        <f>(Q14+0.5*Q128)*'Economic Projections'!$C13/'Economic Projections'!$C12</f>
        <v>5445429.9306984274</v>
      </c>
      <c r="R15" s="61">
        <f>(R14+0.5*R128)*'Economic Projections'!$C13/'Economic Projections'!$C12</f>
        <v>1104197.6982846346</v>
      </c>
      <c r="S15" s="61">
        <f>(S14+0.5*S128)*'Economic Projections'!$C13/'Economic Projections'!$C12</f>
        <v>1380240.7101425857</v>
      </c>
      <c r="T15" s="61">
        <f>(T14+0.5*T128)*'Economic Projections'!$C13/'Economic Projections'!$C12</f>
        <v>336382.2441204174</v>
      </c>
      <c r="W15">
        <v>2030</v>
      </c>
      <c r="X15" s="61">
        <f>(X14+0.5*X128)*'Economic Projections'!$D13/'Economic Projections'!$D12</f>
        <v>6952404.4271625159</v>
      </c>
      <c r="Y15" s="61">
        <f>(Y14+0.5*Y128)*'Economic Projections'!$D13/'Economic Projections'!$D12</f>
        <v>4632240.1058481364</v>
      </c>
      <c r="Z15" s="61">
        <f>(Z14+0.5*Z128)*'Economic Projections'!$D13/'Economic Projections'!$D12</f>
        <v>5544672.0563489227</v>
      </c>
      <c r="AA15" s="61">
        <f>(AA14+0.5*AA128)*'Economic Projections'!$D13/'Economic Projections'!$D12</f>
        <v>1124374.9054549963</v>
      </c>
      <c r="AB15" s="61">
        <f>(AB14+0.5*AB128)*'Economic Projections'!$D13/'Economic Projections'!$D12</f>
        <v>1405295.5258190457</v>
      </c>
      <c r="AC15" s="61">
        <f>(AC14+0.5*AC128)*'Economic Projections'!$D13/'Economic Projections'!$D12</f>
        <v>342554.47547028115</v>
      </c>
      <c r="AG15">
        <v>2030</v>
      </c>
      <c r="AH15" s="61">
        <f>(AH14+0.5*AH128)*'Economic Projections'!$E13/'Economic Projections'!$E12</f>
        <v>6707259.6854136344</v>
      </c>
      <c r="AI15" s="61">
        <f>(AI14+0.5*AI128)*'Economic Projections'!$E13/'Economic Projections'!$E12</f>
        <v>4468905.3464330509</v>
      </c>
      <c r="AJ15" s="61">
        <f>(AJ14+0.5*AJ128)*'Economic Projections'!$E13/'Economic Projections'!$E12</f>
        <v>5349162.5737149455</v>
      </c>
      <c r="AK15" s="61">
        <f>(AK14+0.5*AK128)*'Economic Projections'!$E13/'Economic Projections'!$E12</f>
        <v>1084630.37058505</v>
      </c>
      <c r="AL15" s="61">
        <f>(AL14+0.5*AL128)*'Economic Projections'!$E13/'Economic Projections'!$E12</f>
        <v>1355919.2254538273</v>
      </c>
      <c r="AM15" s="61">
        <f>(AM14+0.5*AM128)*'Economic Projections'!$E13/'Economic Projections'!$E12</f>
        <v>330401.42091605259</v>
      </c>
    </row>
    <row r="16" spans="2:39">
      <c r="B16" s="180"/>
      <c r="E16">
        <v>2040</v>
      </c>
      <c r="F16" s="61">
        <f>(F15+5*F129)*('Economic Projections'!$B14/'Economic Projections'!$B13)</f>
        <v>6945473.3954149894</v>
      </c>
      <c r="G16" s="61">
        <f>(G15+5*G129)*('Economic Projections'!$B14/'Economic Projections'!$B13)</f>
        <v>4616024.0555161946</v>
      </c>
      <c r="H16" s="61">
        <f>(H15+5*H129)*('Economic Projections'!$B14/'Economic Projections'!$B13)</f>
        <v>5582277.7211657669</v>
      </c>
      <c r="I16" s="61">
        <f>(I15+5*I129)*('Economic Projections'!$B14/'Economic Projections'!$B13)</f>
        <v>1130545.7430080716</v>
      </c>
      <c r="J16" s="61">
        <f>(J15+5*J129)*('Economic Projections'!$B14/'Economic Projections'!$B13)</f>
        <v>1412144.9512984511</v>
      </c>
      <c r="K16" s="61">
        <f>(K15+5*K129)*('Economic Projections'!$B14/'Economic Projections'!$B13)</f>
        <v>345214.77739600575</v>
      </c>
      <c r="N16">
        <v>2040</v>
      </c>
      <c r="O16" s="61">
        <f>(O15+5*O129)*('Economic Projections'!$C14/'Economic Projections'!$C13)</f>
        <v>7247918.7331829034</v>
      </c>
      <c r="P16" s="61">
        <f>(P15+5*P129)*('Economic Projections'!$C14/'Economic Projections'!$C13)</f>
        <v>4817031.9458548222</v>
      </c>
      <c r="Q16" s="61">
        <f>(Q15+5*Q129)*('Economic Projections'!$C14/'Economic Projections'!$C13)</f>
        <v>5825637.3725676117</v>
      </c>
      <c r="R16" s="61">
        <f>(R15+5*R129)*('Economic Projections'!$C14/'Economic Projections'!$C13)</f>
        <v>1179736.3538464217</v>
      </c>
      <c r="S16" s="61">
        <f>(S15+5*S129)*('Economic Projections'!$C14/'Economic Projections'!$C13)</f>
        <v>1473280.6267517263</v>
      </c>
      <c r="T16" s="61">
        <f>(T15+5*T129)*('Economic Projections'!$C14/'Economic Projections'!$C13)</f>
        <v>360368.69710006204</v>
      </c>
      <c r="W16">
        <v>2040</v>
      </c>
      <c r="X16" s="61">
        <f>(X15+5*X129)*('Economic Projections'!$D14/'Economic Projections'!$D13)</f>
        <v>7546218.1942463089</v>
      </c>
      <c r="Y16" s="61">
        <f>(Y15+5*Y129)*('Economic Projections'!$D14/'Economic Projections'!$D13)</f>
        <v>5015284.4492659187</v>
      </c>
      <c r="Z16" s="61">
        <f>(Z15+5*Z129)*('Economic Projections'!$D14/'Economic Projections'!$D13)</f>
        <v>6065724.3971232427</v>
      </c>
      <c r="AA16" s="61">
        <f>(AA15+5*AA129)*('Economic Projections'!$D14/'Economic Projections'!$D13)</f>
        <v>1228236.1742792455</v>
      </c>
      <c r="AB16" s="61">
        <f>(AB15+5*AB129)*('Economic Projections'!$D14/'Economic Projections'!$D13)</f>
        <v>1533509.0064681978</v>
      </c>
      <c r="AC16" s="61">
        <f>(AC15+5*AC129)*('Economic Projections'!$D14/'Economic Projections'!$D13)</f>
        <v>375337.32666903635</v>
      </c>
      <c r="AG16">
        <v>2040</v>
      </c>
      <c r="AH16" s="61">
        <f>(AH15+5*AH129)*('Economic Projections'!$E14/'Economic Projections'!$E13)</f>
        <v>6981382.4725566264</v>
      </c>
      <c r="AI16" s="61">
        <f>(AI15+5*AI129)*('Economic Projections'!$E14/'Economic Projections'!$E13)</f>
        <v>4639889.5509922281</v>
      </c>
      <c r="AJ16" s="61">
        <f>(AJ15+5*AJ129)*('Economic Projections'!$E14/'Economic Projections'!$E13)</f>
        <v>5611170.3569731284</v>
      </c>
      <c r="AK16" s="61">
        <f>(AK15+5*AK129)*('Economic Projections'!$E14/'Economic Projections'!$E13)</f>
        <v>1136386.6260671972</v>
      </c>
      <c r="AL16" s="61">
        <f>(AL15+5*AL129)*('Economic Projections'!$E14/'Economic Projections'!$E13)</f>
        <v>1419404.5580405181</v>
      </c>
      <c r="AM16" s="61">
        <f>(AM15+5*AM129)*('Economic Projections'!$E14/'Economic Projections'!$E13)</f>
        <v>347013.69364845165</v>
      </c>
    </row>
    <row r="17" spans="5:39">
      <c r="E17">
        <v>2050</v>
      </c>
      <c r="F17" s="61">
        <f>(F16+5*F130)*('Economic Projections'!$B15/'Economic Projections'!$B14)</f>
        <v>7061369.2566018887</v>
      </c>
      <c r="G17" s="61">
        <f>(G16+5*G130)*('Economic Projections'!$B15/'Economic Projections'!$B14)</f>
        <v>4693049.4867167016</v>
      </c>
      <c r="H17" s="61">
        <f>(H16+5*H130)*('Economic Projections'!$B15/'Economic Projections'!$B14)</f>
        <v>5675426.5746774711</v>
      </c>
      <c r="I17" s="61">
        <f>(I16+5*I130)*('Economic Projections'!$B15/'Economic Projections'!$B14)</f>
        <v>1149410.630257312</v>
      </c>
      <c r="J17" s="61">
        <f>(J16+5*J130)*('Economic Projections'!$B15/'Economic Projections'!$B14)</f>
        <v>1435708.7526312019</v>
      </c>
      <c r="K17" s="61">
        <f>(K16+5*K130)*('Economic Projections'!$B15/'Economic Projections'!$B14)</f>
        <v>350975.21468270896</v>
      </c>
      <c r="N17">
        <v>2050</v>
      </c>
      <c r="O17" s="61">
        <f>(O16+5*O130)*('Economic Projections'!$C15/'Economic Projections'!$C14)</f>
        <v>7561253.1039007083</v>
      </c>
      <c r="P17" s="61">
        <f>(P16+5*P130)*('Economic Projections'!$C15/'Economic Projections'!$C14)</f>
        <v>5025276.7853798317</v>
      </c>
      <c r="Q17" s="61">
        <f>(Q16+5*Q130)*('Economic Projections'!$C15/'Economic Projections'!$C14)</f>
        <v>6077485.1770699657</v>
      </c>
      <c r="R17" s="61">
        <f>(R16+5*R130)*('Economic Projections'!$C15/'Economic Projections'!$C14)</f>
        <v>1230737.4703949587</v>
      </c>
      <c r="S17" s="61">
        <f>(S16+5*S130)*('Economic Projections'!$C15/'Economic Projections'!$C14)</f>
        <v>1536971.9393985586</v>
      </c>
      <c r="T17" s="61">
        <f>(T16+5*T130)*('Economic Projections'!$C15/'Economic Projections'!$C14)</f>
        <v>375947.7761555824</v>
      </c>
      <c r="W17">
        <v>2050</v>
      </c>
      <c r="X17" s="61">
        <f>(X16+5*X130)*('Economic Projections'!$D15/'Economic Projections'!$D14)</f>
        <v>8116666.653854562</v>
      </c>
      <c r="Y17" s="61">
        <f>(Y16+5*Y130)*('Economic Projections'!$D15/'Economic Projections'!$D14)</f>
        <v>5394409.6236164747</v>
      </c>
      <c r="Z17" s="61">
        <f>(Z16+5*Z130)*('Economic Projections'!$D15/'Economic Projections'!$D14)</f>
        <v>6524256.4789792122</v>
      </c>
      <c r="AA17" s="61">
        <f>(AA16+5*AA130)*('Economic Projections'!$D15/'Economic Projections'!$D14)</f>
        <v>1321083.4012765968</v>
      </c>
      <c r="AB17" s="61">
        <f>(AB16+5*AB130)*('Economic Projections'!$D15/'Economic Projections'!$D14)</f>
        <v>1649433.0134366362</v>
      </c>
      <c r="AC17" s="61">
        <f>(AC16+5*AC130)*('Economic Projections'!$D15/'Economic Projections'!$D14)</f>
        <v>403710.55870665255</v>
      </c>
      <c r="AG17">
        <v>2050</v>
      </c>
      <c r="AH17" s="61">
        <f>(AH16+5*AH130)*('Economic Projections'!$E15/'Economic Projections'!$E14)</f>
        <v>7130983.5255399821</v>
      </c>
      <c r="AI17" s="61">
        <f>(AI16+5*AI130)*('Economic Projections'!$E15/'Economic Projections'!$E14)</f>
        <v>4739315.7556563467</v>
      </c>
      <c r="AJ17" s="61">
        <f>(AJ16+5*AJ130)*('Economic Projections'!$E15/'Economic Projections'!$E14)</f>
        <v>5731409.7217654092</v>
      </c>
      <c r="AK17" s="61">
        <f>(AK16+5*AK130)*('Economic Projections'!$E15/'Economic Projections'!$E14)</f>
        <v>1160737.7680543512</v>
      </c>
      <c r="AL17" s="61">
        <f>(AL16+5*AL130)*('Economic Projections'!$E15/'Economic Projections'!$E14)</f>
        <v>1449820.3699985291</v>
      </c>
      <c r="AM17" s="61">
        <f>(AM16+5*AM130)*('Economic Projections'!$E15/'Economic Projections'!$E14)</f>
        <v>354449.70136948989</v>
      </c>
    </row>
    <row r="18" spans="5:39">
      <c r="E18">
        <v>2060</v>
      </c>
      <c r="F18" s="61">
        <f>(F17+5*F131)*('Economic Projections'!$B16/'Economic Projections'!$B15)</f>
        <v>7028256.1534056328</v>
      </c>
      <c r="G18" s="61">
        <f>(G17+5*G131)*('Economic Projections'!$B16/'Economic Projections'!$B15)</f>
        <v>4671042.2206594143</v>
      </c>
      <c r="H18" s="61">
        <f>(H17+5*H131)*('Economic Projections'!$B16/'Economic Projections'!$B15)</f>
        <v>5648812.6165312706</v>
      </c>
      <c r="I18" s="61">
        <f>(I17+5*I131)*('Economic Projections'!$B16/'Economic Projections'!$B15)</f>
        <v>1144020.6624718148</v>
      </c>
      <c r="J18" s="61">
        <f>(J17+5*J131)*('Economic Projections'!$B16/'Economic Projections'!$B15)</f>
        <v>1428976.2379647018</v>
      </c>
      <c r="K18" s="61">
        <f>(K17+5*K131)*('Economic Projections'!$B16/'Economic Projections'!$B15)</f>
        <v>349329.37545793667</v>
      </c>
      <c r="N18">
        <v>2060</v>
      </c>
      <c r="O18" s="61">
        <f>(O17+5*O131)*('Economic Projections'!$C16/'Economic Projections'!$C15)</f>
        <v>7734411.5719289696</v>
      </c>
      <c r="P18" s="61">
        <f>(P17+5*P131)*('Economic Projections'!$C16/'Economic Projections'!$C15)</f>
        <v>5140359.45985418</v>
      </c>
      <c r="Q18" s="61">
        <f>(Q17+5*Q131)*('Economic Projections'!$C16/'Economic Projections'!$C15)</f>
        <v>6216664.2269265307</v>
      </c>
      <c r="R18" s="61">
        <f>(R17+5*R131)*('Economic Projections'!$C16/'Economic Projections'!$C15)</f>
        <v>1258922.2979612558</v>
      </c>
      <c r="S18" s="61">
        <f>(S17+5*S131)*('Economic Projections'!$C16/'Economic Projections'!$C15)</f>
        <v>1572169.7700718082</v>
      </c>
      <c r="T18" s="61">
        <f>(T17+5*T131)*('Economic Projections'!$C16/'Economic Projections'!$C15)</f>
        <v>384557.26721258054</v>
      </c>
      <c r="W18">
        <v>2060</v>
      </c>
      <c r="X18" s="61">
        <f>(X17+5*X131)*('Economic Projections'!$D16/'Economic Projections'!$D15)</f>
        <v>8613771.7400846109</v>
      </c>
      <c r="Y18" s="61">
        <f>(Y17+5*Y131)*('Economic Projections'!$D16/'Economic Projections'!$D15)</f>
        <v>5724790.1326933876</v>
      </c>
      <c r="Z18" s="61">
        <f>(Z17+5*Z131)*('Economic Projections'!$D16/'Economic Projections'!$D15)</f>
        <v>6923834.4360251287</v>
      </c>
      <c r="AA18" s="61">
        <f>(AA17+5*AA131)*('Economic Projections'!$D16/'Economic Projections'!$D15)</f>
        <v>1401993.127660003</v>
      </c>
      <c r="AB18" s="61">
        <f>(AB17+5*AB131)*('Economic Projections'!$D16/'Economic Projections'!$D15)</f>
        <v>1750452.5052234184</v>
      </c>
      <c r="AC18" s="61">
        <f>(AC17+5*AC131)*('Economic Projections'!$D16/'Economic Projections'!$D15)</f>
        <v>428435.80376800383</v>
      </c>
      <c r="AG18">
        <v>2060</v>
      </c>
      <c r="AH18" s="61">
        <f>(AH17+5*AH131)*('Economic Projections'!$E16/'Economic Projections'!$E15)</f>
        <v>7139294.6951501686</v>
      </c>
      <c r="AI18" s="61">
        <f>(AI17+5*AI131)*('Economic Projections'!$E16/'Economic Projections'!$E15)</f>
        <v>4744839.4336932423</v>
      </c>
      <c r="AJ18" s="61">
        <f>(AJ17+5*AJ131)*('Economic Projections'!$E16/'Economic Projections'!$E15)</f>
        <v>5738089.6864760919</v>
      </c>
      <c r="AK18" s="61">
        <f>(AK17+5*AK131)*('Economic Projections'!$E16/'Economic Projections'!$E15)</f>
        <v>1162090.6092758598</v>
      </c>
      <c r="AL18" s="61">
        <f>(AL17+5*AL131)*('Economic Projections'!$E16/'Economic Projections'!$E15)</f>
        <v>1451510.1373295297</v>
      </c>
      <c r="AM18" s="61">
        <f>(AM17+5*AM131)*('Economic Projections'!$E16/'Economic Projections'!$E15)</f>
        <v>354862.81290954759</v>
      </c>
    </row>
    <row r="19" spans="5:39">
      <c r="E19">
        <v>2070</v>
      </c>
      <c r="F19" s="61">
        <f>(F18+5*F132)*('Economic Projections'!$B17/'Economic Projections'!$B16)</f>
        <v>6870968.913223411</v>
      </c>
      <c r="G19" s="61">
        <f>(G18+5*G132)*('Economic Projections'!$B17/'Economic Projections'!$B16)</f>
        <v>4566507.7068872955</v>
      </c>
      <c r="H19" s="61">
        <f>(H18+5*H132)*('Economic Projections'!$B17/'Economic Projections'!$B16)</f>
        <v>5522396.3153368142</v>
      </c>
      <c r="I19" s="61">
        <f>(I18+5*I132)*('Economic Projections'!$B17/'Economic Projections'!$B16)</f>
        <v>1118418.3154907024</v>
      </c>
      <c r="J19" s="61">
        <f>(J18+5*J132)*('Economic Projections'!$B17/'Economic Projections'!$B16)</f>
        <v>1396996.7932988252</v>
      </c>
      <c r="K19" s="61">
        <f>(K18+5*K132)*('Economic Projections'!$B17/'Economic Projections'!$B16)</f>
        <v>341511.63914026791</v>
      </c>
      <c r="N19">
        <v>2070</v>
      </c>
      <c r="O19" s="61">
        <f>(O18+5*O132)*('Economic Projections'!$C17/'Economic Projections'!$C16)</f>
        <v>7800376.7026064023</v>
      </c>
      <c r="P19" s="61">
        <f>(P18+5*P132)*('Economic Projections'!$C17/'Economic Projections'!$C16)</f>
        <v>5184200.4787015505</v>
      </c>
      <c r="Q19" s="61">
        <f>(Q18+5*Q132)*('Economic Projections'!$C17/'Economic Projections'!$C16)</f>
        <v>6269684.8173480788</v>
      </c>
      <c r="R19" s="61">
        <f>(R18+5*R132)*('Economic Projections'!$C17/'Economic Projections'!$C16)</f>
        <v>1269659.3751293689</v>
      </c>
      <c r="S19" s="61">
        <f>(S18+5*S132)*('Economic Projections'!$C17/'Economic Projections'!$C16)</f>
        <v>1585578.4674711414</v>
      </c>
      <c r="T19" s="61">
        <f>(T18+5*T132)*('Economic Projections'!$C17/'Economic Projections'!$C16)</f>
        <v>387837.07332953217</v>
      </c>
      <c r="W19">
        <v>2070</v>
      </c>
      <c r="X19" s="61">
        <f>(X18+5*X132)*('Economic Projections'!$D17/'Economic Projections'!$D16)</f>
        <v>9061981.2440625224</v>
      </c>
      <c r="Y19" s="61">
        <f>(Y18+5*Y132)*('Economic Projections'!$D17/'Economic Projections'!$D16)</f>
        <v>6022674.1982545378</v>
      </c>
      <c r="Z19" s="61">
        <f>(Z18+5*Z132)*('Economic Projections'!$D17/'Economic Projections'!$D16)</f>
        <v>7284109.6431976743</v>
      </c>
      <c r="AA19" s="61">
        <f>(AA18+5*AA132)*('Economic Projections'!$D17/'Economic Projections'!$D16)</f>
        <v>1474944.5203007788</v>
      </c>
      <c r="AB19" s="61">
        <f>(AB18+5*AB132)*('Economic Projections'!$D17/'Economic Projections'!$D16)</f>
        <v>1841535.6535557625</v>
      </c>
      <c r="AC19" s="61">
        <f>(AC18+5*AC132)*('Economic Projections'!$D17/'Economic Projections'!$D16)</f>
        <v>450729.05751184502</v>
      </c>
      <c r="AG19">
        <v>2070</v>
      </c>
      <c r="AH19" s="61">
        <f>(AH18+5*AH132)*('Economic Projections'!$E17/'Economic Projections'!$E16)</f>
        <v>7031249.4902177462</v>
      </c>
      <c r="AI19" s="61">
        <f>(AI18+5*AI132)*('Economic Projections'!$E17/'Economic Projections'!$E16)</f>
        <v>4673031.6192136016</v>
      </c>
      <c r="AJ19" s="61">
        <f>(AJ18+5*AJ132)*('Economic Projections'!$E17/'Economic Projections'!$E16)</f>
        <v>5651250.1452372232</v>
      </c>
      <c r="AK19" s="61">
        <f>(AK18+5*AK132)*('Economic Projections'!$E17/'Economic Projections'!$E16)</f>
        <v>1144503.6733962486</v>
      </c>
      <c r="AL19" s="61">
        <f>(AL18+5*AL132)*('Economic Projections'!$E17/'Economic Projections'!$E16)</f>
        <v>1429543.162026522</v>
      </c>
      <c r="AM19" s="61">
        <f>(AM18+5*AM132)*('Economic Projections'!$E17/'Economic Projections'!$E16)</f>
        <v>349492.36288879783</v>
      </c>
    </row>
    <row r="20" spans="5:39">
      <c r="E20">
        <v>2080</v>
      </c>
      <c r="F20" s="61">
        <f>(F19+5*F133)*('Economic Projections'!$B18/'Economic Projections'!$B17)</f>
        <v>6597785.8118542861</v>
      </c>
      <c r="G20" s="61">
        <f>(G19+5*G133)*('Economic Projections'!$B18/'Economic Projections'!$B17)</f>
        <v>4384947.7619146677</v>
      </c>
      <c r="H20" s="61">
        <f>(H19+5*H133)*('Economic Projections'!$B18/'Economic Projections'!$B17)</f>
        <v>5302831.1606306508</v>
      </c>
      <c r="I20" s="61">
        <f>(I19+5*I133)*('Economic Projections'!$B18/'Economic Projections'!$B17)</f>
        <v>1073951.0812603491</v>
      </c>
      <c r="J20" s="61">
        <f>(J19+5*J133)*('Economic Projections'!$B18/'Economic Projections'!$B17)</f>
        <v>1341453.547300197</v>
      </c>
      <c r="K20" s="61">
        <f>(K19+5*K133)*('Economic Projections'!$B18/'Economic Projections'!$B17)</f>
        <v>327933.46553589578</v>
      </c>
      <c r="N20">
        <v>2080</v>
      </c>
      <c r="O20" s="61">
        <f>(O19+5*O133)*('Economic Projections'!$C18/'Economic Projections'!$C17)</f>
        <v>7759148.4959330074</v>
      </c>
      <c r="P20" s="61">
        <f>(P19+5*P133)*('Economic Projections'!$C18/'Economic Projections'!$C17)</f>
        <v>5156799.8419219442</v>
      </c>
      <c r="Q20" s="61">
        <f>(Q19+5*Q133)*('Economic Projections'!$C18/'Economic Projections'!$C17)</f>
        <v>6236546.948334612</v>
      </c>
      <c r="R20" s="61">
        <f>(R19+5*R133)*('Economic Projections'!$C18/'Economic Projections'!$C17)</f>
        <v>1262948.7018992982</v>
      </c>
      <c r="S20" s="61">
        <f>(S19+5*S133)*('Economic Projections'!$C18/'Economic Projections'!$C17)</f>
        <v>1577198.0315965582</v>
      </c>
      <c r="T20" s="61">
        <f>(T19+5*T133)*('Economic Projections'!$C18/'Economic Projections'!$C17)</f>
        <v>385787.1945064374</v>
      </c>
      <c r="W20">
        <v>2080</v>
      </c>
      <c r="X20" s="61">
        <f>(X19+5*X133)*('Economic Projections'!$D18/'Economic Projections'!$D17)</f>
        <v>9477593.6932056788</v>
      </c>
      <c r="Y20" s="61">
        <f>(Y19+5*Y133)*('Economic Projections'!$D18/'Economic Projections'!$D17)</f>
        <v>6298893.9681385141</v>
      </c>
      <c r="Z20" s="61">
        <f>(Z19+5*Z133)*('Economic Projections'!$D18/'Economic Projections'!$D17)</f>
        <v>7618183.0171213094</v>
      </c>
      <c r="AA20" s="61">
        <f>(AA19+5*AA133)*('Economic Projections'!$D18/'Economic Projections'!$D17)</f>
        <v>1542590.3571131348</v>
      </c>
      <c r="AB20" s="61">
        <f>(AB19+5*AB133)*('Economic Projections'!$D18/'Economic Projections'!$D17)</f>
        <v>1925994.5729184819</v>
      </c>
      <c r="AC20" s="61">
        <f>(AC19+5*AC133)*('Economic Projections'!$D18/'Economic Projections'!$D17)</f>
        <v>471400.98371067963</v>
      </c>
      <c r="AG20">
        <v>2080</v>
      </c>
      <c r="AH20" s="61">
        <f>(AH19+5*AH133)*('Economic Projections'!$E18/'Economic Projections'!$E17)</f>
        <v>6815159.0803528968</v>
      </c>
      <c r="AI20" s="61">
        <f>(AI19+5*AI133)*('Economic Projections'!$E18/'Economic Projections'!$E17)</f>
        <v>4529415.9902543174</v>
      </c>
      <c r="AJ20" s="61">
        <f>(AJ19+5*AJ133)*('Economic Projections'!$E18/'Economic Projections'!$E17)</f>
        <v>5477571.0627594823</v>
      </c>
      <c r="AK20" s="61">
        <f>(AK19+5*AK133)*('Economic Projections'!$E18/'Economic Projections'!$E17)</f>
        <v>1109329.8016370256</v>
      </c>
      <c r="AL20" s="61">
        <f>(AL19+5*AL133)*('Economic Projections'!$E18/'Economic Projections'!$E17)</f>
        <v>1385609.2114205058</v>
      </c>
      <c r="AM20" s="61">
        <f>(AM19+5*AM133)*('Economic Projections'!$E18/'Economic Projections'!$E17)</f>
        <v>338751.46284729807</v>
      </c>
    </row>
    <row r="21" spans="5:39">
      <c r="E21">
        <v>2090</v>
      </c>
      <c r="F21" s="61">
        <f>(F20+5*F134)*('Economic Projections'!$B19/'Economic Projections'!$B18)</f>
        <v>6216985.125097326</v>
      </c>
      <c r="G21" s="61">
        <f>(G20+5*G134)*('Economic Projections'!$B19/'Economic Projections'!$B18)</f>
        <v>4131864.2022558535</v>
      </c>
      <c r="H21" s="61">
        <f>(H20+5*H134)*('Economic Projections'!$B19/'Economic Projections'!$B18)</f>
        <v>4996770.6419493333</v>
      </c>
      <c r="I21" s="61">
        <f>(I20+5*I134)*('Economic Projections'!$B19/'Economic Projections'!$B18)</f>
        <v>1011966.4517271295</v>
      </c>
      <c r="J21" s="61">
        <f>(J20+5*J134)*('Economic Projections'!$B19/'Economic Projections'!$B18)</f>
        <v>1264029.6286354428</v>
      </c>
      <c r="K21" s="61">
        <f>(K20+5*K134)*('Economic Projections'!$B19/'Economic Projections'!$B18)</f>
        <v>309006.31445101346</v>
      </c>
      <c r="N21">
        <v>2090</v>
      </c>
      <c r="O21" s="61">
        <f>(O20+5*O134)*('Economic Projections'!$C19/'Economic Projections'!$C18)</f>
        <v>7627218.2345781429</v>
      </c>
      <c r="P21" s="61">
        <f>(P20+5*P134)*('Economic Projections'!$C19/'Economic Projections'!$C18)</f>
        <v>5069117.8042272041</v>
      </c>
      <c r="Q21" s="61">
        <f>(Q20+5*Q134)*('Economic Projections'!$C19/'Economic Projections'!$C18)</f>
        <v>6130505.7674915157</v>
      </c>
      <c r="R21" s="61">
        <f>(R20+5*R134)*('Economic Projections'!$C19/'Economic Projections'!$C18)</f>
        <v>1241474.5475630723</v>
      </c>
      <c r="S21" s="61">
        <f>(S20+5*S134)*('Economic Projections'!$C19/'Economic Projections'!$C18)</f>
        <v>1550380.6367978922</v>
      </c>
      <c r="T21" s="61">
        <f>(T20+5*T134)*('Economic Projections'!$C19/'Economic Projections'!$C18)</f>
        <v>379227.58227253414</v>
      </c>
      <c r="W21">
        <v>2090</v>
      </c>
      <c r="X21" s="61">
        <f>(X20+5*X134)*('Economic Projections'!$D19/'Economic Projections'!$D18)</f>
        <v>9885056.8786401469</v>
      </c>
      <c r="Y21" s="61">
        <f>(Y20+5*Y134)*('Economic Projections'!$D19/'Economic Projections'!$D18)</f>
        <v>6569697.6641031979</v>
      </c>
      <c r="Z21" s="61">
        <f>(Z20+5*Z134)*('Economic Projections'!$D19/'Economic Projections'!$D18)</f>
        <v>7945705.9327327171</v>
      </c>
      <c r="AA21" s="61">
        <f>(AA20+5*AA134)*('Economic Projections'!$D19/'Economic Projections'!$D18)</f>
        <v>1608909.804968386</v>
      </c>
      <c r="AB21" s="61">
        <f>(AB20+5*AB134)*('Economic Projections'!$D19/'Economic Projections'!$D18)</f>
        <v>2008797.4350387952</v>
      </c>
      <c r="AC21" s="61">
        <f>(AC20+5*AC134)*('Economic Projections'!$D19/'Economic Projections'!$D18)</f>
        <v>491667.57802326267</v>
      </c>
      <c r="AG21">
        <v>2090</v>
      </c>
      <c r="AH21" s="61">
        <f>(AH20+5*AH134)*('Economic Projections'!$E19/'Economic Projections'!$E18)</f>
        <v>6507645.804775998</v>
      </c>
      <c r="AI21" s="61">
        <f>(AI20+5*AI134)*('Economic Projections'!$E19/'Economic Projections'!$E18)</f>
        <v>4325039.9028891837</v>
      </c>
      <c r="AJ21" s="61">
        <f>(AJ20+5*AJ134)*('Economic Projections'!$E19/'Economic Projections'!$E18)</f>
        <v>5230412.368464238</v>
      </c>
      <c r="AK21" s="61">
        <f>(AK20+5*AK134)*('Economic Projections'!$E19/'Economic Projections'!$E18)</f>
        <v>1059274.6764412087</v>
      </c>
      <c r="AL21" s="61">
        <f>(AL20+5*AL134)*('Economic Projections'!$E19/'Economic Projections'!$E18)</f>
        <v>1323087.8201734831</v>
      </c>
      <c r="AM21" s="61">
        <f>(AM20+5*AM134)*('Economic Projections'!$E19/'Economic Projections'!$E18)</f>
        <v>323466.33586516388</v>
      </c>
    </row>
    <row r="22" spans="5:39">
      <c r="E22">
        <v>2100</v>
      </c>
      <c r="F22" s="61">
        <f>(F21+5*F135)*('Economic Projections'!$B20/'Economic Projections'!$B19)</f>
        <v>5761679.9561487874</v>
      </c>
      <c r="G22" s="61">
        <f>(G21+5*G135)*('Economic Projections'!$B20/'Economic Projections'!$B19)</f>
        <v>3829264.2939681411</v>
      </c>
      <c r="H22" s="61">
        <f>(H21+5*H135)*('Economic Projections'!$B20/'Economic Projections'!$B19)</f>
        <v>4630828.7174390629</v>
      </c>
      <c r="I22" s="61">
        <f>(I21+5*I135)*('Economic Projections'!$B20/'Economic Projections'!$B19)</f>
        <v>937854.39467654086</v>
      </c>
      <c r="J22" s="61">
        <f>(J21+5*J135)*('Economic Projections'!$B20/'Economic Projections'!$B19)</f>
        <v>1171457.5519710628</v>
      </c>
      <c r="K22" s="61">
        <f>(K21+5*K135)*('Economic Projections'!$B20/'Economic Projections'!$B19)</f>
        <v>286376.0251103933</v>
      </c>
      <c r="N22">
        <v>2100</v>
      </c>
      <c r="O22" s="61">
        <f>(O21+5*O135)*('Economic Projections'!$C20/'Economic Projections'!$C19)</f>
        <v>7445814.1252152026</v>
      </c>
      <c r="P22" s="61">
        <f>(P21+5*P135)*('Economic Projections'!$C20/'Economic Projections'!$C19)</f>
        <v>4948555.0023969347</v>
      </c>
      <c r="Q22" s="61">
        <f>(Q21+5*Q135)*('Economic Projections'!$C20/'Economic Projections'!$C19)</f>
        <v>5984699.1438322579</v>
      </c>
      <c r="R22" s="61">
        <f>(R21+5*R135)*('Economic Projections'!$C20/'Economic Projections'!$C19)</f>
        <v>1211947.5853507612</v>
      </c>
      <c r="S22" s="61">
        <f>(S21+5*S135)*('Economic Projections'!$C20/'Economic Projections'!$C19)</f>
        <v>1513506.7189497259</v>
      </c>
      <c r="T22" s="61">
        <f>(T21+5*T135)*('Economic Projections'!$C20/'Economic Projections'!$C19)</f>
        <v>370208.1154509171</v>
      </c>
      <c r="W22">
        <v>2100</v>
      </c>
      <c r="X22" s="61">
        <f>(X21+5*X135)*('Economic Projections'!$D20/'Economic Projections'!$D19)</f>
        <v>10284370.800365921</v>
      </c>
      <c r="Y22" s="61">
        <f>(Y21+5*Y135)*('Economic Projections'!$D20/'Economic Projections'!$D19)</f>
        <v>6835085.2861485844</v>
      </c>
      <c r="Z22" s="61">
        <f>(Z21+5*Z135)*('Economic Projections'!$D20/'Economic Projections'!$D19)</f>
        <v>8266678.3900318928</v>
      </c>
      <c r="AA22" s="61">
        <f>(AA21+5*AA135)*('Economic Projections'!$D20/'Economic Projections'!$D19)</f>
        <v>1673902.8638665313</v>
      </c>
      <c r="AB22" s="61">
        <f>(AB21+5*AB135)*('Economic Projections'!$D20/'Economic Projections'!$D19)</f>
        <v>2089944.2399167013</v>
      </c>
      <c r="AC22" s="61">
        <f>(AC21+5*AC135)*('Economic Projections'!$D20/'Economic Projections'!$D19)</f>
        <v>511528.84044959384</v>
      </c>
      <c r="AG22">
        <v>2100</v>
      </c>
      <c r="AH22" s="61">
        <f>(AH21+5*AH135)*('Economic Projections'!$E20/'Economic Projections'!$E19)</f>
        <v>6133643.1723176073</v>
      </c>
      <c r="AI22" s="61">
        <f>(AI21+5*AI135)*('Economic Projections'!$E20/'Economic Projections'!$E19)</f>
        <v>4076474.3912288859</v>
      </c>
      <c r="AJ22" s="61">
        <f>(AJ21+5*AJ135)*('Economic Projections'!$E20/'Economic Projections'!$E19)</f>
        <v>4929813.9564835345</v>
      </c>
      <c r="AK22" s="61">
        <f>(AK21+5*AK135)*('Economic Projections'!$E20/'Economic Projections'!$E19)</f>
        <v>998396.82147332304</v>
      </c>
      <c r="AL22" s="61">
        <f>(AL21+5*AL135)*('Economic Projections'!$E20/'Economic Projections'!$E19)</f>
        <v>1247048.2902784552</v>
      </c>
      <c r="AM22" s="61">
        <f>(AM21+5*AM135)*('Economic Projections'!$E20/'Economic Projections'!$E19)</f>
        <v>304876.31656256824</v>
      </c>
    </row>
    <row r="23" spans="5:39">
      <c r="F23" s="581" t="s">
        <v>282</v>
      </c>
      <c r="G23" s="581"/>
      <c r="H23" s="581"/>
      <c r="I23" s="581"/>
      <c r="J23" s="581"/>
      <c r="K23" s="581"/>
      <c r="O23" s="581" t="s">
        <v>282</v>
      </c>
      <c r="P23" s="581"/>
      <c r="Q23" s="581"/>
      <c r="R23" s="581"/>
      <c r="S23" s="581"/>
      <c r="T23" s="581"/>
      <c r="X23" s="581" t="s">
        <v>282</v>
      </c>
      <c r="Y23" s="581"/>
      <c r="Z23" s="581"/>
      <c r="AA23" s="581"/>
      <c r="AB23" s="581"/>
      <c r="AC23" s="581"/>
      <c r="AH23" s="581" t="s">
        <v>282</v>
      </c>
      <c r="AI23" s="581"/>
      <c r="AJ23" s="581"/>
      <c r="AK23" s="581"/>
      <c r="AL23" s="581"/>
      <c r="AM23" s="581"/>
    </row>
    <row r="24" spans="5:39">
      <c r="E24">
        <v>2020</v>
      </c>
      <c r="F24" s="61">
        <f>F5*('Demographic-Economic'!$C$12)</f>
        <v>4868546.9759999998</v>
      </c>
      <c r="G24" s="61">
        <f>G5*('Demographic-Economic'!$D$12)</f>
        <v>3483611.7959999996</v>
      </c>
      <c r="H24" s="61">
        <f>H5*('Demographic-Economic'!$E$12)</f>
        <v>3920104.74</v>
      </c>
      <c r="I24" s="61">
        <f>I5*('Demographic-Economic'!$F$12)</f>
        <v>789337.95600000001</v>
      </c>
      <c r="J24" s="61">
        <f>J5*('Demographic-Economic'!$G$12)</f>
        <v>962670.72</v>
      </c>
      <c r="K24" s="61">
        <f>K5*('Demographic-Economic'!$H$12)</f>
        <v>254620.068</v>
      </c>
      <c r="N24">
        <v>2020</v>
      </c>
      <c r="O24" s="61">
        <f>O5*('Demographic-Economic'!$C$12)</f>
        <v>4868546.9759999998</v>
      </c>
      <c r="P24" s="61">
        <f>P5*('Demographic-Economic'!$D$12)</f>
        <v>3483611.7959999996</v>
      </c>
      <c r="Q24" s="61">
        <f>Q5*('Demographic-Economic'!$E$12)</f>
        <v>3920104.74</v>
      </c>
      <c r="R24" s="61">
        <f>R5*('Demographic-Economic'!$F$12)</f>
        <v>789337.95600000001</v>
      </c>
      <c r="S24" s="61">
        <f>S5*('Demographic-Economic'!$G$12)</f>
        <v>962670.72</v>
      </c>
      <c r="T24" s="61">
        <f>T5*('Demographic-Economic'!$H$12)</f>
        <v>254620.068</v>
      </c>
      <c r="W24">
        <v>2020</v>
      </c>
      <c r="X24" s="61">
        <f>X5*('Demographic-Economic'!C$12)</f>
        <v>4868546.9759999998</v>
      </c>
      <c r="Y24" s="61">
        <f>Y5*('Demographic-Economic'!D$12)</f>
        <v>3483611.7959999996</v>
      </c>
      <c r="Z24" s="61">
        <f>Z5*('Demographic-Economic'!E$12)</f>
        <v>3920104.74</v>
      </c>
      <c r="AA24" s="61">
        <f>AA5*('Demographic-Economic'!F$12)</f>
        <v>789337.95600000001</v>
      </c>
      <c r="AB24" s="61">
        <f>AB5*('Demographic-Economic'!G$12)</f>
        <v>962670.72</v>
      </c>
      <c r="AC24" s="61">
        <f>AC5*('Demographic-Economic'!H$12)</f>
        <v>254620.068</v>
      </c>
      <c r="AG24">
        <v>2020</v>
      </c>
      <c r="AH24" s="61">
        <f>AH5*('Demographic-Economic'!C$12)</f>
        <v>4868546.9759999998</v>
      </c>
      <c r="AI24" s="61">
        <f>AI5*('Demographic-Economic'!D$12)</f>
        <v>3483611.7959999996</v>
      </c>
      <c r="AJ24" s="61">
        <f>AJ5*('Demographic-Economic'!E$12)</f>
        <v>3920104.74</v>
      </c>
      <c r="AK24" s="61">
        <f>AK5*('Demographic-Economic'!F$12)</f>
        <v>789337.95600000001</v>
      </c>
      <c r="AL24" s="61">
        <f>AL5*('Demographic-Economic'!G$12)</f>
        <v>962670.72</v>
      </c>
      <c r="AM24" s="61">
        <f>AM5*('Demographic-Economic'!H$12)</f>
        <v>254620.068</v>
      </c>
    </row>
    <row r="25" spans="5:39">
      <c r="E25">
        <v>2021</v>
      </c>
      <c r="F25" s="61">
        <f>F6*('Demographic-Economic'!$C$12)</f>
        <v>4898151.9807183072</v>
      </c>
      <c r="G25" s="61">
        <f>G6*('Demographic-Economic'!$D$12)</f>
        <v>3503918.77104196</v>
      </c>
      <c r="H25" s="61">
        <f>H6*('Demographic-Economic'!$E$12)</f>
        <v>3946460.6459878958</v>
      </c>
      <c r="I25" s="61">
        <f>I6*('Demographic-Economic'!$F$12)</f>
        <v>795073.68632203923</v>
      </c>
      <c r="J25" s="61">
        <f>J6*('Demographic-Economic'!$G$12)</f>
        <v>969232.69159545272</v>
      </c>
      <c r="K25" s="61">
        <f>K6*('Demographic-Economic'!$H$12)</f>
        <v>256395.70202013169</v>
      </c>
      <c r="N25">
        <v>2021</v>
      </c>
      <c r="O25" s="61">
        <f>O6*('Demographic-Economic'!$C$12)</f>
        <v>4908903.6158068068</v>
      </c>
      <c r="P25" s="61">
        <f>P6*('Demographic-Economic'!$D$12)</f>
        <v>3511610.0097283642</v>
      </c>
      <c r="Q25" s="61">
        <f>Q6*('Demographic-Economic'!$E$12)</f>
        <v>3955123.2813907615</v>
      </c>
      <c r="R25" s="61">
        <f>R6*('Demographic-Economic'!$F$12)</f>
        <v>796818.90414652764</v>
      </c>
      <c r="S25" s="61">
        <f>S6*('Demographic-Economic'!$G$12)</f>
        <v>971360.19524517644</v>
      </c>
      <c r="T25" s="61">
        <f>T6*('Demographic-Economic'!$H$12)</f>
        <v>256958.50060972871</v>
      </c>
      <c r="W25">
        <v>2021</v>
      </c>
      <c r="X25" s="61">
        <f>X6*('Demographic-Economic'!C$12)</f>
        <v>4918531.6206819406</v>
      </c>
      <c r="Y25" s="61">
        <f>Y6*('Demographic-Economic'!D$12)</f>
        <v>3518497.4536342421</v>
      </c>
      <c r="Z25" s="61">
        <f>Z6*('Demographic-Economic'!E$12)</f>
        <v>3962880.6034356197</v>
      </c>
      <c r="AA25" s="61">
        <f>AA6*('Demographic-Economic'!F$12)</f>
        <v>798381.73301711644</v>
      </c>
      <c r="AB25" s="61">
        <f>AB6*('Demographic-Economic'!G$12)</f>
        <v>973265.35807322944</v>
      </c>
      <c r="AC25" s="61">
        <f>AC6*('Demographic-Economic'!H$12)</f>
        <v>257462.48233155577</v>
      </c>
      <c r="AG25">
        <v>2021</v>
      </c>
      <c r="AH25" s="61">
        <f>AH6*('Demographic-Economic'!C$12)</f>
        <v>4899563.8117014049</v>
      </c>
      <c r="AI25" s="61">
        <f>AI6*('Demographic-Economic'!D$12)</f>
        <v>3504928.7317583053</v>
      </c>
      <c r="AJ25" s="61">
        <f>AJ6*('Demographic-Economic'!E$12)</f>
        <v>3947598.1638590256</v>
      </c>
      <c r="AK25" s="61">
        <f>AK6*('Demographic-Economic'!F$12)</f>
        <v>795302.85635772068</v>
      </c>
      <c r="AL25" s="61">
        <f>AL6*('Demographic-Economic'!G$12)</f>
        <v>969512.06078391639</v>
      </c>
      <c r="AM25" s="61">
        <f>AM6*('Demographic-Economic'!H$12)</f>
        <v>256469.60487113954</v>
      </c>
    </row>
    <row r="26" spans="5:39">
      <c r="E26">
        <v>2022</v>
      </c>
      <c r="F26" s="61">
        <f>F7*('Demographic-Economic'!$C$12)</f>
        <v>4927741.8786500702</v>
      </c>
      <c r="G26" s="61">
        <f>G7*('Demographic-Economic'!$D$12)</f>
        <v>3524204.5682059294</v>
      </c>
      <c r="H26" s="61">
        <f>H7*('Demographic-Economic'!$E$12)</f>
        <v>3972922.9199116454</v>
      </c>
      <c r="I26" s="61">
        <f>I7*('Demographic-Economic'!$F$12)</f>
        <v>800754.06878211047</v>
      </c>
      <c r="J26" s="61">
        <f>J7*('Demographic-Economic'!$G$12)</f>
        <v>975777.24479530554</v>
      </c>
      <c r="K26" s="61">
        <f>K7*('Demographic-Economic'!$H$12)</f>
        <v>258174.19975826907</v>
      </c>
      <c r="N26">
        <v>2022</v>
      </c>
      <c r="O26" s="61">
        <f>O7*('Demographic-Economic'!$C$12)</f>
        <v>4949239.7730095247</v>
      </c>
      <c r="P26" s="61">
        <f>P7*('Demographic-Economic'!$D$12)</f>
        <v>3539579.3543400504</v>
      </c>
      <c r="Q26" s="61">
        <f>Q7*('Demographic-Economic'!$E$12)</f>
        <v>3990249.7748485426</v>
      </c>
      <c r="R26" s="61">
        <f>R7*('Demographic-Economic'!$F$12)</f>
        <v>804252.61636989168</v>
      </c>
      <c r="S26" s="61">
        <f>S7*('Demographic-Economic'!$G$12)</f>
        <v>980033.74801652576</v>
      </c>
      <c r="T26" s="61">
        <f>T7*('Demographic-Economic'!$H$12)</f>
        <v>259301.36057690831</v>
      </c>
      <c r="W26">
        <v>2022</v>
      </c>
      <c r="X26" s="61">
        <f>X7*('Demographic-Economic'!C$12)</f>
        <v>4968490.9687573528</v>
      </c>
      <c r="Y26" s="61">
        <f>Y7*('Demographic-Economic'!D$12)</f>
        <v>3553347.3547079</v>
      </c>
      <c r="Z26" s="61">
        <f>Z7*('Demographic-Economic'!E$12)</f>
        <v>4005765.6281633792</v>
      </c>
      <c r="AA26" s="61">
        <f>AA7*('Demographic-Economic'!F$12)</f>
        <v>807385.73382573656</v>
      </c>
      <c r="AB26" s="61">
        <f>AB7*('Demographic-Economic'!G$12)</f>
        <v>983845.39627782512</v>
      </c>
      <c r="AC26" s="61">
        <f>AC7*('Demographic-Economic'!H$12)</f>
        <v>260310.75622433724</v>
      </c>
      <c r="AG26">
        <v>2022</v>
      </c>
      <c r="AH26" s="61">
        <f>AH7*('Demographic-Economic'!C$12)</f>
        <v>4930564.8347007707</v>
      </c>
      <c r="AI26" s="61">
        <f>AI7*('Demographic-Economic'!D$12)</f>
        <v>3526223.4796779021</v>
      </c>
      <c r="AJ26" s="61">
        <f>AJ7*('Demographic-Economic'!E$12)</f>
        <v>3975198.1773089408</v>
      </c>
      <c r="AK26" s="61">
        <f>AK7*('Demographic-Economic'!F$12)</f>
        <v>801213.46131978347</v>
      </c>
      <c r="AL26" s="61">
        <f>AL7*('Demographic-Economic'!G$12)</f>
        <v>976336.18071261374</v>
      </c>
      <c r="AM26" s="61">
        <f>AM7*('Demographic-Economic'!H$12)</f>
        <v>258322.20870362272</v>
      </c>
    </row>
    <row r="27" spans="5:39">
      <c r="E27">
        <v>2023</v>
      </c>
      <c r="F27" s="61">
        <f>F8*('Demographic-Economic'!$C$12)</f>
        <v>4957316.6754983664</v>
      </c>
      <c r="G27" s="61">
        <f>G8*('Demographic-Economic'!$D$12)</f>
        <v>3544469.2035930408</v>
      </c>
      <c r="H27" s="61">
        <f>H8*('Demographic-Economic'!$E$12)</f>
        <v>3999483.2991597438</v>
      </c>
      <c r="I27" s="61">
        <f>I8*('Demographic-Economic'!$F$12)</f>
        <v>806385.26288034802</v>
      </c>
      <c r="J27" s="61">
        <f>J8*('Demographic-Economic'!$G$12)</f>
        <v>982306.46739005798</v>
      </c>
      <c r="K27" s="61">
        <f>K8*('Demographic-Economic'!$H$12)</f>
        <v>259955.44955811248</v>
      </c>
      <c r="N27">
        <v>2023</v>
      </c>
      <c r="O27" s="61">
        <f>O8*('Demographic-Economic'!$C$12)</f>
        <v>4989555.4553271644</v>
      </c>
      <c r="P27" s="61">
        <f>P8*('Demographic-Economic'!$D$12)</f>
        <v>3567519.8517046231</v>
      </c>
      <c r="Q27" s="61">
        <f>Q8*('Demographic-Economic'!$E$12)</f>
        <v>4025479.5576734222</v>
      </c>
      <c r="R27" s="61">
        <f>R8*('Demographic-Economic'!$F$12)</f>
        <v>811642.52014730941</v>
      </c>
      <c r="S27" s="61">
        <f>S8*('Demographic-Economic'!$G$12)</f>
        <v>988692.66774395993</v>
      </c>
      <c r="T27" s="61">
        <f>T8*('Demographic-Economic'!$H$12)</f>
        <v>261648.49747723446</v>
      </c>
      <c r="W27">
        <v>2023</v>
      </c>
      <c r="X27" s="61">
        <f>X8*('Demographic-Economic'!C$12)</f>
        <v>5018425.0297505017</v>
      </c>
      <c r="Y27" s="61">
        <f>Y8*('Demographic-Economic'!D$12)</f>
        <v>3588161.5262561222</v>
      </c>
      <c r="Z27" s="61">
        <f>Z8*('Demographic-Economic'!E$12)</f>
        <v>4048758.2199237021</v>
      </c>
      <c r="AA27" s="61">
        <f>AA8*('Demographic-Economic'!F$12)</f>
        <v>816351.12168907246</v>
      </c>
      <c r="AB27" s="61">
        <f>AB8*('Demographic-Economic'!G$12)</f>
        <v>994411.33263911994</v>
      </c>
      <c r="AC27" s="61">
        <f>AC8*('Demographic-Economic'!H$12)</f>
        <v>263164.75828966248</v>
      </c>
      <c r="AG27">
        <v>2023</v>
      </c>
      <c r="AH27" s="61">
        <f>AH8*('Demographic-Economic'!C$12)</f>
        <v>4961550.0509659015</v>
      </c>
      <c r="AI27" s="61">
        <f>AI8*('Demographic-Economic'!D$12)</f>
        <v>3547496.0566173973</v>
      </c>
      <c r="AJ27" s="61">
        <f>AJ8*('Demographic-Economic'!E$12)</f>
        <v>4002896.9995762394</v>
      </c>
      <c r="AK27" s="61">
        <f>AK8*('Demographic-Economic'!F$12)</f>
        <v>807075.5607538207</v>
      </c>
      <c r="AL27" s="61">
        <f>AL8*('Demographic-Economic'!G$12)</f>
        <v>983145.06752799999</v>
      </c>
      <c r="AM27" s="61">
        <f>AM8*('Demographic-Economic'!H$12)</f>
        <v>260177.75945433674</v>
      </c>
    </row>
    <row r="28" spans="5:39">
      <c r="E28">
        <v>2024</v>
      </c>
      <c r="F28" s="61">
        <f>F9*('Demographic-Economic'!$C$12)</f>
        <v>4986876.3769643726</v>
      </c>
      <c r="G28" s="61">
        <f>G9*('Demographic-Economic'!$D$12)</f>
        <v>3564712.6932936241</v>
      </c>
      <c r="H28" s="61">
        <f>H9*('Demographic-Economic'!$E$12)</f>
        <v>4026134.7568736435</v>
      </c>
      <c r="I28" s="61">
        <f>I9*('Demographic-Economic'!$F$12)</f>
        <v>811972.50611271488</v>
      </c>
      <c r="J28" s="61">
        <f>J9*('Demographic-Economic'!$G$12)</f>
        <v>988822.13275899924</v>
      </c>
      <c r="K28" s="61">
        <f>K9*('Demographic-Economic'!$H$12)</f>
        <v>261739.35634473737</v>
      </c>
      <c r="N28">
        <v>2024</v>
      </c>
      <c r="O28" s="61">
        <f>O9*('Demographic-Economic'!$C$12)</f>
        <v>5029850.67047616</v>
      </c>
      <c r="P28" s="61">
        <f>P9*('Demographic-Economic'!$D$12)</f>
        <v>3595431.5236769924</v>
      </c>
      <c r="Q28" s="61">
        <f>Q9*('Demographic-Economic'!$E$12)</f>
        <v>4060808.3606274445</v>
      </c>
      <c r="R28" s="61">
        <f>R9*('Demographic-Economic'!$F$12)</f>
        <v>818991.75200716697</v>
      </c>
      <c r="S28" s="61">
        <f>S9*('Demographic-Economic'!$G$12)</f>
        <v>997338.1335534876</v>
      </c>
      <c r="T28" s="61">
        <f>T9*('Demographic-Economic'!$H$12)</f>
        <v>263999.77450383367</v>
      </c>
      <c r="W28">
        <v>2024</v>
      </c>
      <c r="X28" s="61">
        <f>X9*('Demographic-Economic'!C$12)</f>
        <v>5068333.8131824685</v>
      </c>
      <c r="Y28" s="61">
        <f>Y9*('Demographic-Economic'!D$12)</f>
        <v>3622939.9952959567</v>
      </c>
      <c r="Z28" s="61">
        <f>Z9*('Demographic-Economic'!E$12)</f>
        <v>4091856.6720174816</v>
      </c>
      <c r="AA28" s="61">
        <f>AA9*('Demographic-Economic'!F$12)</f>
        <v>825279.13741322979</v>
      </c>
      <c r="AB28" s="61">
        <f>AB9*('Demographic-Economic'!G$12)</f>
        <v>1004963.6976889141</v>
      </c>
      <c r="AC28" s="61">
        <f>AC9*('Demographic-Economic'!H$12)</f>
        <v>266024.35813350545</v>
      </c>
      <c r="AG28">
        <v>2024</v>
      </c>
      <c r="AH28" s="61">
        <f>AH9*('Demographic-Economic'!C$12)</f>
        <v>4992519.4664625963</v>
      </c>
      <c r="AI28" s="61">
        <f>AI9*('Demographic-Economic'!D$12)</f>
        <v>3568746.4794240827</v>
      </c>
      <c r="AJ28" s="61">
        <f>AJ9*('Demographic-Economic'!E$12)</f>
        <v>4030687.959115155</v>
      </c>
      <c r="AK28" s="61">
        <f>AK9*('Demographic-Economic'!F$12)</f>
        <v>812894.11824797234</v>
      </c>
      <c r="AL28" s="61">
        <f>AL9*('Demographic-Economic'!G$12)</f>
        <v>989940.42348898365</v>
      </c>
      <c r="AM28" s="61">
        <f>AM9*('Demographic-Economic'!H$12)</f>
        <v>262036.15411563948</v>
      </c>
    </row>
    <row r="29" spans="5:39">
      <c r="E29">
        <v>2025</v>
      </c>
      <c r="F29" s="61">
        <f>F10*('Demographic-Economic'!$C$12)</f>
        <v>5016420.9887473537</v>
      </c>
      <c r="G29" s="61">
        <f>G10*('Demographic-Economic'!$D$12)</f>
        <v>3584935.0533872056</v>
      </c>
      <c r="H29" s="61">
        <f>H10*('Demographic-Economic'!$E$12)</f>
        <v>4052871.2708500251</v>
      </c>
      <c r="I29" s="61">
        <f>I10*('Demographic-Economic'!$F$12)</f>
        <v>817520.28639183578</v>
      </c>
      <c r="J29" s="61">
        <f>J10*('Demographic-Economic'!$G$12)</f>
        <v>995325.75867051701</v>
      </c>
      <c r="K29" s="61">
        <f>K10*('Demographic-Economic'!$H$12)</f>
        <v>263525.83852652973</v>
      </c>
      <c r="N29">
        <v>2025</v>
      </c>
      <c r="O29" s="61">
        <f>O10*('Demographic-Economic'!$C$12)</f>
        <v>5070125.4261703631</v>
      </c>
      <c r="P29" s="61">
        <f>P10*('Demographic-Economic'!$D$12)</f>
        <v>3623314.3920974256</v>
      </c>
      <c r="Q29" s="61">
        <f>Q10*('Demographic-Economic'!$E$12)</f>
        <v>4096232.2709299</v>
      </c>
      <c r="R29" s="61">
        <f>R10*('Demographic-Economic'!$F$12)</f>
        <v>826303.18499192514</v>
      </c>
      <c r="S29" s="61">
        <f>S10*('Demographic-Economic'!$G$12)</f>
        <v>1005971.2246344747</v>
      </c>
      <c r="T29" s="61">
        <f>T10*('Demographic-Economic'!$H$12)</f>
        <v>266355.06709017884</v>
      </c>
      <c r="W29">
        <v>2025</v>
      </c>
      <c r="X29" s="61">
        <f>X10*('Demographic-Economic'!C$12)</f>
        <v>5118217.3285711538</v>
      </c>
      <c r="Y29" s="61">
        <f>Y10*('Demographic-Economic'!D$12)</f>
        <v>3657682.7888263697</v>
      </c>
      <c r="Z29" s="61">
        <f>Z10*('Demographic-Economic'!E$12)</f>
        <v>4135059.1954355175</v>
      </c>
      <c r="AA29" s="61">
        <f>AA10*('Demographic-Economic'!F$12)</f>
        <v>834171.07790973724</v>
      </c>
      <c r="AB29" s="61">
        <f>AB10*('Demographic-Economic'!G$12)</f>
        <v>1015503.0452289466</v>
      </c>
      <c r="AC29" s="61">
        <f>AC10*('Demographic-Economic'!H$12)</f>
        <v>268889.42736594129</v>
      </c>
      <c r="AG29">
        <v>2025</v>
      </c>
      <c r="AH29" s="61">
        <f>AH10*('Demographic-Economic'!C$12)</f>
        <v>5023473.0871546641</v>
      </c>
      <c r="AI29" s="61">
        <f>AI10*('Demographic-Economic'!D$12)</f>
        <v>3589974.7649339475</v>
      </c>
      <c r="AJ29" s="61">
        <f>AJ10*('Demographic-Economic'!E$12)</f>
        <v>4058565.2959455326</v>
      </c>
      <c r="AK29" s="61">
        <f>AK10*('Demographic-Economic'!F$12)</f>
        <v>818673.41835363908</v>
      </c>
      <c r="AL29" s="61">
        <f>AL10*('Demographic-Economic'!G$12)</f>
        <v>996723.71624434309</v>
      </c>
      <c r="AM29" s="61">
        <f>AM10*('Demographic-Economic'!H$12)</f>
        <v>263897.30368014297</v>
      </c>
    </row>
    <row r="30" spans="5:39">
      <c r="E30">
        <v>2026</v>
      </c>
      <c r="F30" s="61">
        <f>F11*('Demographic-Economic'!$C$12)</f>
        <v>5045950.5165446689</v>
      </c>
      <c r="G30" s="61">
        <f>G11*('Demographic-Economic'!$D$12)</f>
        <v>3605136.2999425204</v>
      </c>
      <c r="H30" s="61">
        <f>H11*('Demographic-Economic'!$E$12)</f>
        <v>4079687.6436681431</v>
      </c>
      <c r="I30" s="61">
        <f>I11*('Demographic-Economic'!$F$12)</f>
        <v>823032.47625012777</v>
      </c>
      <c r="J30" s="61">
        <f>J11*('Demographic-Economic'!$G$12)</f>
        <v>1001818.6530487463</v>
      </c>
      <c r="K30" s="61">
        <f>K11*('Demographic-Economic'!$H$12)</f>
        <v>265314.82558271388</v>
      </c>
      <c r="N30">
        <v>2026</v>
      </c>
      <c r="O30" s="61">
        <f>O11*('Demographic-Economic'!$C$12)</f>
        <v>5110379.7301210547</v>
      </c>
      <c r="P30" s="61">
        <f>P11*('Demographic-Economic'!$D$12)</f>
        <v>3651168.4787915582</v>
      </c>
      <c r="Q30" s="61">
        <f>Q11*('Demographic-Economic'!$E$12)</f>
        <v>4131747.6988686747</v>
      </c>
      <c r="R30" s="61">
        <f>R11*('Demographic-Economic'!$F$12)</f>
        <v>833579.45342494687</v>
      </c>
      <c r="S30" s="61">
        <f>S11*('Demographic-Economic'!$G$12)</f>
        <v>1014592.9295949895</v>
      </c>
      <c r="T30" s="61">
        <f>T11*('Demographic-Economic'!$H$12)</f>
        <v>268714.26167948125</v>
      </c>
      <c r="W30">
        <v>2026</v>
      </c>
      <c r="X30" s="61">
        <f>X11*('Demographic-Economic'!C$12)</f>
        <v>5168075.5854312833</v>
      </c>
      <c r="Y30" s="61">
        <f>Y11*('Demographic-Economic'!D$12)</f>
        <v>3692389.9338282542</v>
      </c>
      <c r="Z30" s="61">
        <f>Z11*('Demographic-Economic'!E$12)</f>
        <v>4178363.9453891483</v>
      </c>
      <c r="AA30" s="61">
        <f>AA11*('Demographic-Economic'!F$12)</f>
        <v>843028.27735255333</v>
      </c>
      <c r="AB30" s="61">
        <f>AB11*('Demographic-Economic'!G$12)</f>
        <v>1026029.9442250243</v>
      </c>
      <c r="AC30" s="61">
        <f>AC11*('Demographic-Economic'!H$12)</f>
        <v>271759.84042432514</v>
      </c>
      <c r="AG30">
        <v>2026</v>
      </c>
      <c r="AH30" s="61">
        <f>AH11*('Demographic-Economic'!C$12)</f>
        <v>5054410.9190039197</v>
      </c>
      <c r="AI30" s="61">
        <f>AI11*('Demographic-Economic'!D$12)</f>
        <v>3611180.9299716814</v>
      </c>
      <c r="AJ30" s="61">
        <f>AJ11*('Demographic-Economic'!E$12)</f>
        <v>4086524.0057777902</v>
      </c>
      <c r="AK30" s="61">
        <f>AK11*('Demographic-Economic'!F$12)</f>
        <v>824417.18270082981</v>
      </c>
      <c r="AL30" s="61">
        <f>AL11*('Demographic-Economic'!G$12)</f>
        <v>1003496.2189508948</v>
      </c>
      <c r="AM30" s="61">
        <f>AM11*('Demographic-Economic'!H$12)</f>
        <v>265761.13074624259</v>
      </c>
    </row>
    <row r="31" spans="5:39">
      <c r="E31">
        <v>2027</v>
      </c>
      <c r="F31" s="61">
        <f>F12*('Demographic-Economic'!$C$12)</f>
        <v>5075464.9660517732</v>
      </c>
      <c r="G31" s="61">
        <f>G12*('Demographic-Economic'!$D$12)</f>
        <v>3625316.4490175168</v>
      </c>
      <c r="H31" s="61">
        <f>H12*('Demographic-Economic'!$E$12)</f>
        <v>4106579.3610487641</v>
      </c>
      <c r="I31" s="61">
        <f>I12*('Demographic-Economic'!$F$12)</f>
        <v>828512.43851901428</v>
      </c>
      <c r="J31" s="61">
        <f>J12*('Demographic-Economic'!$G$12)</f>
        <v>1008301.9500126576</v>
      </c>
      <c r="K31" s="61">
        <f>K12*('Demographic-Economic'!$H$12)</f>
        <v>267106.25616284256</v>
      </c>
      <c r="N31">
        <v>2027</v>
      </c>
      <c r="O31" s="61">
        <f>O12*('Demographic-Economic'!$C$12)</f>
        <v>5150613.5900369305</v>
      </c>
      <c r="P31" s="61">
        <f>P12*('Demographic-Economic'!$D$12)</f>
        <v>3678993.805570398</v>
      </c>
      <c r="Q31" s="61">
        <f>Q12*('Demographic-Economic'!$E$12)</f>
        <v>4167351.3476995276</v>
      </c>
      <c r="R31" s="61">
        <f>R12*('Demographic-Economic'!$F$12)</f>
        <v>840822.97522794653</v>
      </c>
      <c r="S31" s="61">
        <f>S12*('Demographic-Economic'!$G$12)</f>
        <v>1023204.1548968531</v>
      </c>
      <c r="T31" s="61">
        <f>T12*('Demographic-Economic'!$H$12)</f>
        <v>271077.2546252865</v>
      </c>
      <c r="W31">
        <v>2027</v>
      </c>
      <c r="X31" s="61">
        <f>X12*('Demographic-Economic'!C$12)</f>
        <v>5217908.5932743987</v>
      </c>
      <c r="Y31" s="61">
        <f>Y12*('Demographic-Economic'!D$12)</f>
        <v>3727061.4572644383</v>
      </c>
      <c r="Z31" s="61">
        <f>Z12*('Demographic-Economic'!E$12)</f>
        <v>4221769.0443717865</v>
      </c>
      <c r="AA31" s="61">
        <f>AA12*('Demographic-Economic'!F$12)</f>
        <v>851852.09083040827</v>
      </c>
      <c r="AB31" s="61">
        <f>AB12*('Demographic-Economic'!G$12)</f>
        <v>1036544.9717865052</v>
      </c>
      <c r="AC31" s="61">
        <f>AC12*('Demographic-Economic'!H$12)</f>
        <v>274635.47522781149</v>
      </c>
      <c r="AG31">
        <v>2027</v>
      </c>
      <c r="AH31" s="61">
        <f>AH12*('Demographic-Economic'!C$12)</f>
        <v>5085332.9679701831</v>
      </c>
      <c r="AI31" s="61">
        <f>AI12*('Demographic-Economic'!D$12)</f>
        <v>3632364.9913506876</v>
      </c>
      <c r="AJ31" s="61">
        <f>AJ12*('Demographic-Economic'!E$12)</f>
        <v>4114559.7158020884</v>
      </c>
      <c r="AK31" s="61">
        <f>AK12*('Demographic-Economic'!F$12)</f>
        <v>830128.66252644721</v>
      </c>
      <c r="AL31" s="61">
        <f>AL12*('Demographic-Economic'!G$12)</f>
        <v>1010259.0422423035</v>
      </c>
      <c r="AM31" s="61">
        <f>AM12*('Demographic-Economic'!H$12)</f>
        <v>267627.56760941388</v>
      </c>
    </row>
    <row r="32" spans="5:39">
      <c r="E32">
        <v>2028</v>
      </c>
      <c r="F32" s="61">
        <f>F13*('Demographic-Economic'!$C$12)</f>
        <v>5104964.3429622184</v>
      </c>
      <c r="G32" s="61">
        <f>G13*('Demographic-Economic'!$D$12)</f>
        <v>3645475.5166593627</v>
      </c>
      <c r="H32" s="61">
        <f>H13*('Demographic-Economic'!$E$12)</f>
        <v>4133542.4791310178</v>
      </c>
      <c r="I32" s="61">
        <f>I13*('Demographic-Economic'!$F$12)</f>
        <v>833963.11043276929</v>
      </c>
      <c r="J32" s="61">
        <f>J13*('Demographic-Economic'!$G$12)</f>
        <v>1014776.6385573671</v>
      </c>
      <c r="K32" s="61">
        <f>K13*('Demographic-Economic'!$H$12)</f>
        <v>268900.07657372387</v>
      </c>
      <c r="N32">
        <v>2028</v>
      </c>
      <c r="O32" s="61">
        <f>O13*('Demographic-Economic'!$C$12)</f>
        <v>5190827.0136241168</v>
      </c>
      <c r="P32" s="61">
        <f>P13*('Demographic-Economic'!$D$12)</f>
        <v>3706790.3942303401</v>
      </c>
      <c r="Q32" s="61">
        <f>Q13*('Demographic-Economic'!$E$12)</f>
        <v>4203040.186523295</v>
      </c>
      <c r="R32" s="61">
        <f>R13*('Demographic-Economic'!$F$12)</f>
        <v>848035.97202167904</v>
      </c>
      <c r="S32" s="61">
        <f>S13*('Demographic-Economic'!$G$12)</f>
        <v>1031805.7324570329</v>
      </c>
      <c r="T32" s="61">
        <f>T13*('Demographic-Economic'!$H$12)</f>
        <v>273443.95120931737</v>
      </c>
      <c r="W32">
        <v>2028</v>
      </c>
      <c r="X32" s="61">
        <f>X13*('Demographic-Economic'!C$12)</f>
        <v>5267716.3616088685</v>
      </c>
      <c r="Y32" s="61">
        <f>Y13*('Demographic-Economic'!D$12)</f>
        <v>3761697.3860797039</v>
      </c>
      <c r="Z32" s="61">
        <f>Z13*('Demographic-Economic'!E$12)</f>
        <v>4265272.6019469798</v>
      </c>
      <c r="AA32" s="61">
        <f>AA13*('Demographic-Economic'!F$12)</f>
        <v>860643.8803491838</v>
      </c>
      <c r="AB32" s="61">
        <f>AB13*('Demographic-Economic'!G$12)</f>
        <v>1047048.7071662202</v>
      </c>
      <c r="AC32" s="61">
        <f>AC13*('Demographic-Economic'!H$12)</f>
        <v>277516.21368167264</v>
      </c>
      <c r="AG32">
        <v>2028</v>
      </c>
      <c r="AH32" s="61">
        <f>AH13*('Demographic-Economic'!C$12)</f>
        <v>5116239.2400112804</v>
      </c>
      <c r="AI32" s="61">
        <f>AI13*('Demographic-Economic'!D$12)</f>
        <v>3653526.9658730817</v>
      </c>
      <c r="AJ32" s="61">
        <f>AJ13*('Demographic-Economic'!E$12)</f>
        <v>4142668.5847607655</v>
      </c>
      <c r="AK32" s="61">
        <f>AK13*('Demographic-Economic'!F$12)</f>
        <v>835810.71311346872</v>
      </c>
      <c r="AL32" s="61">
        <f>AL13*('Demographic-Economic'!G$12)</f>
        <v>1017013.1599481674</v>
      </c>
      <c r="AM32" s="61">
        <f>AM13*('Demographic-Economic'!H$12)</f>
        <v>269496.55472621473</v>
      </c>
    </row>
    <row r="33" spans="5:39">
      <c r="E33">
        <v>2029</v>
      </c>
      <c r="F33" s="61">
        <f>F14*('Demographic-Economic'!$C$12)</f>
        <v>5134448.6529676476</v>
      </c>
      <c r="G33" s="61">
        <f>G14*('Demographic-Economic'!$D$12)</f>
        <v>3665613.5189044541</v>
      </c>
      <c r="H33" s="61">
        <f>H14*('Demographic-Economic'!$E$12)</f>
        <v>4160573.53389057</v>
      </c>
      <c r="I33" s="61">
        <f>I14*('Demographic-Economic'!$F$12)</f>
        <v>839387.07121279323</v>
      </c>
      <c r="J33" s="61">
        <f>J14*('Demographic-Economic'!$G$12)</f>
        <v>1021243.5856019086</v>
      </c>
      <c r="K33" s="61">
        <f>K14*('Demographic-Economic'!$H$12)</f>
        <v>270696.23956313165</v>
      </c>
      <c r="N33">
        <v>2029</v>
      </c>
      <c r="O33" s="61">
        <f>O14*('Demographic-Economic'!$C$12)</f>
        <v>5231020.008586158</v>
      </c>
      <c r="P33" s="61">
        <f>P14*('Demographic-Economic'!$D$12)</f>
        <v>3734558.2665531705</v>
      </c>
      <c r="Q33" s="61">
        <f>Q14*('Demographic-Economic'!$E$12)</f>
        <v>4238811.4258521069</v>
      </c>
      <c r="R33" s="61">
        <f>R14*('Demographic-Economic'!$F$12)</f>
        <v>855220.48722624884</v>
      </c>
      <c r="S33" s="61">
        <f>S14*('Demographic-Economic'!$G$12)</f>
        <v>1040398.4264961166</v>
      </c>
      <c r="T33" s="61">
        <f>T14*('Demographic-Economic'!$H$12)</f>
        <v>275814.2647639027</v>
      </c>
      <c r="W33">
        <v>2029</v>
      </c>
      <c r="X33" s="61">
        <f>X14*('Demographic-Economic'!C$12)</f>
        <v>5317498.8999398835</v>
      </c>
      <c r="Y33" s="61">
        <f>Y14*('Demographic-Economic'!D$12)</f>
        <v>3796297.7472007894</v>
      </c>
      <c r="Z33" s="61">
        <f>Z14*('Demographic-Economic'!E$12)</f>
        <v>4308872.731502288</v>
      </c>
      <c r="AA33" s="61">
        <f>AA14*('Demographic-Economic'!F$12)</f>
        <v>869405.0030086342</v>
      </c>
      <c r="AB33" s="61">
        <f>AB14*('Demographic-Economic'!G$12)</f>
        <v>1057541.7267030876</v>
      </c>
      <c r="AC33" s="61">
        <f>AC14*('Demographic-Economic'!H$12)</f>
        <v>280401.94204989326</v>
      </c>
      <c r="AG33">
        <v>2029</v>
      </c>
      <c r="AH33" s="61">
        <f>AH14*('Demographic-Economic'!C$12)</f>
        <v>5147129.7410830464</v>
      </c>
      <c r="AI33" s="61">
        <f>AI14*('Demographic-Economic'!D$12)</f>
        <v>3674666.8703297065</v>
      </c>
      <c r="AJ33" s="61">
        <f>AJ14*('Demographic-Economic'!E$12)</f>
        <v>4170847.22184951</v>
      </c>
      <c r="AK33" s="61">
        <f>AK14*('Demographic-Economic'!F$12)</f>
        <v>841465.85420410789</v>
      </c>
      <c r="AL33" s="61">
        <f>AL14*('Demographic-Economic'!G$12)</f>
        <v>1023759.4299672106</v>
      </c>
      <c r="AM33" s="61">
        <f>AM14*('Demographic-Economic'!H$12)</f>
        <v>271368.03946740052</v>
      </c>
    </row>
    <row r="34" spans="5:39">
      <c r="E34">
        <v>2030</v>
      </c>
      <c r="F34" s="61">
        <f>F15*('Demographic-Economic'!$C$12)</f>
        <v>5163917.9017578028</v>
      </c>
      <c r="G34" s="61">
        <f>G15*('Demographic-Economic'!$D$12)</f>
        <v>3685730.4717784221</v>
      </c>
      <c r="H34" s="61">
        <f>H15*('Demographic-Economic'!$E$12)</f>
        <v>4187669.4677006733</v>
      </c>
      <c r="I34" s="61">
        <f>I15*('Demographic-Economic'!$F$12)</f>
        <v>844786.5968615301</v>
      </c>
      <c r="J34" s="61">
        <f>J15*('Demographic-Economic'!$G$12)</f>
        <v>1027703.5546752632</v>
      </c>
      <c r="K34" s="61">
        <f>K15*('Demographic-Economic'!$H$12)</f>
        <v>272494.70333340153</v>
      </c>
      <c r="N34">
        <v>2030</v>
      </c>
      <c r="O34" s="61">
        <f>O15*('Demographic-Economic'!$C$12)</f>
        <v>5271192.5826240331</v>
      </c>
      <c r="P34" s="61">
        <f>P15*('Demographic-Economic'!$D$12)</f>
        <v>3762297.4443060816</v>
      </c>
      <c r="Q34" s="61">
        <f>Q15*('Demographic-Economic'!$E$12)</f>
        <v>4274662.4955982659</v>
      </c>
      <c r="R34" s="61">
        <f>R15*('Demographic-Economic'!$F$12)</f>
        <v>862378.40236029972</v>
      </c>
      <c r="S34" s="61">
        <f>S15*('Demographic-Economic'!$G$12)</f>
        <v>1048982.9397083651</v>
      </c>
      <c r="T34" s="61">
        <f>T15*('Demographic-Economic'!$H$12)</f>
        <v>278188.11588758515</v>
      </c>
      <c r="W34">
        <v>2030</v>
      </c>
      <c r="X34" s="61">
        <f>X15*('Demographic-Economic'!C$12)</f>
        <v>5367256.2177694626</v>
      </c>
      <c r="Y34" s="61">
        <f>Y15*('Demographic-Economic'!D$12)</f>
        <v>3830862.5675364085</v>
      </c>
      <c r="Z34" s="61">
        <f>Z15*('Demographic-Economic'!E$12)</f>
        <v>4352567.5642339047</v>
      </c>
      <c r="AA34" s="61">
        <f>AA15*('Demographic-Economic'!F$12)</f>
        <v>878136.80116035207</v>
      </c>
      <c r="AB34" s="61">
        <f>AB15*('Demographic-Economic'!G$12)</f>
        <v>1068024.5996224748</v>
      </c>
      <c r="AC34" s="61">
        <f>AC15*('Demographic-Economic'!H$12)</f>
        <v>283292.5512139225</v>
      </c>
      <c r="AG34">
        <v>2030</v>
      </c>
      <c r="AH34" s="61">
        <f>AH15*('Demographic-Economic'!C$12)</f>
        <v>5178004.4771393258</v>
      </c>
      <c r="AI34" s="61">
        <f>AI15*('Demographic-Economic'!D$12)</f>
        <v>3695784.7215001327</v>
      </c>
      <c r="AJ34" s="61">
        <f>AJ15*('Demographic-Economic'!E$12)</f>
        <v>4199092.6203662325</v>
      </c>
      <c r="AK34" s="61">
        <f>AK15*('Demographic-Economic'!F$12)</f>
        <v>847096.31942692411</v>
      </c>
      <c r="AL34" s="61">
        <f>AL15*('Demographic-Economic'!G$12)</f>
        <v>1030498.6113449087</v>
      </c>
      <c r="AM34" s="61">
        <f>AM15*('Demographic-Economic'!H$12)</f>
        <v>273241.97509757546</v>
      </c>
    </row>
    <row r="35" spans="5:39">
      <c r="E35">
        <v>2040</v>
      </c>
      <c r="F35" s="61">
        <f>F16*('Demographic-Economic'!$C$12)</f>
        <v>5361905.4612603718</v>
      </c>
      <c r="G35" s="61">
        <f>G16*('Demographic-Economic'!$D$12)</f>
        <v>3817451.8939118925</v>
      </c>
      <c r="H35" s="61">
        <f>H16*('Demographic-Economic'!$E$12)</f>
        <v>4382088.0111151272</v>
      </c>
      <c r="I35" s="61">
        <f>I16*('Demographic-Economic'!$F$12)</f>
        <v>882956.22528930393</v>
      </c>
      <c r="J35" s="61">
        <f>J16*('Demographic-Economic'!$G$12)</f>
        <v>1073230.1629868229</v>
      </c>
      <c r="K35" s="61">
        <f>K16*('Demographic-Economic'!$H$12)</f>
        <v>285492.62090649677</v>
      </c>
      <c r="N35">
        <v>2040</v>
      </c>
      <c r="O35" s="61">
        <f>O16*('Demographic-Economic'!$C$12)</f>
        <v>5595393.2620172016</v>
      </c>
      <c r="P35" s="61">
        <f>P16*('Demographic-Economic'!$D$12)</f>
        <v>3983685.4192219377</v>
      </c>
      <c r="Q35" s="61">
        <f>Q16*('Demographic-Economic'!$E$12)</f>
        <v>4573125.337465575</v>
      </c>
      <c r="R35" s="61">
        <f>R16*('Demographic-Economic'!$F$12)</f>
        <v>921374.09235405538</v>
      </c>
      <c r="S35" s="61">
        <f>S16*('Demographic-Economic'!$G$12)</f>
        <v>1119693.276331312</v>
      </c>
      <c r="T35" s="61">
        <f>T16*('Demographic-Economic'!$H$12)</f>
        <v>298024.91250175127</v>
      </c>
      <c r="W35">
        <v>2040</v>
      </c>
      <c r="X35" s="61">
        <f>X16*('Demographic-Economic'!C$12)</f>
        <v>5825680.4459581506</v>
      </c>
      <c r="Y35" s="61">
        <f>Y16*('Demographic-Economic'!D$12)</f>
        <v>4147640.2395429146</v>
      </c>
      <c r="Z35" s="61">
        <f>Z16*('Demographic-Economic'!E$12)</f>
        <v>4761593.6517417459</v>
      </c>
      <c r="AA35" s="61">
        <f>AA16*('Demographic-Economic'!F$12)</f>
        <v>959252.45211209077</v>
      </c>
      <c r="AB35" s="61">
        <f>AB16*('Demographic-Economic'!G$12)</f>
        <v>1165466.8449158303</v>
      </c>
      <c r="AC35" s="61">
        <f>AC16*('Demographic-Economic'!H$12)</f>
        <v>310403.96915529307</v>
      </c>
      <c r="AG35">
        <v>2040</v>
      </c>
      <c r="AH35" s="61">
        <f>AH16*('Demographic-Economic'!C$12)</f>
        <v>5389627.2688137153</v>
      </c>
      <c r="AI35" s="61">
        <f>AI16*('Demographic-Economic'!D$12)</f>
        <v>3837188.6586705726</v>
      </c>
      <c r="AJ35" s="61">
        <f>AJ16*('Demographic-Economic'!E$12)</f>
        <v>4404768.7302239062</v>
      </c>
      <c r="AK35" s="61">
        <f>AK16*('Demographic-Economic'!F$12)</f>
        <v>887517.95495848102</v>
      </c>
      <c r="AL35" s="61">
        <f>AL16*('Demographic-Economic'!G$12)</f>
        <v>1078747.4641107938</v>
      </c>
      <c r="AM35" s="61">
        <f>AM16*('Demographic-Economic'!H$12)</f>
        <v>286980.3246472695</v>
      </c>
    </row>
    <row r="36" spans="5:39">
      <c r="E36">
        <v>2050</v>
      </c>
      <c r="F36" s="61">
        <f>F17*('Demographic-Economic'!$C$12)</f>
        <v>5451377.0660966579</v>
      </c>
      <c r="G36" s="61">
        <f>G17*('Demographic-Economic'!$D$12)</f>
        <v>3881151.925514712</v>
      </c>
      <c r="H36" s="61">
        <f>H17*('Demographic-Economic'!$E$12)</f>
        <v>4455209.8611218147</v>
      </c>
      <c r="I36" s="61">
        <f>I17*('Demographic-Economic'!$F$12)</f>
        <v>897689.70223096071</v>
      </c>
      <c r="J36" s="61">
        <f>J17*('Demographic-Economic'!$G$12)</f>
        <v>1091138.6519997134</v>
      </c>
      <c r="K36" s="61">
        <f>K17*('Demographic-Economic'!$H$12)</f>
        <v>290256.50254260027</v>
      </c>
      <c r="N36">
        <v>2050</v>
      </c>
      <c r="O36" s="61">
        <f>O17*('Demographic-Economic'!$C$12)</f>
        <v>5837287.3962113466</v>
      </c>
      <c r="P36" s="61">
        <f>P17*('Demographic-Economic'!$D$12)</f>
        <v>4155903.9015091206</v>
      </c>
      <c r="Q36" s="61">
        <f>Q17*('Demographic-Economic'!$E$12)</f>
        <v>4770825.8639999237</v>
      </c>
      <c r="R36" s="61">
        <f>R17*('Demographic-Economic'!$F$12)</f>
        <v>961205.96437846276</v>
      </c>
      <c r="S36" s="61">
        <f>S17*('Demographic-Economic'!$G$12)</f>
        <v>1168098.6739429045</v>
      </c>
      <c r="T36" s="61">
        <f>T17*('Demographic-Economic'!$H$12)</f>
        <v>310908.8108806666</v>
      </c>
      <c r="W36">
        <v>2050</v>
      </c>
      <c r="X36" s="61">
        <f>X17*('Demographic-Economic'!C$12)</f>
        <v>6266066.6567757223</v>
      </c>
      <c r="Y36" s="61">
        <f>Y17*('Demographic-Economic'!D$12)</f>
        <v>4461176.7587308241</v>
      </c>
      <c r="Z36" s="61">
        <f>Z17*('Demographic-Economic'!E$12)</f>
        <v>5121541.3359986814</v>
      </c>
      <c r="AA36" s="61">
        <f>AA17*('Demographic-Economic'!F$12)</f>
        <v>1031766.1363970222</v>
      </c>
      <c r="AB36" s="61">
        <f>AB17*('Demographic-Economic'!G$12)</f>
        <v>1253569.0902118436</v>
      </c>
      <c r="AC36" s="61">
        <f>AC17*('Demographic-Economic'!H$12)</f>
        <v>333868.63205040165</v>
      </c>
      <c r="AG36">
        <v>2050</v>
      </c>
      <c r="AH36" s="61">
        <f>AH17*('Demographic-Economic'!C$12)</f>
        <v>5505119.2817168664</v>
      </c>
      <c r="AI36" s="61">
        <f>AI17*('Demographic-Economic'!D$12)</f>
        <v>3919414.1299277986</v>
      </c>
      <c r="AJ36" s="61">
        <f>AJ17*('Demographic-Economic'!E$12)</f>
        <v>4499156.6315858467</v>
      </c>
      <c r="AK36" s="61">
        <f>AK17*('Demographic-Economic'!F$12)</f>
        <v>906536.19685044838</v>
      </c>
      <c r="AL36" s="61">
        <f>AL17*('Demographic-Economic'!G$12)</f>
        <v>1101863.4811988822</v>
      </c>
      <c r="AM36" s="61">
        <f>AM17*('Demographic-Economic'!H$12)</f>
        <v>293129.90303256811</v>
      </c>
    </row>
    <row r="37" spans="5:39">
      <c r="E37">
        <v>2060</v>
      </c>
      <c r="F37" s="61">
        <f>F18*('Demographic-Economic'!$C$12)</f>
        <v>5425813.7504291488</v>
      </c>
      <c r="G37" s="61">
        <f>G18*('Demographic-Economic'!$D$12)</f>
        <v>3862951.9164853352</v>
      </c>
      <c r="H37" s="61">
        <f>H18*('Demographic-Economic'!$E$12)</f>
        <v>4434317.9039770477</v>
      </c>
      <c r="I37" s="61">
        <f>I18*('Demographic-Economic'!$F$12)</f>
        <v>893480.13739048736</v>
      </c>
      <c r="J37" s="61">
        <f>J18*('Demographic-Economic'!$G$12)</f>
        <v>1086021.9408531734</v>
      </c>
      <c r="K37" s="61">
        <f>K18*('Demographic-Economic'!$H$12)</f>
        <v>288895.3935037136</v>
      </c>
      <c r="N37">
        <v>2060</v>
      </c>
      <c r="O37" s="61">
        <f>O18*('Demographic-Economic'!$C$12)</f>
        <v>5970965.7335291645</v>
      </c>
      <c r="P37" s="61">
        <f>P18*('Demographic-Economic'!$D$12)</f>
        <v>4251077.2732994063</v>
      </c>
      <c r="Q37" s="61">
        <f>Q18*('Demographic-Economic'!$E$12)</f>
        <v>4880081.4181373268</v>
      </c>
      <c r="R37" s="61">
        <f>R18*('Demographic-Economic'!$F$12)</f>
        <v>983218.31470774079</v>
      </c>
      <c r="S37" s="61">
        <f>S18*('Demographic-Economic'!$G$12)</f>
        <v>1194849.0252545744</v>
      </c>
      <c r="T37" s="61">
        <f>T18*('Demographic-Economic'!$H$12)</f>
        <v>318028.85998480412</v>
      </c>
      <c r="W37">
        <v>2060</v>
      </c>
      <c r="X37" s="61">
        <f>X18*('Demographic-Economic'!C$12)</f>
        <v>6649831.7833453193</v>
      </c>
      <c r="Y37" s="61">
        <f>Y18*('Demographic-Economic'!D$12)</f>
        <v>4734401.4397374317</v>
      </c>
      <c r="Z37" s="61">
        <f>Z18*('Demographic-Economic'!E$12)</f>
        <v>5435210.0322797261</v>
      </c>
      <c r="AA37" s="61">
        <f>AA18*('Demographic-Economic'!F$12)</f>
        <v>1094956.6327024624</v>
      </c>
      <c r="AB37" s="61">
        <f>AB18*('Demographic-Economic'!G$12)</f>
        <v>1330343.903969798</v>
      </c>
      <c r="AC37" s="61">
        <f>AC18*('Demographic-Economic'!H$12)</f>
        <v>354316.40971613914</v>
      </c>
      <c r="AG37">
        <v>2060</v>
      </c>
      <c r="AH37" s="61">
        <f>AH18*('Demographic-Economic'!C$12)</f>
        <v>5511535.5046559302</v>
      </c>
      <c r="AI37" s="61">
        <f>AI18*('Demographic-Economic'!D$12)</f>
        <v>3923982.2116643111</v>
      </c>
      <c r="AJ37" s="61">
        <f>AJ18*('Demographic-Economic'!E$12)</f>
        <v>4504400.4038837319</v>
      </c>
      <c r="AK37" s="61">
        <f>AK18*('Demographic-Economic'!F$12)</f>
        <v>907592.76584444649</v>
      </c>
      <c r="AL37" s="61">
        <f>AL18*('Demographic-Economic'!G$12)</f>
        <v>1103147.7043704425</v>
      </c>
      <c r="AM37" s="61">
        <f>AM18*('Demographic-Economic'!H$12)</f>
        <v>293471.54627619585</v>
      </c>
    </row>
    <row r="38" spans="5:39">
      <c r="E38">
        <v>2070</v>
      </c>
      <c r="F38" s="61">
        <f>F19*('Demographic-Economic'!$C$12)</f>
        <v>5304388.0010084733</v>
      </c>
      <c r="G38" s="61">
        <f>G19*('Demographic-Economic'!$D$12)</f>
        <v>3776501.8735957933</v>
      </c>
      <c r="H38" s="61">
        <f>H19*('Demographic-Economic'!$E$12)</f>
        <v>4335081.1075393995</v>
      </c>
      <c r="I38" s="61">
        <f>I19*('Demographic-Economic'!$F$12)</f>
        <v>873484.70439823857</v>
      </c>
      <c r="J38" s="61">
        <f>J19*('Demographic-Economic'!$G$12)</f>
        <v>1061717.5629071072</v>
      </c>
      <c r="K38" s="61">
        <f>K19*('Demographic-Economic'!$H$12)</f>
        <v>282430.12556900154</v>
      </c>
      <c r="N38">
        <v>2070</v>
      </c>
      <c r="O38" s="61">
        <f>O19*('Demographic-Economic'!$C$12)</f>
        <v>6021890.8144121431</v>
      </c>
      <c r="P38" s="61">
        <f>P19*('Demographic-Economic'!$D$12)</f>
        <v>4287333.7958861822</v>
      </c>
      <c r="Q38" s="61">
        <f>Q19*('Demographic-Economic'!$E$12)</f>
        <v>4921702.581618242</v>
      </c>
      <c r="R38" s="61">
        <f>R19*('Demographic-Economic'!$F$12)</f>
        <v>991603.97197603714</v>
      </c>
      <c r="S38" s="61">
        <f>S19*('Demographic-Economic'!$G$12)</f>
        <v>1205039.6352780676</v>
      </c>
      <c r="T38" s="61">
        <f>T19*('Demographic-Economic'!$H$12)</f>
        <v>320741.25964352308</v>
      </c>
      <c r="W38">
        <v>2070</v>
      </c>
      <c r="X38" s="61">
        <f>X19*('Demographic-Economic'!C$12)</f>
        <v>6995849.5204162672</v>
      </c>
      <c r="Y38" s="61">
        <f>Y19*('Demographic-Economic'!D$12)</f>
        <v>4980751.5619565025</v>
      </c>
      <c r="Z38" s="61">
        <f>Z19*('Demographic-Economic'!E$12)</f>
        <v>5718026.0699101742</v>
      </c>
      <c r="AA38" s="61">
        <f>AA19*('Demographic-Economic'!F$12)</f>
        <v>1151931.6703549083</v>
      </c>
      <c r="AB38" s="61">
        <f>AB19*('Demographic-Economic'!G$12)</f>
        <v>1399567.0967023794</v>
      </c>
      <c r="AC38" s="61">
        <f>AC19*('Demographic-Economic'!H$12)</f>
        <v>372752.93056229583</v>
      </c>
      <c r="AG38">
        <v>2070</v>
      </c>
      <c r="AH38" s="61">
        <f>AH19*('Demographic-Economic'!C$12)</f>
        <v>5428124.6064480999</v>
      </c>
      <c r="AI38" s="61">
        <f>AI19*('Demographic-Economic'!D$12)</f>
        <v>3864597.1490896484</v>
      </c>
      <c r="AJ38" s="61">
        <f>AJ19*('Demographic-Economic'!E$12)</f>
        <v>4436231.3640112206</v>
      </c>
      <c r="AK38" s="61">
        <f>AK19*('Demographic-Economic'!F$12)</f>
        <v>893857.36892247014</v>
      </c>
      <c r="AL38" s="61">
        <f>AL19*('Demographic-Economic'!G$12)</f>
        <v>1086452.8031401567</v>
      </c>
      <c r="AM38" s="61">
        <f>AM19*('Demographic-Economic'!H$12)</f>
        <v>289030.18410903576</v>
      </c>
    </row>
    <row r="39" spans="5:39">
      <c r="E39">
        <v>2080</v>
      </c>
      <c r="F39" s="61">
        <f>F20*('Demographic-Economic'!$C$12)</f>
        <v>5093490.646751509</v>
      </c>
      <c r="G39" s="61">
        <f>G20*('Demographic-Economic'!$D$12)</f>
        <v>3626351.79910343</v>
      </c>
      <c r="H39" s="61">
        <f>H20*('Demographic-Economic'!$E$12)</f>
        <v>4162722.4610950612</v>
      </c>
      <c r="I39" s="61">
        <f>I20*('Demographic-Economic'!$F$12)</f>
        <v>838755.79446433275</v>
      </c>
      <c r="J39" s="61">
        <f>J20*('Demographic-Economic'!$G$12)</f>
        <v>1019504.6959481497</v>
      </c>
      <c r="K39" s="61">
        <f>K20*('Demographic-Economic'!$H$12)</f>
        <v>271200.97599818581</v>
      </c>
      <c r="N39">
        <v>2080</v>
      </c>
      <c r="O39" s="61">
        <f>O20*('Demographic-Economic'!$C$12)</f>
        <v>5990062.6388602816</v>
      </c>
      <c r="P39" s="61">
        <f>P20*('Demographic-Economic'!$D$12)</f>
        <v>4264673.469269448</v>
      </c>
      <c r="Q39" s="61">
        <f>Q20*('Demographic-Economic'!$E$12)</f>
        <v>4895689.3544426709</v>
      </c>
      <c r="R39" s="61">
        <f>R20*('Demographic-Economic'!$F$12)</f>
        <v>986362.93618335191</v>
      </c>
      <c r="S39" s="61">
        <f>S20*('Demographic-Economic'!$G$12)</f>
        <v>1198670.5040133842</v>
      </c>
      <c r="T39" s="61">
        <f>T20*('Demographic-Economic'!$H$12)</f>
        <v>319046.00985682372</v>
      </c>
      <c r="W39">
        <v>2080</v>
      </c>
      <c r="X39" s="61">
        <f>X20*('Demographic-Economic'!C$12)</f>
        <v>7316702.3311547842</v>
      </c>
      <c r="Y39" s="61">
        <f>Y20*('Demographic-Economic'!D$12)</f>
        <v>5209185.3116505509</v>
      </c>
      <c r="Z39" s="61">
        <f>Z20*('Demographic-Economic'!E$12)</f>
        <v>5980273.6684402283</v>
      </c>
      <c r="AA39" s="61">
        <f>AA20*('Demographic-Economic'!F$12)</f>
        <v>1204763.0689053584</v>
      </c>
      <c r="AB39" s="61">
        <f>AB20*('Demographic-Economic'!G$12)</f>
        <v>1463755.8754180463</v>
      </c>
      <c r="AC39" s="61">
        <f>AC20*('Demographic-Economic'!H$12)</f>
        <v>389848.61352873204</v>
      </c>
      <c r="AG39">
        <v>2080</v>
      </c>
      <c r="AH39" s="61">
        <f>AH20*('Demographic-Economic'!C$12)</f>
        <v>5261302.8100324366</v>
      </c>
      <c r="AI39" s="61">
        <f>AI20*('Demographic-Economic'!D$12)</f>
        <v>3745827.0239403201</v>
      </c>
      <c r="AJ39" s="61">
        <f>AJ20*('Demographic-Economic'!E$12)</f>
        <v>4299893.2842661934</v>
      </c>
      <c r="AK39" s="61">
        <f>AK20*('Demographic-Economic'!F$12)</f>
        <v>866386.57507851697</v>
      </c>
      <c r="AL39" s="61">
        <f>AL20*('Demographic-Economic'!G$12)</f>
        <v>1053063.0006795845</v>
      </c>
      <c r="AM39" s="61">
        <f>AM20*('Demographic-Economic'!H$12)</f>
        <v>280147.45977471548</v>
      </c>
    </row>
    <row r="40" spans="5:39">
      <c r="E40">
        <v>2090</v>
      </c>
      <c r="F40" s="61">
        <f>F21*('Demographic-Economic'!$C$12)</f>
        <v>4799512.5165751362</v>
      </c>
      <c r="G40" s="61">
        <f>G21*('Demographic-Economic'!$D$12)</f>
        <v>3417051.6952655907</v>
      </c>
      <c r="H40" s="61">
        <f>H21*('Demographic-Economic'!$E$12)</f>
        <v>3922464.9539302266</v>
      </c>
      <c r="I40" s="61">
        <f>I21*('Demographic-Economic'!$F$12)</f>
        <v>790345.79879888822</v>
      </c>
      <c r="J40" s="61">
        <f>J21*('Demographic-Economic'!$G$12)</f>
        <v>960662.51776293654</v>
      </c>
      <c r="K40" s="61">
        <f>K21*('Demographic-Economic'!$H$12)</f>
        <v>255548.22205098812</v>
      </c>
      <c r="N40">
        <v>2090</v>
      </c>
      <c r="O40" s="61">
        <f>O21*('Demographic-Economic'!$C$12)</f>
        <v>5888212.4770943262</v>
      </c>
      <c r="P40" s="61">
        <f>P21*('Demographic-Economic'!$D$12)</f>
        <v>4192160.4240958975</v>
      </c>
      <c r="Q40" s="61">
        <f>Q21*('Demographic-Economic'!$E$12)</f>
        <v>4812447.0274808398</v>
      </c>
      <c r="R40" s="61">
        <f>R21*('Demographic-Economic'!$F$12)</f>
        <v>969591.62164675945</v>
      </c>
      <c r="S40" s="61">
        <f>S21*('Demographic-Economic'!$G$12)</f>
        <v>1178289.2839663981</v>
      </c>
      <c r="T40" s="61">
        <f>T21*('Demographic-Economic'!$H$12)</f>
        <v>313621.21053938573</v>
      </c>
      <c r="W40">
        <v>2090</v>
      </c>
      <c r="X40" s="61">
        <f>X21*('Demographic-Economic'!C$12)</f>
        <v>7631263.9103101939</v>
      </c>
      <c r="Y40" s="61">
        <f>Y21*('Demographic-Economic'!D$12)</f>
        <v>5433139.968213344</v>
      </c>
      <c r="Z40" s="61">
        <f>Z21*('Demographic-Economic'!E$12)</f>
        <v>6237379.1571951834</v>
      </c>
      <c r="AA40" s="61">
        <f>AA21*('Demographic-Economic'!F$12)</f>
        <v>1256558.5576803095</v>
      </c>
      <c r="AB40" s="61">
        <f>AB21*('Demographic-Economic'!G$12)</f>
        <v>1526686.0506294845</v>
      </c>
      <c r="AC40" s="61">
        <f>AC21*('Demographic-Economic'!H$12)</f>
        <v>406609.0870252382</v>
      </c>
      <c r="AG40">
        <v>2090</v>
      </c>
      <c r="AH40" s="61">
        <f>AH21*('Demographic-Economic'!C$12)</f>
        <v>5023902.5612870706</v>
      </c>
      <c r="AI40" s="61">
        <f>AI21*('Demographic-Economic'!D$12)</f>
        <v>3576807.9996893546</v>
      </c>
      <c r="AJ40" s="61">
        <f>AJ21*('Demographic-Economic'!E$12)</f>
        <v>4105873.7092444268</v>
      </c>
      <c r="AK40" s="61">
        <f>AK21*('Demographic-Economic'!F$12)</f>
        <v>827293.52230058401</v>
      </c>
      <c r="AL40" s="61">
        <f>AL21*('Demographic-Economic'!G$12)</f>
        <v>1005546.7433318471</v>
      </c>
      <c r="AM40" s="61">
        <f>AM21*('Demographic-Economic'!H$12)</f>
        <v>267506.65976049053</v>
      </c>
    </row>
    <row r="41" spans="5:39">
      <c r="E41">
        <v>2100</v>
      </c>
      <c r="F41" s="61">
        <f>F22*('Demographic-Economic'!$C$12)</f>
        <v>4448016.926146864</v>
      </c>
      <c r="G41" s="61">
        <f>G22*('Demographic-Economic'!$D$12)</f>
        <v>3166801.5711116525</v>
      </c>
      <c r="H41" s="61">
        <f>H22*('Demographic-Economic'!$E$12)</f>
        <v>3635200.5431896644</v>
      </c>
      <c r="I41" s="61">
        <f>I22*('Demographic-Economic'!$F$12)</f>
        <v>732464.28224237845</v>
      </c>
      <c r="J41" s="61">
        <f>J22*('Demographic-Economic'!$G$12)</f>
        <v>890307.73949800769</v>
      </c>
      <c r="K41" s="61">
        <f>K22*('Demographic-Economic'!$H$12)</f>
        <v>236832.97276629525</v>
      </c>
      <c r="N41">
        <v>2100</v>
      </c>
      <c r="O41" s="61">
        <f>O22*('Demographic-Economic'!$C$12)</f>
        <v>5748168.5046661366</v>
      </c>
      <c r="P41" s="61">
        <f>P22*('Demographic-Economic'!$D$12)</f>
        <v>4092454.9869822646</v>
      </c>
      <c r="Q41" s="61">
        <f>Q22*('Demographic-Economic'!$E$12)</f>
        <v>4697988.8279083222</v>
      </c>
      <c r="R41" s="61">
        <f>R22*('Demographic-Economic'!$F$12)</f>
        <v>946531.06415894453</v>
      </c>
      <c r="S41" s="61">
        <f>S22*('Demographic-Economic'!$G$12)</f>
        <v>1150265.1064017916</v>
      </c>
      <c r="T41" s="61">
        <f>T22*('Demographic-Economic'!$H$12)</f>
        <v>306162.11147790845</v>
      </c>
      <c r="W41">
        <v>2100</v>
      </c>
      <c r="X41" s="61">
        <f>X22*('Demographic-Economic'!C$12)</f>
        <v>7939534.2578824917</v>
      </c>
      <c r="Y41" s="61">
        <f>Y22*('Demographic-Economic'!D$12)</f>
        <v>5652615.5316448789</v>
      </c>
      <c r="Z41" s="61">
        <f>Z22*('Demographic-Economic'!E$12)</f>
        <v>6489342.5361750359</v>
      </c>
      <c r="AA41" s="61">
        <f>AA22*('Demographic-Economic'!F$12)</f>
        <v>1307318.1366797609</v>
      </c>
      <c r="AB41" s="61">
        <f>AB22*('Demographic-Economic'!G$12)</f>
        <v>1588357.6223366931</v>
      </c>
      <c r="AC41" s="61">
        <f>AC22*('Demographic-Economic'!H$12)</f>
        <v>423034.3510518141</v>
      </c>
      <c r="AG41">
        <v>2100</v>
      </c>
      <c r="AH41" s="61">
        <f>AH22*('Demographic-Economic'!C$12)</f>
        <v>4735172.5290291933</v>
      </c>
      <c r="AI41" s="61">
        <f>AI22*('Demographic-Economic'!D$12)</f>
        <v>3371244.3215462882</v>
      </c>
      <c r="AJ41" s="61">
        <f>AJ22*('Demographic-Economic'!E$12)</f>
        <v>3869903.9558395748</v>
      </c>
      <c r="AK41" s="61">
        <f>AK22*('Demographic-Economic'!F$12)</f>
        <v>779747.91757066536</v>
      </c>
      <c r="AL41" s="61">
        <f>AL22*('Demographic-Economic'!G$12)</f>
        <v>947756.70061162603</v>
      </c>
      <c r="AM41" s="61">
        <f>AM22*('Demographic-Economic'!H$12)</f>
        <v>252132.71379724392</v>
      </c>
    </row>
    <row r="42" spans="5:39">
      <c r="F42" s="581" t="s">
        <v>283</v>
      </c>
      <c r="G42" s="581"/>
      <c r="H42" s="581"/>
      <c r="I42" s="581"/>
      <c r="J42" s="581"/>
      <c r="K42" s="581"/>
      <c r="O42" s="581" t="s">
        <v>283</v>
      </c>
      <c r="P42" s="581"/>
      <c r="Q42" s="581"/>
      <c r="R42" s="581"/>
      <c r="S42" s="581"/>
      <c r="T42" s="581"/>
      <c r="X42" s="581" t="s">
        <v>283</v>
      </c>
      <c r="Y42" s="581"/>
      <c r="Z42" s="581"/>
      <c r="AA42" s="581"/>
      <c r="AB42" s="581"/>
      <c r="AC42" s="581"/>
      <c r="AH42" s="581" t="s">
        <v>283</v>
      </c>
      <c r="AI42" s="581"/>
      <c r="AJ42" s="581"/>
      <c r="AK42" s="581"/>
      <c r="AL42" s="581"/>
      <c r="AM42" s="581"/>
    </row>
    <row r="43" spans="5:39">
      <c r="E43">
        <v>2020</v>
      </c>
      <c r="F43" s="61">
        <f>F5-F24</f>
        <v>1437861.0240000002</v>
      </c>
      <c r="G43" s="61">
        <f>G5-G24</f>
        <v>728736.20400000038</v>
      </c>
      <c r="H43" s="61">
        <f t="shared" ref="H43:K58" si="0">H5-H24</f>
        <v>1073659.2599999998</v>
      </c>
      <c r="I43" s="61">
        <f t="shared" si="0"/>
        <v>221338.04399999999</v>
      </c>
      <c r="J43" s="61">
        <f t="shared" si="0"/>
        <v>304001.28000000003</v>
      </c>
      <c r="K43" s="61">
        <f t="shared" si="0"/>
        <v>53263.932000000001</v>
      </c>
      <c r="N43">
        <v>2020</v>
      </c>
      <c r="O43" s="61">
        <f>O5-O24</f>
        <v>1437861.0240000002</v>
      </c>
      <c r="P43" s="61">
        <f>P5-P24</f>
        <v>728736.20400000038</v>
      </c>
      <c r="Q43" s="61">
        <f t="shared" ref="Q43:T43" si="1">Q5-Q24</f>
        <v>1073659.2599999998</v>
      </c>
      <c r="R43" s="61">
        <f t="shared" si="1"/>
        <v>221338.04399999999</v>
      </c>
      <c r="S43" s="61">
        <f t="shared" si="1"/>
        <v>304001.28000000003</v>
      </c>
      <c r="T43" s="61">
        <f t="shared" si="1"/>
        <v>53263.932000000001</v>
      </c>
      <c r="W43">
        <v>2020</v>
      </c>
      <c r="X43" s="61">
        <f>X5-X24</f>
        <v>1437861.0240000002</v>
      </c>
      <c r="Y43" s="61">
        <f t="shared" ref="Y43:AC43" si="2">Y5-Y24</f>
        <v>728736.20400000038</v>
      </c>
      <c r="Z43" s="61">
        <f t="shared" si="2"/>
        <v>1073659.2599999998</v>
      </c>
      <c r="AA43" s="61">
        <f t="shared" si="2"/>
        <v>221338.04399999999</v>
      </c>
      <c r="AB43" s="61">
        <f t="shared" si="2"/>
        <v>304001.28000000003</v>
      </c>
      <c r="AC43" s="61">
        <f t="shared" si="2"/>
        <v>53263.932000000001</v>
      </c>
      <c r="AG43">
        <v>2020</v>
      </c>
      <c r="AH43" s="61">
        <f>AH5-AH24</f>
        <v>1437861.0240000002</v>
      </c>
      <c r="AI43" s="61">
        <f t="shared" ref="AI43:AM43" si="3">AI5-AI24</f>
        <v>728736.20400000038</v>
      </c>
      <c r="AJ43" s="61">
        <f t="shared" si="3"/>
        <v>1073659.2599999998</v>
      </c>
      <c r="AK43" s="61">
        <f t="shared" si="3"/>
        <v>221338.04399999999</v>
      </c>
      <c r="AL43" s="61">
        <f t="shared" si="3"/>
        <v>304001.28000000003</v>
      </c>
      <c r="AM43" s="61">
        <f t="shared" si="3"/>
        <v>53263.932000000001</v>
      </c>
    </row>
    <row r="44" spans="5:39">
      <c r="E44">
        <v>2021</v>
      </c>
      <c r="F44" s="61">
        <f t="shared" ref="F44:K59" si="4">F6-F25</f>
        <v>1446604.4709893446</v>
      </c>
      <c r="G44" s="61">
        <f t="shared" si="4"/>
        <v>732984.21691687917</v>
      </c>
      <c r="H44" s="61">
        <f t="shared" si="0"/>
        <v>1080877.7565444554</v>
      </c>
      <c r="I44" s="61">
        <f t="shared" si="0"/>
        <v>222946.39859734511</v>
      </c>
      <c r="J44" s="61">
        <f t="shared" si="0"/>
        <v>306073.48155645875</v>
      </c>
      <c r="K44" s="61">
        <f t="shared" si="0"/>
        <v>53635.376601551136</v>
      </c>
      <c r="N44">
        <v>2021</v>
      </c>
      <c r="O44" s="61">
        <f t="shared" ref="O44:T59" si="5">O6-O25</f>
        <v>1449779.8243574509</v>
      </c>
      <c r="P44" s="61">
        <f t="shared" si="5"/>
        <v>734593.14592866646</v>
      </c>
      <c r="Q44" s="61">
        <f t="shared" si="5"/>
        <v>1083250.3254764504</v>
      </c>
      <c r="R44" s="61">
        <f t="shared" si="5"/>
        <v>223435.77465824527</v>
      </c>
      <c r="S44" s="61">
        <f t="shared" si="5"/>
        <v>306745.32481426618</v>
      </c>
      <c r="T44" s="61">
        <f t="shared" si="5"/>
        <v>53753.108350040013</v>
      </c>
      <c r="W44">
        <v>2021</v>
      </c>
      <c r="X44" s="61">
        <f t="shared" ref="X44:AC59" si="6">X6-X25</f>
        <v>1452623.3283879301</v>
      </c>
      <c r="Y44" s="61">
        <f t="shared" si="6"/>
        <v>736033.9292366677</v>
      </c>
      <c r="Z44" s="61">
        <f t="shared" si="6"/>
        <v>1085374.9423422394</v>
      </c>
      <c r="AA44" s="61">
        <f t="shared" si="6"/>
        <v>223874.00708162424</v>
      </c>
      <c r="AB44" s="61">
        <f t="shared" si="6"/>
        <v>307346.95518101985</v>
      </c>
      <c r="AC44" s="61">
        <f t="shared" si="6"/>
        <v>53858.536207205761</v>
      </c>
      <c r="AG44">
        <v>2021</v>
      </c>
      <c r="AH44" s="61">
        <f t="shared" ref="AH44:AM59" si="7">AH6-AH25</f>
        <v>1447021.4366164766</v>
      </c>
      <c r="AI44" s="61">
        <f t="shared" si="7"/>
        <v>733195.49044037098</v>
      </c>
      <c r="AJ44" s="61">
        <f t="shared" si="7"/>
        <v>1081189.3060250832</v>
      </c>
      <c r="AK44" s="61">
        <f t="shared" si="7"/>
        <v>223010.66010542994</v>
      </c>
      <c r="AL44" s="61">
        <f t="shared" si="7"/>
        <v>306161.7034054473</v>
      </c>
      <c r="AM44" s="61">
        <f t="shared" si="7"/>
        <v>53650.83632733635</v>
      </c>
    </row>
    <row r="45" spans="5:39">
      <c r="E45">
        <v>2022</v>
      </c>
      <c r="F45" s="61">
        <f t="shared" si="4"/>
        <v>1455343.4563888805</v>
      </c>
      <c r="G45" s="61">
        <f t="shared" si="4"/>
        <v>737227.79963679053</v>
      </c>
      <c r="H45" s="61">
        <f t="shared" si="0"/>
        <v>1088125.3857082846</v>
      </c>
      <c r="I45" s="61">
        <f t="shared" si="0"/>
        <v>224539.23311559809</v>
      </c>
      <c r="J45" s="61">
        <f t="shared" si="0"/>
        <v>308140.18256693857</v>
      </c>
      <c r="K45" s="61">
        <f t="shared" si="0"/>
        <v>54007.420263821725</v>
      </c>
      <c r="N45">
        <v>2022</v>
      </c>
      <c r="O45" s="61">
        <f t="shared" si="5"/>
        <v>1461692.5754484087</v>
      </c>
      <c r="P45" s="61">
        <f t="shared" si="5"/>
        <v>740444.04873135313</v>
      </c>
      <c r="Q45" s="61">
        <f t="shared" si="5"/>
        <v>1092870.9574425942</v>
      </c>
      <c r="R45" s="61">
        <f t="shared" si="5"/>
        <v>225520.25990397728</v>
      </c>
      <c r="S45" s="61">
        <f t="shared" si="5"/>
        <v>309484.34147890285</v>
      </c>
      <c r="T45" s="61">
        <f t="shared" si="5"/>
        <v>54243.210858289181</v>
      </c>
      <c r="W45">
        <v>2022</v>
      </c>
      <c r="X45" s="61">
        <f t="shared" si="6"/>
        <v>1467378.1617573528</v>
      </c>
      <c r="Y45" s="61">
        <f t="shared" si="6"/>
        <v>743324.17456404725</v>
      </c>
      <c r="Z45" s="61">
        <f t="shared" si="6"/>
        <v>1097120.522363218</v>
      </c>
      <c r="AA45" s="61">
        <f t="shared" si="6"/>
        <v>226398.81652731914</v>
      </c>
      <c r="AB45" s="61">
        <f t="shared" si="6"/>
        <v>310688.01987720793</v>
      </c>
      <c r="AC45" s="61">
        <f t="shared" si="6"/>
        <v>54454.366175103205</v>
      </c>
      <c r="AG45">
        <v>2022</v>
      </c>
      <c r="AH45" s="61">
        <f t="shared" si="7"/>
        <v>1456177.1791603314</v>
      </c>
      <c r="AI45" s="61">
        <f t="shared" si="7"/>
        <v>737650.13541025063</v>
      </c>
      <c r="AJ45" s="61">
        <f t="shared" si="7"/>
        <v>1088748.5453776079</v>
      </c>
      <c r="AK45" s="61">
        <f t="shared" si="7"/>
        <v>224668.05125356279</v>
      </c>
      <c r="AL45" s="61">
        <f t="shared" si="7"/>
        <v>308316.68864608859</v>
      </c>
      <c r="AM45" s="61">
        <f t="shared" si="7"/>
        <v>54038.382231834024</v>
      </c>
    </row>
    <row r="46" spans="5:39">
      <c r="E46">
        <v>2023</v>
      </c>
      <c r="F46" s="61">
        <f t="shared" si="4"/>
        <v>1464077.9818829373</v>
      </c>
      <c r="G46" s="61">
        <f t="shared" si="4"/>
        <v>741466.95552792773</v>
      </c>
      <c r="H46" s="61">
        <f t="shared" si="0"/>
        <v>1095399.8844832415</v>
      </c>
      <c r="I46" s="61">
        <f t="shared" si="0"/>
        <v>226118.27473853552</v>
      </c>
      <c r="J46" s="61">
        <f t="shared" si="0"/>
        <v>310202.04233370244</v>
      </c>
      <c r="K46" s="61">
        <f t="shared" si="0"/>
        <v>54380.039629447972</v>
      </c>
      <c r="N46">
        <v>2023</v>
      </c>
      <c r="O46" s="61">
        <f t="shared" si="5"/>
        <v>1473599.2795525817</v>
      </c>
      <c r="P46" s="61">
        <f t="shared" si="5"/>
        <v>746288.91698295018</v>
      </c>
      <c r="Q46" s="61">
        <f t="shared" si="5"/>
        <v>1102519.8788532303</v>
      </c>
      <c r="R46" s="61">
        <f t="shared" si="5"/>
        <v>227592.46083516104</v>
      </c>
      <c r="S46" s="61">
        <f t="shared" si="5"/>
        <v>312218.7371823031</v>
      </c>
      <c r="T46" s="61">
        <f t="shared" si="5"/>
        <v>54734.208057510958</v>
      </c>
      <c r="W46">
        <v>2023</v>
      </c>
      <c r="X46" s="61">
        <f t="shared" si="6"/>
        <v>1482125.5269211326</v>
      </c>
      <c r="Y46" s="61">
        <f t="shared" si="6"/>
        <v>750606.94563761679</v>
      </c>
      <c r="Z46" s="61">
        <f t="shared" si="6"/>
        <v>1108895.5634185933</v>
      </c>
      <c r="AA46" s="61">
        <f t="shared" si="6"/>
        <v>228912.79852740956</v>
      </c>
      <c r="AB46" s="61">
        <f t="shared" si="6"/>
        <v>314024.63135972212</v>
      </c>
      <c r="AC46" s="61">
        <f t="shared" si="6"/>
        <v>55051.394418514625</v>
      </c>
      <c r="AG46">
        <v>2023</v>
      </c>
      <c r="AH46" s="61">
        <f t="shared" si="7"/>
        <v>1465328.2533940738</v>
      </c>
      <c r="AI46" s="61">
        <f t="shared" si="7"/>
        <v>742100.14243628783</v>
      </c>
      <c r="AJ46" s="61">
        <f t="shared" si="7"/>
        <v>1096334.8470176957</v>
      </c>
      <c r="AK46" s="61">
        <f t="shared" si="7"/>
        <v>226311.84097962442</v>
      </c>
      <c r="AL46" s="61">
        <f t="shared" si="7"/>
        <v>310466.86342989479</v>
      </c>
      <c r="AM46" s="61">
        <f t="shared" si="7"/>
        <v>54426.544601693196</v>
      </c>
    </row>
    <row r="47" spans="5:39">
      <c r="E47">
        <v>2024</v>
      </c>
      <c r="F47" s="61">
        <f t="shared" si="4"/>
        <v>1472808.0491552809</v>
      </c>
      <c r="G47" s="61">
        <f t="shared" si="4"/>
        <v>745701.68795622373</v>
      </c>
      <c r="H47" s="61">
        <f t="shared" si="0"/>
        <v>1102699.3283157111</v>
      </c>
      <c r="I47" s="61">
        <f t="shared" si="0"/>
        <v>227684.99211099173</v>
      </c>
      <c r="J47" s="61">
        <f t="shared" si="0"/>
        <v>312259.62087126286</v>
      </c>
      <c r="K47" s="61">
        <f t="shared" si="0"/>
        <v>54753.214809721365</v>
      </c>
      <c r="N47">
        <v>2024</v>
      </c>
      <c r="O47" s="61">
        <f t="shared" si="5"/>
        <v>1485499.9389489172</v>
      </c>
      <c r="P47" s="61">
        <f t="shared" si="5"/>
        <v>752127.75525528379</v>
      </c>
      <c r="Q47" s="61">
        <f t="shared" si="5"/>
        <v>1112195.9204266248</v>
      </c>
      <c r="R47" s="61">
        <f t="shared" si="5"/>
        <v>229653.25696487783</v>
      </c>
      <c r="S47" s="61">
        <f t="shared" si="5"/>
        <v>314948.88428004866</v>
      </c>
      <c r="T47" s="61">
        <f t="shared" si="5"/>
        <v>55226.071329097031</v>
      </c>
      <c r="W47">
        <v>2024</v>
      </c>
      <c r="X47" s="61">
        <f t="shared" si="6"/>
        <v>1496865.426691195</v>
      </c>
      <c r="Y47" s="61">
        <f t="shared" si="6"/>
        <v>757882.24810906965</v>
      </c>
      <c r="Z47" s="61">
        <f t="shared" si="6"/>
        <v>1120699.5980684818</v>
      </c>
      <c r="AA47" s="61">
        <f t="shared" si="6"/>
        <v>231416.30101600173</v>
      </c>
      <c r="AB47" s="61">
        <f t="shared" si="6"/>
        <v>317356.95716492017</v>
      </c>
      <c r="AC47" s="61">
        <f t="shared" si="6"/>
        <v>55649.5936603343</v>
      </c>
      <c r="AG47">
        <v>2024</v>
      </c>
      <c r="AH47" s="61">
        <f t="shared" si="7"/>
        <v>1474474.6610796265</v>
      </c>
      <c r="AI47" s="61">
        <f t="shared" si="7"/>
        <v>746545.51504276507</v>
      </c>
      <c r="AJ47" s="61">
        <f t="shared" si="7"/>
        <v>1103946.3837066982</v>
      </c>
      <c r="AK47" s="61">
        <f t="shared" si="7"/>
        <v>227943.42112203059</v>
      </c>
      <c r="AL47" s="61">
        <f t="shared" si="7"/>
        <v>312612.76531231054</v>
      </c>
      <c r="AM47" s="61">
        <f t="shared" si="7"/>
        <v>54815.301888761373</v>
      </c>
    </row>
    <row r="48" spans="5:39">
      <c r="E48">
        <v>2025</v>
      </c>
      <c r="F48" s="61">
        <f t="shared" si="4"/>
        <v>1481533.6598891141</v>
      </c>
      <c r="G48" s="61">
        <f t="shared" si="4"/>
        <v>749932.00028535305</v>
      </c>
      <c r="H48" s="61">
        <f t="shared" si="0"/>
        <v>1110022.0678124269</v>
      </c>
      <c r="I48" s="61">
        <f t="shared" si="0"/>
        <v>229240.64368733938</v>
      </c>
      <c r="J48" s="61">
        <f t="shared" si="0"/>
        <v>314313.39747490012</v>
      </c>
      <c r="K48" s="61">
        <f t="shared" si="0"/>
        <v>55126.92873650504</v>
      </c>
      <c r="N48">
        <v>2025</v>
      </c>
      <c r="O48" s="61">
        <f t="shared" si="5"/>
        <v>1497394.5559155997</v>
      </c>
      <c r="P48" s="61">
        <f t="shared" si="5"/>
        <v>757960.56811711565</v>
      </c>
      <c r="Q48" s="61">
        <f t="shared" si="5"/>
        <v>1121898.010509463</v>
      </c>
      <c r="R48" s="61">
        <f t="shared" si="5"/>
        <v>231703.45392219152</v>
      </c>
      <c r="S48" s="61">
        <f t="shared" si="5"/>
        <v>317675.12356878154</v>
      </c>
      <c r="T48" s="61">
        <f t="shared" si="5"/>
        <v>55718.774614995113</v>
      </c>
      <c r="W48">
        <v>2025</v>
      </c>
      <c r="X48" s="61">
        <f t="shared" si="6"/>
        <v>1511597.8638785277</v>
      </c>
      <c r="Y48" s="61">
        <f t="shared" si="6"/>
        <v>765150.08762631472</v>
      </c>
      <c r="Z48" s="61">
        <f t="shared" si="6"/>
        <v>1132532.136329473</v>
      </c>
      <c r="AA48" s="61">
        <f t="shared" si="6"/>
        <v>233909.68765970867</v>
      </c>
      <c r="AB48" s="61">
        <f t="shared" si="6"/>
        <v>320685.17217756214</v>
      </c>
      <c r="AC48" s="61">
        <f t="shared" si="6"/>
        <v>56248.937042693899</v>
      </c>
      <c r="AG48">
        <v>2025</v>
      </c>
      <c r="AH48" s="61">
        <f t="shared" si="7"/>
        <v>1483616.4039783208</v>
      </c>
      <c r="AI48" s="61">
        <f t="shared" si="7"/>
        <v>750986.25675159972</v>
      </c>
      <c r="AJ48" s="61">
        <f t="shared" si="7"/>
        <v>1111581.5778704323</v>
      </c>
      <c r="AK48" s="61">
        <f t="shared" si="7"/>
        <v>229563.99311068747</v>
      </c>
      <c r="AL48" s="61">
        <f t="shared" si="7"/>
        <v>314754.85776137153</v>
      </c>
      <c r="AM48" s="61">
        <f t="shared" si="7"/>
        <v>55204.635473597038</v>
      </c>
    </row>
    <row r="49" spans="5:39">
      <c r="E49">
        <v>2026</v>
      </c>
      <c r="F49" s="61">
        <f t="shared" si="4"/>
        <v>1490254.8157670777</v>
      </c>
      <c r="G49" s="61">
        <f t="shared" si="4"/>
        <v>754157.89587673079</v>
      </c>
      <c r="H49" s="61">
        <f t="shared" si="0"/>
        <v>1117366.6794759883</v>
      </c>
      <c r="I49" s="61">
        <f t="shared" si="0"/>
        <v>230786.31536335207</v>
      </c>
      <c r="J49" s="61">
        <f t="shared" si="0"/>
        <v>316363.78517328831</v>
      </c>
      <c r="K49" s="61">
        <f t="shared" si="0"/>
        <v>55501.166657568945</v>
      </c>
      <c r="N49">
        <v>2026</v>
      </c>
      <c r="O49" s="61">
        <f t="shared" si="5"/>
        <v>1509283.1327300528</v>
      </c>
      <c r="P49" s="61">
        <f t="shared" si="5"/>
        <v>763787.36013414711</v>
      </c>
      <c r="Q49" s="61">
        <f t="shared" si="5"/>
        <v>1131625.1659321846</v>
      </c>
      <c r="R49" s="61">
        <f t="shared" si="5"/>
        <v>233743.79039700818</v>
      </c>
      <c r="S49" s="61">
        <f t="shared" si="5"/>
        <v>320397.76724052301</v>
      </c>
      <c r="T49" s="61">
        <f t="shared" si="5"/>
        <v>56212.294160278456</v>
      </c>
      <c r="W49">
        <v>2026</v>
      </c>
      <c r="X49" s="61">
        <f t="shared" si="6"/>
        <v>1526322.8412931766</v>
      </c>
      <c r="Y49" s="61">
        <f t="shared" si="6"/>
        <v>772410.46983348019</v>
      </c>
      <c r="Z49" s="61">
        <f t="shared" si="6"/>
        <v>1144392.6729409765</v>
      </c>
      <c r="AA49" s="61">
        <f t="shared" si="6"/>
        <v>236393.33257389138</v>
      </c>
      <c r="AB49" s="61">
        <f t="shared" si="6"/>
        <v>324009.45607106027</v>
      </c>
      <c r="AC49" s="61">
        <f t="shared" si="6"/>
        <v>56849.398299163557</v>
      </c>
      <c r="AG49">
        <v>2026</v>
      </c>
      <c r="AH49" s="61">
        <f t="shared" si="7"/>
        <v>1492753.4838508982</v>
      </c>
      <c r="AI49" s="61">
        <f t="shared" si="7"/>
        <v>755422.37108234735</v>
      </c>
      <c r="AJ49" s="61">
        <f t="shared" si="7"/>
        <v>1119239.0589072928</v>
      </c>
      <c r="AK49" s="61">
        <f t="shared" si="7"/>
        <v>231174.60052686511</v>
      </c>
      <c r="AL49" s="61">
        <f t="shared" si="7"/>
        <v>316893.54282659839</v>
      </c>
      <c r="AM49" s="61">
        <f t="shared" si="7"/>
        <v>55594.529164570733</v>
      </c>
    </row>
    <row r="50" spans="5:39">
      <c r="E50">
        <v>2027</v>
      </c>
      <c r="F50" s="61">
        <f t="shared" si="4"/>
        <v>1498971.5184712494</v>
      </c>
      <c r="G50" s="61">
        <f t="shared" si="4"/>
        <v>758379.37808951689</v>
      </c>
      <c r="H50" s="61">
        <f t="shared" si="0"/>
        <v>1124731.9269114449</v>
      </c>
      <c r="I50" s="61">
        <f t="shared" si="0"/>
        <v>232322.95010968507</v>
      </c>
      <c r="J50" s="61">
        <f t="shared" si="0"/>
        <v>318411.1421092602</v>
      </c>
      <c r="K50" s="61">
        <f t="shared" si="0"/>
        <v>55875.915739022719</v>
      </c>
      <c r="N50">
        <v>2027</v>
      </c>
      <c r="O50" s="61">
        <f t="shared" si="5"/>
        <v>1521165.6716689384</v>
      </c>
      <c r="P50" s="61">
        <f t="shared" si="5"/>
        <v>769608.1358690192</v>
      </c>
      <c r="Q50" s="61">
        <f t="shared" si="5"/>
        <v>1141376.4837648384</v>
      </c>
      <c r="R50" s="61">
        <f t="shared" si="5"/>
        <v>235774.94439810526</v>
      </c>
      <c r="S50" s="61">
        <f t="shared" si="5"/>
        <v>323117.10154637473</v>
      </c>
      <c r="T50" s="61">
        <f t="shared" si="5"/>
        <v>56706.608283161535</v>
      </c>
      <c r="W50">
        <v>2027</v>
      </c>
      <c r="X50" s="61">
        <f t="shared" si="6"/>
        <v>1541040.361744252</v>
      </c>
      <c r="Y50" s="61">
        <f t="shared" si="6"/>
        <v>779663.40037091635</v>
      </c>
      <c r="Z50" s="61">
        <f t="shared" si="6"/>
        <v>1156280.693681445</v>
      </c>
      <c r="AA50" s="61">
        <f t="shared" si="6"/>
        <v>238867.61573861632</v>
      </c>
      <c r="AB50" s="61">
        <f t="shared" si="6"/>
        <v>327329.99109047523</v>
      </c>
      <c r="AC50" s="61">
        <f t="shared" si="6"/>
        <v>57450.951891670411</v>
      </c>
      <c r="AG50">
        <v>2027</v>
      </c>
      <c r="AH50" s="61">
        <f t="shared" si="7"/>
        <v>1501885.9024575148</v>
      </c>
      <c r="AI50" s="61">
        <f t="shared" si="7"/>
        <v>759853.86155219981</v>
      </c>
      <c r="AJ50" s="61">
        <f t="shared" si="7"/>
        <v>1126917.6291687246</v>
      </c>
      <c r="AK50" s="61">
        <f t="shared" si="7"/>
        <v>232776.15504902939</v>
      </c>
      <c r="AL50" s="61">
        <f t="shared" si="7"/>
        <v>319029.17123441165</v>
      </c>
      <c r="AM50" s="61">
        <f t="shared" si="7"/>
        <v>55984.968798583548</v>
      </c>
    </row>
    <row r="51" spans="5:39">
      <c r="E51">
        <v>2028</v>
      </c>
      <c r="F51" s="61">
        <f t="shared" si="4"/>
        <v>1507683.7696831422</v>
      </c>
      <c r="G51" s="61">
        <f t="shared" si="4"/>
        <v>762596.45028061653</v>
      </c>
      <c r="H51" s="61">
        <f t="shared" si="0"/>
        <v>1132116.7299530813</v>
      </c>
      <c r="I51" s="61">
        <f t="shared" si="0"/>
        <v>233851.37155541161</v>
      </c>
      <c r="J51" s="61">
        <f t="shared" si="0"/>
        <v>320455.78059706336</v>
      </c>
      <c r="K51" s="61">
        <f t="shared" si="0"/>
        <v>56251.164748795971</v>
      </c>
      <c r="N51">
        <v>2028</v>
      </c>
      <c r="O51" s="61">
        <f t="shared" si="5"/>
        <v>1533042.1750081582</v>
      </c>
      <c r="P51" s="61">
        <f t="shared" si="5"/>
        <v>775422.89988131681</v>
      </c>
      <c r="Q51" s="61">
        <f t="shared" si="5"/>
        <v>1151151.1338885454</v>
      </c>
      <c r="R51" s="61">
        <f t="shared" si="5"/>
        <v>237797.53888956166</v>
      </c>
      <c r="S51" s="61">
        <f t="shared" si="5"/>
        <v>325833.38919695769</v>
      </c>
      <c r="T51" s="61">
        <f t="shared" si="5"/>
        <v>57201.697169542836</v>
      </c>
      <c r="W51">
        <v>2028</v>
      </c>
      <c r="X51" s="61">
        <f t="shared" si="6"/>
        <v>1555750.4280399252</v>
      </c>
      <c r="Y51" s="61">
        <f t="shared" si="6"/>
        <v>786908.88487519836</v>
      </c>
      <c r="Z51" s="61">
        <f t="shared" si="6"/>
        <v>1168195.6807880262</v>
      </c>
      <c r="AA51" s="61">
        <f t="shared" si="6"/>
        <v>241332.9190735867</v>
      </c>
      <c r="AB51" s="61">
        <f t="shared" si="6"/>
        <v>330646.96015775378</v>
      </c>
      <c r="AC51" s="61">
        <f t="shared" si="6"/>
        <v>58053.573115996842</v>
      </c>
      <c r="AG51">
        <v>2028</v>
      </c>
      <c r="AH51" s="61">
        <f t="shared" si="7"/>
        <v>1511013.6615577349</v>
      </c>
      <c r="AI51" s="61">
        <f t="shared" si="7"/>
        <v>764280.73167598946</v>
      </c>
      <c r="AJ51" s="61">
        <f t="shared" si="7"/>
        <v>1134616.2365905279</v>
      </c>
      <c r="AK51" s="61">
        <f t="shared" si="7"/>
        <v>234369.45732631197</v>
      </c>
      <c r="AL51" s="61">
        <f t="shared" si="7"/>
        <v>321162.05050994758</v>
      </c>
      <c r="AM51" s="61">
        <f t="shared" si="7"/>
        <v>56375.941919752338</v>
      </c>
    </row>
    <row r="52" spans="5:39">
      <c r="E52">
        <v>2029</v>
      </c>
      <c r="F52" s="61">
        <f t="shared" si="4"/>
        <v>1516391.5710837087</v>
      </c>
      <c r="G52" s="61">
        <f t="shared" si="4"/>
        <v>766809.11580468062</v>
      </c>
      <c r="H52" s="61">
        <f t="shared" si="0"/>
        <v>1139520.1398553788</v>
      </c>
      <c r="I52" s="61">
        <f t="shared" si="0"/>
        <v>235372.30293931067</v>
      </c>
      <c r="J52" s="61">
        <f t="shared" si="0"/>
        <v>322497.97440060275</v>
      </c>
      <c r="K52" s="61">
        <f t="shared" si="0"/>
        <v>56626.903802202898</v>
      </c>
      <c r="N52">
        <v>2029</v>
      </c>
      <c r="O52" s="61">
        <f t="shared" si="5"/>
        <v>1544912.6450228542</v>
      </c>
      <c r="P52" s="61">
        <f t="shared" si="5"/>
        <v>781231.65672756778</v>
      </c>
      <c r="Q52" s="61">
        <f t="shared" si="5"/>
        <v>1160948.3523034435</v>
      </c>
      <c r="R52" s="61">
        <f t="shared" si="5"/>
        <v>239812.14686625928</v>
      </c>
      <c r="S52" s="61">
        <f t="shared" si="5"/>
        <v>328546.87152508937</v>
      </c>
      <c r="T52" s="61">
        <f t="shared" si="5"/>
        <v>57697.542689425871</v>
      </c>
      <c r="W52">
        <v>2029</v>
      </c>
      <c r="X52" s="61">
        <f t="shared" si="6"/>
        <v>1570453.0429874267</v>
      </c>
      <c r="Y52" s="61">
        <f t="shared" si="6"/>
        <v>794146.92897912534</v>
      </c>
      <c r="Z52" s="61">
        <f t="shared" si="6"/>
        <v>1180137.1175452126</v>
      </c>
      <c r="AA52" s="61">
        <f t="shared" si="6"/>
        <v>243789.62312277954</v>
      </c>
      <c r="AB52" s="61">
        <f t="shared" si="6"/>
        <v>333960.54527465929</v>
      </c>
      <c r="AC52" s="61">
        <f t="shared" si="6"/>
        <v>58657.238179723732</v>
      </c>
      <c r="AG52">
        <v>2029</v>
      </c>
      <c r="AH52" s="61">
        <f t="shared" si="7"/>
        <v>1520136.7629105374</v>
      </c>
      <c r="AI52" s="61">
        <f t="shared" si="7"/>
        <v>768702.98496619007</v>
      </c>
      <c r="AJ52" s="61">
        <f t="shared" si="7"/>
        <v>1142333.9524810757</v>
      </c>
      <c r="AK52" s="61">
        <f t="shared" si="7"/>
        <v>235955.21391894959</v>
      </c>
      <c r="AL52" s="61">
        <f t="shared" si="7"/>
        <v>323292.45156859281</v>
      </c>
      <c r="AM52" s="61">
        <f t="shared" si="7"/>
        <v>56767.437518573541</v>
      </c>
    </row>
    <row r="53" spans="5:39">
      <c r="E53">
        <v>2030</v>
      </c>
      <c r="F53" s="61">
        <f t="shared" si="4"/>
        <v>1525094.9243533406</v>
      </c>
      <c r="G53" s="61">
        <f t="shared" si="4"/>
        <v>771017.3780141077</v>
      </c>
      <c r="H53" s="61">
        <f t="shared" si="0"/>
        <v>1146941.3191791652</v>
      </c>
      <c r="I53" s="61">
        <f t="shared" si="0"/>
        <v>236886.38247461594</v>
      </c>
      <c r="J53" s="61">
        <f t="shared" si="0"/>
        <v>324537.96463429357</v>
      </c>
      <c r="K53" s="61">
        <f t="shared" si="0"/>
        <v>57003.124155596714</v>
      </c>
      <c r="N53">
        <v>2030</v>
      </c>
      <c r="O53" s="61">
        <f t="shared" si="5"/>
        <v>1556777.0839874083</v>
      </c>
      <c r="P53" s="61">
        <f t="shared" si="5"/>
        <v>787034.41096124845</v>
      </c>
      <c r="Q53" s="61">
        <f t="shared" si="5"/>
        <v>1170767.4351001615</v>
      </c>
      <c r="R53" s="61">
        <f t="shared" si="5"/>
        <v>241819.2959243349</v>
      </c>
      <c r="S53" s="61">
        <f t="shared" si="5"/>
        <v>331257.77043422055</v>
      </c>
      <c r="T53" s="61">
        <f t="shared" si="5"/>
        <v>58194.128232832241</v>
      </c>
      <c r="W53">
        <v>2030</v>
      </c>
      <c r="X53" s="61">
        <f t="shared" si="6"/>
        <v>1585148.2093930533</v>
      </c>
      <c r="Y53" s="61">
        <f t="shared" si="6"/>
        <v>801377.53831172781</v>
      </c>
      <c r="Z53" s="61">
        <f t="shared" si="6"/>
        <v>1192104.492115018</v>
      </c>
      <c r="AA53" s="61">
        <f t="shared" si="6"/>
        <v>246238.1042946442</v>
      </c>
      <c r="AB53" s="61">
        <f t="shared" si="6"/>
        <v>337270.92619657097</v>
      </c>
      <c r="AC53" s="61">
        <f t="shared" si="6"/>
        <v>59261.924256358645</v>
      </c>
      <c r="AG53">
        <v>2030</v>
      </c>
      <c r="AH53" s="61">
        <f t="shared" si="7"/>
        <v>1529255.2082743086</v>
      </c>
      <c r="AI53" s="61">
        <f t="shared" si="7"/>
        <v>773120.62493291823</v>
      </c>
      <c r="AJ53" s="61">
        <f t="shared" si="7"/>
        <v>1150069.953348713</v>
      </c>
      <c r="AK53" s="61">
        <f t="shared" si="7"/>
        <v>237534.05115812586</v>
      </c>
      <c r="AL53" s="61">
        <f t="shared" si="7"/>
        <v>325420.61410891858</v>
      </c>
      <c r="AM53" s="61">
        <f t="shared" si="7"/>
        <v>57159.445818477136</v>
      </c>
    </row>
    <row r="54" spans="5:39">
      <c r="E54">
        <v>2040</v>
      </c>
      <c r="F54" s="61">
        <f t="shared" si="4"/>
        <v>1583567.9341546176</v>
      </c>
      <c r="G54" s="61">
        <f t="shared" si="4"/>
        <v>798572.161604302</v>
      </c>
      <c r="H54" s="61">
        <f t="shared" si="0"/>
        <v>1200189.7100506397</v>
      </c>
      <c r="I54" s="61">
        <f t="shared" si="0"/>
        <v>247589.51771876763</v>
      </c>
      <c r="J54" s="61">
        <f t="shared" si="0"/>
        <v>338914.78831162816</v>
      </c>
      <c r="K54" s="61">
        <f t="shared" si="0"/>
        <v>59722.156489508983</v>
      </c>
      <c r="N54">
        <v>2040</v>
      </c>
      <c r="O54" s="61">
        <f t="shared" si="5"/>
        <v>1652525.4711657017</v>
      </c>
      <c r="P54" s="61">
        <f t="shared" si="5"/>
        <v>833346.52663288452</v>
      </c>
      <c r="Q54" s="61">
        <f t="shared" si="5"/>
        <v>1252512.0351020368</v>
      </c>
      <c r="R54" s="61">
        <f t="shared" si="5"/>
        <v>258362.26149236632</v>
      </c>
      <c r="S54" s="61">
        <f t="shared" si="5"/>
        <v>353587.35042041424</v>
      </c>
      <c r="T54" s="61">
        <f t="shared" si="5"/>
        <v>62343.784598310769</v>
      </c>
      <c r="W54">
        <v>2040</v>
      </c>
      <c r="X54" s="61">
        <f t="shared" si="6"/>
        <v>1720537.7482881583</v>
      </c>
      <c r="Y54" s="61">
        <f t="shared" si="6"/>
        <v>867644.20972300414</v>
      </c>
      <c r="Z54" s="61">
        <f t="shared" si="6"/>
        <v>1304130.7453814968</v>
      </c>
      <c r="AA54" s="61">
        <f t="shared" si="6"/>
        <v>268983.72216715477</v>
      </c>
      <c r="AB54" s="61">
        <f t="shared" si="6"/>
        <v>368042.1615523675</v>
      </c>
      <c r="AC54" s="61">
        <f t="shared" si="6"/>
        <v>64933.357513743278</v>
      </c>
      <c r="AG54">
        <v>2040</v>
      </c>
      <c r="AH54" s="61">
        <f t="shared" si="7"/>
        <v>1591755.2037429111</v>
      </c>
      <c r="AI54" s="61">
        <f t="shared" si="7"/>
        <v>802700.89232165553</v>
      </c>
      <c r="AJ54" s="61">
        <f t="shared" si="7"/>
        <v>1206401.6267492222</v>
      </c>
      <c r="AK54" s="61">
        <f t="shared" si="7"/>
        <v>248868.67110871617</v>
      </c>
      <c r="AL54" s="61">
        <f t="shared" si="7"/>
        <v>340657.0939297243</v>
      </c>
      <c r="AM54" s="61">
        <f t="shared" si="7"/>
        <v>60033.369001182145</v>
      </c>
    </row>
    <row r="55" spans="5:39">
      <c r="E55">
        <v>2050</v>
      </c>
      <c r="F55" s="61">
        <f t="shared" si="4"/>
        <v>1609992.1905052308</v>
      </c>
      <c r="G55" s="61">
        <f t="shared" si="4"/>
        <v>811897.56120198965</v>
      </c>
      <c r="H55" s="61">
        <f t="shared" si="0"/>
        <v>1220216.7135556564</v>
      </c>
      <c r="I55" s="61">
        <f t="shared" si="0"/>
        <v>251720.92802635126</v>
      </c>
      <c r="J55" s="61">
        <f t="shared" si="0"/>
        <v>344570.10063148849</v>
      </c>
      <c r="K55" s="61">
        <f t="shared" si="0"/>
        <v>60718.712140108692</v>
      </c>
      <c r="N55">
        <v>2050</v>
      </c>
      <c r="O55" s="61">
        <f t="shared" si="5"/>
        <v>1723965.7076893616</v>
      </c>
      <c r="P55" s="61">
        <f t="shared" si="5"/>
        <v>869372.88387071108</v>
      </c>
      <c r="Q55" s="61">
        <f t="shared" si="5"/>
        <v>1306659.3130700421</v>
      </c>
      <c r="R55" s="61">
        <f t="shared" si="5"/>
        <v>269531.50601649599</v>
      </c>
      <c r="S55" s="61">
        <f t="shared" si="5"/>
        <v>368873.26545565412</v>
      </c>
      <c r="T55" s="61">
        <f t="shared" si="5"/>
        <v>65038.965274915798</v>
      </c>
      <c r="W55">
        <v>2050</v>
      </c>
      <c r="X55" s="61">
        <f t="shared" si="6"/>
        <v>1850599.9970788397</v>
      </c>
      <c r="Y55" s="61">
        <f t="shared" si="6"/>
        <v>933232.86488565058</v>
      </c>
      <c r="Z55" s="61">
        <f t="shared" si="6"/>
        <v>1402715.1429805309</v>
      </c>
      <c r="AA55" s="61">
        <f t="shared" si="6"/>
        <v>289317.26487957465</v>
      </c>
      <c r="AB55" s="61">
        <f t="shared" si="6"/>
        <v>395863.92322479258</v>
      </c>
      <c r="AC55" s="61">
        <f t="shared" si="6"/>
        <v>69841.9266562509</v>
      </c>
      <c r="AG55">
        <v>2050</v>
      </c>
      <c r="AH55" s="61">
        <f t="shared" si="7"/>
        <v>1625864.2438231157</v>
      </c>
      <c r="AI55" s="61">
        <f t="shared" si="7"/>
        <v>819901.62572854804</v>
      </c>
      <c r="AJ55" s="61">
        <f t="shared" si="7"/>
        <v>1232253.0901795626</v>
      </c>
      <c r="AK55" s="61">
        <f t="shared" si="7"/>
        <v>254201.57120390283</v>
      </c>
      <c r="AL55" s="61">
        <f t="shared" si="7"/>
        <v>347956.88879964687</v>
      </c>
      <c r="AM55" s="61">
        <f t="shared" si="7"/>
        <v>61319.798336921784</v>
      </c>
    </row>
    <row r="56" spans="5:39">
      <c r="E56">
        <v>2060</v>
      </c>
      <c r="F56" s="61">
        <f t="shared" si="4"/>
        <v>1602442.402976484</v>
      </c>
      <c r="G56" s="61">
        <f t="shared" si="4"/>
        <v>808090.30417407909</v>
      </c>
      <c r="H56" s="61">
        <f t="shared" si="0"/>
        <v>1214494.7125542229</v>
      </c>
      <c r="I56" s="61">
        <f t="shared" si="0"/>
        <v>250540.52508132742</v>
      </c>
      <c r="J56" s="61">
        <f t="shared" si="0"/>
        <v>342954.29711152846</v>
      </c>
      <c r="K56" s="61">
        <f t="shared" si="0"/>
        <v>60433.981954223069</v>
      </c>
      <c r="N56">
        <v>2060</v>
      </c>
      <c r="O56" s="61">
        <f t="shared" si="5"/>
        <v>1763445.8383998051</v>
      </c>
      <c r="P56" s="61">
        <f t="shared" si="5"/>
        <v>889282.18655477371</v>
      </c>
      <c r="Q56" s="61">
        <f t="shared" si="5"/>
        <v>1336582.8087892039</v>
      </c>
      <c r="R56" s="61">
        <f t="shared" si="5"/>
        <v>275703.98325351498</v>
      </c>
      <c r="S56" s="61">
        <f t="shared" si="5"/>
        <v>377320.74481723388</v>
      </c>
      <c r="T56" s="61">
        <f t="shared" si="5"/>
        <v>66528.407227776421</v>
      </c>
      <c r="W56">
        <v>2060</v>
      </c>
      <c r="X56" s="61">
        <f t="shared" si="6"/>
        <v>1963939.9567392915</v>
      </c>
      <c r="Y56" s="61">
        <f t="shared" si="6"/>
        <v>990388.69295595586</v>
      </c>
      <c r="Z56" s="61">
        <f t="shared" si="6"/>
        <v>1488624.4037454026</v>
      </c>
      <c r="AA56" s="61">
        <f t="shared" si="6"/>
        <v>307036.49495754065</v>
      </c>
      <c r="AB56" s="61">
        <f t="shared" si="6"/>
        <v>420108.60125362035</v>
      </c>
      <c r="AC56" s="61">
        <f t="shared" si="6"/>
        <v>74119.394051864685</v>
      </c>
      <c r="AG56">
        <v>2060</v>
      </c>
      <c r="AH56" s="61">
        <f t="shared" si="7"/>
        <v>1627759.1904942384</v>
      </c>
      <c r="AI56" s="61">
        <f t="shared" si="7"/>
        <v>820857.22202893114</v>
      </c>
      <c r="AJ56" s="61">
        <f t="shared" si="7"/>
        <v>1233689.2825923599</v>
      </c>
      <c r="AK56" s="61">
        <f t="shared" si="7"/>
        <v>254497.84343141329</v>
      </c>
      <c r="AL56" s="61">
        <f t="shared" si="7"/>
        <v>348362.43295908719</v>
      </c>
      <c r="AM56" s="61">
        <f t="shared" si="7"/>
        <v>61391.266633351741</v>
      </c>
    </row>
    <row r="57" spans="5:39">
      <c r="E57">
        <v>2070</v>
      </c>
      <c r="F57" s="61">
        <f t="shared" si="4"/>
        <v>1566580.9122149376</v>
      </c>
      <c r="G57" s="61">
        <f t="shared" si="4"/>
        <v>790005.8332915022</v>
      </c>
      <c r="H57" s="61">
        <f t="shared" si="0"/>
        <v>1187315.2077974146</v>
      </c>
      <c r="I57" s="61">
        <f t="shared" si="0"/>
        <v>244933.61109246383</v>
      </c>
      <c r="J57" s="61">
        <f t="shared" si="0"/>
        <v>335279.23039171798</v>
      </c>
      <c r="K57" s="61">
        <f t="shared" si="0"/>
        <v>59081.513571266376</v>
      </c>
      <c r="N57">
        <v>2070</v>
      </c>
      <c r="O57" s="61">
        <f t="shared" si="5"/>
        <v>1778485.8881942593</v>
      </c>
      <c r="P57" s="61">
        <f t="shared" si="5"/>
        <v>896866.68281536829</v>
      </c>
      <c r="Q57" s="61">
        <f t="shared" si="5"/>
        <v>1347982.2357298369</v>
      </c>
      <c r="R57" s="61">
        <f t="shared" si="5"/>
        <v>278055.40315333172</v>
      </c>
      <c r="S57" s="61">
        <f t="shared" si="5"/>
        <v>380538.83219307382</v>
      </c>
      <c r="T57" s="61">
        <f t="shared" si="5"/>
        <v>67095.813686009089</v>
      </c>
      <c r="W57">
        <v>2070</v>
      </c>
      <c r="X57" s="61">
        <f t="shared" si="6"/>
        <v>2066131.7236462552</v>
      </c>
      <c r="Y57" s="61">
        <f t="shared" si="6"/>
        <v>1041922.6362980353</v>
      </c>
      <c r="Z57" s="61">
        <f t="shared" si="6"/>
        <v>1566083.5732875001</v>
      </c>
      <c r="AA57" s="61">
        <f t="shared" si="6"/>
        <v>323012.84994587046</v>
      </c>
      <c r="AB57" s="61">
        <f t="shared" si="6"/>
        <v>441968.55685338308</v>
      </c>
      <c r="AC57" s="61">
        <f t="shared" si="6"/>
        <v>77976.126949549187</v>
      </c>
      <c r="AG57">
        <v>2070</v>
      </c>
      <c r="AH57" s="61">
        <f t="shared" si="7"/>
        <v>1603124.8837696463</v>
      </c>
      <c r="AI57" s="61">
        <f t="shared" si="7"/>
        <v>808434.47012395319</v>
      </c>
      <c r="AJ57" s="61">
        <f t="shared" si="7"/>
        <v>1215018.7812260026</v>
      </c>
      <c r="AK57" s="61">
        <f t="shared" si="7"/>
        <v>250646.30447377847</v>
      </c>
      <c r="AL57" s="61">
        <f t="shared" si="7"/>
        <v>343090.35888636531</v>
      </c>
      <c r="AM57" s="61">
        <f t="shared" si="7"/>
        <v>60462.178779762064</v>
      </c>
    </row>
    <row r="58" spans="5:39">
      <c r="E58">
        <v>2080</v>
      </c>
      <c r="F58" s="61">
        <f t="shared" si="4"/>
        <v>1504295.1651027771</v>
      </c>
      <c r="G58" s="61">
        <f t="shared" si="4"/>
        <v>758595.96281123767</v>
      </c>
      <c r="H58" s="61">
        <f t="shared" si="0"/>
        <v>1140108.6995355897</v>
      </c>
      <c r="I58" s="61">
        <f t="shared" si="0"/>
        <v>235195.28679601639</v>
      </c>
      <c r="J58" s="61">
        <f t="shared" si="0"/>
        <v>321948.85135204729</v>
      </c>
      <c r="K58" s="61">
        <f t="shared" si="0"/>
        <v>56732.489537709975</v>
      </c>
      <c r="N58">
        <v>2080</v>
      </c>
      <c r="O58" s="61">
        <f t="shared" si="5"/>
        <v>1769085.8570727259</v>
      </c>
      <c r="P58" s="61">
        <f t="shared" si="5"/>
        <v>892126.37265249621</v>
      </c>
      <c r="Q58" s="61">
        <f t="shared" si="5"/>
        <v>1340857.593891941</v>
      </c>
      <c r="R58" s="61">
        <f t="shared" si="5"/>
        <v>276585.76571594633</v>
      </c>
      <c r="S58" s="61">
        <f t="shared" si="5"/>
        <v>378527.52758317394</v>
      </c>
      <c r="T58" s="61">
        <f t="shared" si="5"/>
        <v>66741.184649613686</v>
      </c>
      <c r="W58">
        <v>2080</v>
      </c>
      <c r="X58" s="61">
        <f t="shared" si="6"/>
        <v>2160891.3620508946</v>
      </c>
      <c r="Y58" s="61">
        <f t="shared" si="6"/>
        <v>1089708.6564879632</v>
      </c>
      <c r="Z58" s="61">
        <f t="shared" si="6"/>
        <v>1637909.3486810811</v>
      </c>
      <c r="AA58" s="61">
        <f t="shared" si="6"/>
        <v>337827.28820777638</v>
      </c>
      <c r="AB58" s="61">
        <f t="shared" si="6"/>
        <v>462238.69750043564</v>
      </c>
      <c r="AC58" s="61">
        <f t="shared" si="6"/>
        <v>81552.370181947597</v>
      </c>
      <c r="AG58">
        <v>2080</v>
      </c>
      <c r="AH58" s="61">
        <f t="shared" si="7"/>
        <v>1553856.2703204602</v>
      </c>
      <c r="AI58" s="61">
        <f t="shared" si="7"/>
        <v>783588.96631399728</v>
      </c>
      <c r="AJ58" s="61">
        <f t="shared" si="7"/>
        <v>1177677.7784932889</v>
      </c>
      <c r="AK58" s="61">
        <f t="shared" si="7"/>
        <v>242943.22655850858</v>
      </c>
      <c r="AL58" s="61">
        <f t="shared" si="7"/>
        <v>332546.21074092132</v>
      </c>
      <c r="AM58" s="61">
        <f t="shared" si="7"/>
        <v>58604.003072582593</v>
      </c>
    </row>
    <row r="59" spans="5:39">
      <c r="E59">
        <v>2090</v>
      </c>
      <c r="F59" s="61">
        <f t="shared" si="4"/>
        <v>1417472.6085221898</v>
      </c>
      <c r="G59" s="61">
        <f t="shared" si="4"/>
        <v>714812.50699026277</v>
      </c>
      <c r="H59" s="61">
        <f t="shared" si="4"/>
        <v>1074305.6880191066</v>
      </c>
      <c r="I59" s="61">
        <f t="shared" si="4"/>
        <v>221620.6529282413</v>
      </c>
      <c r="J59" s="61">
        <f t="shared" si="4"/>
        <v>303367.11087250628</v>
      </c>
      <c r="K59" s="61">
        <f t="shared" si="4"/>
        <v>53458.092400025344</v>
      </c>
      <c r="N59">
        <v>2090</v>
      </c>
      <c r="O59" s="61">
        <f t="shared" si="5"/>
        <v>1739005.7574838167</v>
      </c>
      <c r="P59" s="61">
        <f t="shared" si="5"/>
        <v>876957.38013130659</v>
      </c>
      <c r="Q59" s="61">
        <f t="shared" si="5"/>
        <v>1318058.740010676</v>
      </c>
      <c r="R59" s="61">
        <f t="shared" si="5"/>
        <v>271882.92591631284</v>
      </c>
      <c r="S59" s="61">
        <f t="shared" si="5"/>
        <v>372091.35283149406</v>
      </c>
      <c r="T59" s="61">
        <f t="shared" si="5"/>
        <v>65606.371733148408</v>
      </c>
      <c r="W59">
        <v>2090</v>
      </c>
      <c r="X59" s="61">
        <f t="shared" si="6"/>
        <v>2253792.968329953</v>
      </c>
      <c r="Y59" s="61">
        <f t="shared" si="6"/>
        <v>1136557.6958898539</v>
      </c>
      <c r="Z59" s="61">
        <f t="shared" si="6"/>
        <v>1708326.7755375337</v>
      </c>
      <c r="AA59" s="61">
        <f t="shared" si="6"/>
        <v>352351.24728807644</v>
      </c>
      <c r="AB59" s="61">
        <f t="shared" si="6"/>
        <v>482111.38440931076</v>
      </c>
      <c r="AC59" s="61">
        <f t="shared" si="6"/>
        <v>85058.49099802447</v>
      </c>
      <c r="AG59">
        <v>2090</v>
      </c>
      <c r="AH59" s="61">
        <f t="shared" si="7"/>
        <v>1483743.2434889274</v>
      </c>
      <c r="AI59" s="61">
        <f t="shared" si="7"/>
        <v>748231.90319982916</v>
      </c>
      <c r="AJ59" s="61">
        <f t="shared" si="7"/>
        <v>1124538.6592198112</v>
      </c>
      <c r="AK59" s="61">
        <f t="shared" si="7"/>
        <v>231981.15414062468</v>
      </c>
      <c r="AL59" s="61">
        <f t="shared" si="7"/>
        <v>317541.07684163598</v>
      </c>
      <c r="AM59" s="61">
        <f t="shared" si="7"/>
        <v>55959.676104673359</v>
      </c>
    </row>
    <row r="60" spans="5:39">
      <c r="E60">
        <v>2100</v>
      </c>
      <c r="F60" s="61">
        <f t="shared" ref="F60:K60" si="8">F22-F41</f>
        <v>1313663.0300019234</v>
      </c>
      <c r="G60" s="61">
        <f t="shared" si="8"/>
        <v>662462.72285648854</v>
      </c>
      <c r="H60" s="61">
        <f t="shared" si="8"/>
        <v>995628.17424939852</v>
      </c>
      <c r="I60" s="61">
        <f t="shared" si="8"/>
        <v>205390.11243416241</v>
      </c>
      <c r="J60" s="61">
        <f t="shared" si="8"/>
        <v>281149.81247305509</v>
      </c>
      <c r="K60" s="61">
        <f t="shared" si="8"/>
        <v>49543.052344098047</v>
      </c>
      <c r="N60">
        <v>2100</v>
      </c>
      <c r="O60" s="61">
        <f t="shared" ref="O60:T60" si="9">O22-O41</f>
        <v>1697645.620549066</v>
      </c>
      <c r="P60" s="61">
        <f t="shared" si="9"/>
        <v>856100.01541467011</v>
      </c>
      <c r="Q60" s="61">
        <f t="shared" si="9"/>
        <v>1286710.3159239357</v>
      </c>
      <c r="R60" s="61">
        <f t="shared" si="9"/>
        <v>265416.52119181666</v>
      </c>
      <c r="S60" s="61">
        <f t="shared" si="9"/>
        <v>363241.61254793429</v>
      </c>
      <c r="T60" s="61">
        <f t="shared" si="9"/>
        <v>64046.003973008657</v>
      </c>
      <c r="W60">
        <v>2100</v>
      </c>
      <c r="X60" s="61">
        <f t="shared" ref="X60:AC60" si="10">X22-X41</f>
        <v>2344836.5424834294</v>
      </c>
      <c r="Y60" s="61">
        <f t="shared" si="10"/>
        <v>1182469.7545037055</v>
      </c>
      <c r="Z60" s="61">
        <f t="shared" si="10"/>
        <v>1777335.8538568569</v>
      </c>
      <c r="AA60" s="61">
        <f t="shared" si="10"/>
        <v>366584.72718677041</v>
      </c>
      <c r="AB60" s="61">
        <f t="shared" si="10"/>
        <v>501586.61758000823</v>
      </c>
      <c r="AC60" s="61">
        <f t="shared" si="10"/>
        <v>88494.489397779747</v>
      </c>
      <c r="AG60">
        <v>2100</v>
      </c>
      <c r="AH60" s="61">
        <f t="shared" ref="AH60:AM60" si="11">AH22-AH41</f>
        <v>1398470.643288414</v>
      </c>
      <c r="AI60" s="61">
        <f t="shared" si="11"/>
        <v>705230.06968259765</v>
      </c>
      <c r="AJ60" s="61">
        <f t="shared" si="11"/>
        <v>1059910.0006439597</v>
      </c>
      <c r="AK60" s="61">
        <f t="shared" si="11"/>
        <v>218648.90390265768</v>
      </c>
      <c r="AL60" s="61">
        <f t="shared" si="11"/>
        <v>299291.58966682921</v>
      </c>
      <c r="AM60" s="61">
        <f t="shared" si="11"/>
        <v>52743.602765324322</v>
      </c>
    </row>
    <row r="61" spans="5:39">
      <c r="F61" s="581" t="s">
        <v>239</v>
      </c>
      <c r="G61" s="581"/>
      <c r="H61" s="581"/>
      <c r="I61" s="581"/>
      <c r="J61" s="581"/>
      <c r="K61" s="581"/>
      <c r="O61" s="581" t="s">
        <v>239</v>
      </c>
      <c r="P61" s="581"/>
      <c r="Q61" s="581"/>
      <c r="R61" s="581"/>
      <c r="S61" s="581"/>
      <c r="T61" s="581"/>
      <c r="X61" s="581" t="s">
        <v>239</v>
      </c>
      <c r="Y61" s="581"/>
      <c r="Z61" s="581"/>
      <c r="AA61" s="581"/>
      <c r="AB61" s="581"/>
      <c r="AC61" s="581"/>
      <c r="AH61" s="581" t="s">
        <v>239</v>
      </c>
      <c r="AI61" s="581"/>
      <c r="AJ61" s="581"/>
      <c r="AK61" s="581"/>
      <c r="AL61" s="581"/>
      <c r="AM61" s="581"/>
    </row>
    <row r="62" spans="5:39">
      <c r="E62">
        <v>2020</v>
      </c>
      <c r="F62" s="61">
        <f>'Demographic-Economic'!C14</f>
        <v>2791896</v>
      </c>
      <c r="G62" s="61">
        <f>'Demographic-Economic'!D14</f>
        <v>2523732</v>
      </c>
      <c r="H62" s="61">
        <f>'Demographic-Economic'!E14</f>
        <v>2212536</v>
      </c>
      <c r="I62" s="61">
        <f>'Demographic-Economic'!F14</f>
        <v>496548</v>
      </c>
      <c r="J62" s="61">
        <f>'Demographic-Economic'!G14</f>
        <v>566592</v>
      </c>
      <c r="K62" s="61">
        <f>'Demographic-Economic'!H14</f>
        <v>135480</v>
      </c>
      <c r="N62">
        <v>2020</v>
      </c>
      <c r="O62" s="61">
        <f>'Demographic-Economic'!C14</f>
        <v>2791896</v>
      </c>
      <c r="P62" s="61">
        <f>'Demographic-Economic'!D14</f>
        <v>2523732</v>
      </c>
      <c r="Q62" s="61">
        <f>'Demographic-Economic'!E14</f>
        <v>2212536</v>
      </c>
      <c r="R62" s="61">
        <f>'Demographic-Economic'!F14</f>
        <v>496548</v>
      </c>
      <c r="S62" s="61">
        <f>'Demographic-Economic'!G14</f>
        <v>566592</v>
      </c>
      <c r="T62" s="61">
        <f>'Demographic-Economic'!H14</f>
        <v>135480</v>
      </c>
      <c r="W62">
        <v>2020</v>
      </c>
      <c r="X62" s="61">
        <f>'Demographic-Economic'!C14</f>
        <v>2791896</v>
      </c>
      <c r="Y62" s="61">
        <f>'Demographic-Economic'!D14</f>
        <v>2523732</v>
      </c>
      <c r="Z62" s="61">
        <f>'Demographic-Economic'!E14</f>
        <v>2212536</v>
      </c>
      <c r="AA62" s="61">
        <f>'Demographic-Economic'!F14</f>
        <v>496548</v>
      </c>
      <c r="AB62" s="61">
        <f>'Demographic-Economic'!G14</f>
        <v>566592</v>
      </c>
      <c r="AC62" s="61">
        <f>'Demographic-Economic'!H14</f>
        <v>135480</v>
      </c>
      <c r="AG62">
        <v>2020</v>
      </c>
      <c r="AH62" s="61">
        <f>'Demographic-Economic'!C14</f>
        <v>2791896</v>
      </c>
      <c r="AI62" s="61">
        <f>'Demographic-Economic'!D14</f>
        <v>2523732</v>
      </c>
      <c r="AJ62" s="61">
        <f>'Demographic-Economic'!E14</f>
        <v>2212536</v>
      </c>
      <c r="AK62" s="61">
        <f>'Demographic-Economic'!F14</f>
        <v>496548</v>
      </c>
      <c r="AL62" s="61">
        <f>'Demographic-Economic'!G14</f>
        <v>566592</v>
      </c>
      <c r="AM62" s="61">
        <f>'Demographic-Economic'!H14</f>
        <v>135480</v>
      </c>
    </row>
    <row r="63" spans="5:39">
      <c r="E63">
        <v>2021</v>
      </c>
      <c r="F63" s="322" t="s">
        <v>240</v>
      </c>
      <c r="G63" s="322" t="s">
        <v>240</v>
      </c>
      <c r="H63" s="61">
        <f>H62*('Demographic-Economic'!E$20)</f>
        <v>2251692</v>
      </c>
      <c r="I63" s="61">
        <f>I62*('Demographic-Economic'!F$20)</f>
        <v>497628</v>
      </c>
      <c r="J63" s="61">
        <f>J62*('Demographic-Economic'!G$20)</f>
        <v>571248</v>
      </c>
      <c r="K63" s="61">
        <f>K62*('Demographic-Economic'!H$20)</f>
        <v>137808</v>
      </c>
      <c r="N63">
        <v>2021</v>
      </c>
      <c r="O63" t="s">
        <v>240</v>
      </c>
      <c r="P63" t="s">
        <v>240</v>
      </c>
      <c r="Q63" s="61">
        <f>Q62*'Demographic-Economic'!E$20</f>
        <v>2251692</v>
      </c>
      <c r="R63" s="61">
        <f>R62*'Demographic-Economic'!F$20</f>
        <v>497628</v>
      </c>
      <c r="S63" s="61">
        <f>S62*'Demographic-Economic'!G$20</f>
        <v>571248</v>
      </c>
      <c r="T63" s="61">
        <f>T62*'Demographic-Economic'!H$20</f>
        <v>137808</v>
      </c>
      <c r="W63">
        <v>2021</v>
      </c>
      <c r="X63" t="s">
        <v>240</v>
      </c>
      <c r="Y63" t="s">
        <v>240</v>
      </c>
      <c r="Z63" s="61">
        <f>Z62*'Demographic-Economic'!E$20</f>
        <v>2251692</v>
      </c>
      <c r="AA63" s="61">
        <f>AA62*'Demographic-Economic'!F$20</f>
        <v>497628</v>
      </c>
      <c r="AB63" s="61">
        <f>AB62*'Demographic-Economic'!G$20</f>
        <v>571248</v>
      </c>
      <c r="AC63" s="61">
        <f>AC62*'Demographic-Economic'!H$20</f>
        <v>137808</v>
      </c>
      <c r="AG63">
        <v>2021</v>
      </c>
      <c r="AH63" t="s">
        <v>240</v>
      </c>
      <c r="AI63" t="s">
        <v>240</v>
      </c>
      <c r="AJ63" s="61">
        <f>AJ62*'Demographic-Economic'!E$20</f>
        <v>2251692</v>
      </c>
      <c r="AK63" s="61">
        <f>AK62*'Demographic-Economic'!F$20</f>
        <v>497628</v>
      </c>
      <c r="AL63" s="61">
        <f>AL62*'Demographic-Economic'!G$20</f>
        <v>571248</v>
      </c>
      <c r="AM63" s="61">
        <f>AM62*'Demographic-Economic'!H$20</f>
        <v>137808</v>
      </c>
    </row>
    <row r="64" spans="5:39">
      <c r="E64">
        <v>2022</v>
      </c>
      <c r="F64" s="322" t="s">
        <v>240</v>
      </c>
      <c r="G64" s="322" t="s">
        <v>240</v>
      </c>
      <c r="H64" s="61">
        <f>H63*('Demographic-Economic'!E$20)</f>
        <v>2291540.9570122249</v>
      </c>
      <c r="I64" s="61">
        <f>I63*('Demographic-Economic'!F$20)</f>
        <v>498710.34901761764</v>
      </c>
      <c r="J64" s="61">
        <f>J63*('Demographic-Economic'!G$20)</f>
        <v>575942.26092849881</v>
      </c>
      <c r="K64" s="61">
        <f>K63*('Demographic-Economic'!H$20)</f>
        <v>140176.00283436669</v>
      </c>
      <c r="N64">
        <v>2022</v>
      </c>
      <c r="O64" t="s">
        <v>240</v>
      </c>
      <c r="P64" t="s">
        <v>240</v>
      </c>
      <c r="Q64" s="61">
        <f>Q63*'Demographic-Economic'!E$20</f>
        <v>2291540.9570122249</v>
      </c>
      <c r="R64" s="61">
        <f>R63*'Demographic-Economic'!F$20</f>
        <v>498710.34901761764</v>
      </c>
      <c r="S64" s="61">
        <f>S63*'Demographic-Economic'!G$20</f>
        <v>575942.26092849881</v>
      </c>
      <c r="T64" s="61">
        <f>T63*'Demographic-Economic'!H$20</f>
        <v>140176.00283436669</v>
      </c>
      <c r="W64">
        <v>2022</v>
      </c>
      <c r="X64" t="s">
        <v>240</v>
      </c>
      <c r="Y64" t="s">
        <v>240</v>
      </c>
      <c r="Z64" s="61">
        <f>Z63*'Demographic-Economic'!E$20</f>
        <v>2291540.9570122249</v>
      </c>
      <c r="AA64" s="61">
        <f>AA63*'Demographic-Economic'!F$20</f>
        <v>498710.34901761764</v>
      </c>
      <c r="AB64" s="61">
        <f>AB63*'Demographic-Economic'!G$20</f>
        <v>575942.26092849881</v>
      </c>
      <c r="AC64" s="61">
        <f>AC63*'Demographic-Economic'!H$20</f>
        <v>140176.00283436669</v>
      </c>
      <c r="AG64">
        <v>2022</v>
      </c>
      <c r="AH64" t="s">
        <v>240</v>
      </c>
      <c r="AI64" t="s">
        <v>240</v>
      </c>
      <c r="AJ64" s="61">
        <f>AJ63*'Demographic-Economic'!E$20</f>
        <v>2291540.9570122249</v>
      </c>
      <c r="AK64" s="61">
        <f>AK63*'Demographic-Economic'!F$20</f>
        <v>498710.34901761764</v>
      </c>
      <c r="AL64" s="61">
        <f>AL63*'Demographic-Economic'!G$20</f>
        <v>575942.26092849881</v>
      </c>
      <c r="AM64" s="61">
        <f>AM63*'Demographic-Economic'!H$20</f>
        <v>140176.00283436669</v>
      </c>
    </row>
    <row r="65" spans="5:39">
      <c r="E65">
        <v>2023</v>
      </c>
      <c r="F65" s="322" t="s">
        <v>240</v>
      </c>
      <c r="G65" s="322" t="s">
        <v>240</v>
      </c>
      <c r="H65" s="61">
        <f>H64*('Demographic-Economic'!E$20)</f>
        <v>2332095.1345319445</v>
      </c>
      <c r="I65" s="61">
        <f>I64*('Demographic-Economic'!F$20)</f>
        <v>499795.05216200458</v>
      </c>
      <c r="J65" s="61">
        <f>J64*('Demographic-Economic'!G$20)</f>
        <v>580675.09719671845</v>
      </c>
      <c r="K65" s="61">
        <f>K64*('Demographic-Economic'!H$20)</f>
        <v>142584.69588572782</v>
      </c>
      <c r="N65">
        <v>2023</v>
      </c>
      <c r="O65" t="s">
        <v>240</v>
      </c>
      <c r="P65" t="s">
        <v>240</v>
      </c>
      <c r="Q65" s="61">
        <f>Q64*'Demographic-Economic'!E$20</f>
        <v>2332095.1345319445</v>
      </c>
      <c r="R65" s="61">
        <f>R64*'Demographic-Economic'!F$20</f>
        <v>499795.05216200458</v>
      </c>
      <c r="S65" s="61">
        <f>S64*'Demographic-Economic'!G$20</f>
        <v>580675.09719671845</v>
      </c>
      <c r="T65" s="61">
        <f>T64*'Demographic-Economic'!H$20</f>
        <v>142584.69588572782</v>
      </c>
      <c r="W65">
        <v>2023</v>
      </c>
      <c r="X65" t="s">
        <v>240</v>
      </c>
      <c r="Y65" t="s">
        <v>240</v>
      </c>
      <c r="Z65" s="61">
        <f>Z64*'Demographic-Economic'!E$20</f>
        <v>2332095.1345319445</v>
      </c>
      <c r="AA65" s="61">
        <f>AA64*'Demographic-Economic'!F$20</f>
        <v>499795.05216200458</v>
      </c>
      <c r="AB65" s="61">
        <f>AB64*'Demographic-Economic'!G$20</f>
        <v>580675.09719671845</v>
      </c>
      <c r="AC65" s="61">
        <f>AC64*'Demographic-Economic'!H$20</f>
        <v>142584.69588572782</v>
      </c>
      <c r="AG65">
        <v>2023</v>
      </c>
      <c r="AH65" t="s">
        <v>240</v>
      </c>
      <c r="AI65" t="s">
        <v>240</v>
      </c>
      <c r="AJ65" s="61">
        <f>AJ64*'Demographic-Economic'!E$20</f>
        <v>2332095.1345319445</v>
      </c>
      <c r="AK65" s="61">
        <f>AK64*'Demographic-Economic'!F$20</f>
        <v>499795.05216200458</v>
      </c>
      <c r="AL65" s="61">
        <f>AL64*'Demographic-Economic'!G$20</f>
        <v>580675.09719671845</v>
      </c>
      <c r="AM65" s="61">
        <f>AM64*'Demographic-Economic'!H$20</f>
        <v>142584.69588572782</v>
      </c>
    </row>
    <row r="66" spans="5:39">
      <c r="E66">
        <v>2024</v>
      </c>
      <c r="F66" s="322" t="s">
        <v>240</v>
      </c>
      <c r="G66" s="322" t="s">
        <v>240</v>
      </c>
      <c r="H66" s="61">
        <f>H65*('Demographic-Economic'!E$20)</f>
        <v>2373367.0130856642</v>
      </c>
      <c r="I66" s="61">
        <f>I65*('Demographic-Economic'!F$20)</f>
        <v>500882.11455342488</v>
      </c>
      <c r="J66" s="61">
        <f>J65*('Demographic-Economic'!G$20)</f>
        <v>585446.82579957182</v>
      </c>
      <c r="K66" s="61">
        <f>K65*('Demographic-Economic'!H$20)</f>
        <v>145034.77834824607</v>
      </c>
      <c r="N66">
        <v>2024</v>
      </c>
      <c r="O66" t="s">
        <v>240</v>
      </c>
      <c r="P66" t="s">
        <v>240</v>
      </c>
      <c r="Q66" s="61">
        <f>Q65*'Demographic-Economic'!E$20</f>
        <v>2373367.0130856642</v>
      </c>
      <c r="R66" s="61">
        <f>R65*'Demographic-Economic'!F$20</f>
        <v>500882.11455342488</v>
      </c>
      <c r="S66" s="61">
        <f>S65*'Demographic-Economic'!G$20</f>
        <v>585446.82579957182</v>
      </c>
      <c r="T66" s="61">
        <f>T65*'Demographic-Economic'!H$20</f>
        <v>145034.77834824607</v>
      </c>
      <c r="W66">
        <v>2024</v>
      </c>
      <c r="X66" t="s">
        <v>240</v>
      </c>
      <c r="Y66" t="s">
        <v>240</v>
      </c>
      <c r="Z66" s="61">
        <f>Z65*'Demographic-Economic'!E$20</f>
        <v>2373367.0130856642</v>
      </c>
      <c r="AA66" s="61">
        <f>AA65*'Demographic-Economic'!F$20</f>
        <v>500882.11455342488</v>
      </c>
      <c r="AB66" s="61">
        <f>AB65*'Demographic-Economic'!G$20</f>
        <v>585446.82579957182</v>
      </c>
      <c r="AC66" s="61">
        <f>AC65*'Demographic-Economic'!H$20</f>
        <v>145034.77834824607</v>
      </c>
      <c r="AG66">
        <v>2024</v>
      </c>
      <c r="AH66" t="s">
        <v>240</v>
      </c>
      <c r="AI66" t="s">
        <v>240</v>
      </c>
      <c r="AJ66" s="61">
        <f>AJ65*'Demographic-Economic'!E$20</f>
        <v>2373367.0130856642</v>
      </c>
      <c r="AK66" s="61">
        <f>AK65*'Demographic-Economic'!F$20</f>
        <v>500882.11455342488</v>
      </c>
      <c r="AL66" s="61">
        <f>AL65*'Demographic-Economic'!G$20</f>
        <v>585446.82579957182</v>
      </c>
      <c r="AM66" s="61">
        <f>AM65*'Demographic-Economic'!H$20</f>
        <v>145034.77834824607</v>
      </c>
    </row>
    <row r="67" spans="5:39">
      <c r="E67">
        <v>2025</v>
      </c>
      <c r="F67" s="322" t="s">
        <v>240</v>
      </c>
      <c r="G67" s="322" t="s">
        <v>240</v>
      </c>
      <c r="H67" s="61">
        <f>H66*('Demographic-Economic'!E$20)</f>
        <v>2415369.2940719994</v>
      </c>
      <c r="I67" s="61">
        <f>I66*('Demographic-Economic'!F$20)</f>
        <v>501971.54132327938</v>
      </c>
      <c r="J67" s="61">
        <f>J66*('Demographic-Economic'!G$20)</f>
        <v>590257.76633689459</v>
      </c>
      <c r="K67" s="61">
        <f>K66*('Demographic-Economic'!H$20)</f>
        <v>147526.96143058085</v>
      </c>
      <c r="N67">
        <v>2025</v>
      </c>
      <c r="O67" t="s">
        <v>240</v>
      </c>
      <c r="P67" t="s">
        <v>240</v>
      </c>
      <c r="Q67" s="61">
        <f>Q66*'Demographic-Economic'!E$20</f>
        <v>2415369.2940719994</v>
      </c>
      <c r="R67" s="61">
        <f>R66*'Demographic-Economic'!F$20</f>
        <v>501971.54132327938</v>
      </c>
      <c r="S67" s="61">
        <f>S66*'Demographic-Economic'!G$20</f>
        <v>590257.76633689459</v>
      </c>
      <c r="T67" s="61">
        <f>T66*'Demographic-Economic'!H$20</f>
        <v>147526.96143058085</v>
      </c>
      <c r="W67">
        <v>2025</v>
      </c>
      <c r="X67" t="s">
        <v>240</v>
      </c>
      <c r="Y67" t="s">
        <v>240</v>
      </c>
      <c r="Z67" s="61">
        <f>Z66*'Demographic-Economic'!E$20</f>
        <v>2415369.2940719994</v>
      </c>
      <c r="AA67" s="61">
        <f>AA66*'Demographic-Economic'!F$20</f>
        <v>501971.54132327938</v>
      </c>
      <c r="AB67" s="61">
        <f>AB66*'Demographic-Economic'!G$20</f>
        <v>590257.76633689459</v>
      </c>
      <c r="AC67" s="61">
        <f>AC66*'Demographic-Economic'!H$20</f>
        <v>147526.96143058085</v>
      </c>
      <c r="AG67">
        <v>2025</v>
      </c>
      <c r="AH67" t="s">
        <v>240</v>
      </c>
      <c r="AI67" t="s">
        <v>240</v>
      </c>
      <c r="AJ67" s="61">
        <f>AJ66*'Demographic-Economic'!E$20</f>
        <v>2415369.2940719994</v>
      </c>
      <c r="AK67" s="61">
        <f>AK66*'Demographic-Economic'!F$20</f>
        <v>501971.54132327938</v>
      </c>
      <c r="AL67" s="61">
        <f>AL66*'Demographic-Economic'!G$20</f>
        <v>590257.76633689459</v>
      </c>
      <c r="AM67" s="61">
        <f>AM66*'Demographic-Economic'!H$20</f>
        <v>147526.96143058085</v>
      </c>
    </row>
    <row r="68" spans="5:39">
      <c r="E68">
        <v>2026</v>
      </c>
      <c r="F68" s="322" t="s">
        <v>240</v>
      </c>
      <c r="G68" s="322" t="s">
        <v>240</v>
      </c>
      <c r="H68" s="61">
        <f>H67*('Demographic-Economic'!E$20)</f>
        <v>2458114.9036705247</v>
      </c>
      <c r="I68" s="61">
        <f>I67*('Demographic-Economic'!F$20)</f>
        <v>503063.3376141297</v>
      </c>
      <c r="J68" s="61">
        <f>J67*('Demographic-Economic'!G$20)</f>
        <v>595108.24103485106</v>
      </c>
      <c r="K68" s="61">
        <f>K67*('Demographic-Economic'!H$20)</f>
        <v>150061.96856233751</v>
      </c>
      <c r="N68">
        <v>2026</v>
      </c>
      <c r="O68" t="s">
        <v>240</v>
      </c>
      <c r="P68" t="s">
        <v>240</v>
      </c>
      <c r="Q68" s="61">
        <f>Q67*'Demographic-Economic'!E$20</f>
        <v>2458114.9036705247</v>
      </c>
      <c r="R68" s="61">
        <f>R67*'Demographic-Economic'!F$20</f>
        <v>503063.3376141297</v>
      </c>
      <c r="S68" s="61">
        <f>S67*'Demographic-Economic'!G$20</f>
        <v>595108.24103485106</v>
      </c>
      <c r="T68" s="61">
        <f>T67*'Demographic-Economic'!H$20</f>
        <v>150061.96856233751</v>
      </c>
      <c r="W68">
        <v>2026</v>
      </c>
      <c r="X68" t="s">
        <v>240</v>
      </c>
      <c r="Y68" t="s">
        <v>240</v>
      </c>
      <c r="Z68" s="61">
        <f>Z67*'Demographic-Economic'!E$20</f>
        <v>2458114.9036705247</v>
      </c>
      <c r="AA68" s="61">
        <f>AA67*'Demographic-Economic'!F$20</f>
        <v>503063.3376141297</v>
      </c>
      <c r="AB68" s="61">
        <f>AB67*'Demographic-Economic'!G$20</f>
        <v>595108.24103485106</v>
      </c>
      <c r="AC68" s="61">
        <f>AC67*'Demographic-Economic'!H$20</f>
        <v>150061.96856233751</v>
      </c>
      <c r="AG68">
        <v>2026</v>
      </c>
      <c r="AH68" t="s">
        <v>240</v>
      </c>
      <c r="AI68" t="s">
        <v>240</v>
      </c>
      <c r="AJ68" s="61">
        <f>AJ67*'Demographic-Economic'!E$20</f>
        <v>2458114.9036705247</v>
      </c>
      <c r="AK68" s="61">
        <f>AK67*'Demographic-Economic'!F$20</f>
        <v>503063.3376141297</v>
      </c>
      <c r="AL68" s="61">
        <f>AL67*'Demographic-Economic'!G$20</f>
        <v>595108.24103485106</v>
      </c>
      <c r="AM68" s="61">
        <f>AM67*'Demographic-Economic'!H$20</f>
        <v>150061.96856233751</v>
      </c>
    </row>
    <row r="69" spans="5:39">
      <c r="E69">
        <v>2027</v>
      </c>
      <c r="F69" s="322" t="s">
        <v>240</v>
      </c>
      <c r="G69" s="322" t="s">
        <v>240</v>
      </c>
      <c r="H69" s="61">
        <f>H68*('Demographic-Economic'!E$20)</f>
        <v>2501616.9968197993</v>
      </c>
      <c r="I69" s="61">
        <f>I68*('Demographic-Economic'!F$20)</f>
        <v>504157.50857972272</v>
      </c>
      <c r="J69" s="61">
        <f>J68*('Demographic-Economic'!G$20)</f>
        <v>599998.57476751623</v>
      </c>
      <c r="K69" s="61">
        <f>K68*('Demographic-Economic'!H$20)</f>
        <v>152640.53560406412</v>
      </c>
      <c r="N69">
        <v>2027</v>
      </c>
      <c r="O69" t="s">
        <v>240</v>
      </c>
      <c r="P69" t="s">
        <v>240</v>
      </c>
      <c r="Q69" s="61">
        <f>Q68*'Demographic-Economic'!E$20</f>
        <v>2501616.9968197993</v>
      </c>
      <c r="R69" s="61">
        <f>R68*'Demographic-Economic'!F$20</f>
        <v>504157.50857972272</v>
      </c>
      <c r="S69" s="61">
        <f>S68*'Demographic-Economic'!G$20</f>
        <v>599998.57476751623</v>
      </c>
      <c r="T69" s="61">
        <f>T68*'Demographic-Economic'!H$20</f>
        <v>152640.53560406412</v>
      </c>
      <c r="W69">
        <v>2027</v>
      </c>
      <c r="X69" t="s">
        <v>240</v>
      </c>
      <c r="Y69" t="s">
        <v>240</v>
      </c>
      <c r="Z69" s="61">
        <f>Z68*'Demographic-Economic'!E$20</f>
        <v>2501616.9968197993</v>
      </c>
      <c r="AA69" s="61">
        <f>AA68*'Demographic-Economic'!F$20</f>
        <v>504157.50857972272</v>
      </c>
      <c r="AB69" s="61">
        <f>AB68*'Demographic-Economic'!G$20</f>
        <v>599998.57476751623</v>
      </c>
      <c r="AC69" s="61">
        <f>AC68*'Demographic-Economic'!H$20</f>
        <v>152640.53560406412</v>
      </c>
      <c r="AG69">
        <v>2027</v>
      </c>
      <c r="AH69" t="s">
        <v>240</v>
      </c>
      <c r="AI69" t="s">
        <v>240</v>
      </c>
      <c r="AJ69" s="61">
        <f>AJ68*'Demographic-Economic'!E$20</f>
        <v>2501616.9968197993</v>
      </c>
      <c r="AK69" s="61">
        <f>AK68*'Demographic-Economic'!F$20</f>
        <v>504157.50857972272</v>
      </c>
      <c r="AL69" s="61">
        <f>AL68*'Demographic-Economic'!G$20</f>
        <v>599998.57476751623</v>
      </c>
      <c r="AM69" s="61">
        <f>AM68*'Demographic-Economic'!H$20</f>
        <v>152640.53560406412</v>
      </c>
    </row>
    <row r="70" spans="5:39">
      <c r="E70">
        <v>2028</v>
      </c>
      <c r="F70" s="322" t="s">
        <v>240</v>
      </c>
      <c r="G70" s="322" t="s">
        <v>240</v>
      </c>
      <c r="H70" s="61">
        <f>H69*('Demographic-Economic'!E$20)</f>
        <v>2545888.9612657907</v>
      </c>
      <c r="I70" s="61">
        <f>I69*('Demographic-Economic'!F$20)</f>
        <v>505254.0593850147</v>
      </c>
      <c r="J70" s="61">
        <f>J69*('Demographic-Economic'!G$20)</f>
        <v>604929.09507863526</v>
      </c>
      <c r="K70" s="61">
        <f>K69*('Demographic-Economic'!H$20)</f>
        <v>155263.41106085671</v>
      </c>
      <c r="N70">
        <v>2028</v>
      </c>
      <c r="O70" t="s">
        <v>240</v>
      </c>
      <c r="P70" t="s">
        <v>240</v>
      </c>
      <c r="Q70" s="61">
        <f>Q69*'Demographic-Economic'!E$20</f>
        <v>2545888.9612657907</v>
      </c>
      <c r="R70" s="61">
        <f>R69*'Demographic-Economic'!F$20</f>
        <v>505254.0593850147</v>
      </c>
      <c r="S70" s="61">
        <f>S69*'Demographic-Economic'!G$20</f>
        <v>604929.09507863526</v>
      </c>
      <c r="T70" s="61">
        <f>T69*'Demographic-Economic'!H$20</f>
        <v>155263.41106085671</v>
      </c>
      <c r="W70">
        <v>2028</v>
      </c>
      <c r="X70" t="s">
        <v>240</v>
      </c>
      <c r="Y70" t="s">
        <v>240</v>
      </c>
      <c r="Z70" s="61">
        <f>Z69*'Demographic-Economic'!E$20</f>
        <v>2545888.9612657907</v>
      </c>
      <c r="AA70" s="61">
        <f>AA69*'Demographic-Economic'!F$20</f>
        <v>505254.0593850147</v>
      </c>
      <c r="AB70" s="61">
        <f>AB69*'Demographic-Economic'!G$20</f>
        <v>604929.09507863526</v>
      </c>
      <c r="AC70" s="61">
        <f>AC69*'Demographic-Economic'!H$20</f>
        <v>155263.41106085671</v>
      </c>
      <c r="AG70">
        <v>2028</v>
      </c>
      <c r="AH70" t="s">
        <v>240</v>
      </c>
      <c r="AI70" t="s">
        <v>240</v>
      </c>
      <c r="AJ70" s="61">
        <f>AJ69*'Demographic-Economic'!E$20</f>
        <v>2545888.9612657907</v>
      </c>
      <c r="AK70" s="61">
        <f>AK69*'Demographic-Economic'!F$20</f>
        <v>505254.0593850147</v>
      </c>
      <c r="AL70" s="61">
        <f>AL69*'Demographic-Economic'!G$20</f>
        <v>604929.09507863526</v>
      </c>
      <c r="AM70" s="61">
        <f>AM69*'Demographic-Economic'!H$20</f>
        <v>155263.41106085671</v>
      </c>
    </row>
    <row r="71" spans="5:39">
      <c r="E71">
        <v>2029</v>
      </c>
      <c r="F71" s="322" t="s">
        <v>240</v>
      </c>
      <c r="G71" s="322" t="s">
        <v>240</v>
      </c>
      <c r="H71" s="61">
        <f>H70*('Demographic-Economic'!E$20)</f>
        <v>2590944.421681948</v>
      </c>
      <c r="I71" s="61">
        <f>I70*('Demographic-Economic'!F$20)</f>
        <v>506352.9952061958</v>
      </c>
      <c r="J71" s="61">
        <f>J70*('Demographic-Economic'!G$20)</f>
        <v>609900.13220356137</v>
      </c>
      <c r="K71" s="61">
        <f>K70*('Demographic-Economic'!H$20)</f>
        <v>157931.35629963494</v>
      </c>
      <c r="N71">
        <v>2029</v>
      </c>
      <c r="O71" t="s">
        <v>240</v>
      </c>
      <c r="P71" t="s">
        <v>240</v>
      </c>
      <c r="Q71" s="61">
        <f>Q70*'Demographic-Economic'!E$20</f>
        <v>2590944.421681948</v>
      </c>
      <c r="R71" s="61">
        <f>R70*'Demographic-Economic'!F$20</f>
        <v>506352.9952061958</v>
      </c>
      <c r="S71" s="61">
        <f>S70*'Demographic-Economic'!G$20</f>
        <v>609900.13220356137</v>
      </c>
      <c r="T71" s="61">
        <f>T70*'Demographic-Economic'!H$20</f>
        <v>157931.35629963494</v>
      </c>
      <c r="W71">
        <v>2029</v>
      </c>
      <c r="X71" t="s">
        <v>240</v>
      </c>
      <c r="Y71" t="s">
        <v>240</v>
      </c>
      <c r="Z71" s="61">
        <f>Z70*'Demographic-Economic'!E$20</f>
        <v>2590944.421681948</v>
      </c>
      <c r="AA71" s="61">
        <f>AA70*'Demographic-Economic'!F$20</f>
        <v>506352.9952061958</v>
      </c>
      <c r="AB71" s="61">
        <f>AB70*'Demographic-Economic'!G$20</f>
        <v>609900.13220356137</v>
      </c>
      <c r="AC71" s="61">
        <f>AC70*'Demographic-Economic'!H$20</f>
        <v>157931.35629963494</v>
      </c>
      <c r="AG71">
        <v>2029</v>
      </c>
      <c r="AH71" t="s">
        <v>240</v>
      </c>
      <c r="AI71" t="s">
        <v>240</v>
      </c>
      <c r="AJ71" s="61">
        <f>AJ70*'Demographic-Economic'!E$20</f>
        <v>2590944.421681948</v>
      </c>
      <c r="AK71" s="61">
        <f>AK70*'Demographic-Economic'!F$20</f>
        <v>506352.9952061958</v>
      </c>
      <c r="AL71" s="61">
        <f>AL70*'Demographic-Economic'!G$20</f>
        <v>609900.13220356137</v>
      </c>
      <c r="AM71" s="61">
        <f>AM70*'Demographic-Economic'!H$20</f>
        <v>157931.35629963494</v>
      </c>
    </row>
    <row r="72" spans="5:39">
      <c r="E72">
        <v>2030</v>
      </c>
      <c r="F72" s="322" t="s">
        <v>240</v>
      </c>
      <c r="G72" s="322" t="s">
        <v>240</v>
      </c>
      <c r="H72" s="61">
        <f>H71*('Demographic-Economic'!E$20)</f>
        <v>2636797.2438621875</v>
      </c>
      <c r="I72" s="61">
        <f>I71*('Demographic-Economic'!F$20)</f>
        <v>507454.3212307145</v>
      </c>
      <c r="J72" s="61">
        <f>J71*('Demographic-Economic'!G$20)</f>
        <v>614912.01909137436</v>
      </c>
      <c r="K72" s="61">
        <f>K71*('Demographic-Economic'!H$20)</f>
        <v>160645.14577015123</v>
      </c>
      <c r="N72">
        <v>2030</v>
      </c>
      <c r="O72" t="s">
        <v>240</v>
      </c>
      <c r="P72" t="s">
        <v>240</v>
      </c>
      <c r="Q72" s="61">
        <f>Q71*'Demographic-Economic'!E$20</f>
        <v>2636797.2438621875</v>
      </c>
      <c r="R72" s="61">
        <f>R71*'Demographic-Economic'!F$20</f>
        <v>507454.3212307145</v>
      </c>
      <c r="S72" s="61">
        <f>S71*'Demographic-Economic'!G$20</f>
        <v>614912.01909137436</v>
      </c>
      <c r="T72" s="61">
        <f>T71*'Demographic-Economic'!H$20</f>
        <v>160645.14577015123</v>
      </c>
      <c r="W72">
        <v>2030</v>
      </c>
      <c r="X72" t="s">
        <v>240</v>
      </c>
      <c r="Y72" t="s">
        <v>240</v>
      </c>
      <c r="Z72" s="61">
        <f>Z71*'Demographic-Economic'!E$20</f>
        <v>2636797.2438621875</v>
      </c>
      <c r="AA72" s="61">
        <f>AA71*'Demographic-Economic'!F$20</f>
        <v>507454.3212307145</v>
      </c>
      <c r="AB72" s="61">
        <f>AB71*'Demographic-Economic'!G$20</f>
        <v>614912.01909137436</v>
      </c>
      <c r="AC72" s="61">
        <f>AC71*'Demographic-Economic'!H$20</f>
        <v>160645.14577015123</v>
      </c>
      <c r="AG72">
        <v>2030</v>
      </c>
      <c r="AH72" t="s">
        <v>240</v>
      </c>
      <c r="AI72" t="s">
        <v>240</v>
      </c>
      <c r="AJ72" s="61">
        <f>AJ71*'Demographic-Economic'!E$20</f>
        <v>2636797.2438621875</v>
      </c>
      <c r="AK72" s="61">
        <f>AK71*'Demographic-Economic'!F$20</f>
        <v>507454.3212307145</v>
      </c>
      <c r="AL72" s="61">
        <f>AL71*'Demographic-Economic'!G$20</f>
        <v>614912.01909137436</v>
      </c>
      <c r="AM72" s="61">
        <f>AM71*'Demographic-Economic'!H$20</f>
        <v>160645.14577015123</v>
      </c>
    </row>
    <row r="73" spans="5:39">
      <c r="E73">
        <v>2040</v>
      </c>
      <c r="F73" s="322" t="s">
        <v>240</v>
      </c>
      <c r="G73" s="322" t="s">
        <v>240</v>
      </c>
      <c r="H73" s="61">
        <f>H72*('Demographic-Economic'!E$20)^10</f>
        <v>3142412.0128392149</v>
      </c>
      <c r="I73" s="61">
        <f>I72*('Demographic-Economic'!F$20)^10</f>
        <v>518600.1919969974</v>
      </c>
      <c r="J73" s="61">
        <f>J72*('Demographic-Economic'!G$20)^10</f>
        <v>667352.85924091854</v>
      </c>
      <c r="K73" s="61">
        <f>K72*('Demographic-Economic'!H$20)^10</f>
        <v>190484.66828692899</v>
      </c>
      <c r="N73">
        <v>2040</v>
      </c>
      <c r="O73" t="s">
        <v>240</v>
      </c>
      <c r="P73" t="s">
        <v>240</v>
      </c>
      <c r="Q73" s="61">
        <f>Q72*'Demographic-Economic'!E$20^10</f>
        <v>3142412.0128392149</v>
      </c>
      <c r="R73" s="61">
        <f>R72*'Demographic-Economic'!F$20^10</f>
        <v>518600.1919969974</v>
      </c>
      <c r="S73" s="61">
        <f>S72*'Demographic-Economic'!G$20^10</f>
        <v>667352.85924091854</v>
      </c>
      <c r="T73" s="61">
        <f>T72*'Demographic-Economic'!H$20^10</f>
        <v>190484.66828692899</v>
      </c>
      <c r="W73">
        <v>2040</v>
      </c>
      <c r="X73" t="s">
        <v>240</v>
      </c>
      <c r="Y73" t="s">
        <v>240</v>
      </c>
      <c r="Z73" s="61">
        <f>Z72*'Demographic-Economic'!E$20^10</f>
        <v>3142412.0128392149</v>
      </c>
      <c r="AA73" s="61">
        <f>AA72*'Demographic-Economic'!F$20^10</f>
        <v>518600.1919969974</v>
      </c>
      <c r="AB73" s="61">
        <f>AB72*'Demographic-Economic'!G$20^10</f>
        <v>667352.85924091854</v>
      </c>
      <c r="AC73" s="61">
        <f>AC72*'Demographic-Economic'!H$20^10</f>
        <v>190484.66828692899</v>
      </c>
      <c r="AG73">
        <v>2040</v>
      </c>
      <c r="AH73" t="s">
        <v>240</v>
      </c>
      <c r="AI73" t="s">
        <v>240</v>
      </c>
      <c r="AJ73" s="61">
        <f>AJ72*'Demographic-Economic'!E$20^10</f>
        <v>3142412.0128392149</v>
      </c>
      <c r="AK73" s="61">
        <f>AK72*'Demographic-Economic'!F$20^10</f>
        <v>518600.1919969974</v>
      </c>
      <c r="AL73" s="61">
        <f>AL72*'Demographic-Economic'!G$20^10</f>
        <v>667352.85924091854</v>
      </c>
      <c r="AM73" s="61">
        <f>AM72*'Demographic-Economic'!H$20^10</f>
        <v>190484.66828692899</v>
      </c>
    </row>
    <row r="74" spans="5:39">
      <c r="E74">
        <v>2050</v>
      </c>
      <c r="F74" s="322" t="s">
        <v>240</v>
      </c>
      <c r="G74" s="322" t="s">
        <v>240</v>
      </c>
      <c r="H74" s="61">
        <f>H73*('Demographic-Economic'!E$20)^10</f>
        <v>3744980.1198868025</v>
      </c>
      <c r="I74" s="61">
        <f>I73*('Demographic-Economic'!F$20)^10</f>
        <v>529990.87383285083</v>
      </c>
      <c r="J74" s="61">
        <f>J73*('Demographic-Economic'!G$20)^10</f>
        <v>724265.95172934793</v>
      </c>
      <c r="K74" s="61">
        <f>K73*('Demographic-Economic'!H$20)^10</f>
        <v>225866.82391447164</v>
      </c>
      <c r="N74">
        <v>2050</v>
      </c>
      <c r="O74" t="s">
        <v>240</v>
      </c>
      <c r="P74" t="s">
        <v>240</v>
      </c>
      <c r="Q74" s="61">
        <f>Q73*'Demographic-Economic'!E$20^10</f>
        <v>3744980.1198868025</v>
      </c>
      <c r="R74" s="61">
        <f>R73*'Demographic-Economic'!F$20^10</f>
        <v>529990.87383285083</v>
      </c>
      <c r="S74" s="61">
        <f>S73*'Demographic-Economic'!G$20^10</f>
        <v>724265.95172934793</v>
      </c>
      <c r="T74" s="61">
        <f>T73*'Demographic-Economic'!H$20^10</f>
        <v>225866.82391447164</v>
      </c>
      <c r="W74">
        <v>2050</v>
      </c>
      <c r="X74" t="s">
        <v>240</v>
      </c>
      <c r="Y74" t="s">
        <v>240</v>
      </c>
      <c r="Z74" s="61">
        <f>Z73*'Demographic-Economic'!E$20^10</f>
        <v>3744980.1198868025</v>
      </c>
      <c r="AA74" s="61">
        <f>AA73*'Demographic-Economic'!F$20^10</f>
        <v>529990.87383285083</v>
      </c>
      <c r="AB74" s="61">
        <f>AB73*'Demographic-Economic'!G$20^10</f>
        <v>724265.95172934793</v>
      </c>
      <c r="AC74" s="61">
        <f>AC73*'Demographic-Economic'!H$20^10</f>
        <v>225866.82391447164</v>
      </c>
      <c r="AG74">
        <v>2050</v>
      </c>
      <c r="AH74" t="s">
        <v>240</v>
      </c>
      <c r="AI74" t="s">
        <v>240</v>
      </c>
      <c r="AJ74" s="61">
        <f>AJ73*'Demographic-Economic'!E$20^10</f>
        <v>3744980.1198868025</v>
      </c>
      <c r="AK74" s="61">
        <f>AK73*'Demographic-Economic'!F$20^10</f>
        <v>529990.87383285083</v>
      </c>
      <c r="AL74" s="61">
        <f>AL73*'Demographic-Economic'!G$20^10</f>
        <v>724265.95172934793</v>
      </c>
      <c r="AM74" s="61">
        <f>AM73*'Demographic-Economic'!H$20^10</f>
        <v>225866.82391447164</v>
      </c>
    </row>
    <row r="75" spans="5:39">
      <c r="E75">
        <v>2060</v>
      </c>
      <c r="F75" s="322" t="s">
        <v>240</v>
      </c>
      <c r="G75" s="322" t="s">
        <v>240</v>
      </c>
      <c r="H75" s="61">
        <f>H74*('Demographic-Economic'!E$20)^10</f>
        <v>4463092.6947340975</v>
      </c>
      <c r="I75" s="61">
        <f>I74*('Demographic-Economic'!F$20)^10</f>
        <v>541631.74383810314</v>
      </c>
      <c r="J75" s="61">
        <f>J74*('Demographic-Economic'!G$20)^10</f>
        <v>786032.69855033059</v>
      </c>
      <c r="K75" s="61">
        <f>K74*('Demographic-Economic'!H$20)^10</f>
        <v>267821.14594317524</v>
      </c>
      <c r="N75">
        <v>2060</v>
      </c>
      <c r="O75" t="s">
        <v>240</v>
      </c>
      <c r="P75" t="s">
        <v>240</v>
      </c>
      <c r="Q75" s="61">
        <f>Q74*'Demographic-Economic'!E$20^10</f>
        <v>4463092.6947340975</v>
      </c>
      <c r="R75" s="61">
        <f>R74*'Demographic-Economic'!F$20^10</f>
        <v>541631.74383810314</v>
      </c>
      <c r="S75" s="61">
        <f>S74*'Demographic-Economic'!G$20^10</f>
        <v>786032.69855033059</v>
      </c>
      <c r="T75" s="61">
        <f>T74*'Demographic-Economic'!H$20^10</f>
        <v>267821.14594317524</v>
      </c>
      <c r="W75">
        <v>2060</v>
      </c>
      <c r="X75" t="s">
        <v>240</v>
      </c>
      <c r="Y75" t="s">
        <v>240</v>
      </c>
      <c r="Z75" s="61">
        <f>Z74*'Demographic-Economic'!E$20^10</f>
        <v>4463092.6947340975</v>
      </c>
      <c r="AA75" s="61">
        <f>AA74*'Demographic-Economic'!F$20^10</f>
        <v>541631.74383810314</v>
      </c>
      <c r="AB75" s="61">
        <f>AB74*'Demographic-Economic'!G$20^10</f>
        <v>786032.69855033059</v>
      </c>
      <c r="AC75" s="61">
        <f>AC74*'Demographic-Economic'!H$20^10</f>
        <v>267821.14594317524</v>
      </c>
      <c r="AG75">
        <v>2060</v>
      </c>
      <c r="AH75" t="s">
        <v>240</v>
      </c>
      <c r="AI75" t="s">
        <v>240</v>
      </c>
      <c r="AJ75" s="61">
        <f>AJ74*'Demographic-Economic'!E$20^10</f>
        <v>4463092.6947340975</v>
      </c>
      <c r="AK75" s="61">
        <f>AK74*'Demographic-Economic'!F$20^10</f>
        <v>541631.74383810314</v>
      </c>
      <c r="AL75" s="61">
        <f>AL74*'Demographic-Economic'!G$20^10</f>
        <v>786032.69855033059</v>
      </c>
      <c r="AM75" s="61">
        <f>AM74*'Demographic-Economic'!H$20^10</f>
        <v>267821.14594317524</v>
      </c>
    </row>
    <row r="76" spans="5:39">
      <c r="E76">
        <v>2070</v>
      </c>
      <c r="F76" s="322" t="s">
        <v>240</v>
      </c>
      <c r="G76" s="322" t="s">
        <v>240</v>
      </c>
      <c r="H76" s="61">
        <f>H75*('Demographic-Economic'!E$20)^10</f>
        <v>5318905.7789687151</v>
      </c>
      <c r="I76" s="61">
        <f>I75*('Demographic-Economic'!F$20)^10</f>
        <v>553528.29721672973</v>
      </c>
      <c r="J76" s="61">
        <f>J75*('Demographic-Economic'!G$20)^10</f>
        <v>853067.02836860577</v>
      </c>
      <c r="K76" s="61">
        <f>K75*('Demographic-Economic'!H$20)^10</f>
        <v>317568.4014642039</v>
      </c>
      <c r="N76">
        <v>2070</v>
      </c>
      <c r="O76" t="s">
        <v>240</v>
      </c>
      <c r="P76" t="s">
        <v>240</v>
      </c>
      <c r="Q76" s="61">
        <f>Q75*'Demographic-Economic'!E$20^10</f>
        <v>5318905.7789687151</v>
      </c>
      <c r="R76" s="61">
        <f>R75*'Demographic-Economic'!F$20^10</f>
        <v>553528.29721672973</v>
      </c>
      <c r="S76" s="61">
        <f>S75*'Demographic-Economic'!G$20^10</f>
        <v>853067.02836860577</v>
      </c>
      <c r="T76" s="61">
        <f>T75*'Demographic-Economic'!H$20^10</f>
        <v>317568.4014642039</v>
      </c>
      <c r="W76">
        <v>2070</v>
      </c>
      <c r="X76" t="s">
        <v>240</v>
      </c>
      <c r="Y76" t="s">
        <v>240</v>
      </c>
      <c r="Z76" s="61">
        <f>Z75*'Demographic-Economic'!E$20^10</f>
        <v>5318905.7789687151</v>
      </c>
      <c r="AA76" s="61">
        <f>AA75*'Demographic-Economic'!F$20^10</f>
        <v>553528.29721672973</v>
      </c>
      <c r="AB76" s="61">
        <f>AB75*'Demographic-Economic'!G$20^10</f>
        <v>853067.02836860577</v>
      </c>
      <c r="AC76" s="61">
        <f>AC75*'Demographic-Economic'!H$20^10</f>
        <v>317568.4014642039</v>
      </c>
      <c r="AG76">
        <v>2070</v>
      </c>
      <c r="AH76" t="s">
        <v>240</v>
      </c>
      <c r="AI76" t="s">
        <v>240</v>
      </c>
      <c r="AJ76" s="61">
        <f>AJ75*'Demographic-Economic'!E$20^10</f>
        <v>5318905.7789687151</v>
      </c>
      <c r="AK76" s="61">
        <f>AK75*'Demographic-Economic'!F$20^10</f>
        <v>553528.29721672973</v>
      </c>
      <c r="AL76" s="61">
        <f>AL75*'Demographic-Economic'!G$20^10</f>
        <v>853067.02836860577</v>
      </c>
      <c r="AM76" s="61">
        <f>AM75*'Demographic-Economic'!H$20^10</f>
        <v>317568.4014642039</v>
      </c>
    </row>
    <row r="77" spans="5:39">
      <c r="E77">
        <v>2080</v>
      </c>
      <c r="F77" s="322" t="s">
        <v>240</v>
      </c>
      <c r="G77" s="322" t="s">
        <v>240</v>
      </c>
      <c r="H77" s="61">
        <f>H76*('Demographic-Economic'!E$20)^10</f>
        <v>6338823.9099148503</v>
      </c>
      <c r="I77" s="61">
        <f>I76*('Demographic-Economic'!F$20)^10</f>
        <v>565686.14987092617</v>
      </c>
      <c r="J77" s="61">
        <f>J76*('Demographic-Economic'!G$20)^10</f>
        <v>925818.17045496183</v>
      </c>
      <c r="K77" s="61">
        <f>K76*('Demographic-Economic'!H$20)^10</f>
        <v>376556.11267501442</v>
      </c>
      <c r="N77">
        <v>2080</v>
      </c>
      <c r="O77" t="s">
        <v>240</v>
      </c>
      <c r="P77" t="s">
        <v>240</v>
      </c>
      <c r="Q77" s="61">
        <f>Q76*'Demographic-Economic'!E$20^10</f>
        <v>6338823.9099148503</v>
      </c>
      <c r="R77" s="61">
        <f>R76*'Demographic-Economic'!F$20^10</f>
        <v>565686.14987092617</v>
      </c>
      <c r="S77" s="61">
        <f>S76*'Demographic-Economic'!G$20^10</f>
        <v>925818.17045496183</v>
      </c>
      <c r="T77" s="61">
        <f>T76*'Demographic-Economic'!H$20^10</f>
        <v>376556.11267501442</v>
      </c>
      <c r="W77">
        <v>2080</v>
      </c>
      <c r="X77" t="s">
        <v>240</v>
      </c>
      <c r="Y77" t="s">
        <v>240</v>
      </c>
      <c r="Z77" s="61">
        <f>Z76*'Demographic-Economic'!E$20^10</f>
        <v>6338823.9099148503</v>
      </c>
      <c r="AA77" s="61">
        <f>AA76*'Demographic-Economic'!F$20^10</f>
        <v>565686.14987092617</v>
      </c>
      <c r="AB77" s="61">
        <f>AB76*'Demographic-Economic'!G$20^10</f>
        <v>925818.17045496183</v>
      </c>
      <c r="AC77" s="61">
        <f>AC76*'Demographic-Economic'!H$20^10</f>
        <v>376556.11267501442</v>
      </c>
      <c r="AG77">
        <v>2080</v>
      </c>
      <c r="AH77" t="s">
        <v>240</v>
      </c>
      <c r="AI77" t="s">
        <v>240</v>
      </c>
      <c r="AJ77" s="61">
        <f>AJ76*'Demographic-Economic'!E$20^10</f>
        <v>6338823.9099148503</v>
      </c>
      <c r="AK77" s="61">
        <f>AK76*'Demographic-Economic'!F$20^10</f>
        <v>565686.14987092617</v>
      </c>
      <c r="AL77" s="61">
        <f>AL76*'Demographic-Economic'!G$20^10</f>
        <v>925818.17045496183</v>
      </c>
      <c r="AM77" s="61">
        <f>AM76*'Demographic-Economic'!H$20^10</f>
        <v>376556.11267501442</v>
      </c>
    </row>
    <row r="78" spans="5:39">
      <c r="E78">
        <v>2090</v>
      </c>
      <c r="F78" s="322" t="s">
        <v>240</v>
      </c>
      <c r="G78" s="322" t="s">
        <v>240</v>
      </c>
      <c r="H78" s="61">
        <f>H77*('Demographic-Economic'!E$20)^10</f>
        <v>7554314.7840266572</v>
      </c>
      <c r="I78" s="61">
        <f>I77*('Demographic-Economic'!F$20)^10</f>
        <v>578111.04105215799</v>
      </c>
      <c r="J78" s="61">
        <f>J77*('Demographic-Economic'!G$20)^10</f>
        <v>1004773.6651875465</v>
      </c>
      <c r="K78" s="61">
        <f>K77*('Demographic-Economic'!H$20)^10</f>
        <v>446500.67619810445</v>
      </c>
      <c r="N78">
        <v>2090</v>
      </c>
      <c r="O78" t="s">
        <v>240</v>
      </c>
      <c r="P78" t="s">
        <v>240</v>
      </c>
      <c r="Q78" s="61">
        <f>Q77*'Demographic-Economic'!E$20^10</f>
        <v>7554314.7840266572</v>
      </c>
      <c r="R78" s="61">
        <f>R77*'Demographic-Economic'!F$20^10</f>
        <v>578111.04105215799</v>
      </c>
      <c r="S78" s="61">
        <f>S77*'Demographic-Economic'!G$20^10</f>
        <v>1004773.6651875465</v>
      </c>
      <c r="T78" s="61">
        <f>T77*'Demographic-Economic'!H$20^10</f>
        <v>446500.67619810445</v>
      </c>
      <c r="W78">
        <v>2090</v>
      </c>
      <c r="X78" t="s">
        <v>240</v>
      </c>
      <c r="Y78" t="s">
        <v>240</v>
      </c>
      <c r="Z78" s="61">
        <f>Z77*'Demographic-Economic'!E$20^10</f>
        <v>7554314.7840266572</v>
      </c>
      <c r="AA78" s="61">
        <f>AA77*'Demographic-Economic'!F$20^10</f>
        <v>578111.04105215799</v>
      </c>
      <c r="AB78" s="61">
        <f>AB77*'Demographic-Economic'!G$20^10</f>
        <v>1004773.6651875465</v>
      </c>
      <c r="AC78" s="61">
        <f>AC77*'Demographic-Economic'!H$20^10</f>
        <v>446500.67619810445</v>
      </c>
      <c r="AG78">
        <v>2090</v>
      </c>
      <c r="AH78" t="s">
        <v>240</v>
      </c>
      <c r="AI78" t="s">
        <v>240</v>
      </c>
      <c r="AJ78" s="61">
        <f>AJ77*'Demographic-Economic'!E$20^10</f>
        <v>7554314.7840266572</v>
      </c>
      <c r="AK78" s="61">
        <f>AK77*'Demographic-Economic'!F$20^10</f>
        <v>578111.04105215799</v>
      </c>
      <c r="AL78" s="61">
        <f>AL77*'Demographic-Economic'!G$20^10</f>
        <v>1004773.6651875465</v>
      </c>
      <c r="AM78" s="61">
        <f>AM77*'Demographic-Economic'!H$20^10</f>
        <v>446500.67619810445</v>
      </c>
    </row>
    <row r="79" spans="5:39">
      <c r="E79">
        <v>2100</v>
      </c>
      <c r="F79" s="322" t="s">
        <v>240</v>
      </c>
      <c r="G79" s="322" t="s">
        <v>240</v>
      </c>
      <c r="H79" s="61">
        <f>H78*('Demographic-Economic'!E$20)^10</f>
        <v>9002880.1347362734</v>
      </c>
      <c r="I79" s="61">
        <f>I78*('Demographic-Economic'!F$20)^10</f>
        <v>590808.8360704392</v>
      </c>
      <c r="J79" s="61">
        <f>J78*('Demographic-Economic'!G$20)^10</f>
        <v>1090462.6312943252</v>
      </c>
      <c r="K79" s="61">
        <f>K78*('Demographic-Economic'!H$20)^10</f>
        <v>529437.30598107167</v>
      </c>
      <c r="N79">
        <v>2100</v>
      </c>
      <c r="O79" t="s">
        <v>240</v>
      </c>
      <c r="P79" t="s">
        <v>240</v>
      </c>
      <c r="Q79" s="61">
        <f>Q78*'Demographic-Economic'!E$20^10</f>
        <v>9002880.1347362734</v>
      </c>
      <c r="R79" s="61">
        <f>R78*'Demographic-Economic'!F$20^10</f>
        <v>590808.8360704392</v>
      </c>
      <c r="S79" s="61">
        <f>S78*'Demographic-Economic'!G$20^10</f>
        <v>1090462.6312943252</v>
      </c>
      <c r="T79" s="61">
        <f>T78*'Demographic-Economic'!H$20^10</f>
        <v>529437.30598107167</v>
      </c>
      <c r="W79">
        <v>2100</v>
      </c>
      <c r="X79" t="s">
        <v>240</v>
      </c>
      <c r="Y79" t="s">
        <v>240</v>
      </c>
      <c r="Z79" s="61">
        <f>Z78*'Demographic-Economic'!E$20^10</f>
        <v>9002880.1347362734</v>
      </c>
      <c r="AA79" s="61">
        <f>AA78*'Demographic-Economic'!F$20^10</f>
        <v>590808.8360704392</v>
      </c>
      <c r="AB79" s="61">
        <f>AB78*'Demographic-Economic'!G$20^10</f>
        <v>1090462.6312943252</v>
      </c>
      <c r="AC79" s="61">
        <f>AC78*'Demographic-Economic'!H$20^10</f>
        <v>529437.30598107167</v>
      </c>
      <c r="AG79">
        <v>2100</v>
      </c>
      <c r="AH79" t="s">
        <v>240</v>
      </c>
      <c r="AI79" t="s">
        <v>240</v>
      </c>
      <c r="AJ79" s="61">
        <f>AJ78*'Demographic-Economic'!E$20^10</f>
        <v>9002880.1347362734</v>
      </c>
      <c r="AK79" s="61">
        <f>AK78*'Demographic-Economic'!F$20^10</f>
        <v>590808.8360704392</v>
      </c>
      <c r="AL79" s="61">
        <f>AL78*'Demographic-Economic'!G$20^10</f>
        <v>1090462.6312943252</v>
      </c>
      <c r="AM79" s="61">
        <f>AM78*'Demographic-Economic'!H$20^10</f>
        <v>529437.30598107167</v>
      </c>
    </row>
    <row r="80" spans="5:39">
      <c r="F80" s="581" t="s">
        <v>241</v>
      </c>
      <c r="G80" s="581"/>
      <c r="H80" s="581"/>
      <c r="I80" s="581"/>
      <c r="J80" s="581"/>
      <c r="K80" s="581"/>
      <c r="O80" s="581" t="s">
        <v>241</v>
      </c>
      <c r="P80" s="581"/>
      <c r="Q80" s="581"/>
      <c r="R80" s="581"/>
      <c r="S80" s="581"/>
      <c r="T80" s="581"/>
      <c r="X80" s="581" t="s">
        <v>241</v>
      </c>
      <c r="Y80" s="581"/>
      <c r="Z80" s="581"/>
      <c r="AA80" s="581"/>
      <c r="AB80" s="581"/>
      <c r="AC80" s="581"/>
      <c r="AH80" s="581" t="s">
        <v>241</v>
      </c>
      <c r="AI80" s="581"/>
      <c r="AJ80" s="581"/>
      <c r="AK80" s="581"/>
      <c r="AL80" s="581"/>
      <c r="AM80" s="581"/>
    </row>
    <row r="81" spans="5:39">
      <c r="E81">
        <v>2020</v>
      </c>
      <c r="F81" s="61">
        <f>F5/'Demographic-Economic'!C$29</f>
        <v>2473101.1764705884</v>
      </c>
      <c r="G81" s="61">
        <f>G5/'Demographic-Economic'!D$29</f>
        <v>1691706.0240963853</v>
      </c>
      <c r="H81" s="61">
        <f>H5/'Demographic-Economic'!E$29</f>
        <v>2021766.8016194331</v>
      </c>
      <c r="I81" s="61">
        <f>I5/'Demographic-Economic'!F$29</f>
        <v>404270.4</v>
      </c>
      <c r="J81" s="61">
        <f>J5/'Demographic-Economic'!G$29</f>
        <v>506668.79999999999</v>
      </c>
      <c r="K81" s="61">
        <f>K5/'Demographic-Economic'!H$29</f>
        <v>116182.64150943396</v>
      </c>
      <c r="N81">
        <v>2020</v>
      </c>
      <c r="O81" s="61">
        <f>O5/'Demographic-Economic'!C$29</f>
        <v>2473101.1764705884</v>
      </c>
      <c r="P81" s="61">
        <f>P5/'Demographic-Economic'!D$29</f>
        <v>1691706.0240963853</v>
      </c>
      <c r="Q81" s="61">
        <f>Q5/'Demographic-Economic'!E$29</f>
        <v>2021766.8016194331</v>
      </c>
      <c r="R81" s="61">
        <f>R5/'Demographic-Economic'!F$29</f>
        <v>404270.4</v>
      </c>
      <c r="S81" s="61">
        <f>S5/'Demographic-Economic'!G$29</f>
        <v>506668.79999999999</v>
      </c>
      <c r="T81" s="61">
        <f>T5/'Demographic-Economic'!H$29</f>
        <v>116182.64150943396</v>
      </c>
      <c r="W81">
        <v>2020</v>
      </c>
      <c r="X81" s="61">
        <f>X5/'Demographic-Economic'!C$29</f>
        <v>2473101.1764705884</v>
      </c>
      <c r="Y81" s="61">
        <f>Y5/'Demographic-Economic'!D$29</f>
        <v>1691706.0240963853</v>
      </c>
      <c r="Z81" s="61">
        <f>Z5/'Demographic-Economic'!E$29</f>
        <v>2021766.8016194331</v>
      </c>
      <c r="AA81" s="61">
        <f>AA5/'Demographic-Economic'!F$29</f>
        <v>404270.4</v>
      </c>
      <c r="AB81" s="61">
        <f>AB5/'Demographic-Economic'!G$29</f>
        <v>506668.79999999999</v>
      </c>
      <c r="AC81" s="61">
        <f>AC5/'Demographic-Economic'!H$29</f>
        <v>116182.64150943396</v>
      </c>
      <c r="AG81">
        <v>2020</v>
      </c>
      <c r="AH81" s="61">
        <f>AH5/'Demographic-Economic'!C$29</f>
        <v>2473101.1764705884</v>
      </c>
      <c r="AI81" s="61">
        <f>AI5/'Demographic-Economic'!D$29</f>
        <v>1691706.0240963853</v>
      </c>
      <c r="AJ81" s="61">
        <f>AJ5/'Demographic-Economic'!E$29</f>
        <v>2021766.8016194331</v>
      </c>
      <c r="AK81" s="61">
        <f>AK5/'Demographic-Economic'!F$29</f>
        <v>404270.4</v>
      </c>
      <c r="AL81" s="61">
        <f>AL5/'Demographic-Economic'!G$29</f>
        <v>506668.79999999999</v>
      </c>
      <c r="AM81" s="61">
        <f>AM5/'Demographic-Economic'!H$29</f>
        <v>116182.64150943396</v>
      </c>
    </row>
    <row r="82" spans="5:39">
      <c r="E82">
        <v>2021</v>
      </c>
      <c r="F82" s="61">
        <f>F6/'Demographic-Economic'!C$29</f>
        <v>2488139.7849833933</v>
      </c>
      <c r="G82" s="61">
        <f>G6/'Demographic-Economic'!D$29</f>
        <v>1701567.4650437103</v>
      </c>
      <c r="H82" s="61">
        <f>H6/'Demographic-Economic'!E$29</f>
        <v>2035359.6771386035</v>
      </c>
      <c r="I82" s="61">
        <f>I6/'Demographic-Economic'!F$29</f>
        <v>407208.03396775376</v>
      </c>
      <c r="J82" s="61">
        <f>J6/'Demographic-Economic'!G$29</f>
        <v>510122.4692607646</v>
      </c>
      <c r="K82" s="61">
        <f>K6/'Demographic-Economic'!H$29</f>
        <v>116992.8598572388</v>
      </c>
      <c r="N82">
        <v>2021</v>
      </c>
      <c r="O82" s="61">
        <f>O6/'Demographic-Economic'!C$29</f>
        <v>2493601.3490840229</v>
      </c>
      <c r="P82" s="61">
        <f>P6/'Demographic-Economic'!D$29</f>
        <v>1705302.4721514178</v>
      </c>
      <c r="Q82" s="61">
        <f>Q6/'Demographic-Economic'!E$29</f>
        <v>2039827.3712013003</v>
      </c>
      <c r="R82" s="61">
        <f>R6/'Demographic-Economic'!F$29</f>
        <v>408101.87152190914</v>
      </c>
      <c r="S82" s="61">
        <f>S6/'Demographic-Economic'!G$29</f>
        <v>511242.20802377706</v>
      </c>
      <c r="T82" s="61">
        <f>T6/'Demographic-Economic'!H$29</f>
        <v>117249.6637584033</v>
      </c>
      <c r="W82">
        <v>2021</v>
      </c>
      <c r="X82" s="61">
        <f>X6/'Demographic-Economic'!C$29</f>
        <v>2498492.1368901455</v>
      </c>
      <c r="Y82" s="61">
        <f>Y6/'Demographic-Economic'!D$29</f>
        <v>1708647.1417152246</v>
      </c>
      <c r="Z82" s="61">
        <f>Z6/'Demographic-Economic'!E$29</f>
        <v>2043828.1561853678</v>
      </c>
      <c r="AA82" s="61">
        <f>AA6/'Demographic-Economic'!F$29</f>
        <v>408902.29603949626</v>
      </c>
      <c r="AB82" s="61">
        <f>AB6/'Demographic-Economic'!G$29</f>
        <v>512244.92530169972</v>
      </c>
      <c r="AC82" s="61">
        <f>AC6/'Demographic-Economic'!H$29</f>
        <v>117479.6296372685</v>
      </c>
      <c r="AG82">
        <v>2021</v>
      </c>
      <c r="AH82" s="61">
        <f>AH6/'Demographic-Economic'!C$29</f>
        <v>2488856.9601246594</v>
      </c>
      <c r="AI82" s="61">
        <f>AI6/'Demographic-Economic'!D$29</f>
        <v>1702057.9205617174</v>
      </c>
      <c r="AJ82" s="61">
        <f>AJ6/'Demographic-Economic'!E$29</f>
        <v>2035946.3440826349</v>
      </c>
      <c r="AK82" s="61">
        <f>AK6/'Demographic-Economic'!F$29</f>
        <v>407325.40658526024</v>
      </c>
      <c r="AL82" s="61">
        <f>AL6/'Demographic-Economic'!G$29</f>
        <v>510269.50567574549</v>
      </c>
      <c r="AM82" s="61">
        <f>AM6/'Demographic-Economic'!H$29</f>
        <v>117026.58158433053</v>
      </c>
    </row>
    <row r="83" spans="5:39">
      <c r="E83">
        <v>2022</v>
      </c>
      <c r="F83" s="61">
        <f>F7/'Demographic-Economic'!C$29</f>
        <v>2503170.7196231182</v>
      </c>
      <c r="G83" s="61">
        <f>G7/'Demographic-Economic'!D$29</f>
        <v>1711418.6216235822</v>
      </c>
      <c r="H83" s="61">
        <f>H7/'Demographic-Economic'!E$29</f>
        <v>2049007.4111821577</v>
      </c>
      <c r="I83" s="61">
        <f>I7/'Demographic-Economic'!F$29</f>
        <v>410117.32075908344</v>
      </c>
      <c r="J83" s="61">
        <f>J7/'Demographic-Economic'!G$29</f>
        <v>513566.97094489762</v>
      </c>
      <c r="K83" s="61">
        <f>K7/'Demographic-Economic'!H$29</f>
        <v>117804.38491399653</v>
      </c>
      <c r="N83">
        <v>2022</v>
      </c>
      <c r="O83" s="61">
        <f>O7/'Demographic-Economic'!C$29</f>
        <v>2514091.1170423268</v>
      </c>
      <c r="P83" s="61">
        <f>P7/'Demographic-Economic'!D$29</f>
        <v>1718884.9008318889</v>
      </c>
      <c r="Q83" s="61">
        <f>Q7/'Demographic-Economic'!E$29</f>
        <v>2057943.6163122009</v>
      </c>
      <c r="R83" s="61">
        <f>R7/'Demographic-Economic'!F$29</f>
        <v>411909.15050954756</v>
      </c>
      <c r="S83" s="61">
        <f>S7/'Demographic-Economic'!G$29</f>
        <v>515807.23579817143</v>
      </c>
      <c r="T83" s="61">
        <f>T7/'Demographic-Economic'!H$29</f>
        <v>118318.70620196132</v>
      </c>
      <c r="W83">
        <v>2022</v>
      </c>
      <c r="X83" s="61">
        <f>X7/'Demographic-Economic'!C$29</f>
        <v>2523870.2472606692</v>
      </c>
      <c r="Y83" s="61">
        <f>Y7/'Demographic-Economic'!D$29</f>
        <v>1725570.8952899384</v>
      </c>
      <c r="Z83" s="61">
        <f>Z7/'Demographic-Economic'!E$29</f>
        <v>2065945.8099297963</v>
      </c>
      <c r="AA83" s="61">
        <f>AA7/'Demographic-Economic'!F$29</f>
        <v>413513.82014122227</v>
      </c>
      <c r="AB83" s="61">
        <f>AB7/'Demographic-Economic'!G$29</f>
        <v>517813.36646201322</v>
      </c>
      <c r="AC83" s="61">
        <f>AC7/'Demographic-Economic'!H$29</f>
        <v>118779.29147148697</v>
      </c>
      <c r="AG83">
        <v>2022</v>
      </c>
      <c r="AH83" s="61">
        <f>AH7/'Demographic-Economic'!C$29</f>
        <v>2504604.7113180794</v>
      </c>
      <c r="AI83" s="61">
        <f>AI7/'Demographic-Economic'!D$29</f>
        <v>1712399.0422040774</v>
      </c>
      <c r="AJ83" s="61">
        <f>AJ7/'Demographic-Economic'!E$29</f>
        <v>2050180.8593872664</v>
      </c>
      <c r="AK83" s="61">
        <f>AK7/'Demographic-Economic'!F$29</f>
        <v>410352.60502933851</v>
      </c>
      <c r="AL83" s="61">
        <f>AL7/'Demographic-Economic'!G$29</f>
        <v>513861.14774348092</v>
      </c>
      <c r="AM83" s="61">
        <f>AM7/'Demographic-Economic'!H$29</f>
        <v>117871.92110771954</v>
      </c>
    </row>
    <row r="84" spans="5:39">
      <c r="E84">
        <v>2023</v>
      </c>
      <c r="F84" s="61">
        <f>F8/'Demographic-Economic'!C$29</f>
        <v>2518193.9832867859</v>
      </c>
      <c r="G84" s="61">
        <f>G8/'Demographic-Economic'!D$29</f>
        <v>1721259.5016550072</v>
      </c>
      <c r="H84" s="61">
        <f>H8/'Demographic-Economic'!E$29</f>
        <v>2062705.742365581</v>
      </c>
      <c r="I84" s="61">
        <f>I8/'Demographic-Economic'!F$29</f>
        <v>413001.41504755343</v>
      </c>
      <c r="J84" s="61">
        <f>J8/'Demographic-Economic'!G$29</f>
        <v>517003.40388950414</v>
      </c>
      <c r="K84" s="61">
        <f>K8/'Demographic-Economic'!H$29</f>
        <v>118617.16573115489</v>
      </c>
      <c r="N84">
        <v>2023</v>
      </c>
      <c r="O84" s="61">
        <f>O8/'Demographic-Economic'!C$29</f>
        <v>2534570.484266567</v>
      </c>
      <c r="P84" s="61">
        <f>P8/'Demographic-Economic'!D$29</f>
        <v>1732453.3207580615</v>
      </c>
      <c r="Q84" s="61">
        <f>Q8/'Demographic-Economic'!E$29</f>
        <v>2076113.132197025</v>
      </c>
      <c r="R84" s="61">
        <f>R8/'Demographic-Economic'!F$29</f>
        <v>415693.99239298818</v>
      </c>
      <c r="S84" s="61">
        <f>S8/'Demographic-Economic'!G$29</f>
        <v>520364.56197050522</v>
      </c>
      <c r="T84" s="61">
        <f>T8/'Demographic-Economic'!H$29</f>
        <v>119389.70020179072</v>
      </c>
      <c r="W84">
        <v>2023</v>
      </c>
      <c r="X84" s="61">
        <f>X8/'Demographic-Economic'!C$29</f>
        <v>2549235.5124202487</v>
      </c>
      <c r="Y84" s="61">
        <f>Y8/'Demographic-Economic'!D$29</f>
        <v>1742477.2979492927</v>
      </c>
      <c r="Z84" s="61">
        <f>Z8/'Demographic-Economic'!E$29</f>
        <v>2088118.940624411</v>
      </c>
      <c r="AA84" s="61">
        <f>AA8/'Demographic-Economic'!F$29</f>
        <v>418105.56808659283</v>
      </c>
      <c r="AB84" s="61">
        <f>AB8/'Demographic-Economic'!G$29</f>
        <v>523374.38559953682</v>
      </c>
      <c r="AC84" s="61">
        <f>AC8/'Demographic-Economic'!H$29</f>
        <v>120081.56705968948</v>
      </c>
      <c r="AG84">
        <v>2023</v>
      </c>
      <c r="AH84" s="61">
        <f>AH8/'Demographic-Economic'!C$29</f>
        <v>2520344.4330823435</v>
      </c>
      <c r="AI84" s="61">
        <f>AI8/'Demographic-Economic'!D$29</f>
        <v>1722729.3972103151</v>
      </c>
      <c r="AJ84" s="61">
        <f>AJ8/'Demographic-Economic'!E$29</f>
        <v>2064466.3346534148</v>
      </c>
      <c r="AK84" s="61">
        <f>AK8/'Demographic-Economic'!F$29</f>
        <v>413354.96069337806</v>
      </c>
      <c r="AL84" s="61">
        <f>AL8/'Demographic-Economic'!G$29</f>
        <v>517444.77238315792</v>
      </c>
      <c r="AM84" s="61">
        <f>AM8/'Demographic-Economic'!H$29</f>
        <v>118718.60530416225</v>
      </c>
    </row>
    <row r="85" spans="5:39">
      <c r="E85">
        <v>2024</v>
      </c>
      <c r="F85" s="61">
        <f>F9/'Demographic-Economic'!C$29</f>
        <v>2533209.5788704525</v>
      </c>
      <c r="G85" s="61">
        <f>G9/'Demographic-Economic'!D$29</f>
        <v>1731090.112951746</v>
      </c>
      <c r="H85" s="61">
        <f>H9/'Demographic-Economic'!E$29</f>
        <v>2076451.046635366</v>
      </c>
      <c r="I85" s="61">
        <f>I9/'Demographic-Economic'!F$29</f>
        <v>415862.99928948266</v>
      </c>
      <c r="J85" s="61">
        <f>J9/'Demographic-Economic'!G$29</f>
        <v>520432.70145210484</v>
      </c>
      <c r="K85" s="61">
        <f>K9/'Demographic-Economic'!H$29</f>
        <v>119431.15892621085</v>
      </c>
      <c r="N85">
        <v>2024</v>
      </c>
      <c r="O85" s="61">
        <f>O9/'Demographic-Economic'!C$29</f>
        <v>2555039.454676501</v>
      </c>
      <c r="P85" s="61">
        <f>P9/'Demographic-Economic'!D$29</f>
        <v>1746007.7425430827</v>
      </c>
      <c r="Q85" s="61">
        <f>Q9/'Demographic-Economic'!E$29</f>
        <v>2094333.7170259389</v>
      </c>
      <c r="R85" s="61">
        <f>R9/'Demographic-Economic'!F$29</f>
        <v>419458.0035888179</v>
      </c>
      <c r="S85" s="61">
        <f>S9/'Demographic-Economic'!G$29</f>
        <v>524914.80713341455</v>
      </c>
      <c r="T85" s="61">
        <f>T9/'Demographic-Economic'!H$29</f>
        <v>120462.58333318141</v>
      </c>
      <c r="W85">
        <v>2024</v>
      </c>
      <c r="X85" s="61">
        <f>X9/'Demographic-Economic'!C$29</f>
        <v>2574587.9372053584</v>
      </c>
      <c r="Y85" s="61">
        <f>Y9/'Demographic-Economic'!D$29</f>
        <v>1759366.3628132634</v>
      </c>
      <c r="Z85" s="61">
        <f>Z9/'Demographic-Economic'!E$29</f>
        <v>2110346.668050997</v>
      </c>
      <c r="AA85" s="61">
        <f>AA9/'Demographic-Economic'!F$29</f>
        <v>422678.17537169263</v>
      </c>
      <c r="AB85" s="61">
        <f>AB9/'Demographic-Economic'!G$29</f>
        <v>528928.26194153377</v>
      </c>
      <c r="AC85" s="61">
        <f>AC9/'Demographic-Economic'!H$29</f>
        <v>121386.39690333576</v>
      </c>
      <c r="AG85">
        <v>2024</v>
      </c>
      <c r="AH85" s="61">
        <f>AH9/'Demographic-Economic'!C$29</f>
        <v>2536076.1284479308</v>
      </c>
      <c r="AI85" s="61">
        <f>AI9/'Demographic-Economic'!D$29</f>
        <v>1733048.993761786</v>
      </c>
      <c r="AJ85" s="61">
        <f>AJ9/'Demographic-Economic'!E$29</f>
        <v>2078799.3290776731</v>
      </c>
      <c r="AK85" s="61">
        <f>AK9/'Demographic-Economic'!F$29</f>
        <v>416335.01574800117</v>
      </c>
      <c r="AL85" s="61">
        <f>AL9/'Demographic-Economic'!G$29</f>
        <v>521021.27552051767</v>
      </c>
      <c r="AM85" s="61">
        <f>AM9/'Demographic-Economic'!H$29</f>
        <v>119566.58717147203</v>
      </c>
    </row>
    <row r="86" spans="5:39">
      <c r="E86">
        <v>2025</v>
      </c>
      <c r="F86" s="61">
        <f>F10/'Demographic-Economic'!C$29</f>
        <v>2548217.5092692031</v>
      </c>
      <c r="G86" s="61">
        <f>G10/'Demographic-Economic'!D$29</f>
        <v>1740910.4633223126</v>
      </c>
      <c r="H86" s="61">
        <f>H10/'Demographic-Economic'!E$29</f>
        <v>2090240.2180819642</v>
      </c>
      <c r="I86" s="61">
        <f>I10/'Demographic-Economic'!F$29</f>
        <v>418704.37203167006</v>
      </c>
      <c r="J86" s="61">
        <f>J10/'Demographic-Economic'!G$29</f>
        <v>523855.66245816683</v>
      </c>
      <c r="K86" s="61">
        <f>K10/'Demographic-Economic'!H$29</f>
        <v>120246.32726906973</v>
      </c>
      <c r="N86">
        <v>2025</v>
      </c>
      <c r="O86" s="61">
        <f>O10/'Demographic-Economic'!C$29</f>
        <v>2575498.0321905739</v>
      </c>
      <c r="P86" s="61">
        <f>P10/'Demographic-Economic'!D$29</f>
        <v>1759548.1767929883</v>
      </c>
      <c r="Q86" s="61">
        <f>Q10/'Demographic-Economic'!E$29</f>
        <v>2112603.3528094585</v>
      </c>
      <c r="R86" s="61">
        <f>R10/'Demographic-Economic'!F$29</f>
        <v>423202.65556564665</v>
      </c>
      <c r="S86" s="61">
        <f>S10/'Demographic-Economic'!G$29</f>
        <v>529458.53928130248</v>
      </c>
      <c r="T86" s="61">
        <f>T10/'Demographic-Economic'!H$29</f>
        <v>121537.29875666942</v>
      </c>
      <c r="W86">
        <v>2025</v>
      </c>
      <c r="X86" s="61">
        <f>X10/'Demographic-Economic'!C$29</f>
        <v>2599927.5264508557</v>
      </c>
      <c r="Y86" s="61">
        <f>Y10/'Demographic-Economic'!D$29</f>
        <v>1776238.1029930457</v>
      </c>
      <c r="Z86" s="61">
        <f>Z10/'Demographic-Economic'!E$29</f>
        <v>2132628.069540482</v>
      </c>
      <c r="AA86" s="61">
        <f>AA10/'Demographic-Economic'!F$29</f>
        <v>427232.30622777838</v>
      </c>
      <c r="AB86" s="61">
        <f>AB10/'Demographic-Economic'!G$29</f>
        <v>534475.28696260345</v>
      </c>
      <c r="AC86" s="61">
        <f>AC10/'Demographic-Economic'!H$29</f>
        <v>122693.7224183529</v>
      </c>
      <c r="AG86">
        <v>2025</v>
      </c>
      <c r="AH86" s="61">
        <f>AH10/'Demographic-Economic'!C$29</f>
        <v>2551799.8004443077</v>
      </c>
      <c r="AI86" s="61">
        <f>AI10/'Demographic-Economic'!D$29</f>
        <v>1743357.8400343561</v>
      </c>
      <c r="AJ86" s="61">
        <f>AJ10/'Demographic-Economic'!E$29</f>
        <v>2093176.8719902691</v>
      </c>
      <c r="AK86" s="61">
        <f>AK10/'Demographic-Economic'!F$29</f>
        <v>419294.96458573063</v>
      </c>
      <c r="AL86" s="61">
        <f>AL10/'Demographic-Economic'!G$29</f>
        <v>524591.42960228585</v>
      </c>
      <c r="AM86" s="61">
        <f>AM10/'Demographic-Economic'!H$29</f>
        <v>120415.82609575095</v>
      </c>
    </row>
    <row r="87" spans="5:39">
      <c r="E87">
        <v>2026</v>
      </c>
      <c r="F87" s="61">
        <f>F11/'Demographic-Economic'!C$29</f>
        <v>2563217.7773771556</v>
      </c>
      <c r="G87" s="61">
        <f>G11/'Demographic-Economic'!D$29</f>
        <v>1750720.5605699802</v>
      </c>
      <c r="H87" s="61">
        <f>H11/'Demographic-Economic'!E$29</f>
        <v>2104070.5761717129</v>
      </c>
      <c r="I87" s="61">
        <f>I11/'Demographic-Economic'!F$29</f>
        <v>421527.51664539194</v>
      </c>
      <c r="J87" s="61">
        <f>J11/'Demographic-Economic'!G$29</f>
        <v>527272.97528881382</v>
      </c>
      <c r="K87" s="61">
        <f>K11/'Demographic-Economic'!H$29</f>
        <v>121062.6385812388</v>
      </c>
      <c r="N87">
        <v>2026</v>
      </c>
      <c r="O87" s="61">
        <f>O11/'Demographic-Economic'!C$29</f>
        <v>2595946.2207259247</v>
      </c>
      <c r="P87" s="61">
        <f>P11/'Demographic-Economic'!D$29</f>
        <v>1773074.6341067087</v>
      </c>
      <c r="Q87" s="61">
        <f>Q11/'Demographic-Economic'!E$29</f>
        <v>2130920.1881784853</v>
      </c>
      <c r="R87" s="61">
        <f>R11/'Demographic-Economic'!F$29</f>
        <v>426929.29752878204</v>
      </c>
      <c r="S87" s="61">
        <f>S11/'Demographic-Economic'!G$29</f>
        <v>533996.27873420506</v>
      </c>
      <c r="T87" s="61">
        <f>T11/'Demographic-Economic'!H$29</f>
        <v>122613.7946565131</v>
      </c>
      <c r="W87">
        <v>2026</v>
      </c>
      <c r="X87" s="61">
        <f>X11/'Demographic-Economic'!C$29</f>
        <v>2625254.2849899847</v>
      </c>
      <c r="Y87" s="61">
        <f>Y11/'Demographic-Economic'!D$29</f>
        <v>1793092.5315910578</v>
      </c>
      <c r="Z87" s="61">
        <f>Z11/'Demographic-Economic'!E$29</f>
        <v>2154962.1936559207</v>
      </c>
      <c r="AA87" s="61">
        <f>AA11/'Demographic-Economic'!F$29</f>
        <v>431768.64397057786</v>
      </c>
      <c r="AB87" s="61">
        <f>AB11/'Demographic-Economic'!G$29</f>
        <v>540015.76011843386</v>
      </c>
      <c r="AC87" s="61">
        <f>AC11/'Demographic-Economic'!H$29</f>
        <v>124003.48631075045</v>
      </c>
      <c r="AG87">
        <v>2026</v>
      </c>
      <c r="AH87" s="61">
        <f>AH11/'Demographic-Economic'!C$29</f>
        <v>2567515.4520999286</v>
      </c>
      <c r="AI87" s="61">
        <f>AI11/'Demographic-Economic'!D$29</f>
        <v>1753655.9441984049</v>
      </c>
      <c r="AJ87" s="61">
        <f>AJ11/'Demographic-Economic'!E$29</f>
        <v>2107596.3824635963</v>
      </c>
      <c r="AK87" s="61">
        <f>AK11/'Demographic-Economic'!F$29</f>
        <v>422236.71329107799</v>
      </c>
      <c r="AL87" s="61">
        <f>AL11/'Demographic-Economic'!G$29</f>
        <v>528155.90471099725</v>
      </c>
      <c r="AM87" s="61">
        <f>AM11/'Demographic-Economic'!H$29</f>
        <v>121266.28675879749</v>
      </c>
    </row>
    <row r="88" spans="5:39">
      <c r="E88">
        <v>2027</v>
      </c>
      <c r="F88" s="61">
        <f>F12/'Demographic-Economic'!C$29</f>
        <v>2578210.38608746</v>
      </c>
      <c r="G88" s="61">
        <f>G12/'Demographic-Economic'!D$29</f>
        <v>1760520.4124927844</v>
      </c>
      <c r="H88" s="61">
        <f>H12/'Demographic-Economic'!E$29</f>
        <v>2117939.7926964406</v>
      </c>
      <c r="I88" s="61">
        <f>I12/'Demographic-Economic'!F$29</f>
        <v>424334.15545147972</v>
      </c>
      <c r="J88" s="61">
        <f>J12/'Demographic-Economic'!G$29</f>
        <v>530685.23684876715</v>
      </c>
      <c r="K88" s="61">
        <f>K12/'Demographic-Economic'!H$29</f>
        <v>121880.06486862841</v>
      </c>
      <c r="N88">
        <v>2027</v>
      </c>
      <c r="O88" s="61">
        <f>O12/'Demographic-Economic'!C$29</f>
        <v>2616384.0241983803</v>
      </c>
      <c r="P88" s="61">
        <f>P12/'Demographic-Economic'!D$29</f>
        <v>1786587.1250760709</v>
      </c>
      <c r="Q88" s="61">
        <f>Q12/'Demographic-Economic'!E$29</f>
        <v>2149282.522860067</v>
      </c>
      <c r="R88" s="61">
        <f>R12/'Demographic-Economic'!F$29</f>
        <v>430639.16785042069</v>
      </c>
      <c r="S88" s="61">
        <f>S12/'Demographic-Economic'!G$29</f>
        <v>538528.5025772911</v>
      </c>
      <c r="T88" s="61">
        <f>T12/'Demographic-Economic'!H$29</f>
        <v>123692.023739037</v>
      </c>
      <c r="W88">
        <v>2027</v>
      </c>
      <c r="X88" s="61">
        <f>X12/'Demographic-Economic'!C$29</f>
        <v>2650568.217654373</v>
      </c>
      <c r="Y88" s="61">
        <f>Y12/'Demographic-Economic'!D$29</f>
        <v>1809929.6617009456</v>
      </c>
      <c r="Z88" s="61">
        <f>Z12/'Demographic-Economic'!E$29</f>
        <v>2177348.0720863282</v>
      </c>
      <c r="AA88" s="61">
        <f>AA12/'Demographic-Economic'!F$29</f>
        <v>436287.88262760983</v>
      </c>
      <c r="AB88" s="61">
        <f>AB12/'Demographic-Economic'!G$29</f>
        <v>545549.98515079217</v>
      </c>
      <c r="AC88" s="61">
        <f>AC12/'Demographic-Economic'!H$29</f>
        <v>125315.63287527619</v>
      </c>
      <c r="AG88">
        <v>2027</v>
      </c>
      <c r="AH88" s="61">
        <f>AH12/'Demographic-Economic'!C$29</f>
        <v>2583223.0864422345</v>
      </c>
      <c r="AI88" s="61">
        <f>AI12/'Demographic-Economic'!D$29</f>
        <v>1763943.3144188302</v>
      </c>
      <c r="AJ88" s="61">
        <f>AJ12/'Demographic-Economic'!E$29</f>
        <v>2122055.6052513411</v>
      </c>
      <c r="AK88" s="61">
        <f>AK12/'Demographic-Economic'!F$29</f>
        <v>425161.92703019065</v>
      </c>
      <c r="AL88" s="61">
        <f>AL12/'Demographic-Economic'!G$29</f>
        <v>531715.28539068601</v>
      </c>
      <c r="AM88" s="61">
        <f>AM12/'Demographic-Economic'!H$29</f>
        <v>122117.93826716884</v>
      </c>
    </row>
    <row r="89" spans="5:39">
      <c r="E89">
        <v>2028</v>
      </c>
      <c r="F89" s="61">
        <f>F13/'Demographic-Economic'!C$29</f>
        <v>2593195.3382922984</v>
      </c>
      <c r="G89" s="61">
        <f>G13/'Demographic-Economic'!D$29</f>
        <v>1770310.0268835255</v>
      </c>
      <c r="H89" s="61">
        <f>H13/'Demographic-Economic'!E$29</f>
        <v>2131845.8336372869</v>
      </c>
      <c r="I89" s="61">
        <f>I13/'Demographic-Economic'!F$29</f>
        <v>427125.79279527237</v>
      </c>
      <c r="J89" s="61">
        <f>J13/'Demographic-Economic'!G$29</f>
        <v>534092.96766177216</v>
      </c>
      <c r="K89" s="61">
        <f>K13/'Demographic-Economic'!H$29</f>
        <v>122698.58163113956</v>
      </c>
      <c r="N89">
        <v>2028</v>
      </c>
      <c r="O89" s="61">
        <f>O13/'Demographic-Economic'!C$29</f>
        <v>2636811.4465224608</v>
      </c>
      <c r="P89" s="61">
        <f>P13/'Demographic-Economic'!D$29</f>
        <v>1800085.6602858058</v>
      </c>
      <c r="Q89" s="61">
        <f>Q13/'Demographic-Economic'!E$29</f>
        <v>2167688.7936890041</v>
      </c>
      <c r="R89" s="61">
        <f>R13/'Demographic-Economic'!F$29</f>
        <v>434333.40436449629</v>
      </c>
      <c r="S89" s="61">
        <f>S13/'Demographic-Economic'!G$29</f>
        <v>543055.64866159623</v>
      </c>
      <c r="T89" s="61">
        <f>T13/'Demographic-Economic'!H$29</f>
        <v>124771.94278447556</v>
      </c>
      <c r="W89">
        <v>2028</v>
      </c>
      <c r="X89" s="61">
        <f>X13/'Demographic-Economic'!C$29</f>
        <v>2675869.3292740369</v>
      </c>
      <c r="Y89" s="61">
        <f>Y13/'Demographic-Economic'!D$29</f>
        <v>1826749.506407591</v>
      </c>
      <c r="Z89" s="61">
        <f>Z13/'Demographic-Economic'!E$29</f>
        <v>2199784.7298522289</v>
      </c>
      <c r="AA89" s="61">
        <f>AA13/'Demographic-Economic'!F$29</f>
        <v>440790.71976910823</v>
      </c>
      <c r="AB89" s="61">
        <f>AB13/'Demographic-Economic'!G$29</f>
        <v>551078.26692958956</v>
      </c>
      <c r="AC89" s="61">
        <f>AC13/'Demographic-Economic'!H$29</f>
        <v>126630.10822553566</v>
      </c>
      <c r="AG89">
        <v>2028</v>
      </c>
      <c r="AH89" s="61">
        <f>AH13/'Demographic-Economic'!C$29</f>
        <v>2598922.7064976534</v>
      </c>
      <c r="AI89" s="61">
        <f>AI13/'Demographic-Economic'!D$29</f>
        <v>1774219.9588550485</v>
      </c>
      <c r="AJ89" s="61">
        <f>AJ13/'Demographic-Economic'!E$29</f>
        <v>2136552.5592515357</v>
      </c>
      <c r="AK89" s="61">
        <f>AK13/'Demographic-Economic'!F$29</f>
        <v>428072.06817591225</v>
      </c>
      <c r="AL89" s="61">
        <f>AL13/'Demographic-Economic'!G$29</f>
        <v>535270.08418324601</v>
      </c>
      <c r="AM89" s="61">
        <f>AM13/'Demographic-Economic'!H$29</f>
        <v>122970.75345130834</v>
      </c>
    </row>
    <row r="90" spans="5:39">
      <c r="E90">
        <v>2029</v>
      </c>
      <c r="F90" s="61">
        <f>F14/'Demographic-Economic'!C$29</f>
        <v>2608172.6368828849</v>
      </c>
      <c r="G90" s="61">
        <f>G14/'Demographic-Economic'!D$29</f>
        <v>1780089.4115297729</v>
      </c>
      <c r="H90" s="61">
        <f>H14/'Demographic-Economic'!E$29</f>
        <v>2145786.9124477524</v>
      </c>
      <c r="I90" s="61">
        <f>I14/'Demographic-Economic'!F$29</f>
        <v>429903.74966084154</v>
      </c>
      <c r="J90" s="61">
        <f>J14/'Demographic-Economic'!G$29</f>
        <v>537496.6240010045</v>
      </c>
      <c r="K90" s="61">
        <f>K14/'Demographic-Economic'!H$29</f>
        <v>123518.16730767342</v>
      </c>
      <c r="N90">
        <v>2029</v>
      </c>
      <c r="O90" s="61">
        <f>O14/'Demographic-Economic'!C$29</f>
        <v>2657228.4916113773</v>
      </c>
      <c r="P90" s="61">
        <f>P14/'Demographic-Economic'!D$29</f>
        <v>1813570.2503135493</v>
      </c>
      <c r="Q90" s="61">
        <f>Q14/'Demographic-Economic'!E$29</f>
        <v>2186137.5620062957</v>
      </c>
      <c r="R90" s="61">
        <f>R14/'Demographic-Economic'!F$29</f>
        <v>438013.05363700324</v>
      </c>
      <c r="S90" s="61">
        <f>S14/'Demographic-Economic'!G$29</f>
        <v>547578.11920848233</v>
      </c>
      <c r="T90" s="61">
        <f>T14/'Demographic-Economic'!H$29</f>
        <v>125853.51224653909</v>
      </c>
      <c r="W90">
        <v>2029</v>
      </c>
      <c r="X90" s="61">
        <f>X14/'Demographic-Economic'!C$29</f>
        <v>2701157.6246773768</v>
      </c>
      <c r="Y90" s="61">
        <f>Y14/'Demographic-Economic'!D$29</f>
        <v>1843552.0787871142</v>
      </c>
      <c r="Z90" s="61">
        <f>Z14/'Demographic-Economic'!E$29</f>
        <v>2222271.1939463564</v>
      </c>
      <c r="AA90" s="61">
        <f>AA14/'Demographic-Economic'!F$29</f>
        <v>445277.85045256547</v>
      </c>
      <c r="AB90" s="61">
        <f>AB14/'Demographic-Economic'!G$29</f>
        <v>556600.90879109874</v>
      </c>
      <c r="AC90" s="61">
        <f>AC14/'Demographic-Economic'!H$29</f>
        <v>127946.86046400641</v>
      </c>
      <c r="AG90">
        <v>2029</v>
      </c>
      <c r="AH90" s="61">
        <f>AH14/'Demographic-Economic'!C$29</f>
        <v>2614614.3152916017</v>
      </c>
      <c r="AI90" s="61">
        <f>AI14/'Demographic-Economic'!D$29</f>
        <v>1784485.8856610025</v>
      </c>
      <c r="AJ90" s="61">
        <f>AJ14/'Demographic-Economic'!E$29</f>
        <v>2151085.4956803988</v>
      </c>
      <c r="AK90" s="61">
        <f>AK14/'Demographic-Economic'!F$29</f>
        <v>430968.42724922299</v>
      </c>
      <c r="AL90" s="61">
        <f>AL14/'Demographic-Economic'!G$29</f>
        <v>538820.75261432142</v>
      </c>
      <c r="AM90" s="61">
        <f>AM14/'Demographic-Economic'!H$29</f>
        <v>123824.70829659399</v>
      </c>
    </row>
    <row r="91" spans="5:39">
      <c r="E91">
        <v>2030</v>
      </c>
      <c r="F91" s="61">
        <f>F15/'Demographic-Economic'!C$29</f>
        <v>2623142.2847494683</v>
      </c>
      <c r="G91" s="61">
        <f>G15/'Demographic-Economic'!D$29</f>
        <v>1789858.5742138673</v>
      </c>
      <c r="H91" s="61">
        <f>H15/'Demographic-Economic'!E$29</f>
        <v>2159761.4521780722</v>
      </c>
      <c r="I91" s="61">
        <f>I15/'Demographic-Economic'!F$29</f>
        <v>432669.19173445844</v>
      </c>
      <c r="J91" s="61">
        <f>J15/'Demographic-Economic'!G$29</f>
        <v>540896.6077238227</v>
      </c>
      <c r="K91" s="61">
        <f>K15/'Demographic-Economic'!H$29</f>
        <v>124338.80282603708</v>
      </c>
      <c r="N91">
        <v>2030</v>
      </c>
      <c r="O91" s="61">
        <f>O15/'Demographic-Economic'!C$29</f>
        <v>2677635.1633770359</v>
      </c>
      <c r="P91" s="61">
        <f>P15/'Demographic-Economic'!D$29</f>
        <v>1827040.9057298512</v>
      </c>
      <c r="Q91" s="61">
        <f>Q15/'Demographic-Economic'!E$29</f>
        <v>2204627.5023070555</v>
      </c>
      <c r="R91" s="61">
        <f>R15/'Demographic-Economic'!F$29</f>
        <v>441679.07931385387</v>
      </c>
      <c r="S91" s="61">
        <f>S15/'Demographic-Economic'!G$29</f>
        <v>552096.2840570343</v>
      </c>
      <c r="T91" s="61">
        <f>T15/'Demographic-Economic'!H$29</f>
        <v>126936.69589449714</v>
      </c>
      <c r="W91">
        <v>2030</v>
      </c>
      <c r="X91" s="61">
        <f>X15/'Demographic-Economic'!C$29</f>
        <v>2726433.1086911829</v>
      </c>
      <c r="Y91" s="61">
        <f>Y15/'Demographic-Economic'!D$29</f>
        <v>1860337.3919068819</v>
      </c>
      <c r="Z91" s="61">
        <f>Z15/'Demographic-Economic'!E$29</f>
        <v>2244806.5005461224</v>
      </c>
      <c r="AA91" s="61">
        <f>AA15/'Demographic-Economic'!F$29</f>
        <v>449749.96218199853</v>
      </c>
      <c r="AB91" s="61">
        <f>AB15/'Demographic-Economic'!G$29</f>
        <v>562118.21032761829</v>
      </c>
      <c r="AC91" s="61">
        <f>AC15/'Demographic-Economic'!H$29</f>
        <v>129265.8398001061</v>
      </c>
      <c r="AG91">
        <v>2030</v>
      </c>
      <c r="AH91" s="61">
        <f>AH15/'Demographic-Economic'!C$29</f>
        <v>2630297.9158484843</v>
      </c>
      <c r="AI91" s="61">
        <f>AI15/'Demographic-Economic'!D$29</f>
        <v>1794741.1029851609</v>
      </c>
      <c r="AJ91" s="61">
        <f>AJ15/'Demographic-Economic'!E$29</f>
        <v>2165652.8638522043</v>
      </c>
      <c r="AK91" s="61">
        <f>AK15/'Demographic-Economic'!F$29</f>
        <v>433852.14823401999</v>
      </c>
      <c r="AL91" s="61">
        <f>AL15/'Demographic-Economic'!G$29</f>
        <v>542367.6901815309</v>
      </c>
      <c r="AM91" s="61">
        <f>AM15/'Demographic-Economic'!H$29</f>
        <v>124679.78147775571</v>
      </c>
    </row>
    <row r="92" spans="5:39">
      <c r="E92">
        <v>2040</v>
      </c>
      <c r="F92" s="61">
        <f>F16/'Demographic-Economic'!C$29</f>
        <v>2723715.0570254861</v>
      </c>
      <c r="G92" s="61">
        <f>G16/'Demographic-Economic'!D$29</f>
        <v>1853824.9218940539</v>
      </c>
      <c r="H92" s="61">
        <f>H16/'Demographic-Economic'!E$29</f>
        <v>2260031.4660590147</v>
      </c>
      <c r="I92" s="61">
        <f>I16/'Demographic-Economic'!F$29</f>
        <v>452218.29720322863</v>
      </c>
      <c r="J92" s="61">
        <f>J16/'Demographic-Economic'!G$29</f>
        <v>564857.98051938042</v>
      </c>
      <c r="K92" s="61">
        <f>K16/'Demographic-Economic'!H$29</f>
        <v>130269.72731924745</v>
      </c>
      <c r="N92">
        <v>2040</v>
      </c>
      <c r="O92" s="61">
        <f>O16/'Demographic-Economic'!C$29</f>
        <v>2842321.0718364329</v>
      </c>
      <c r="P92" s="61">
        <f>P16/'Demographic-Economic'!D$29</f>
        <v>1934550.9822710129</v>
      </c>
      <c r="Q92" s="61">
        <f>Q16/'Demographic-Economic'!E$29</f>
        <v>2358557.6407156321</v>
      </c>
      <c r="R92" s="61">
        <f>R16/'Demographic-Economic'!F$29</f>
        <v>471894.54153856868</v>
      </c>
      <c r="S92" s="61">
        <f>S16/'Demographic-Economic'!G$29</f>
        <v>589312.25070069055</v>
      </c>
      <c r="T92" s="61">
        <f>T16/'Demographic-Economic'!H$29</f>
        <v>135988.18758492908</v>
      </c>
      <c r="W92">
        <v>2040</v>
      </c>
      <c r="X92" s="61">
        <f>X16/'Demographic-Economic'!C$29</f>
        <v>2959301.2526456118</v>
      </c>
      <c r="Y92" s="61">
        <f>Y16/'Demographic-Economic'!D$29</f>
        <v>2014170.4615525776</v>
      </c>
      <c r="Z92" s="61">
        <f>Z16/'Demographic-Economic'!E$29</f>
        <v>2455758.8652320821</v>
      </c>
      <c r="AA92" s="61">
        <f>AA16/'Demographic-Economic'!F$29</f>
        <v>491294.46971169824</v>
      </c>
      <c r="AB92" s="61">
        <f>AB16/'Demographic-Economic'!G$29</f>
        <v>613403.60258727917</v>
      </c>
      <c r="AC92" s="61">
        <f>AC16/'Demographic-Economic'!H$29</f>
        <v>141636.72704491939</v>
      </c>
      <c r="AG92">
        <v>2040</v>
      </c>
      <c r="AH92" s="61">
        <f>AH16/'Demographic-Economic'!C$29</f>
        <v>2737797.0480614225</v>
      </c>
      <c r="AI92" s="61">
        <f>AI16/'Demographic-Economic'!D$29</f>
        <v>1863409.4582298102</v>
      </c>
      <c r="AJ92" s="61">
        <f>AJ16/'Demographic-Economic'!E$29</f>
        <v>2271728.8894628049</v>
      </c>
      <c r="AK92" s="61">
        <f>AK16/'Demographic-Economic'!F$29</f>
        <v>454554.65042687888</v>
      </c>
      <c r="AL92" s="61">
        <f>AL16/'Demographic-Economic'!G$29</f>
        <v>567761.82321620721</v>
      </c>
      <c r="AM92" s="61">
        <f>AM16/'Demographic-Economic'!H$29</f>
        <v>130948.56364092516</v>
      </c>
    </row>
    <row r="93" spans="5:39">
      <c r="E93">
        <v>2050</v>
      </c>
      <c r="F93" s="61">
        <f>F17/'Demographic-Economic'!C$29</f>
        <v>2769164.4143536822</v>
      </c>
      <c r="G93" s="61">
        <f>G17/'Demographic-Economic'!D$29</f>
        <v>1884758.8300067072</v>
      </c>
      <c r="H93" s="61">
        <f>H17/'Demographic-Economic'!E$29</f>
        <v>2297743.5525010005</v>
      </c>
      <c r="I93" s="61">
        <f>I17/'Demographic-Economic'!F$29</f>
        <v>459764.2521029248</v>
      </c>
      <c r="J93" s="61">
        <f>J17/'Demographic-Economic'!G$29</f>
        <v>574283.50105248077</v>
      </c>
      <c r="K93" s="61">
        <f>K17/'Demographic-Economic'!H$29</f>
        <v>132443.47723875809</v>
      </c>
      <c r="N93">
        <v>2050</v>
      </c>
      <c r="O93" s="61">
        <f>O17/'Demographic-Economic'!C$29</f>
        <v>2965197.2956473366</v>
      </c>
      <c r="P93" s="61">
        <f>P17/'Demographic-Economic'!D$29</f>
        <v>2018183.4479437072</v>
      </c>
      <c r="Q93" s="61">
        <f>Q17/'Demographic-Economic'!E$29</f>
        <v>2460520.3146032249</v>
      </c>
      <c r="R93" s="61">
        <f>R17/'Demographic-Economic'!F$29</f>
        <v>492294.98815798352</v>
      </c>
      <c r="S93" s="61">
        <f>S17/'Demographic-Economic'!G$29</f>
        <v>614788.77575942338</v>
      </c>
      <c r="T93" s="61">
        <f>T17/'Demographic-Economic'!H$29</f>
        <v>141867.08534172922</v>
      </c>
      <c r="W93">
        <v>2050</v>
      </c>
      <c r="X93" s="61">
        <f>X17/'Demographic-Economic'!C$29</f>
        <v>3183006.5309233577</v>
      </c>
      <c r="Y93" s="61">
        <f>Y17/'Demographic-Economic'!D$29</f>
        <v>2166429.5677174595</v>
      </c>
      <c r="Z93" s="61">
        <f>Z17/'Demographic-Economic'!E$29</f>
        <v>2641399.3842021101</v>
      </c>
      <c r="AA93" s="61">
        <f>AA17/'Demographic-Economic'!F$29</f>
        <v>528433.36051063868</v>
      </c>
      <c r="AB93" s="61">
        <f>AB17/'Demographic-Economic'!G$29</f>
        <v>659773.2053746545</v>
      </c>
      <c r="AC93" s="61">
        <f>AC17/'Demographic-Economic'!H$29</f>
        <v>152343.60705911418</v>
      </c>
      <c r="AG93">
        <v>2050</v>
      </c>
      <c r="AH93" s="61">
        <f>AH17/'Demographic-Economic'!C$29</f>
        <v>2796464.1276627383</v>
      </c>
      <c r="AI93" s="61">
        <f>AI17/'Demographic-Economic'!D$29</f>
        <v>1903339.6609061633</v>
      </c>
      <c r="AJ93" s="61">
        <f>AJ17/'Demographic-Economic'!E$29</f>
        <v>2320408.7942370074</v>
      </c>
      <c r="AK93" s="61">
        <f>AK17/'Demographic-Economic'!F$29</f>
        <v>464295.10722174047</v>
      </c>
      <c r="AL93" s="61">
        <f>AL17/'Demographic-Economic'!G$29</f>
        <v>579928.14799941168</v>
      </c>
      <c r="AM93" s="61">
        <f>AM17/'Demographic-Economic'!H$29</f>
        <v>133754.60429037354</v>
      </c>
    </row>
    <row r="94" spans="5:39">
      <c r="E94">
        <v>2060</v>
      </c>
      <c r="F94" s="61">
        <f>F18/'Demographic-Economic'!C$29</f>
        <v>2756178.8836884839</v>
      </c>
      <c r="G94" s="61">
        <f>G18/'Demographic-Economic'!D$29</f>
        <v>1875920.5705459493</v>
      </c>
      <c r="H94" s="61">
        <f>H18/'Demographic-Economic'!E$29</f>
        <v>2286968.6706604334</v>
      </c>
      <c r="I94" s="61">
        <f>I18/'Demographic-Economic'!F$29</f>
        <v>457608.26498872589</v>
      </c>
      <c r="J94" s="61">
        <f>J18/'Demographic-Economic'!G$29</f>
        <v>571590.49518588069</v>
      </c>
      <c r="K94" s="61">
        <f>K18/'Demographic-Economic'!H$29</f>
        <v>131822.40583318364</v>
      </c>
      <c r="N94">
        <v>2060</v>
      </c>
      <c r="O94" s="61">
        <f>O18/'Demographic-Economic'!C$29</f>
        <v>3033102.5772270472</v>
      </c>
      <c r="P94" s="61">
        <f>P18/'Demographic-Economic'!D$29</f>
        <v>2064401.3894996706</v>
      </c>
      <c r="Q94" s="61">
        <f>Q18/'Demographic-Economic'!E$29</f>
        <v>2516868.1080674212</v>
      </c>
      <c r="R94" s="61">
        <f>R18/'Demographic-Economic'!F$29</f>
        <v>503568.91918450233</v>
      </c>
      <c r="S94" s="61">
        <f>S18/'Demographic-Economic'!G$29</f>
        <v>628867.90802872332</v>
      </c>
      <c r="T94" s="61">
        <f>T18/'Demographic-Economic'!H$29</f>
        <v>145115.94989153984</v>
      </c>
      <c r="W94">
        <v>2060</v>
      </c>
      <c r="X94" s="61">
        <f>X18/'Demographic-Economic'!C$29</f>
        <v>3377949.7019939651</v>
      </c>
      <c r="Y94" s="61">
        <f>Y18/'Demographic-Economic'!D$29</f>
        <v>2299112.5030897139</v>
      </c>
      <c r="Z94" s="61">
        <f>Z18/'Demographic-Economic'!E$29</f>
        <v>2803171.8364474205</v>
      </c>
      <c r="AA94" s="61">
        <f>AA18/'Demographic-Economic'!F$29</f>
        <v>560797.25106400123</v>
      </c>
      <c r="AB94" s="61">
        <f>AB18/'Demographic-Economic'!G$29</f>
        <v>700181.00208936736</v>
      </c>
      <c r="AC94" s="61">
        <f>AC18/'Demographic-Economic'!H$29</f>
        <v>161673.88821434107</v>
      </c>
      <c r="AG94">
        <v>2060</v>
      </c>
      <c r="AH94" s="61">
        <f>AH18/'Demographic-Economic'!C$29</f>
        <v>2799723.4098628112</v>
      </c>
      <c r="AI94" s="61">
        <f>AI18/'Demographic-Economic'!D$29</f>
        <v>1905558.005499294</v>
      </c>
      <c r="AJ94" s="61">
        <f>AJ18/'Demographic-Economic'!E$29</f>
        <v>2323113.2333911303</v>
      </c>
      <c r="AK94" s="61">
        <f>AK18/'Demographic-Economic'!F$29</f>
        <v>464836.2437103439</v>
      </c>
      <c r="AL94" s="61">
        <f>AL18/'Demographic-Economic'!G$29</f>
        <v>580604.05493181187</v>
      </c>
      <c r="AM94" s="61">
        <f>AM18/'Demographic-Economic'!H$29</f>
        <v>133910.49543756514</v>
      </c>
    </row>
    <row r="95" spans="5:39">
      <c r="E95">
        <v>2070</v>
      </c>
      <c r="F95" s="61">
        <f>F19/'Demographic-Economic'!C$29</f>
        <v>2694497.6130287889</v>
      </c>
      <c r="G95" s="61">
        <f>G19/'Demographic-Economic'!D$29</f>
        <v>1833938.8381073475</v>
      </c>
      <c r="H95" s="61">
        <f>H19/'Demographic-Economic'!E$29</f>
        <v>2235787.9819177384</v>
      </c>
      <c r="I95" s="61">
        <f>I19/'Demographic-Economic'!F$29</f>
        <v>447367.32619628095</v>
      </c>
      <c r="J95" s="61">
        <f>J19/'Demographic-Economic'!G$29</f>
        <v>558798.71731953009</v>
      </c>
      <c r="K95" s="61">
        <f>K19/'Demographic-Economic'!H$29</f>
        <v>128872.31665670488</v>
      </c>
      <c r="N95">
        <v>2070</v>
      </c>
      <c r="O95" s="61">
        <f>O19/'Demographic-Economic'!C$29</f>
        <v>3058971.2559240796</v>
      </c>
      <c r="P95" s="61">
        <f>P19/'Demographic-Economic'!D$29</f>
        <v>2082008.2243781325</v>
      </c>
      <c r="Q95" s="61">
        <f>Q19/'Demographic-Economic'!E$29</f>
        <v>2538333.9341490194</v>
      </c>
      <c r="R95" s="61">
        <f>R19/'Demographic-Economic'!F$29</f>
        <v>507863.75005174754</v>
      </c>
      <c r="S95" s="61">
        <f>S19/'Demographic-Economic'!G$29</f>
        <v>634231.38698845659</v>
      </c>
      <c r="T95" s="61">
        <f>T19/'Demographic-Economic'!H$29</f>
        <v>146353.61257718195</v>
      </c>
      <c r="W95">
        <v>2070</v>
      </c>
      <c r="X95" s="61">
        <f>X19/'Demographic-Economic'!C$29</f>
        <v>3553718.1349264798</v>
      </c>
      <c r="Y95" s="61">
        <f>Y19/'Demographic-Economic'!D$29</f>
        <v>2418744.657933549</v>
      </c>
      <c r="Z95" s="61">
        <f>Z19/'Demographic-Economic'!E$29</f>
        <v>2949032.2442095843</v>
      </c>
      <c r="AA95" s="61">
        <f>AA19/'Demographic-Economic'!F$29</f>
        <v>589977.80812031147</v>
      </c>
      <c r="AB95" s="61">
        <f>AB19/'Demographic-Economic'!G$29</f>
        <v>736614.26142230502</v>
      </c>
      <c r="AC95" s="61">
        <f>AC19/'Demographic-Economic'!H$29</f>
        <v>170086.43679692264</v>
      </c>
      <c r="AG95">
        <v>2070</v>
      </c>
      <c r="AH95" s="61">
        <f>AH19/'Demographic-Economic'!C$29</f>
        <v>2757352.7412618613</v>
      </c>
      <c r="AI95" s="61">
        <f>AI19/'Demographic-Economic'!D$29</f>
        <v>1876719.5257885947</v>
      </c>
      <c r="AJ95" s="61">
        <f>AJ19/'Demographic-Economic'!E$29</f>
        <v>2287955.5243875394</v>
      </c>
      <c r="AK95" s="61">
        <f>AK19/'Demographic-Economic'!F$29</f>
        <v>457801.46935849945</v>
      </c>
      <c r="AL95" s="61">
        <f>AL19/'Demographic-Economic'!G$29</f>
        <v>571817.26481060882</v>
      </c>
      <c r="AM95" s="61">
        <f>AM19/'Demographic-Economic'!H$29</f>
        <v>131883.91052407466</v>
      </c>
    </row>
    <row r="96" spans="5:39">
      <c r="E96">
        <v>2080</v>
      </c>
      <c r="F96" s="61">
        <f>F20/'Demographic-Economic'!C$29</f>
        <v>2587366.9850408966</v>
      </c>
      <c r="G96" s="61">
        <f>G20/'Demographic-Economic'!D$29</f>
        <v>1761023.1975560912</v>
      </c>
      <c r="H96" s="61">
        <f>H20/'Demographic-Economic'!E$29</f>
        <v>2146895.2067330568</v>
      </c>
      <c r="I96" s="61">
        <f>I20/'Demographic-Economic'!F$29</f>
        <v>429580.43250413967</v>
      </c>
      <c r="J96" s="61">
        <f>J20/'Demographic-Economic'!G$29</f>
        <v>536581.41892007878</v>
      </c>
      <c r="K96" s="61">
        <f>K20/'Demographic-Economic'!H$29</f>
        <v>123748.4775607154</v>
      </c>
      <c r="N96">
        <v>2080</v>
      </c>
      <c r="O96" s="61">
        <f>O20/'Demographic-Economic'!C$29</f>
        <v>3042803.3317384347</v>
      </c>
      <c r="P96" s="61">
        <f>P20/'Demographic-Economic'!D$29</f>
        <v>2071003.9525790939</v>
      </c>
      <c r="Q96" s="61">
        <f>Q20/'Demographic-Economic'!E$29</f>
        <v>2524917.7928480208</v>
      </c>
      <c r="R96" s="61">
        <f>R20/'Demographic-Economic'!F$29</f>
        <v>505179.48075971927</v>
      </c>
      <c r="S96" s="61">
        <f>S20/'Demographic-Economic'!G$29</f>
        <v>630879.21263862331</v>
      </c>
      <c r="T96" s="61">
        <f>T20/'Demographic-Economic'!H$29</f>
        <v>145580.07339865563</v>
      </c>
      <c r="W96">
        <v>2080</v>
      </c>
      <c r="X96" s="61">
        <f>X20/'Demographic-Economic'!C$29</f>
        <v>3716703.4091002666</v>
      </c>
      <c r="Y96" s="61">
        <f>Y20/'Demographic-Economic'!D$29</f>
        <v>2529676.2924251058</v>
      </c>
      <c r="Z96" s="61">
        <f>Z20/'Demographic-Economic'!E$29</f>
        <v>3084284.6223163195</v>
      </c>
      <c r="AA96" s="61">
        <f>AA20/'Demographic-Economic'!F$29</f>
        <v>617036.14284525393</v>
      </c>
      <c r="AB96" s="61">
        <f>AB20/'Demographic-Economic'!G$29</f>
        <v>770397.8291673928</v>
      </c>
      <c r="AC96" s="61">
        <f>AC20/'Demographic-Economic'!H$29</f>
        <v>177887.16366440742</v>
      </c>
      <c r="AG96">
        <v>2080</v>
      </c>
      <c r="AH96" s="61">
        <f>AH20/'Demographic-Economic'!C$29</f>
        <v>2672611.4040599596</v>
      </c>
      <c r="AI96" s="61">
        <f>AI20/'Demographic-Economic'!D$29</f>
        <v>1819042.5663671957</v>
      </c>
      <c r="AJ96" s="61">
        <f>AJ20/'Demographic-Economic'!E$29</f>
        <v>2217640.1063803569</v>
      </c>
      <c r="AK96" s="61">
        <f>AK20/'Demographic-Economic'!F$29</f>
        <v>443731.92065481021</v>
      </c>
      <c r="AL96" s="61">
        <f>AL20/'Demographic-Economic'!G$29</f>
        <v>554243.68456820236</v>
      </c>
      <c r="AM96" s="61">
        <f>AM20/'Demographic-Economic'!H$29</f>
        <v>127830.74069709361</v>
      </c>
    </row>
    <row r="97" spans="5:39">
      <c r="E97">
        <v>2090</v>
      </c>
      <c r="F97" s="61">
        <f>F21/'Demographic-Economic'!C$29</f>
        <v>2438033.3823911082</v>
      </c>
      <c r="G97" s="61">
        <f>G21/'Demographic-Economic'!D$29</f>
        <v>1659383.2137573708</v>
      </c>
      <c r="H97" s="61">
        <f>H21/'Demographic-Economic'!E$29</f>
        <v>2022984.0655665316</v>
      </c>
      <c r="I97" s="61">
        <f>I21/'Demographic-Economic'!F$29</f>
        <v>404786.58069085178</v>
      </c>
      <c r="J97" s="61">
        <f>J21/'Demographic-Economic'!G$29</f>
        <v>505611.85145417711</v>
      </c>
      <c r="K97" s="61">
        <f>K21/'Demographic-Economic'!H$29</f>
        <v>116606.15639660886</v>
      </c>
      <c r="N97">
        <v>2090</v>
      </c>
      <c r="O97" s="61">
        <f>O21/'Demographic-Economic'!C$29</f>
        <v>2991065.97434437</v>
      </c>
      <c r="P97" s="61">
        <f>P21/'Demographic-Economic'!D$29</f>
        <v>2035790.2828221701</v>
      </c>
      <c r="Q97" s="61">
        <f>Q21/'Demographic-Economic'!E$29</f>
        <v>2481986.140684824</v>
      </c>
      <c r="R97" s="61">
        <f>R21/'Demographic-Economic'!F$29</f>
        <v>496589.81902522891</v>
      </c>
      <c r="S97" s="61">
        <f>S21/'Demographic-Economic'!G$29</f>
        <v>620152.25471915689</v>
      </c>
      <c r="T97" s="61">
        <f>T21/'Demographic-Economic'!H$29</f>
        <v>143104.74802737139</v>
      </c>
      <c r="W97">
        <v>2090</v>
      </c>
      <c r="X97" s="61">
        <f>X21/'Demographic-Economic'!C$29</f>
        <v>3876492.8935843715</v>
      </c>
      <c r="Y97" s="61">
        <f>Y21/'Demographic-Economic'!D$29</f>
        <v>2638432.7968285931</v>
      </c>
      <c r="Z97" s="61">
        <f>Z21/'Demographic-Economic'!E$29</f>
        <v>3216884.9930091971</v>
      </c>
      <c r="AA97" s="61">
        <f>AA21/'Demographic-Economic'!F$29</f>
        <v>643563.92198735441</v>
      </c>
      <c r="AB97" s="61">
        <f>AB21/'Demographic-Economic'!G$29</f>
        <v>803518.97401551809</v>
      </c>
      <c r="AC97" s="61">
        <f>AC21/'Demographic-Economic'!H$29</f>
        <v>185534.93510311798</v>
      </c>
      <c r="AG97">
        <v>2090</v>
      </c>
      <c r="AH97" s="61">
        <f>AH21/'Demographic-Economic'!C$29</f>
        <v>2552017.9626572542</v>
      </c>
      <c r="AI97" s="61">
        <f>AI21/'Demographic-Economic'!D$29</f>
        <v>1736963.8164213588</v>
      </c>
      <c r="AJ97" s="61">
        <f>AJ21/'Demographic-Economic'!E$29</f>
        <v>2117575.857677829</v>
      </c>
      <c r="AK97" s="61">
        <f>AK21/'Demographic-Economic'!F$29</f>
        <v>423709.87057648349</v>
      </c>
      <c r="AL97" s="61">
        <f>AL21/'Demographic-Economic'!G$29</f>
        <v>529235.12806939322</v>
      </c>
      <c r="AM97" s="61">
        <f>AM21/'Demographic-Economic'!H$29</f>
        <v>122062.76825100524</v>
      </c>
    </row>
    <row r="98" spans="5:39">
      <c r="E98">
        <v>2100</v>
      </c>
      <c r="F98" s="61">
        <f>F22/'Demographic-Economic'!C$29</f>
        <v>2259482.3357446226</v>
      </c>
      <c r="G98" s="61">
        <f>G22/'Demographic-Economic'!D$29</f>
        <v>1537857.146171944</v>
      </c>
      <c r="H98" s="61">
        <f>H22/'Demographic-Economic'!E$29</f>
        <v>1874829.4402587297</v>
      </c>
      <c r="I98" s="61">
        <f>I22/'Demographic-Economic'!F$29</f>
        <v>375141.75787061633</v>
      </c>
      <c r="J98" s="61">
        <f>J22/'Demographic-Economic'!G$29</f>
        <v>468583.02078842511</v>
      </c>
      <c r="K98" s="61">
        <f>K22/'Demographic-Economic'!H$29</f>
        <v>108066.42456995974</v>
      </c>
      <c r="N98">
        <v>2100</v>
      </c>
      <c r="O98" s="61">
        <f>O22/'Demographic-Economic'!C$29</f>
        <v>2919927.1079275305</v>
      </c>
      <c r="P98" s="61">
        <f>P22/'Demographic-Economic'!D$29</f>
        <v>1987371.4869063993</v>
      </c>
      <c r="Q98" s="61">
        <f>Q22/'Demographic-Economic'!E$29</f>
        <v>2422955.1189604281</v>
      </c>
      <c r="R98" s="61">
        <f>R22/'Demographic-Economic'!F$29</f>
        <v>484779.03414030449</v>
      </c>
      <c r="S98" s="61">
        <f>S22/'Demographic-Economic'!G$29</f>
        <v>605402.68757989036</v>
      </c>
      <c r="T98" s="61">
        <f>T22/'Demographic-Economic'!H$29</f>
        <v>139701.17564185552</v>
      </c>
      <c r="W98">
        <v>2100</v>
      </c>
      <c r="X98" s="61">
        <f>X22/'Demographic-Economic'!C$29</f>
        <v>4033086.5883787931</v>
      </c>
      <c r="Y98" s="61">
        <f>Y22/'Demographic-Economic'!D$29</f>
        <v>2745014.1711440096</v>
      </c>
      <c r="Z98" s="61">
        <f>Z22/'Demographic-Economic'!E$29</f>
        <v>3346833.3562882156</v>
      </c>
      <c r="AA98" s="61">
        <f>AA22/'Demographic-Economic'!F$29</f>
        <v>669561.14554661256</v>
      </c>
      <c r="AB98" s="61">
        <f>AB22/'Demographic-Economic'!G$29</f>
        <v>835977.69596668053</v>
      </c>
      <c r="AC98" s="61">
        <f>AC22/'Demographic-Economic'!H$29</f>
        <v>193029.75111305428</v>
      </c>
      <c r="AG98">
        <v>2100</v>
      </c>
      <c r="AH98" s="61">
        <f>AH22/'Demographic-Economic'!C$29</f>
        <v>2405350.2636539638</v>
      </c>
      <c r="AI98" s="61">
        <f>AI22/'Demographic-Economic'!D$29</f>
        <v>1637138.309730476</v>
      </c>
      <c r="AJ98" s="61">
        <f>AJ22/'Demographic-Economic'!E$29</f>
        <v>1995876.0957423216</v>
      </c>
      <c r="AK98" s="61">
        <f>AK22/'Demographic-Economic'!F$29</f>
        <v>399358.72858932923</v>
      </c>
      <c r="AL98" s="61">
        <f>AL22/'Demographic-Economic'!G$29</f>
        <v>498819.3161113821</v>
      </c>
      <c r="AM98" s="61">
        <f>AM22/'Demographic-Economic'!H$29</f>
        <v>115047.66662738424</v>
      </c>
    </row>
    <row r="99" spans="5:39">
      <c r="F99" s="581" t="s">
        <v>49</v>
      </c>
      <c r="G99" s="581"/>
      <c r="H99" s="581"/>
      <c r="I99" s="581"/>
      <c r="J99" s="581"/>
      <c r="K99" s="581"/>
      <c r="O99" s="581" t="s">
        <v>49</v>
      </c>
      <c r="P99" s="581"/>
      <c r="Q99" s="581"/>
      <c r="R99" s="581"/>
      <c r="S99" s="581"/>
      <c r="T99" s="581"/>
      <c r="X99" s="581" t="s">
        <v>49</v>
      </c>
      <c r="Y99" s="581"/>
      <c r="Z99" s="581"/>
      <c r="AA99" s="581"/>
      <c r="AB99" s="581"/>
      <c r="AC99" s="581"/>
      <c r="AH99" s="581" t="s">
        <v>49</v>
      </c>
      <c r="AI99" s="581"/>
      <c r="AJ99" s="581"/>
      <c r="AK99" s="581"/>
      <c r="AL99" s="581"/>
      <c r="AM99" s="581"/>
    </row>
    <row r="100" spans="5:39">
      <c r="E100">
        <v>2020</v>
      </c>
      <c r="F100" s="322" t="s">
        <v>240</v>
      </c>
      <c r="G100" s="322" t="s">
        <v>240</v>
      </c>
      <c r="H100" s="61">
        <f>H62-H81</f>
        <v>190769.1983805669</v>
      </c>
      <c r="I100" s="61">
        <f t="shared" ref="H100:K115" si="12">I62-I81</f>
        <v>92277.599999999977</v>
      </c>
      <c r="J100" s="61">
        <f t="shared" si="12"/>
        <v>59923.200000000012</v>
      </c>
      <c r="K100" s="61">
        <f t="shared" si="12"/>
        <v>19297.358490566039</v>
      </c>
      <c r="N100">
        <v>2020</v>
      </c>
      <c r="O100" t="s">
        <v>240</v>
      </c>
      <c r="P100" t="s">
        <v>240</v>
      </c>
      <c r="Q100" s="61">
        <f>Q62-Q81</f>
        <v>190769.1983805669</v>
      </c>
      <c r="R100" s="61">
        <f t="shared" ref="Q100:T115" si="13">R62-R81</f>
        <v>92277.599999999977</v>
      </c>
      <c r="S100" s="61">
        <f t="shared" si="13"/>
        <v>59923.200000000012</v>
      </c>
      <c r="T100" s="61">
        <f t="shared" si="13"/>
        <v>19297.358490566039</v>
      </c>
      <c r="W100">
        <v>2020</v>
      </c>
      <c r="X100" t="s">
        <v>240</v>
      </c>
      <c r="Y100" t="s">
        <v>240</v>
      </c>
      <c r="Z100" s="61">
        <f>Z62-Z81</f>
        <v>190769.1983805669</v>
      </c>
      <c r="AA100" s="61">
        <f t="shared" ref="AA100:AC100" si="14">AA62-AA81</f>
        <v>92277.599999999977</v>
      </c>
      <c r="AB100" s="61">
        <f t="shared" si="14"/>
        <v>59923.200000000012</v>
      </c>
      <c r="AC100" s="61">
        <f t="shared" si="14"/>
        <v>19297.358490566039</v>
      </c>
      <c r="AG100">
        <v>2020</v>
      </c>
      <c r="AH100" t="s">
        <v>240</v>
      </c>
      <c r="AI100" t="s">
        <v>240</v>
      </c>
      <c r="AJ100" s="61">
        <f>AJ62-AJ81</f>
        <v>190769.1983805669</v>
      </c>
      <c r="AK100" s="61">
        <f t="shared" ref="AK100:AM100" si="15">AK62-AK81</f>
        <v>92277.599999999977</v>
      </c>
      <c r="AL100" s="61">
        <f t="shared" si="15"/>
        <v>59923.200000000012</v>
      </c>
      <c r="AM100" s="61">
        <f t="shared" si="15"/>
        <v>19297.358490566039</v>
      </c>
    </row>
    <row r="101" spans="5:39">
      <c r="E101">
        <v>2021</v>
      </c>
      <c r="F101" s="322" t="s">
        <v>240</v>
      </c>
      <c r="G101" s="322" t="s">
        <v>240</v>
      </c>
      <c r="H101" s="61">
        <f t="shared" si="12"/>
        <v>216332.32286139647</v>
      </c>
      <c r="I101" s="61">
        <f t="shared" si="12"/>
        <v>90419.966032246244</v>
      </c>
      <c r="J101" s="61">
        <f t="shared" si="12"/>
        <v>61125.530739235401</v>
      </c>
      <c r="K101" s="61">
        <f t="shared" si="12"/>
        <v>20815.1401427612</v>
      </c>
      <c r="N101">
        <v>2021</v>
      </c>
      <c r="O101" t="s">
        <v>240</v>
      </c>
      <c r="P101" t="s">
        <v>240</v>
      </c>
      <c r="Q101" s="61">
        <f t="shared" si="13"/>
        <v>211864.6287986997</v>
      </c>
      <c r="R101" s="61">
        <f t="shared" si="13"/>
        <v>89526.128478090861</v>
      </c>
      <c r="S101" s="61">
        <f t="shared" si="13"/>
        <v>60005.791976222943</v>
      </c>
      <c r="T101" s="61">
        <f t="shared" si="13"/>
        <v>20558.336241596699</v>
      </c>
      <c r="W101">
        <v>2021</v>
      </c>
      <c r="X101" t="s">
        <v>240</v>
      </c>
      <c r="Y101" t="s">
        <v>240</v>
      </c>
      <c r="Z101" s="61">
        <f t="shared" ref="Z101:AC112" si="16">Z63-Z82</f>
        <v>207863.84381463216</v>
      </c>
      <c r="AA101" s="61">
        <f t="shared" si="16"/>
        <v>88725.703960503743</v>
      </c>
      <c r="AB101" s="61">
        <f t="shared" si="16"/>
        <v>59003.074698300275</v>
      </c>
      <c r="AC101" s="61">
        <f t="shared" si="16"/>
        <v>20328.370362731497</v>
      </c>
      <c r="AG101">
        <v>2021</v>
      </c>
      <c r="AH101" t="s">
        <v>240</v>
      </c>
      <c r="AI101" t="s">
        <v>240</v>
      </c>
      <c r="AJ101" s="61">
        <f t="shared" ref="AJ101:AM112" si="17">AJ63-AJ82</f>
        <v>215745.6559173651</v>
      </c>
      <c r="AK101" s="61">
        <f t="shared" si="17"/>
        <v>90302.593414739764</v>
      </c>
      <c r="AL101" s="61">
        <f t="shared" si="17"/>
        <v>60978.494324254512</v>
      </c>
      <c r="AM101" s="61">
        <f t="shared" si="17"/>
        <v>20781.418415669468</v>
      </c>
    </row>
    <row r="102" spans="5:39">
      <c r="E102">
        <v>2022</v>
      </c>
      <c r="F102" s="322" t="s">
        <v>240</v>
      </c>
      <c r="G102" s="322" t="s">
        <v>240</v>
      </c>
      <c r="H102" s="61">
        <f t="shared" si="12"/>
        <v>242533.54583006725</v>
      </c>
      <c r="I102" s="61">
        <f t="shared" si="12"/>
        <v>88593.028258534207</v>
      </c>
      <c r="J102" s="61">
        <f t="shared" si="12"/>
        <v>62375.289983601193</v>
      </c>
      <c r="K102" s="61">
        <f t="shared" si="12"/>
        <v>22371.617920370161</v>
      </c>
      <c r="N102">
        <v>2022</v>
      </c>
      <c r="O102" t="s">
        <v>240</v>
      </c>
      <c r="P102" t="s">
        <v>240</v>
      </c>
      <c r="Q102" s="61">
        <f t="shared" si="13"/>
        <v>233597.34070002404</v>
      </c>
      <c r="R102" s="61">
        <f t="shared" si="13"/>
        <v>86801.198508070083</v>
      </c>
      <c r="S102" s="61">
        <f t="shared" si="13"/>
        <v>60135.025130327384</v>
      </c>
      <c r="T102" s="61">
        <f t="shared" si="13"/>
        <v>21857.29663240537</v>
      </c>
      <c r="W102">
        <v>2022</v>
      </c>
      <c r="X102" t="s">
        <v>240</v>
      </c>
      <c r="Y102" t="s">
        <v>240</v>
      </c>
      <c r="Z102" s="61">
        <f t="shared" si="16"/>
        <v>225595.14708242868</v>
      </c>
      <c r="AA102" s="61">
        <f t="shared" si="16"/>
        <v>85196.528876395372</v>
      </c>
      <c r="AB102" s="61">
        <f t="shared" si="16"/>
        <v>58128.894466485595</v>
      </c>
      <c r="AC102" s="61">
        <f t="shared" si="16"/>
        <v>21396.711362879723</v>
      </c>
      <c r="AG102">
        <v>2022</v>
      </c>
      <c r="AH102" t="s">
        <v>240</v>
      </c>
      <c r="AI102" t="s">
        <v>240</v>
      </c>
      <c r="AJ102" s="61">
        <f t="shared" si="17"/>
        <v>241360.09762495849</v>
      </c>
      <c r="AK102" s="61">
        <f t="shared" si="17"/>
        <v>88357.743988279137</v>
      </c>
      <c r="AL102" s="61">
        <f t="shared" si="17"/>
        <v>62081.113185017894</v>
      </c>
      <c r="AM102" s="61">
        <f t="shared" si="17"/>
        <v>22304.081726647157</v>
      </c>
    </row>
    <row r="103" spans="5:39">
      <c r="E103">
        <v>2023</v>
      </c>
      <c r="F103" s="322" t="s">
        <v>240</v>
      </c>
      <c r="G103" s="322" t="s">
        <v>240</v>
      </c>
      <c r="H103" s="61">
        <f t="shared" si="12"/>
        <v>269389.39216636354</v>
      </c>
      <c r="I103" s="61">
        <f t="shared" si="12"/>
        <v>86793.63711445115</v>
      </c>
      <c r="J103" s="61">
        <f t="shared" si="12"/>
        <v>63671.6933072143</v>
      </c>
      <c r="K103" s="61">
        <f t="shared" si="12"/>
        <v>23967.530154572931</v>
      </c>
      <c r="N103">
        <v>2023</v>
      </c>
      <c r="O103" t="s">
        <v>240</v>
      </c>
      <c r="P103" t="s">
        <v>240</v>
      </c>
      <c r="Q103" s="61">
        <f t="shared" si="13"/>
        <v>255982.00233491953</v>
      </c>
      <c r="R103" s="61">
        <f t="shared" si="13"/>
        <v>84101.0597690164</v>
      </c>
      <c r="S103" s="61">
        <f t="shared" si="13"/>
        <v>60310.535226213222</v>
      </c>
      <c r="T103" s="61">
        <f t="shared" si="13"/>
        <v>23194.995683937101</v>
      </c>
      <c r="W103">
        <v>2023</v>
      </c>
      <c r="X103" t="s">
        <v>240</v>
      </c>
      <c r="Y103" t="s">
        <v>240</v>
      </c>
      <c r="Z103" s="61">
        <f t="shared" si="16"/>
        <v>243976.19390753354</v>
      </c>
      <c r="AA103" s="61">
        <f t="shared" si="16"/>
        <v>81689.484075411747</v>
      </c>
      <c r="AB103" s="61">
        <f t="shared" si="16"/>
        <v>57300.711597181624</v>
      </c>
      <c r="AC103" s="61">
        <f t="shared" si="16"/>
        <v>22503.128826038344</v>
      </c>
      <c r="AG103">
        <v>2023</v>
      </c>
      <c r="AH103" t="s">
        <v>240</v>
      </c>
      <c r="AI103" t="s">
        <v>240</v>
      </c>
      <c r="AJ103" s="61">
        <f t="shared" si="17"/>
        <v>267628.79987852974</v>
      </c>
      <c r="AK103" s="61">
        <f t="shared" si="17"/>
        <v>86440.091468626517</v>
      </c>
      <c r="AL103" s="61">
        <f t="shared" si="17"/>
        <v>63230.324813560524</v>
      </c>
      <c r="AM103" s="61">
        <f t="shared" si="17"/>
        <v>23866.090581565571</v>
      </c>
    </row>
    <row r="104" spans="5:39">
      <c r="E104">
        <v>2024</v>
      </c>
      <c r="F104" s="322" t="s">
        <v>240</v>
      </c>
      <c r="G104" s="322" t="s">
        <v>240</v>
      </c>
      <c r="H104" s="61">
        <f t="shared" si="12"/>
        <v>296915.96645029821</v>
      </c>
      <c r="I104" s="61">
        <f t="shared" si="12"/>
        <v>85019.115263942222</v>
      </c>
      <c r="J104" s="61">
        <f t="shared" si="12"/>
        <v>65014.124347466975</v>
      </c>
      <c r="K104" s="61">
        <f t="shared" si="12"/>
        <v>25603.619422035219</v>
      </c>
      <c r="N104">
        <v>2024</v>
      </c>
      <c r="O104" t="s">
        <v>240</v>
      </c>
      <c r="P104" t="s">
        <v>240</v>
      </c>
      <c r="Q104" s="61">
        <f t="shared" si="13"/>
        <v>279033.29605972534</v>
      </c>
      <c r="R104" s="61">
        <f t="shared" si="13"/>
        <v>81424.110964606982</v>
      </c>
      <c r="S104" s="61">
        <f t="shared" si="13"/>
        <v>60532.018666157266</v>
      </c>
      <c r="T104" s="61">
        <f t="shared" si="13"/>
        <v>24572.195015064659</v>
      </c>
      <c r="W104">
        <v>2024</v>
      </c>
      <c r="X104" t="s">
        <v>240</v>
      </c>
      <c r="Y104" t="s">
        <v>240</v>
      </c>
      <c r="Z104" s="61">
        <f t="shared" si="16"/>
        <v>263020.34503466729</v>
      </c>
      <c r="AA104" s="61">
        <f t="shared" si="16"/>
        <v>78203.939181732247</v>
      </c>
      <c r="AB104" s="61">
        <f t="shared" si="16"/>
        <v>56518.563858038047</v>
      </c>
      <c r="AC104" s="61">
        <f t="shared" si="16"/>
        <v>23648.381444910308</v>
      </c>
      <c r="AG104">
        <v>2024</v>
      </c>
      <c r="AH104" t="s">
        <v>240</v>
      </c>
      <c r="AI104" t="s">
        <v>240</v>
      </c>
      <c r="AJ104" s="61">
        <f t="shared" si="17"/>
        <v>294567.68400799111</v>
      </c>
      <c r="AK104" s="61">
        <f t="shared" si="17"/>
        <v>84547.09880542371</v>
      </c>
      <c r="AL104" s="61">
        <f t="shared" si="17"/>
        <v>64425.55027905415</v>
      </c>
      <c r="AM104" s="61">
        <f t="shared" si="17"/>
        <v>25468.191176774038</v>
      </c>
    </row>
    <row r="105" spans="5:39">
      <c r="E105">
        <v>2025</v>
      </c>
      <c r="F105" s="322" t="s">
        <v>240</v>
      </c>
      <c r="G105" s="322" t="s">
        <v>240</v>
      </c>
      <c r="H105" s="61">
        <f t="shared" si="12"/>
        <v>325129.0759900352</v>
      </c>
      <c r="I105" s="61">
        <f t="shared" si="12"/>
        <v>83267.169291609316</v>
      </c>
      <c r="J105" s="61">
        <f t="shared" si="12"/>
        <v>66402.103878727765</v>
      </c>
      <c r="K105" s="61">
        <f t="shared" si="12"/>
        <v>27280.634161511116</v>
      </c>
      <c r="N105">
        <v>2025</v>
      </c>
      <c r="O105" t="s">
        <v>240</v>
      </c>
      <c r="P105" t="s">
        <v>240</v>
      </c>
      <c r="Q105" s="61">
        <f t="shared" si="13"/>
        <v>302765.94126254087</v>
      </c>
      <c r="R105" s="61">
        <f t="shared" si="13"/>
        <v>78768.885757632728</v>
      </c>
      <c r="S105" s="61">
        <f t="shared" si="13"/>
        <v>60799.227055592113</v>
      </c>
      <c r="T105" s="61">
        <f t="shared" si="13"/>
        <v>25989.662673911429</v>
      </c>
      <c r="W105">
        <v>2025</v>
      </c>
      <c r="X105" t="s">
        <v>240</v>
      </c>
      <c r="Y105" t="s">
        <v>240</v>
      </c>
      <c r="Z105" s="61">
        <f t="shared" si="16"/>
        <v>282741.22453151736</v>
      </c>
      <c r="AA105" s="61">
        <f t="shared" si="16"/>
        <v>74739.235095501004</v>
      </c>
      <c r="AB105" s="61">
        <f t="shared" si="16"/>
        <v>55782.479374291142</v>
      </c>
      <c r="AC105" s="61">
        <f t="shared" si="16"/>
        <v>24833.239012227947</v>
      </c>
      <c r="AG105">
        <v>2025</v>
      </c>
      <c r="AH105" t="s">
        <v>240</v>
      </c>
      <c r="AI105" t="s">
        <v>240</v>
      </c>
      <c r="AJ105" s="61">
        <f t="shared" si="17"/>
        <v>322192.42208173033</v>
      </c>
      <c r="AK105" s="61">
        <f t="shared" si="17"/>
        <v>82676.576737548748</v>
      </c>
      <c r="AL105" s="61">
        <f t="shared" si="17"/>
        <v>65666.336734608747</v>
      </c>
      <c r="AM105" s="61">
        <f t="shared" si="17"/>
        <v>27111.135334829902</v>
      </c>
    </row>
    <row r="106" spans="5:39">
      <c r="E106">
        <v>2026</v>
      </c>
      <c r="F106" s="322" t="s">
        <v>240</v>
      </c>
      <c r="G106" s="322" t="s">
        <v>240</v>
      </c>
      <c r="H106" s="61">
        <f t="shared" si="12"/>
        <v>354044.32749881176</v>
      </c>
      <c r="I106" s="61">
        <f t="shared" si="12"/>
        <v>81535.820968737768</v>
      </c>
      <c r="J106" s="61">
        <f t="shared" si="12"/>
        <v>67835.265746037243</v>
      </c>
      <c r="K106" s="61">
        <f t="shared" si="12"/>
        <v>28999.329981098708</v>
      </c>
      <c r="N106">
        <v>2026</v>
      </c>
      <c r="O106" t="s">
        <v>240</v>
      </c>
      <c r="P106" t="s">
        <v>240</v>
      </c>
      <c r="Q106" s="61">
        <f t="shared" si="13"/>
        <v>327194.71549203945</v>
      </c>
      <c r="R106" s="61">
        <f t="shared" si="13"/>
        <v>76134.04008534766</v>
      </c>
      <c r="S106" s="61">
        <f t="shared" si="13"/>
        <v>61111.962300646002</v>
      </c>
      <c r="T106" s="61">
        <f t="shared" si="13"/>
        <v>27448.173905824413</v>
      </c>
      <c r="W106">
        <v>2026</v>
      </c>
      <c r="X106" t="s">
        <v>240</v>
      </c>
      <c r="Y106" t="s">
        <v>240</v>
      </c>
      <c r="Z106" s="61">
        <f t="shared" si="16"/>
        <v>303152.71001460403</v>
      </c>
      <c r="AA106" s="61">
        <f t="shared" si="16"/>
        <v>71294.693643551844</v>
      </c>
      <c r="AB106" s="61">
        <f t="shared" si="16"/>
        <v>55092.480916417204</v>
      </c>
      <c r="AC106" s="61">
        <f t="shared" si="16"/>
        <v>26058.482251587062</v>
      </c>
      <c r="AG106">
        <v>2026</v>
      </c>
      <c r="AH106" t="s">
        <v>240</v>
      </c>
      <c r="AI106" t="s">
        <v>240</v>
      </c>
      <c r="AJ106" s="61">
        <f t="shared" si="17"/>
        <v>350518.52120692842</v>
      </c>
      <c r="AK106" s="61">
        <f t="shared" si="17"/>
        <v>80826.624323051714</v>
      </c>
      <c r="AL106" s="61">
        <f t="shared" si="17"/>
        <v>66952.336323853815</v>
      </c>
      <c r="AM106" s="61">
        <f t="shared" si="17"/>
        <v>28795.681803540021</v>
      </c>
    </row>
    <row r="107" spans="5:39">
      <c r="E107">
        <v>2027</v>
      </c>
      <c r="F107" s="322" t="s">
        <v>240</v>
      </c>
      <c r="G107" s="322" t="s">
        <v>240</v>
      </c>
      <c r="H107" s="61">
        <f t="shared" si="12"/>
        <v>383677.20412335871</v>
      </c>
      <c r="I107" s="61">
        <f t="shared" si="12"/>
        <v>79823.353128243005</v>
      </c>
      <c r="J107" s="61">
        <f t="shared" si="12"/>
        <v>69313.337918749079</v>
      </c>
      <c r="K107" s="61">
        <f t="shared" si="12"/>
        <v>30760.470735435709</v>
      </c>
      <c r="N107">
        <v>2027</v>
      </c>
      <c r="O107" t="s">
        <v>240</v>
      </c>
      <c r="P107" t="s">
        <v>240</v>
      </c>
      <c r="Q107" s="61">
        <f t="shared" si="13"/>
        <v>352334.47395973234</v>
      </c>
      <c r="R107" s="61">
        <f t="shared" si="13"/>
        <v>73518.340729302028</v>
      </c>
      <c r="S107" s="61">
        <f t="shared" si="13"/>
        <v>61470.072190225124</v>
      </c>
      <c r="T107" s="61">
        <f t="shared" si="13"/>
        <v>28948.511865027118</v>
      </c>
      <c r="W107">
        <v>2027</v>
      </c>
      <c r="X107" t="s">
        <v>240</v>
      </c>
      <c r="Y107" t="s">
        <v>240</v>
      </c>
      <c r="Z107" s="61">
        <f t="shared" si="16"/>
        <v>324268.92473347113</v>
      </c>
      <c r="AA107" s="61">
        <f t="shared" si="16"/>
        <v>67869.625952112896</v>
      </c>
      <c r="AB107" s="61">
        <f t="shared" si="16"/>
        <v>54448.589616724057</v>
      </c>
      <c r="AC107" s="61">
        <f t="shared" si="16"/>
        <v>27324.902728787929</v>
      </c>
      <c r="AG107">
        <v>2027</v>
      </c>
      <c r="AH107" t="s">
        <v>240</v>
      </c>
      <c r="AI107" t="s">
        <v>240</v>
      </c>
      <c r="AJ107" s="61">
        <f t="shared" si="17"/>
        <v>379561.39156845817</v>
      </c>
      <c r="AK107" s="61">
        <f t="shared" si="17"/>
        <v>78995.581549532071</v>
      </c>
      <c r="AL107" s="61">
        <f t="shared" si="17"/>
        <v>68283.289376830216</v>
      </c>
      <c r="AM107" s="61">
        <f t="shared" si="17"/>
        <v>30522.597336895284</v>
      </c>
    </row>
    <row r="108" spans="5:39">
      <c r="E108">
        <v>2028</v>
      </c>
      <c r="F108" s="322" t="s">
        <v>240</v>
      </c>
      <c r="G108" s="322" t="s">
        <v>240</v>
      </c>
      <c r="H108" s="61">
        <f t="shared" si="12"/>
        <v>414043.12762850383</v>
      </c>
      <c r="I108" s="61">
        <f t="shared" si="12"/>
        <v>78128.266589742329</v>
      </c>
      <c r="J108" s="61">
        <f t="shared" si="12"/>
        <v>70836.127416863106</v>
      </c>
      <c r="K108" s="61">
        <f t="shared" si="12"/>
        <v>32564.829429717152</v>
      </c>
      <c r="N108">
        <v>2028</v>
      </c>
      <c r="O108" t="s">
        <v>240</v>
      </c>
      <c r="P108" t="s">
        <v>240</v>
      </c>
      <c r="Q108" s="61">
        <f t="shared" si="13"/>
        <v>378200.1675767866</v>
      </c>
      <c r="R108" s="61">
        <f t="shared" si="13"/>
        <v>70920.655020518403</v>
      </c>
      <c r="S108" s="61">
        <f t="shared" si="13"/>
        <v>61873.446417039027</v>
      </c>
      <c r="T108" s="61">
        <f t="shared" si="13"/>
        <v>30491.468276381158</v>
      </c>
      <c r="W108">
        <v>2028</v>
      </c>
      <c r="X108" t="s">
        <v>240</v>
      </c>
      <c r="Y108" t="s">
        <v>240</v>
      </c>
      <c r="Z108" s="61">
        <f t="shared" si="16"/>
        <v>346104.23141356185</v>
      </c>
      <c r="AA108" s="61">
        <f t="shared" si="16"/>
        <v>64463.339615906472</v>
      </c>
      <c r="AB108" s="61">
        <f t="shared" si="16"/>
        <v>53850.828149045701</v>
      </c>
      <c r="AC108" s="61">
        <f t="shared" si="16"/>
        <v>28633.302835321054</v>
      </c>
      <c r="AG108">
        <v>2028</v>
      </c>
      <c r="AH108" t="s">
        <v>240</v>
      </c>
      <c r="AI108" t="s">
        <v>240</v>
      </c>
      <c r="AJ108" s="61">
        <f t="shared" si="17"/>
        <v>409336.40201425506</v>
      </c>
      <c r="AK108" s="61">
        <f t="shared" si="17"/>
        <v>77181.991209102445</v>
      </c>
      <c r="AL108" s="61">
        <f t="shared" si="17"/>
        <v>69659.010895389249</v>
      </c>
      <c r="AM108" s="61">
        <f t="shared" si="17"/>
        <v>32292.657609548376</v>
      </c>
    </row>
    <row r="109" spans="5:39">
      <c r="E109">
        <v>2029</v>
      </c>
      <c r="F109" s="322" t="s">
        <v>240</v>
      </c>
      <c r="G109" s="322" t="s">
        <v>240</v>
      </c>
      <c r="H109" s="61">
        <f t="shared" si="12"/>
        <v>445157.50923419558</v>
      </c>
      <c r="I109" s="61">
        <f t="shared" si="12"/>
        <v>76449.245545354264</v>
      </c>
      <c r="J109" s="61">
        <f t="shared" si="12"/>
        <v>72403.50820255687</v>
      </c>
      <c r="K109" s="61">
        <f t="shared" si="12"/>
        <v>34413.188991961521</v>
      </c>
      <c r="N109">
        <v>2029</v>
      </c>
      <c r="O109" t="s">
        <v>240</v>
      </c>
      <c r="P109" t="s">
        <v>240</v>
      </c>
      <c r="Q109" s="61">
        <f t="shared" si="13"/>
        <v>404806.85967565235</v>
      </c>
      <c r="R109" s="61">
        <f t="shared" si="13"/>
        <v>68339.941569192568</v>
      </c>
      <c r="S109" s="61">
        <f t="shared" si="13"/>
        <v>62322.012995079043</v>
      </c>
      <c r="T109" s="61">
        <f t="shared" si="13"/>
        <v>32077.844053095847</v>
      </c>
      <c r="W109">
        <v>2029</v>
      </c>
      <c r="X109" t="s">
        <v>240</v>
      </c>
      <c r="Y109" t="s">
        <v>240</v>
      </c>
      <c r="Z109" s="61">
        <f t="shared" si="16"/>
        <v>368673.22773559159</v>
      </c>
      <c r="AA109" s="61">
        <f t="shared" si="16"/>
        <v>61075.144753630331</v>
      </c>
      <c r="AB109" s="61">
        <f t="shared" si="16"/>
        <v>53299.223412462627</v>
      </c>
      <c r="AC109" s="61">
        <f t="shared" si="16"/>
        <v>29984.495835628521</v>
      </c>
      <c r="AG109">
        <v>2029</v>
      </c>
      <c r="AH109" t="s">
        <v>240</v>
      </c>
      <c r="AI109" t="s">
        <v>240</v>
      </c>
      <c r="AJ109" s="61">
        <f t="shared" si="17"/>
        <v>439858.92600154923</v>
      </c>
      <c r="AK109" s="61">
        <f t="shared" si="17"/>
        <v>75384.567956972809</v>
      </c>
      <c r="AL109" s="61">
        <f t="shared" si="17"/>
        <v>71079.37958923995</v>
      </c>
      <c r="AM109" s="61">
        <f t="shared" si="17"/>
        <v>34106.648003040944</v>
      </c>
    </row>
    <row r="110" spans="5:39">
      <c r="E110">
        <v>2030</v>
      </c>
      <c r="F110" s="322" t="s">
        <v>240</v>
      </c>
      <c r="G110" s="322" t="s">
        <v>240</v>
      </c>
      <c r="H110" s="61">
        <f t="shared" si="12"/>
        <v>477035.79168411531</v>
      </c>
      <c r="I110" s="61">
        <f t="shared" si="12"/>
        <v>74785.129496256064</v>
      </c>
      <c r="J110" s="61">
        <f t="shared" si="12"/>
        <v>74015.411367551656</v>
      </c>
      <c r="K110" s="61">
        <f t="shared" si="12"/>
        <v>36306.342944114149</v>
      </c>
      <c r="N110">
        <v>2030</v>
      </c>
      <c r="O110" t="s">
        <v>240</v>
      </c>
      <c r="P110" t="s">
        <v>240</v>
      </c>
      <c r="Q110" s="61">
        <f t="shared" si="13"/>
        <v>432169.74155513197</v>
      </c>
      <c r="R110" s="61">
        <f t="shared" si="13"/>
        <v>65775.241916860628</v>
      </c>
      <c r="S110" s="61">
        <f t="shared" si="13"/>
        <v>62815.735034340061</v>
      </c>
      <c r="T110" s="61">
        <f t="shared" si="13"/>
        <v>33708.449875654085</v>
      </c>
      <c r="W110">
        <v>2030</v>
      </c>
      <c r="X110" t="s">
        <v>240</v>
      </c>
      <c r="Y110" t="s">
        <v>240</v>
      </c>
      <c r="Z110" s="61">
        <f t="shared" si="16"/>
        <v>391990.74331606505</v>
      </c>
      <c r="AA110" s="61">
        <f t="shared" si="16"/>
        <v>57704.359048715967</v>
      </c>
      <c r="AB110" s="61">
        <f t="shared" si="16"/>
        <v>52793.808763756067</v>
      </c>
      <c r="AC110" s="61">
        <f t="shared" si="16"/>
        <v>31379.305970045127</v>
      </c>
      <c r="AG110">
        <v>2030</v>
      </c>
      <c r="AH110" t="s">
        <v>240</v>
      </c>
      <c r="AI110" t="s">
        <v>240</v>
      </c>
      <c r="AJ110" s="61">
        <f t="shared" si="17"/>
        <v>471144.3800099832</v>
      </c>
      <c r="AK110" s="61">
        <f t="shared" si="17"/>
        <v>73602.172996694513</v>
      </c>
      <c r="AL110" s="61">
        <f t="shared" si="17"/>
        <v>72544.328909843462</v>
      </c>
      <c r="AM110" s="61">
        <f t="shared" si="17"/>
        <v>35965.364292395519</v>
      </c>
    </row>
    <row r="111" spans="5:39">
      <c r="E111">
        <v>2040</v>
      </c>
      <c r="F111" s="322" t="s">
        <v>240</v>
      </c>
      <c r="G111" s="322" t="s">
        <v>240</v>
      </c>
      <c r="H111" s="61">
        <f t="shared" si="12"/>
        <v>882380.54678020021</v>
      </c>
      <c r="I111" s="61">
        <f t="shared" si="12"/>
        <v>66381.894793768763</v>
      </c>
      <c r="J111" s="61">
        <f t="shared" si="12"/>
        <v>102494.87872153812</v>
      </c>
      <c r="K111" s="61">
        <f t="shared" si="12"/>
        <v>60214.940967681541</v>
      </c>
      <c r="N111">
        <v>2040</v>
      </c>
      <c r="O111" t="s">
        <v>240</v>
      </c>
      <c r="P111" t="s">
        <v>240</v>
      </c>
      <c r="Q111" s="61">
        <f t="shared" si="13"/>
        <v>783854.37212358275</v>
      </c>
      <c r="R111" s="61">
        <f t="shared" si="13"/>
        <v>46705.650458428718</v>
      </c>
      <c r="S111" s="61">
        <f t="shared" si="13"/>
        <v>78040.608540227986</v>
      </c>
      <c r="T111" s="61">
        <f t="shared" si="13"/>
        <v>54496.480701999913</v>
      </c>
      <c r="W111">
        <v>2040</v>
      </c>
      <c r="X111" t="s">
        <v>240</v>
      </c>
      <c r="Y111" t="s">
        <v>240</v>
      </c>
      <c r="Z111" s="61">
        <f>Z73-Z92</f>
        <v>686653.14760713279</v>
      </c>
      <c r="AA111" s="61">
        <f t="shared" si="16"/>
        <v>27305.722285299154</v>
      </c>
      <c r="AB111" s="61">
        <f t="shared" si="16"/>
        <v>53949.256653639372</v>
      </c>
      <c r="AC111" s="61">
        <f t="shared" si="16"/>
        <v>48847.941242009605</v>
      </c>
      <c r="AG111">
        <v>2040</v>
      </c>
      <c r="AH111" t="s">
        <v>240</v>
      </c>
      <c r="AI111" t="s">
        <v>240</v>
      </c>
      <c r="AJ111" s="61">
        <f>AJ73-AJ92</f>
        <v>870683.12337640999</v>
      </c>
      <c r="AK111" s="61">
        <f t="shared" si="17"/>
        <v>64045.541570118512</v>
      </c>
      <c r="AL111" s="61">
        <f t="shared" si="17"/>
        <v>99591.036024711328</v>
      </c>
      <c r="AM111" s="61">
        <f t="shared" si="17"/>
        <v>59536.104646003834</v>
      </c>
    </row>
    <row r="112" spans="5:39">
      <c r="E112">
        <v>2050</v>
      </c>
      <c r="F112" s="322" t="s">
        <v>240</v>
      </c>
      <c r="G112" s="322" t="s">
        <v>240</v>
      </c>
      <c r="H112" s="61">
        <f t="shared" si="12"/>
        <v>1447236.567385802</v>
      </c>
      <c r="I112" s="61">
        <f t="shared" si="12"/>
        <v>70226.621729926032</v>
      </c>
      <c r="J112" s="61">
        <f t="shared" si="12"/>
        <v>149982.45067686716</v>
      </c>
      <c r="K112" s="61">
        <f t="shared" si="12"/>
        <v>93423.346675713547</v>
      </c>
      <c r="N112">
        <v>2050</v>
      </c>
      <c r="O112" t="s">
        <v>240</v>
      </c>
      <c r="P112" t="s">
        <v>240</v>
      </c>
      <c r="Q112" s="61">
        <f t="shared" si="13"/>
        <v>1284459.8052835776</v>
      </c>
      <c r="R112" s="61">
        <f t="shared" si="13"/>
        <v>37695.885674867313</v>
      </c>
      <c r="S112" s="61">
        <f t="shared" si="13"/>
        <v>109477.17596992454</v>
      </c>
      <c r="T112" s="61">
        <f t="shared" si="13"/>
        <v>83999.738572742412</v>
      </c>
      <c r="W112">
        <v>2050</v>
      </c>
      <c r="X112" t="s">
        <v>240</v>
      </c>
      <c r="Y112" t="s">
        <v>240</v>
      </c>
      <c r="Z112" s="61">
        <f>Z74-Z93</f>
        <v>1103580.7356846924</v>
      </c>
      <c r="AA112" s="61">
        <f t="shared" si="16"/>
        <v>1557.5133222121513</v>
      </c>
      <c r="AB112" s="61">
        <f t="shared" si="16"/>
        <v>64492.74635469343</v>
      </c>
      <c r="AC112" s="61">
        <f t="shared" si="16"/>
        <v>73523.216855357459</v>
      </c>
      <c r="AG112">
        <v>2050</v>
      </c>
      <c r="AH112" t="s">
        <v>240</v>
      </c>
      <c r="AI112" t="s">
        <v>240</v>
      </c>
      <c r="AJ112" s="61">
        <f>AJ74-AJ93</f>
        <v>1424571.3256497951</v>
      </c>
      <c r="AK112" s="61">
        <f t="shared" si="17"/>
        <v>65695.766611110361</v>
      </c>
      <c r="AL112" s="61">
        <f t="shared" si="17"/>
        <v>144337.80372993625</v>
      </c>
      <c r="AM112" s="61">
        <f t="shared" si="17"/>
        <v>92112.219624098099</v>
      </c>
    </row>
    <row r="113" spans="2:40">
      <c r="E113">
        <v>2060</v>
      </c>
      <c r="F113" s="322" t="s">
        <v>240</v>
      </c>
      <c r="G113" s="322" t="s">
        <v>240</v>
      </c>
      <c r="H113" s="61">
        <f t="shared" si="12"/>
        <v>2176124.0240736641</v>
      </c>
      <c r="I113" s="61">
        <f t="shared" si="12"/>
        <v>84023.47884937725</v>
      </c>
      <c r="J113" s="61">
        <f t="shared" si="12"/>
        <v>214442.2033644499</v>
      </c>
      <c r="K113" s="61">
        <f t="shared" si="12"/>
        <v>135998.7401099916</v>
      </c>
      <c r="N113">
        <v>2060</v>
      </c>
      <c r="O113" t="s">
        <v>240</v>
      </c>
      <c r="P113" t="s">
        <v>240</v>
      </c>
      <c r="Q113" s="61">
        <f t="shared" si="13"/>
        <v>1946224.5866666762</v>
      </c>
      <c r="R113" s="61">
        <f t="shared" si="13"/>
        <v>38062.824653600808</v>
      </c>
      <c r="S113" s="61">
        <f t="shared" si="13"/>
        <v>157164.79052160727</v>
      </c>
      <c r="T113" s="61">
        <f t="shared" si="13"/>
        <v>122705.1960516354</v>
      </c>
      <c r="W113">
        <v>2060</v>
      </c>
      <c r="X113" t="s">
        <v>240</v>
      </c>
      <c r="Y113" t="s">
        <v>240</v>
      </c>
      <c r="Z113" s="61">
        <f t="shared" ref="Z113:AC117" si="18">Z75-Z94</f>
        <v>1659920.8582866769</v>
      </c>
      <c r="AA113" s="61">
        <f t="shared" si="18"/>
        <v>-19165.507225898094</v>
      </c>
      <c r="AB113" s="61">
        <f t="shared" si="18"/>
        <v>85851.696460963227</v>
      </c>
      <c r="AC113" s="61">
        <f t="shared" si="18"/>
        <v>106147.25772883417</v>
      </c>
      <c r="AG113">
        <v>2060</v>
      </c>
      <c r="AH113" t="s">
        <v>240</v>
      </c>
      <c r="AI113" t="s">
        <v>240</v>
      </c>
      <c r="AJ113" s="61">
        <f t="shared" ref="AJ113:AM117" si="19">AJ75-AJ94</f>
        <v>2139979.4613429671</v>
      </c>
      <c r="AK113" s="61">
        <f t="shared" si="19"/>
        <v>76795.500127759238</v>
      </c>
      <c r="AL113" s="61">
        <f t="shared" si="19"/>
        <v>205428.64361851872</v>
      </c>
      <c r="AM113" s="61">
        <f t="shared" si="19"/>
        <v>133910.6505056101</v>
      </c>
    </row>
    <row r="114" spans="2:40">
      <c r="E114">
        <v>2070</v>
      </c>
      <c r="F114" s="322" t="s">
        <v>240</v>
      </c>
      <c r="G114" s="322" t="s">
        <v>240</v>
      </c>
      <c r="H114" s="61">
        <f t="shared" si="12"/>
        <v>3083117.7970509767</v>
      </c>
      <c r="I114" s="61">
        <f t="shared" si="12"/>
        <v>106160.97102044878</v>
      </c>
      <c r="J114" s="61">
        <f t="shared" si="12"/>
        <v>294268.31104907568</v>
      </c>
      <c r="K114" s="61">
        <f t="shared" si="12"/>
        <v>188696.08480749902</v>
      </c>
      <c r="N114">
        <v>2070</v>
      </c>
      <c r="O114" t="s">
        <v>240</v>
      </c>
      <c r="P114" t="s">
        <v>240</v>
      </c>
      <c r="Q114" s="61">
        <f t="shared" si="13"/>
        <v>2780571.8448196957</v>
      </c>
      <c r="R114" s="61">
        <f t="shared" si="13"/>
        <v>45664.547164982185</v>
      </c>
      <c r="S114" s="61">
        <f t="shared" si="13"/>
        <v>218835.64138014917</v>
      </c>
      <c r="T114" s="61">
        <f t="shared" si="13"/>
        <v>171214.78888702195</v>
      </c>
      <c r="W114">
        <v>2070</v>
      </c>
      <c r="X114" t="s">
        <v>240</v>
      </c>
      <c r="Y114" t="s">
        <v>240</v>
      </c>
      <c r="Z114" s="61">
        <f t="shared" si="18"/>
        <v>2369873.5347591308</v>
      </c>
      <c r="AA114" s="61">
        <f t="shared" si="18"/>
        <v>-36449.510903581744</v>
      </c>
      <c r="AB114" s="61">
        <f t="shared" si="18"/>
        <v>116452.76694630075</v>
      </c>
      <c r="AC114" s="61">
        <f t="shared" si="18"/>
        <v>147481.96466728125</v>
      </c>
      <c r="AG114">
        <v>2070</v>
      </c>
      <c r="AH114" t="s">
        <v>240</v>
      </c>
      <c r="AI114" t="s">
        <v>240</v>
      </c>
      <c r="AJ114" s="61">
        <f t="shared" si="19"/>
        <v>3030950.2545811757</v>
      </c>
      <c r="AK114" s="61">
        <f t="shared" si="19"/>
        <v>95726.827858230274</v>
      </c>
      <c r="AL114" s="61">
        <f t="shared" si="19"/>
        <v>281249.76355799695</v>
      </c>
      <c r="AM114" s="61">
        <f t="shared" si="19"/>
        <v>185684.49094012924</v>
      </c>
    </row>
    <row r="115" spans="2:40">
      <c r="E115">
        <v>2080</v>
      </c>
      <c r="F115" s="322" t="s">
        <v>240</v>
      </c>
      <c r="G115" s="322" t="s">
        <v>240</v>
      </c>
      <c r="H115" s="61">
        <f t="shared" si="12"/>
        <v>4191928.7031817934</v>
      </c>
      <c r="I115" s="61">
        <f t="shared" si="12"/>
        <v>136105.7173667865</v>
      </c>
      <c r="J115" s="61">
        <f t="shared" si="12"/>
        <v>389236.75153488305</v>
      </c>
      <c r="K115" s="61">
        <f t="shared" si="12"/>
        <v>252807.63511429902</v>
      </c>
      <c r="N115">
        <v>2080</v>
      </c>
      <c r="O115" t="s">
        <v>240</v>
      </c>
      <c r="P115" t="s">
        <v>240</v>
      </c>
      <c r="Q115" s="61">
        <f t="shared" si="13"/>
        <v>3813906.1170668295</v>
      </c>
      <c r="R115" s="61">
        <f t="shared" si="13"/>
        <v>60506.669111206895</v>
      </c>
      <c r="S115" s="61">
        <f t="shared" si="13"/>
        <v>294938.95781633852</v>
      </c>
      <c r="T115" s="61">
        <f t="shared" si="13"/>
        <v>230976.03927635879</v>
      </c>
      <c r="W115">
        <v>2080</v>
      </c>
      <c r="X115" t="s">
        <v>240</v>
      </c>
      <c r="Y115" t="s">
        <v>240</v>
      </c>
      <c r="Z115" s="61">
        <f t="shared" si="18"/>
        <v>3254539.2875985308</v>
      </c>
      <c r="AA115" s="61">
        <f t="shared" si="18"/>
        <v>-51349.992974327761</v>
      </c>
      <c r="AB115" s="61">
        <f t="shared" si="18"/>
        <v>155420.34128756903</v>
      </c>
      <c r="AC115" s="61">
        <f t="shared" si="18"/>
        <v>198668.949010607</v>
      </c>
      <c r="AG115">
        <v>2080</v>
      </c>
      <c r="AH115" t="s">
        <v>240</v>
      </c>
      <c r="AI115" t="s">
        <v>240</v>
      </c>
      <c r="AJ115" s="61">
        <f t="shared" si="19"/>
        <v>4121183.8035344933</v>
      </c>
      <c r="AK115" s="61">
        <f t="shared" si="19"/>
        <v>121954.22921611596</v>
      </c>
      <c r="AL115" s="61">
        <f t="shared" si="19"/>
        <v>371574.48588675947</v>
      </c>
      <c r="AM115" s="61">
        <f t="shared" si="19"/>
        <v>248725.37197792082</v>
      </c>
    </row>
    <row r="116" spans="2:40">
      <c r="E116">
        <v>2090</v>
      </c>
      <c r="F116" s="322" t="s">
        <v>240</v>
      </c>
      <c r="G116" s="322" t="s">
        <v>240</v>
      </c>
      <c r="H116" s="61">
        <f t="shared" ref="H116:K117" si="20">H78-H97</f>
        <v>5531330.7184601258</v>
      </c>
      <c r="I116" s="61">
        <f t="shared" si="20"/>
        <v>173324.46036130621</v>
      </c>
      <c r="J116" s="61">
        <f t="shared" si="20"/>
        <v>499161.8137333694</v>
      </c>
      <c r="K116" s="61">
        <f t="shared" si="20"/>
        <v>329894.5198014956</v>
      </c>
      <c r="N116">
        <v>2090</v>
      </c>
      <c r="O116" t="s">
        <v>240</v>
      </c>
      <c r="P116" t="s">
        <v>240</v>
      </c>
      <c r="Q116" s="61">
        <f t="shared" ref="Q116:T117" si="21">Q78-Q97</f>
        <v>5072328.6433418337</v>
      </c>
      <c r="R116" s="61">
        <f t="shared" si="21"/>
        <v>81521.222026929085</v>
      </c>
      <c r="S116" s="61">
        <f t="shared" si="21"/>
        <v>384621.41046838963</v>
      </c>
      <c r="T116" s="61">
        <f t="shared" si="21"/>
        <v>303395.92817073304</v>
      </c>
      <c r="W116">
        <v>2090</v>
      </c>
      <c r="X116" t="s">
        <v>240</v>
      </c>
      <c r="Y116" t="s">
        <v>240</v>
      </c>
      <c r="Z116" s="61">
        <f t="shared" si="18"/>
        <v>4337429.7910174597</v>
      </c>
      <c r="AA116" s="61">
        <f t="shared" si="18"/>
        <v>-65452.880935196416</v>
      </c>
      <c r="AB116" s="61">
        <f t="shared" si="18"/>
        <v>201254.69117202843</v>
      </c>
      <c r="AC116" s="61">
        <f t="shared" si="18"/>
        <v>260965.74109498647</v>
      </c>
      <c r="AG116">
        <v>2090</v>
      </c>
      <c r="AH116" t="s">
        <v>240</v>
      </c>
      <c r="AI116" t="s">
        <v>240</v>
      </c>
      <c r="AJ116" s="61">
        <f t="shared" si="19"/>
        <v>5436738.9263488278</v>
      </c>
      <c r="AK116" s="61">
        <f t="shared" si="19"/>
        <v>154401.1704756745</v>
      </c>
      <c r="AL116" s="61">
        <f t="shared" si="19"/>
        <v>475538.5371181533</v>
      </c>
      <c r="AM116" s="61">
        <f t="shared" si="19"/>
        <v>324437.90794709919</v>
      </c>
    </row>
    <row r="117" spans="2:40">
      <c r="E117">
        <v>2100</v>
      </c>
      <c r="F117" s="322" t="s">
        <v>240</v>
      </c>
      <c r="G117" s="322" t="s">
        <v>240</v>
      </c>
      <c r="H117" s="61">
        <f t="shared" si="20"/>
        <v>7128050.6944775432</v>
      </c>
      <c r="I117" s="61">
        <f t="shared" si="20"/>
        <v>215667.07819982286</v>
      </c>
      <c r="J117" s="61">
        <f t="shared" si="20"/>
        <v>621879.61050590011</v>
      </c>
      <c r="K117" s="61">
        <f t="shared" si="20"/>
        <v>421370.88141111191</v>
      </c>
      <c r="N117">
        <v>2100</v>
      </c>
      <c r="O117" t="s">
        <v>240</v>
      </c>
      <c r="P117" t="s">
        <v>240</v>
      </c>
      <c r="Q117" s="61">
        <f t="shared" si="21"/>
        <v>6579925.0157758454</v>
      </c>
      <c r="R117" s="61">
        <f t="shared" si="21"/>
        <v>106029.80193013471</v>
      </c>
      <c r="S117" s="61">
        <f t="shared" si="21"/>
        <v>485059.94371443486</v>
      </c>
      <c r="T117" s="61">
        <f t="shared" si="21"/>
        <v>389736.13033921615</v>
      </c>
      <c r="W117">
        <v>2100</v>
      </c>
      <c r="X117" t="s">
        <v>240</v>
      </c>
      <c r="Y117" t="s">
        <v>240</v>
      </c>
      <c r="Z117" s="61">
        <f t="shared" si="18"/>
        <v>5656046.7784480583</v>
      </c>
      <c r="AA117" s="61">
        <f t="shared" si="18"/>
        <v>-78752.309476173366</v>
      </c>
      <c r="AB117" s="61">
        <f t="shared" si="18"/>
        <v>254484.93532764469</v>
      </c>
      <c r="AC117" s="61">
        <f t="shared" si="18"/>
        <v>336407.55486801738</v>
      </c>
      <c r="AG117">
        <v>2100</v>
      </c>
      <c r="AH117" t="s">
        <v>240</v>
      </c>
      <c r="AI117" t="s">
        <v>240</v>
      </c>
      <c r="AJ117" s="61">
        <f>AJ79-AJ98</f>
        <v>7007004.0389939519</v>
      </c>
      <c r="AK117" s="61">
        <f t="shared" si="19"/>
        <v>191450.10748110997</v>
      </c>
      <c r="AL117" s="61">
        <f t="shared" si="19"/>
        <v>591643.31518294313</v>
      </c>
      <c r="AM117" s="61">
        <f t="shared" si="19"/>
        <v>414389.63935368741</v>
      </c>
    </row>
    <row r="118" spans="2:40">
      <c r="B118" s="61"/>
      <c r="F118" s="581" t="s">
        <v>284</v>
      </c>
      <c r="G118" s="581"/>
      <c r="H118" s="581"/>
      <c r="I118" s="581"/>
      <c r="J118" s="581"/>
      <c r="K118" s="581"/>
      <c r="O118" s="581" t="s">
        <v>284</v>
      </c>
      <c r="P118" s="581"/>
      <c r="Q118" s="581"/>
      <c r="R118" s="581"/>
      <c r="S118" s="581"/>
      <c r="T118" s="581"/>
      <c r="X118" s="581" t="s">
        <v>242</v>
      </c>
      <c r="Y118" s="581"/>
      <c r="Z118" s="581"/>
      <c r="AA118" s="581"/>
      <c r="AB118" s="581"/>
      <c r="AC118" s="581"/>
      <c r="AH118" s="581" t="s">
        <v>242</v>
      </c>
      <c r="AI118" s="581"/>
      <c r="AJ118" s="581"/>
      <c r="AK118" s="581"/>
      <c r="AL118" s="581"/>
      <c r="AM118" s="581"/>
    </row>
    <row r="119" spans="2:40">
      <c r="E119">
        <v>2020</v>
      </c>
      <c r="F119" s="61">
        <f>-F5*$C$4</f>
        <v>-3153.2040000000002</v>
      </c>
      <c r="G119" s="61">
        <f>-G5*$C$3</f>
        <v>-4212.348</v>
      </c>
      <c r="H119" s="61">
        <f>-(SUM($F119:$G119))*(H100/SUM($H100:$K100))</f>
        <v>3878.6835855327031</v>
      </c>
      <c r="I119" s="61">
        <f t="shared" ref="I119:K119" si="22">-(SUM($F119:$G119))*(I100/SUM($H100:$K100))</f>
        <v>1876.1708675755083</v>
      </c>
      <c r="J119" s="61">
        <f t="shared" si="22"/>
        <v>1218.3472709725954</v>
      </c>
      <c r="K119" s="61">
        <f t="shared" si="22"/>
        <v>392.35027591919271</v>
      </c>
      <c r="L119" s="61"/>
      <c r="M119" s="61"/>
      <c r="N119">
        <v>2020</v>
      </c>
      <c r="O119" s="61">
        <f>-O5*$C$4</f>
        <v>-3153.2040000000002</v>
      </c>
      <c r="P119" s="61">
        <f t="shared" ref="P119:P129" si="23">-P5*$C$3</f>
        <v>-4212.348</v>
      </c>
      <c r="Q119" s="61">
        <f>-(SUM($F119:$G119))*(Q100/SUM($Q100:$T100))</f>
        <v>3878.6835855327031</v>
      </c>
      <c r="R119" s="61">
        <f>-(SUM($F119:$G119))*(R100/SUM($Q100:$T100))</f>
        <v>1876.1708675755083</v>
      </c>
      <c r="S119" s="61">
        <f>-(SUM($F119:$G119))*(S100/SUM($Q100:$T100))</f>
        <v>1218.3472709725954</v>
      </c>
      <c r="T119" s="61">
        <f>-(SUM($F119:$G119))*(T100/SUM($Q100:$T100))</f>
        <v>392.35027591919271</v>
      </c>
      <c r="U119" s="407"/>
      <c r="W119">
        <v>2020</v>
      </c>
      <c r="X119" s="61">
        <f t="shared" ref="X119:X129" si="24">-X5*$C$4</f>
        <v>-3153.2040000000002</v>
      </c>
      <c r="Y119" s="61">
        <f t="shared" ref="Y119:Y129" si="25">-Y5*$C$3</f>
        <v>-4212.348</v>
      </c>
      <c r="Z119" s="61">
        <f>-(SUM($X119:$Y119))*(Z100/SUM($Z100:$AC100))</f>
        <v>3878.6835855327031</v>
      </c>
      <c r="AA119" s="61">
        <f t="shared" ref="AA119:AC119" si="26">-(SUM($X119:$Y119))*(AA100/SUM($Z100:$AC100))</f>
        <v>1876.1708675755083</v>
      </c>
      <c r="AB119" s="61">
        <f t="shared" si="26"/>
        <v>1218.3472709725954</v>
      </c>
      <c r="AC119" s="61">
        <f t="shared" si="26"/>
        <v>392.35027591919271</v>
      </c>
      <c r="AD119" s="407"/>
      <c r="AG119">
        <v>2020</v>
      </c>
      <c r="AH119" s="61">
        <f t="shared" ref="AH119:AH129" si="27">-AH5*$C$4</f>
        <v>-3153.2040000000002</v>
      </c>
      <c r="AI119" s="61">
        <f t="shared" ref="AI119:AI129" si="28">-AI5*$C$3</f>
        <v>-4212.348</v>
      </c>
      <c r="AJ119" s="61">
        <f>-(SUM($AH119:$AI119))*(AJ100/SUM($AJ100:$AM100))</f>
        <v>3878.6835855327031</v>
      </c>
      <c r="AK119" s="61">
        <f t="shared" ref="AK119:AM119" si="29">-(SUM($AH119:$AI119))*(AK100/SUM($AJ100:$AM100))</f>
        <v>1876.1708675755083</v>
      </c>
      <c r="AL119" s="61">
        <f>-(SUM($AH119:$AI119))*(AL100/SUM($AJ100:$AM100))</f>
        <v>1218.3472709725954</v>
      </c>
      <c r="AM119" s="61">
        <f t="shared" si="29"/>
        <v>392.35027591919271</v>
      </c>
      <c r="AN119" s="407"/>
    </row>
    <row r="120" spans="2:40">
      <c r="E120">
        <v>2021</v>
      </c>
      <c r="F120" s="61">
        <f>-F6*$C$4</f>
        <v>-3172.3782258538258</v>
      </c>
      <c r="G120" s="61">
        <f t="shared" ref="G120:G129" si="30">-G6*$C$3</f>
        <v>-4236.9029879588388</v>
      </c>
      <c r="H120" s="61">
        <f>-SUM($F120:$G120)*(MAX(H101,0)/SUM(MAX($H101,0)+MAX($I101,0)+MAX($J101,0)+MAX($K101,0)))</f>
        <v>4123.7356515091114</v>
      </c>
      <c r="I120" s="61">
        <f t="shared" ref="H120:K135" si="31">-SUM($F120:$G120)*(MAX(I101,0)/SUM(MAX($H101,0)+MAX($I101,0)+MAX($J101,0)+MAX($K101,0)))</f>
        <v>1723.5891179068612</v>
      </c>
      <c r="J120" s="61">
        <f t="shared" si="31"/>
        <v>1165.1773853891395</v>
      </c>
      <c r="K120" s="61">
        <f t="shared" si="31"/>
        <v>396.77905900755201</v>
      </c>
      <c r="L120" s="61"/>
      <c r="M120" s="61"/>
      <c r="N120">
        <v>2021</v>
      </c>
      <c r="O120" s="61">
        <f t="shared" ref="O120:O129" si="32">-O6*$C$4</f>
        <v>-3179.3417200821291</v>
      </c>
      <c r="P120" s="61">
        <f t="shared" si="23"/>
        <v>-4246.2031556570309</v>
      </c>
      <c r="Q120" s="61">
        <f t="shared" ref="Q120:T129" si="33">-SUM($O120:$P120)*(MAX(Q101,0)/SUM(MAX($Q101,0)+MAX($R101,0)+MAX($S101,0)+MAX($T101,0)))</f>
        <v>4118.838031589371</v>
      </c>
      <c r="R120" s="61">
        <f t="shared" si="33"/>
        <v>1740.4680757110884</v>
      </c>
      <c r="S120" s="61">
        <f t="shared" si="33"/>
        <v>1166.5663093868186</v>
      </c>
      <c r="T120" s="61">
        <f t="shared" si="33"/>
        <v>399.67245905188247</v>
      </c>
      <c r="U120" s="407"/>
      <c r="W120">
        <v>2021</v>
      </c>
      <c r="X120" s="61">
        <f t="shared" si="24"/>
        <v>-3185.5774745349354</v>
      </c>
      <c r="Y120" s="61">
        <f t="shared" si="25"/>
        <v>-4254.5313828709095</v>
      </c>
      <c r="Z120" s="61">
        <f>-SUM($X120:$Y120)*(MAX(Z101,0)/SUM(MAX($Z101,0)+MAX($AA101,0)+MAX($AB101,0)+MAX($AC101,0)))</f>
        <v>4113.9751569385544</v>
      </c>
      <c r="AA120" s="61">
        <f t="shared" ref="AA120:AC120" si="34">-SUM($X120:$Y120)*(MAX(AA101,0)/SUM(MAX($Z101,0)+MAX($AA101,0)+MAX($AB101,0)+MAX($AC101,0)))</f>
        <v>1756.0309439909554</v>
      </c>
      <c r="AB120" s="61">
        <f t="shared" si="34"/>
        <v>1167.7701087268651</v>
      </c>
      <c r="AC120" s="61">
        <f t="shared" si="34"/>
        <v>402.33264774947054</v>
      </c>
      <c r="AD120" s="407"/>
      <c r="AG120">
        <v>2021</v>
      </c>
      <c r="AH120" s="61">
        <f t="shared" si="27"/>
        <v>-3173.2926241589407</v>
      </c>
      <c r="AI120" s="61">
        <f t="shared" si="28"/>
        <v>-4238.1242221986768</v>
      </c>
      <c r="AJ120" s="61">
        <f>-SUM($AH120:$AI120)*(MAX(AJ101,0)/SUM(MAX($AJ101,0)+MAX($AK101,0)+MAX($AL101,0)+MAX($AM101,0)))</f>
        <v>4123.1236089802815</v>
      </c>
      <c r="AK120" s="61">
        <f t="shared" ref="AK120:AM120" si="35">-SUM($AH120:$AI120)*(MAX(AK101,0)/SUM(MAX($AJ101,0)+MAX($AK101,0)+MAX($AL101,0)+MAX($AM101,0)))</f>
        <v>1725.7763697595385</v>
      </c>
      <c r="AL120" s="61">
        <f t="shared" si="35"/>
        <v>1165.3623732044157</v>
      </c>
      <c r="AM120" s="61">
        <f t="shared" si="35"/>
        <v>397.15449441338097</v>
      </c>
      <c r="AN120" s="407"/>
    </row>
    <row r="121" spans="2:40">
      <c r="E121">
        <v>2022</v>
      </c>
      <c r="F121" s="61">
        <f t="shared" ref="F121:F129" si="36">-F7*$C$4</f>
        <v>-3191.5426675194753</v>
      </c>
      <c r="G121" s="61">
        <f t="shared" si="30"/>
        <v>-4261.4323678427199</v>
      </c>
      <c r="H121" s="61">
        <f t="shared" si="31"/>
        <v>4346.5057056502737</v>
      </c>
      <c r="I121" s="61">
        <f t="shared" si="31"/>
        <v>1587.6983181384599</v>
      </c>
      <c r="J121" s="61">
        <f t="shared" si="31"/>
        <v>1117.8435250160039</v>
      </c>
      <c r="K121" s="61">
        <f t="shared" si="31"/>
        <v>400.9274865574576</v>
      </c>
      <c r="L121" s="61"/>
      <c r="M121" s="61"/>
      <c r="N121">
        <v>2022</v>
      </c>
      <c r="O121" s="61">
        <f t="shared" si="32"/>
        <v>-3205.4661742289668</v>
      </c>
      <c r="P121" s="61">
        <f t="shared" si="23"/>
        <v>-4280.0234030714037</v>
      </c>
      <c r="Q121" s="61">
        <f t="shared" si="33"/>
        <v>4345.5024174166956</v>
      </c>
      <c r="R121" s="61">
        <f t="shared" si="33"/>
        <v>1614.7222259514624</v>
      </c>
      <c r="S121" s="61">
        <f t="shared" si="33"/>
        <v>1118.663835350864</v>
      </c>
      <c r="T121" s="61">
        <f t="shared" si="33"/>
        <v>406.60109858134854</v>
      </c>
      <c r="U121" s="407"/>
      <c r="W121">
        <v>2022</v>
      </c>
      <c r="X121" s="61">
        <f t="shared" si="24"/>
        <v>-3217.9345652573529</v>
      </c>
      <c r="Y121" s="61">
        <f t="shared" si="25"/>
        <v>-4296.6715292719473</v>
      </c>
      <c r="Z121" s="61">
        <f t="shared" ref="Z121:AC136" si="37">-SUM($X121:$Y121)*(MAX(Z102,0)/SUM(MAX($Z102,0)+MAX($AA102,0)+MAX($AB102,0)+MAX($AC102,0)))</f>
        <v>4343.2836470761395</v>
      </c>
      <c r="AA121" s="61">
        <f t="shared" si="37"/>
        <v>1640.2511110812786</v>
      </c>
      <c r="AB121" s="61">
        <f t="shared" si="37"/>
        <v>1119.1299104792054</v>
      </c>
      <c r="AC121" s="61">
        <f t="shared" si="37"/>
        <v>411.94142589267636</v>
      </c>
      <c r="AD121" s="407"/>
      <c r="AG121">
        <v>2022</v>
      </c>
      <c r="AH121" s="61">
        <f t="shared" si="27"/>
        <v>-3193.3710069305512</v>
      </c>
      <c r="AI121" s="61">
        <f t="shared" si="28"/>
        <v>-4263.8736150881532</v>
      </c>
      <c r="AJ121" s="61">
        <f t="shared" ref="AJ121:AM136" si="38">-SUM($AH121:$AI121)*(MAX(AJ102,0)/SUM(MAX($AJ102,0)+MAX($AK102,0)+MAX($AL102,0)+MAX($AM102,0)))</f>
        <v>4346.4575992680338</v>
      </c>
      <c r="AK121" s="61">
        <f t="shared" si="38"/>
        <v>1591.1627132699759</v>
      </c>
      <c r="AL121" s="61">
        <f t="shared" si="38"/>
        <v>1117.9682508801618</v>
      </c>
      <c r="AM121" s="61">
        <f t="shared" si="38"/>
        <v>401.65605860053347</v>
      </c>
      <c r="AN121" s="407"/>
    </row>
    <row r="122" spans="2:40">
      <c r="E122">
        <v>2023</v>
      </c>
      <c r="F122" s="61">
        <f t="shared" si="36"/>
        <v>-3210.6973286906518</v>
      </c>
      <c r="G122" s="61">
        <f t="shared" si="30"/>
        <v>-4285.936159120969</v>
      </c>
      <c r="H122" s="61">
        <f>-SUM($F122:$G122)*(MAX(H103,0)/SUM(MAX($H103,0)+MAX($I103,0)+MAX($J103,0)+MAX($K103,0)))</f>
        <v>4550.2755350728457</v>
      </c>
      <c r="I122" s="61">
        <f t="shared" si="31"/>
        <v>1466.0375465637578</v>
      </c>
      <c r="J122" s="61">
        <f t="shared" si="31"/>
        <v>1075.4831361494646</v>
      </c>
      <c r="K122" s="61">
        <f t="shared" si="31"/>
        <v>404.83727002555372</v>
      </c>
      <c r="L122" s="61"/>
      <c r="M122" s="61"/>
      <c r="N122">
        <v>2023</v>
      </c>
      <c r="O122" s="61">
        <f t="shared" si="32"/>
        <v>-3231.5773674398733</v>
      </c>
      <c r="P122" s="61">
        <f t="shared" si="23"/>
        <v>-4313.8087686875733</v>
      </c>
      <c r="Q122" s="61">
        <f t="shared" si="33"/>
        <v>4559.8089357704084</v>
      </c>
      <c r="R122" s="61">
        <f t="shared" si="33"/>
        <v>1498.0926797376237</v>
      </c>
      <c r="S122" s="61">
        <f t="shared" si="33"/>
        <v>1074.3119240304052</v>
      </c>
      <c r="T122" s="61">
        <f t="shared" si="33"/>
        <v>413.172596589009</v>
      </c>
      <c r="U122" s="407"/>
      <c r="W122">
        <v>2023</v>
      </c>
      <c r="X122" s="61">
        <f t="shared" si="24"/>
        <v>-3250.2752783358173</v>
      </c>
      <c r="Y122" s="61">
        <f t="shared" si="25"/>
        <v>-4338.7684718937389</v>
      </c>
      <c r="Z122" s="61">
        <f t="shared" si="37"/>
        <v>4566.4246645639059</v>
      </c>
      <c r="AA122" s="61">
        <f t="shared" si="37"/>
        <v>1528.9560384684</v>
      </c>
      <c r="AB122" s="61">
        <f t="shared" si="37"/>
        <v>1072.479156854138</v>
      </c>
      <c r="AC122" s="61">
        <f t="shared" si="37"/>
        <v>421.18389034311235</v>
      </c>
      <c r="AD122" s="407"/>
      <c r="AG122">
        <v>2023</v>
      </c>
      <c r="AH122" s="61">
        <f t="shared" si="27"/>
        <v>-3213.4391521799876</v>
      </c>
      <c r="AI122" s="61">
        <f t="shared" si="28"/>
        <v>-4289.5961990536853</v>
      </c>
      <c r="AJ122" s="61">
        <f t="shared" si="38"/>
        <v>4551.6460968448055</v>
      </c>
      <c r="AK122" s="61">
        <f t="shared" si="38"/>
        <v>1470.1134747929107</v>
      </c>
      <c r="AL122" s="61">
        <f t="shared" si="38"/>
        <v>1075.3777667818204</v>
      </c>
      <c r="AM122" s="61">
        <f t="shared" si="38"/>
        <v>405.89801281413673</v>
      </c>
      <c r="AN122" s="407"/>
    </row>
    <row r="123" spans="2:40">
      <c r="E123">
        <v>2024</v>
      </c>
      <c r="F123" s="61">
        <f t="shared" si="36"/>
        <v>-3229.8422130598269</v>
      </c>
      <c r="G123" s="61">
        <f t="shared" si="30"/>
        <v>-4310.4143812498478</v>
      </c>
      <c r="H123" s="61">
        <f t="shared" si="31"/>
        <v>4737.7191569870611</v>
      </c>
      <c r="I123" s="61">
        <f t="shared" si="31"/>
        <v>1356.6016536988611</v>
      </c>
      <c r="J123" s="61">
        <f t="shared" si="31"/>
        <v>1037.3933947647558</v>
      </c>
      <c r="K123" s="61">
        <f t="shared" si="31"/>
        <v>408.54238885899571</v>
      </c>
      <c r="L123" s="61"/>
      <c r="M123" s="61"/>
      <c r="N123">
        <v>2024</v>
      </c>
      <c r="O123" s="61">
        <f t="shared" si="32"/>
        <v>-3257.6753047125385</v>
      </c>
      <c r="P123" s="61">
        <f t="shared" si="23"/>
        <v>-4347.5592789322764</v>
      </c>
      <c r="Q123" s="61">
        <f t="shared" si="33"/>
        <v>4762.7838093896489</v>
      </c>
      <c r="R123" s="61">
        <f t="shared" si="33"/>
        <v>1389.8177847319303</v>
      </c>
      <c r="S123" s="61">
        <f t="shared" si="33"/>
        <v>1033.2133208616683</v>
      </c>
      <c r="T123" s="61">
        <f t="shared" si="33"/>
        <v>419.41966866156724</v>
      </c>
      <c r="U123" s="407"/>
      <c r="W123">
        <v>2024</v>
      </c>
      <c r="X123" s="61">
        <f t="shared" si="24"/>
        <v>-3282.5996199368319</v>
      </c>
      <c r="Y123" s="61">
        <f t="shared" si="25"/>
        <v>-4380.8222434050267</v>
      </c>
      <c r="Z123" s="61">
        <f t="shared" si="37"/>
        <v>4783.2885960666199</v>
      </c>
      <c r="AA123" s="61">
        <f t="shared" si="37"/>
        <v>1422.217016733679</v>
      </c>
      <c r="AB123" s="61">
        <f t="shared" si="37"/>
        <v>1027.8467315240721</v>
      </c>
      <c r="AC123" s="61">
        <f t="shared" si="37"/>
        <v>430.06951901748744</v>
      </c>
      <c r="AD123" s="407"/>
      <c r="AG123">
        <v>2024</v>
      </c>
      <c r="AH123" s="61">
        <f t="shared" si="27"/>
        <v>-3233.4970637711117</v>
      </c>
      <c r="AI123" s="61">
        <f t="shared" si="28"/>
        <v>-4315.2919944668474</v>
      </c>
      <c r="AJ123" s="61">
        <f t="shared" si="38"/>
        <v>4741.1277085307393</v>
      </c>
      <c r="AK123" s="61">
        <f t="shared" si="38"/>
        <v>1360.8030160274004</v>
      </c>
      <c r="AL123" s="61">
        <f t="shared" si="38"/>
        <v>1036.9425369725132</v>
      </c>
      <c r="AM123" s="61">
        <f t="shared" si="38"/>
        <v>409.9157967073055</v>
      </c>
      <c r="AN123" s="407"/>
    </row>
    <row r="124" spans="2:40">
      <c r="E124">
        <v>2025</v>
      </c>
      <c r="F124" s="61">
        <f t="shared" si="36"/>
        <v>-3248.977324318234</v>
      </c>
      <c r="G124" s="61">
        <f t="shared" si="30"/>
        <v>-4334.8670536725585</v>
      </c>
      <c r="H124" s="61">
        <f t="shared" si="31"/>
        <v>4911.0367033379453</v>
      </c>
      <c r="I124" s="61">
        <f t="shared" si="31"/>
        <v>1257.7408628525145</v>
      </c>
      <c r="J124" s="61">
        <f t="shared" si="31"/>
        <v>1002.9960203783363</v>
      </c>
      <c r="K124" s="61">
        <f t="shared" si="31"/>
        <v>412.07079142199603</v>
      </c>
      <c r="L124" s="61"/>
      <c r="M124" s="61"/>
      <c r="N124">
        <v>2025</v>
      </c>
      <c r="O124" s="61">
        <f t="shared" si="32"/>
        <v>-3283.7599910429813</v>
      </c>
      <c r="P124" s="61">
        <f t="shared" si="23"/>
        <v>-4381.2749602145414</v>
      </c>
      <c r="Q124" s="61">
        <f t="shared" si="33"/>
        <v>4955.3576699772339</v>
      </c>
      <c r="R124" s="61">
        <f t="shared" si="33"/>
        <v>1289.2071035697384</v>
      </c>
      <c r="S124" s="61">
        <f t="shared" si="33"/>
        <v>995.0984409351438</v>
      </c>
      <c r="T124" s="61">
        <f t="shared" si="33"/>
        <v>425.3717367754075</v>
      </c>
      <c r="U124" s="407"/>
      <c r="W124">
        <v>2025</v>
      </c>
      <c r="X124" s="61">
        <f t="shared" si="24"/>
        <v>-3314.9075962248407</v>
      </c>
      <c r="Y124" s="61">
        <f t="shared" si="25"/>
        <v>-4422.8328764526841</v>
      </c>
      <c r="Z124" s="61">
        <f t="shared" si="37"/>
        <v>4993.8308667105557</v>
      </c>
      <c r="AA124" s="61">
        <f t="shared" si="37"/>
        <v>1320.0590037504239</v>
      </c>
      <c r="AB124" s="61">
        <f t="shared" si="37"/>
        <v>985.24107258341394</v>
      </c>
      <c r="AC124" s="61">
        <f t="shared" si="37"/>
        <v>438.60952963313224</v>
      </c>
      <c r="AD124" s="407"/>
      <c r="AG124">
        <v>2025</v>
      </c>
      <c r="AH124" s="61">
        <f t="shared" si="27"/>
        <v>-3253.5447455664926</v>
      </c>
      <c r="AI124" s="61">
        <f t="shared" si="28"/>
        <v>-4340.9610216855472</v>
      </c>
      <c r="AJ124" s="61">
        <f t="shared" si="38"/>
        <v>4916.9286849253504</v>
      </c>
      <c r="AK124" s="61">
        <f t="shared" si="38"/>
        <v>1261.7144410341377</v>
      </c>
      <c r="AL124" s="61">
        <f t="shared" si="38"/>
        <v>1002.1238011689211</v>
      </c>
      <c r="AM124" s="61">
        <f t="shared" si="38"/>
        <v>413.73884012363072</v>
      </c>
      <c r="AN124" s="407"/>
    </row>
    <row r="125" spans="2:40">
      <c r="E125">
        <v>2026</v>
      </c>
      <c r="F125" s="61">
        <f t="shared" si="36"/>
        <v>-3268.1026661558735</v>
      </c>
      <c r="G125" s="61">
        <f t="shared" si="30"/>
        <v>-4359.2941958192514</v>
      </c>
      <c r="H125" s="61">
        <f t="shared" si="31"/>
        <v>5072.0544876140302</v>
      </c>
      <c r="I125" s="61">
        <f t="shared" si="31"/>
        <v>1168.0857297372418</v>
      </c>
      <c r="J125" s="61">
        <f t="shared" si="31"/>
        <v>971.81097767152676</v>
      </c>
      <c r="K125" s="61">
        <f t="shared" si="31"/>
        <v>415.44566695232658</v>
      </c>
      <c r="L125" s="61"/>
      <c r="M125" s="61"/>
      <c r="N125">
        <v>2026</v>
      </c>
      <c r="O125" s="61">
        <f t="shared" si="32"/>
        <v>-3309.831431425554</v>
      </c>
      <c r="P125" s="61">
        <f t="shared" si="23"/>
        <v>-4414.9558389257054</v>
      </c>
      <c r="Q125" s="61">
        <f t="shared" si="33"/>
        <v>5138.3749773103827</v>
      </c>
      <c r="R125" s="61">
        <f t="shared" si="33"/>
        <v>1195.6343668564352</v>
      </c>
      <c r="S125" s="61">
        <f t="shared" si="33"/>
        <v>959.72264536043463</v>
      </c>
      <c r="T125" s="61">
        <f t="shared" si="33"/>
        <v>431.05528082400645</v>
      </c>
      <c r="U125" s="407"/>
      <c r="W125">
        <v>2026</v>
      </c>
      <c r="X125" s="61">
        <f t="shared" si="24"/>
        <v>-3347.1992133622302</v>
      </c>
      <c r="Y125" s="61">
        <f t="shared" si="25"/>
        <v>-4464.8004036617349</v>
      </c>
      <c r="Z125" s="61">
        <f t="shared" si="37"/>
        <v>5198.06265117165</v>
      </c>
      <c r="AA125" s="61">
        <f t="shared" si="37"/>
        <v>1222.4673308624513</v>
      </c>
      <c r="AB125" s="61">
        <f t="shared" si="37"/>
        <v>944.65316638013689</v>
      </c>
      <c r="AC125" s="61">
        <f t="shared" si="37"/>
        <v>446.81646860972711</v>
      </c>
      <c r="AD125" s="407"/>
      <c r="AG125">
        <v>2026</v>
      </c>
      <c r="AH125" s="61">
        <f t="shared" si="27"/>
        <v>-3273.582201427409</v>
      </c>
      <c r="AI125" s="61">
        <f t="shared" si="28"/>
        <v>-4366.6033010540286</v>
      </c>
      <c r="AJ125" s="61">
        <f t="shared" si="38"/>
        <v>5080.7460781585905</v>
      </c>
      <c r="AK125" s="61">
        <f t="shared" si="38"/>
        <v>1171.5773338485303</v>
      </c>
      <c r="AL125" s="61">
        <f t="shared" si="38"/>
        <v>970.47031646055973</v>
      </c>
      <c r="AM125" s="61">
        <f t="shared" si="38"/>
        <v>417.39177401375724</v>
      </c>
      <c r="AN125" s="407"/>
    </row>
    <row r="126" spans="2:40">
      <c r="E126">
        <v>2027</v>
      </c>
      <c r="F126" s="61">
        <f t="shared" si="36"/>
        <v>-3287.2182422615115</v>
      </c>
      <c r="G126" s="61">
        <f t="shared" si="30"/>
        <v>-4383.6958271070334</v>
      </c>
      <c r="H126" s="61">
        <f t="shared" si="31"/>
        <v>5222.3008022651456</v>
      </c>
      <c r="I126" s="61">
        <f t="shared" si="31"/>
        <v>1086.4903012249051</v>
      </c>
      <c r="J126" s="61">
        <f t="shared" si="31"/>
        <v>943.43655638289454</v>
      </c>
      <c r="K126" s="61">
        <f t="shared" si="31"/>
        <v>418.68640949559989</v>
      </c>
      <c r="L126" s="61"/>
      <c r="M126" s="61"/>
      <c r="N126">
        <v>2027</v>
      </c>
      <c r="O126" s="61">
        <f t="shared" si="32"/>
        <v>-3335.8896308529347</v>
      </c>
      <c r="P126" s="61">
        <f t="shared" si="23"/>
        <v>-4448.6019414394177</v>
      </c>
      <c r="Q126" s="61">
        <f t="shared" si="33"/>
        <v>5312.6025378099621</v>
      </c>
      <c r="R126" s="61">
        <f t="shared" si="33"/>
        <v>1108.531104392315</v>
      </c>
      <c r="S126" s="61">
        <f t="shared" si="33"/>
        <v>926.8637776117082</v>
      </c>
      <c r="T126" s="61">
        <f t="shared" si="33"/>
        <v>436.4941524783676</v>
      </c>
      <c r="U126" s="407"/>
      <c r="W126">
        <v>2027</v>
      </c>
      <c r="X126" s="61">
        <f t="shared" si="24"/>
        <v>-3379.4744775093254</v>
      </c>
      <c r="Y126" s="61">
        <f t="shared" si="25"/>
        <v>-4506.724857635355</v>
      </c>
      <c r="Z126" s="61">
        <f t="shared" si="37"/>
        <v>5396.0421902031831</v>
      </c>
      <c r="AA126" s="61">
        <f t="shared" si="37"/>
        <v>1129.3939601888344</v>
      </c>
      <c r="AB126" s="61">
        <f t="shared" si="37"/>
        <v>906.05933643007245</v>
      </c>
      <c r="AC126" s="61">
        <f t="shared" si="37"/>
        <v>454.70384832259043</v>
      </c>
      <c r="AD126" s="407"/>
      <c r="AG126">
        <v>2027</v>
      </c>
      <c r="AH126" s="61">
        <f t="shared" si="27"/>
        <v>-3293.6094352138489</v>
      </c>
      <c r="AI126" s="61">
        <f t="shared" si="28"/>
        <v>-4392.2188529028872</v>
      </c>
      <c r="AJ126" s="61">
        <f t="shared" si="38"/>
        <v>5234.0116118871119</v>
      </c>
      <c r="AK126" s="61">
        <f t="shared" si="38"/>
        <v>1089.3199369131655</v>
      </c>
      <c r="AL126" s="61">
        <f t="shared" si="38"/>
        <v>941.60137842080007</v>
      </c>
      <c r="AM126" s="61">
        <f t="shared" si="38"/>
        <v>420.89536089565854</v>
      </c>
      <c r="AN126" s="407"/>
    </row>
    <row r="127" spans="2:40">
      <c r="E127">
        <v>2028</v>
      </c>
      <c r="F127" s="61">
        <f t="shared" si="36"/>
        <v>-3306.3240563226805</v>
      </c>
      <c r="G127" s="61">
        <f t="shared" si="30"/>
        <v>-4408.0719669399796</v>
      </c>
      <c r="H127" s="61">
        <f t="shared" si="31"/>
        <v>5363.064036679727</v>
      </c>
      <c r="I127" s="61">
        <f t="shared" si="31"/>
        <v>1011.9885317152834</v>
      </c>
      <c r="J127" s="61">
        <f t="shared" si="31"/>
        <v>917.53409752981509</v>
      </c>
      <c r="K127" s="61">
        <f t="shared" si="31"/>
        <v>421.80935733783315</v>
      </c>
      <c r="L127" s="61"/>
      <c r="M127" s="61"/>
      <c r="N127">
        <v>2028</v>
      </c>
      <c r="O127" s="61">
        <f t="shared" si="32"/>
        <v>-3361.9345943161375</v>
      </c>
      <c r="P127" s="61">
        <f t="shared" si="23"/>
        <v>-4482.213294111657</v>
      </c>
      <c r="Q127" s="61">
        <f t="shared" si="33"/>
        <v>5478.737188432503</v>
      </c>
      <c r="R127" s="61">
        <f t="shared" si="33"/>
        <v>1027.380904081745</v>
      </c>
      <c r="S127" s="61">
        <f t="shared" si="33"/>
        <v>896.31994092835021</v>
      </c>
      <c r="T127" s="61">
        <f t="shared" si="33"/>
        <v>441.70985498519633</v>
      </c>
      <c r="U127" s="407"/>
      <c r="W127">
        <v>2028</v>
      </c>
      <c r="X127" s="61">
        <f t="shared" si="24"/>
        <v>-3411.7333948243968</v>
      </c>
      <c r="Y127" s="61">
        <f t="shared" si="25"/>
        <v>-4548.6062709549024</v>
      </c>
      <c r="Z127" s="61">
        <f>-SUM($X127:$Y127)*(MAX(Z108,0)/SUM(MAX($Z108,0)+MAX($AA108,0)+MAX($AB108,0)+MAX($AC108,0)))</f>
        <v>5587.866811051239</v>
      </c>
      <c r="AA127" s="61">
        <f t="shared" si="37"/>
        <v>1040.7632247027582</v>
      </c>
      <c r="AB127" s="61">
        <f t="shared" si="37"/>
        <v>869.42379794864667</v>
      </c>
      <c r="AC127" s="61">
        <f t="shared" si="37"/>
        <v>462.28583207665571</v>
      </c>
      <c r="AD127" s="407"/>
      <c r="AG127">
        <v>2028</v>
      </c>
      <c r="AH127" s="61">
        <f t="shared" si="27"/>
        <v>-3313.6264507845076</v>
      </c>
      <c r="AI127" s="61">
        <f t="shared" si="28"/>
        <v>-4417.8076975490712</v>
      </c>
      <c r="AJ127" s="61">
        <f t="shared" si="38"/>
        <v>5377.941279449873</v>
      </c>
      <c r="AK127" s="61">
        <f t="shared" si="38"/>
        <v>1014.0320150151566</v>
      </c>
      <c r="AL127" s="61">
        <f t="shared" si="38"/>
        <v>915.19363617926206</v>
      </c>
      <c r="AM127" s="61">
        <f t="shared" si="38"/>
        <v>424.26721768928661</v>
      </c>
      <c r="AN127" s="407"/>
    </row>
    <row r="128" spans="2:40">
      <c r="E128">
        <v>2029</v>
      </c>
      <c r="F128" s="61">
        <f t="shared" si="36"/>
        <v>-3325.420112025678</v>
      </c>
      <c r="G128" s="61">
        <f t="shared" si="30"/>
        <v>-4432.4226347091344</v>
      </c>
      <c r="H128" s="61">
        <f t="shared" si="31"/>
        <v>5495.437739184732</v>
      </c>
      <c r="I128" s="61">
        <f t="shared" si="31"/>
        <v>943.76049013499983</v>
      </c>
      <c r="J128" s="61">
        <f t="shared" si="31"/>
        <v>893.81615085004569</v>
      </c>
      <c r="K128" s="61">
        <f t="shared" si="31"/>
        <v>424.82836656503309</v>
      </c>
      <c r="L128" s="61"/>
      <c r="M128" s="61"/>
      <c r="N128">
        <v>2029</v>
      </c>
      <c r="O128" s="61">
        <f t="shared" si="32"/>
        <v>-3387.966326804506</v>
      </c>
      <c r="P128" s="61">
        <f t="shared" si="23"/>
        <v>-4515.7899232807385</v>
      </c>
      <c r="Q128" s="61">
        <f t="shared" si="33"/>
        <v>5637.41271398156</v>
      </c>
      <c r="R128" s="61">
        <f t="shared" si="33"/>
        <v>951.71424660048854</v>
      </c>
      <c r="S128" s="61">
        <f t="shared" si="33"/>
        <v>867.9074971725687</v>
      </c>
      <c r="T128" s="61">
        <f t="shared" si="33"/>
        <v>446.72179233062769</v>
      </c>
      <c r="U128" s="407"/>
      <c r="W128">
        <v>2029</v>
      </c>
      <c r="X128" s="61">
        <f t="shared" si="24"/>
        <v>-3443.9759714636552</v>
      </c>
      <c r="Y128" s="61">
        <f t="shared" si="25"/>
        <v>-4590.4446761799145</v>
      </c>
      <c r="Z128" s="61">
        <f t="shared" si="37"/>
        <v>5773.6657040723758</v>
      </c>
      <c r="AA128" s="61">
        <f t="shared" si="37"/>
        <v>956.47701570614686</v>
      </c>
      <c r="AB128" s="61">
        <f t="shared" si="37"/>
        <v>834.70096312751195</v>
      </c>
      <c r="AC128" s="61">
        <f t="shared" si="37"/>
        <v>469.57696473753572</v>
      </c>
      <c r="AD128" s="407"/>
      <c r="AG128">
        <v>2029</v>
      </c>
      <c r="AH128" s="61">
        <f t="shared" si="27"/>
        <v>-3333.6332519967918</v>
      </c>
      <c r="AI128" s="61">
        <f t="shared" si="28"/>
        <v>-4443.3698552958967</v>
      </c>
      <c r="AJ128" s="61">
        <f t="shared" si="38"/>
        <v>5513.574250519232</v>
      </c>
      <c r="AK128" s="61">
        <f t="shared" si="38"/>
        <v>944.93572417038661</v>
      </c>
      <c r="AL128" s="61">
        <f t="shared" si="38"/>
        <v>890.97074966425771</v>
      </c>
      <c r="AM128" s="61">
        <f t="shared" si="38"/>
        <v>427.52238293881379</v>
      </c>
      <c r="AN128" s="407"/>
    </row>
    <row r="129" spans="5:42">
      <c r="E129">
        <v>2030</v>
      </c>
      <c r="F129" s="61">
        <f t="shared" si="36"/>
        <v>-3344.506413055572</v>
      </c>
      <c r="G129" s="61">
        <f t="shared" si="30"/>
        <v>-4456.7478497925304</v>
      </c>
      <c r="H129" s="61">
        <f t="shared" si="31"/>
        <v>5620.3559159533097</v>
      </c>
      <c r="I129" s="61">
        <f t="shared" si="31"/>
        <v>881.10588831444534</v>
      </c>
      <c r="J129" s="61">
        <f t="shared" si="31"/>
        <v>872.03719805326477</v>
      </c>
      <c r="K129" s="61">
        <f t="shared" si="31"/>
        <v>427.75526052708221</v>
      </c>
      <c r="L129" s="61"/>
      <c r="M129" s="61"/>
      <c r="N129">
        <v>2030</v>
      </c>
      <c r="O129" s="61">
        <f t="shared" si="32"/>
        <v>-3413.9848333057207</v>
      </c>
      <c r="P129" s="61">
        <f t="shared" si="23"/>
        <v>-4549.33185526733</v>
      </c>
      <c r="Q129" s="61">
        <f t="shared" si="33"/>
        <v>5789.2060652856007</v>
      </c>
      <c r="R129" s="61">
        <f t="shared" si="33"/>
        <v>881.10386460765255</v>
      </c>
      <c r="S129" s="61">
        <f t="shared" si="33"/>
        <v>841.45926771178938</v>
      </c>
      <c r="T129" s="61">
        <f t="shared" si="33"/>
        <v>451.54749096800793</v>
      </c>
      <c r="U129" s="407"/>
      <c r="W129">
        <v>2030</v>
      </c>
      <c r="X129" s="61">
        <f t="shared" si="24"/>
        <v>-3476.2022135812581</v>
      </c>
      <c r="Y129" s="61">
        <f t="shared" si="25"/>
        <v>-4632.2401058481364</v>
      </c>
      <c r="Z129" s="61">
        <f t="shared" si="37"/>
        <v>5953.5934714421264</v>
      </c>
      <c r="AA129" s="61">
        <f t="shared" si="37"/>
        <v>876.41940827460371</v>
      </c>
      <c r="AB129" s="61">
        <f t="shared" si="37"/>
        <v>801.83749373650244</v>
      </c>
      <c r="AC129" s="61">
        <f t="shared" si="37"/>
        <v>476.59194597616187</v>
      </c>
      <c r="AD129" s="407"/>
      <c r="AG129">
        <v>2030</v>
      </c>
      <c r="AH129" s="61">
        <f t="shared" si="27"/>
        <v>-3353.6298427068173</v>
      </c>
      <c r="AI129" s="61">
        <f t="shared" si="28"/>
        <v>-4468.9053464330509</v>
      </c>
      <c r="AJ129" s="61">
        <f t="shared" si="38"/>
        <v>5641.8036768605398</v>
      </c>
      <c r="AK129" s="61">
        <f t="shared" si="38"/>
        <v>881.36254586943767</v>
      </c>
      <c r="AL129" s="61">
        <f t="shared" si="38"/>
        <v>868.69520033383992</v>
      </c>
      <c r="AM129" s="61">
        <f t="shared" si="38"/>
        <v>430.67376607605144</v>
      </c>
      <c r="AN129" s="407"/>
    </row>
    <row r="130" spans="5:42">
      <c r="E130">
        <v>2040</v>
      </c>
      <c r="F130" s="61">
        <f>-F16*$C$11</f>
        <v>0</v>
      </c>
      <c r="G130" s="61">
        <f>-G16*$C$10</f>
        <v>0</v>
      </c>
      <c r="H130" s="61">
        <f>-SUM($F130:$G130)*(MAX(H111,0)/SUM(MAX($H111,0)+MAX($I111,0)+MAX($J111,0)+MAX($K111,0)))</f>
        <v>0</v>
      </c>
      <c r="I130" s="61">
        <f>-SUM($F130:$G130)*(MAX(I111,0)/SUM(MAX($H111,0)+MAX($I111,0)+MAX($J111,0)+MAX($K111,0)))</f>
        <v>0</v>
      </c>
      <c r="J130" s="61">
        <f>-SUM($F130:$G130)*(MAX(J111,0)/SUM(MAX($H111,0)+MAX($I111,0)+MAX($J111,0)+MAX($K111,0)))</f>
        <v>0</v>
      </c>
      <c r="K130" s="61">
        <f>-SUM($F130:$G130)*(MAX(K111,0)/SUM(MAX($H111,0)+MAX($I111,0)+MAX($J111,0)+MAX($K111,0)))</f>
        <v>0</v>
      </c>
      <c r="L130" s="61"/>
      <c r="M130" s="61"/>
      <c r="N130">
        <v>2040</v>
      </c>
      <c r="O130" s="61">
        <f t="shared" ref="O130:O136" si="39">-O16*$C$11</f>
        <v>0</v>
      </c>
      <c r="P130" s="61">
        <f t="shared" ref="P130:P136" si="40">-P16*$C$10</f>
        <v>0</v>
      </c>
      <c r="Q130" s="61">
        <f>-SUM($O130:$P130)*(MAX(Q111,0)/SUM(MAX($Q111,0)+MAX($R111,0)+MAX($S111,0)+MAX($T111,0)))</f>
        <v>0</v>
      </c>
      <c r="R130" s="61">
        <f>-SUM($O130:$P130)*(MAX(R111,0)/SUM(MAX($Q111,0)+MAX($R111,0)+MAX($S111,0)+MAX($T111,0)))</f>
        <v>0</v>
      </c>
      <c r="S130" s="61">
        <f>-SUM($O130:$P130)*(MAX(S111,0)/SUM(MAX($Q111,0)+MAX($R111,0)+MAX($S111,0)+MAX($T111,0)))</f>
        <v>0</v>
      </c>
      <c r="T130" s="61">
        <f>-SUM($O130:$P130)*(MAX(T111,0)/SUM(MAX($Q111,0)+MAX($R111,0)+MAX($S111,0)+MAX($T111,0)))</f>
        <v>0</v>
      </c>
      <c r="U130" s="407"/>
      <c r="W130">
        <v>2040</v>
      </c>
      <c r="X130" s="61">
        <f t="shared" ref="X130:X136" si="41">-X16*$C$11</f>
        <v>0</v>
      </c>
      <c r="Y130" s="61">
        <f t="shared" ref="Y130:Y136" si="42">-Y16*$C$10</f>
        <v>0</v>
      </c>
      <c r="Z130" s="61">
        <f t="shared" si="37"/>
        <v>0</v>
      </c>
      <c r="AA130" s="61">
        <f t="shared" si="37"/>
        <v>0</v>
      </c>
      <c r="AB130" s="61">
        <f t="shared" si="37"/>
        <v>0</v>
      </c>
      <c r="AC130" s="61">
        <f t="shared" si="37"/>
        <v>0</v>
      </c>
      <c r="AD130" s="407"/>
      <c r="AG130">
        <v>2040</v>
      </c>
      <c r="AH130" s="61">
        <f t="shared" ref="AH130:AH136" si="43">-AH16*$C$11</f>
        <v>0</v>
      </c>
      <c r="AI130" s="61">
        <f t="shared" ref="AI130:AI136" si="44">-AI16*$C$10</f>
        <v>0</v>
      </c>
      <c r="AJ130" s="61">
        <f t="shared" si="38"/>
        <v>0</v>
      </c>
      <c r="AK130" s="61">
        <f t="shared" si="38"/>
        <v>0</v>
      </c>
      <c r="AL130" s="61">
        <f t="shared" si="38"/>
        <v>0</v>
      </c>
      <c r="AM130" s="61">
        <f t="shared" si="38"/>
        <v>0</v>
      </c>
      <c r="AN130" s="407"/>
    </row>
    <row r="131" spans="5:42">
      <c r="E131">
        <v>2050</v>
      </c>
      <c r="F131" s="61">
        <f t="shared" ref="F131:F136" si="45">-F17*$C$11</f>
        <v>0</v>
      </c>
      <c r="G131" s="61">
        <f t="shared" ref="G131:G136" si="46">-G17*$C$10</f>
        <v>0</v>
      </c>
      <c r="H131" s="61">
        <f t="shared" si="31"/>
        <v>0</v>
      </c>
      <c r="I131" s="61">
        <f t="shared" si="31"/>
        <v>0</v>
      </c>
      <c r="J131" s="61">
        <f>-SUM($F131:$G131)*(MAX(J112,0)/SUM(MAX($H112,0)+MAX($I112,0)+MAX($J112,0)+MAX($K112,0)))</f>
        <v>0</v>
      </c>
      <c r="K131" s="61">
        <f t="shared" si="31"/>
        <v>0</v>
      </c>
      <c r="L131" s="61"/>
      <c r="M131" s="61"/>
      <c r="N131">
        <v>2050</v>
      </c>
      <c r="O131" s="61">
        <f t="shared" si="39"/>
        <v>0</v>
      </c>
      <c r="P131" s="61">
        <f t="shared" si="40"/>
        <v>0</v>
      </c>
      <c r="Q131" s="61">
        <f t="shared" ref="Q131:T135" si="47">-SUM($O131:$P131)*(MAX(Q112,0)/SUM(MAX($Q112,0)+MAX($R112,0)+MAX($S112,0)+MAX($T112,0)))</f>
        <v>0</v>
      </c>
      <c r="R131" s="61">
        <f t="shared" si="47"/>
        <v>0</v>
      </c>
      <c r="S131" s="61">
        <f t="shared" si="47"/>
        <v>0</v>
      </c>
      <c r="T131" s="61">
        <f t="shared" si="47"/>
        <v>0</v>
      </c>
      <c r="U131" s="407"/>
      <c r="W131">
        <v>2050</v>
      </c>
      <c r="X131" s="61">
        <f t="shared" si="41"/>
        <v>0</v>
      </c>
      <c r="Y131" s="61">
        <f t="shared" si="42"/>
        <v>0</v>
      </c>
      <c r="Z131" s="61">
        <f t="shared" si="37"/>
        <v>0</v>
      </c>
      <c r="AA131" s="61">
        <f t="shared" si="37"/>
        <v>0</v>
      </c>
      <c r="AB131" s="61">
        <f t="shared" si="37"/>
        <v>0</v>
      </c>
      <c r="AC131" s="61">
        <f t="shared" si="37"/>
        <v>0</v>
      </c>
      <c r="AD131" s="407"/>
      <c r="AG131">
        <v>2050</v>
      </c>
      <c r="AH131" s="61">
        <f t="shared" si="43"/>
        <v>0</v>
      </c>
      <c r="AI131" s="61">
        <f t="shared" si="44"/>
        <v>0</v>
      </c>
      <c r="AJ131" s="61">
        <f t="shared" si="38"/>
        <v>0</v>
      </c>
      <c r="AK131" s="61">
        <f t="shared" si="38"/>
        <v>0</v>
      </c>
      <c r="AL131" s="61">
        <f t="shared" si="38"/>
        <v>0</v>
      </c>
      <c r="AM131" s="61">
        <f t="shared" si="38"/>
        <v>0</v>
      </c>
      <c r="AN131" s="407"/>
    </row>
    <row r="132" spans="5:42">
      <c r="E132">
        <v>2060</v>
      </c>
      <c r="F132" s="61">
        <f t="shared" si="45"/>
        <v>0</v>
      </c>
      <c r="G132" s="61">
        <f t="shared" si="46"/>
        <v>0</v>
      </c>
      <c r="H132" s="61">
        <f t="shared" si="31"/>
        <v>0</v>
      </c>
      <c r="I132" s="61">
        <f t="shared" si="31"/>
        <v>0</v>
      </c>
      <c r="J132" s="61">
        <f t="shared" si="31"/>
        <v>0</v>
      </c>
      <c r="K132" s="61">
        <f t="shared" si="31"/>
        <v>0</v>
      </c>
      <c r="L132" s="61"/>
      <c r="M132" s="61"/>
      <c r="N132">
        <v>2060</v>
      </c>
      <c r="O132" s="61">
        <f t="shared" si="39"/>
        <v>0</v>
      </c>
      <c r="P132" s="61">
        <f t="shared" si="40"/>
        <v>0</v>
      </c>
      <c r="Q132" s="61">
        <f t="shared" si="47"/>
        <v>0</v>
      </c>
      <c r="R132" s="61">
        <f t="shared" si="47"/>
        <v>0</v>
      </c>
      <c r="S132" s="61">
        <f t="shared" si="47"/>
        <v>0</v>
      </c>
      <c r="T132" s="61">
        <f t="shared" si="47"/>
        <v>0</v>
      </c>
      <c r="U132" s="407"/>
      <c r="W132">
        <v>2060</v>
      </c>
      <c r="X132" s="61">
        <f t="shared" si="41"/>
        <v>0</v>
      </c>
      <c r="Y132" s="61">
        <f t="shared" si="42"/>
        <v>0</v>
      </c>
      <c r="Z132" s="61">
        <f t="shared" si="37"/>
        <v>0</v>
      </c>
      <c r="AA132" s="61">
        <f t="shared" si="37"/>
        <v>0</v>
      </c>
      <c r="AB132" s="61">
        <f t="shared" si="37"/>
        <v>0</v>
      </c>
      <c r="AC132" s="61">
        <f t="shared" si="37"/>
        <v>0</v>
      </c>
      <c r="AD132" s="407"/>
      <c r="AG132">
        <v>2060</v>
      </c>
      <c r="AH132" s="61">
        <f t="shared" si="43"/>
        <v>0</v>
      </c>
      <c r="AI132" s="61">
        <f t="shared" si="44"/>
        <v>0</v>
      </c>
      <c r="AJ132" s="61">
        <f t="shared" si="38"/>
        <v>0</v>
      </c>
      <c r="AK132" s="61">
        <f t="shared" si="38"/>
        <v>0</v>
      </c>
      <c r="AL132" s="61">
        <f t="shared" si="38"/>
        <v>0</v>
      </c>
      <c r="AM132" s="61">
        <f t="shared" si="38"/>
        <v>0</v>
      </c>
      <c r="AN132" s="407"/>
    </row>
    <row r="133" spans="5:42">
      <c r="E133">
        <v>2070</v>
      </c>
      <c r="F133" s="61">
        <f t="shared" si="45"/>
        <v>0</v>
      </c>
      <c r="G133" s="61">
        <f t="shared" si="46"/>
        <v>0</v>
      </c>
      <c r="H133" s="61">
        <f t="shared" si="31"/>
        <v>0</v>
      </c>
      <c r="I133" s="61">
        <f t="shared" si="31"/>
        <v>0</v>
      </c>
      <c r="J133" s="61">
        <f t="shared" si="31"/>
        <v>0</v>
      </c>
      <c r="K133" s="61">
        <f t="shared" si="31"/>
        <v>0</v>
      </c>
      <c r="L133" s="61"/>
      <c r="M133" s="61"/>
      <c r="N133">
        <v>2070</v>
      </c>
      <c r="O133" s="61">
        <f t="shared" si="39"/>
        <v>0</v>
      </c>
      <c r="P133" s="61">
        <f t="shared" si="40"/>
        <v>0</v>
      </c>
      <c r="Q133" s="61">
        <f t="shared" si="47"/>
        <v>0</v>
      </c>
      <c r="R133" s="61">
        <f t="shared" si="47"/>
        <v>0</v>
      </c>
      <c r="S133" s="61">
        <f t="shared" si="47"/>
        <v>0</v>
      </c>
      <c r="T133" s="61">
        <f t="shared" si="47"/>
        <v>0</v>
      </c>
      <c r="U133" s="407"/>
      <c r="W133">
        <v>2070</v>
      </c>
      <c r="X133" s="61">
        <f t="shared" si="41"/>
        <v>0</v>
      </c>
      <c r="Y133" s="61">
        <f t="shared" si="42"/>
        <v>0</v>
      </c>
      <c r="Z133" s="61">
        <f t="shared" si="37"/>
        <v>0</v>
      </c>
      <c r="AA133" s="61">
        <f t="shared" si="37"/>
        <v>0</v>
      </c>
      <c r="AB133" s="61">
        <f t="shared" si="37"/>
        <v>0</v>
      </c>
      <c r="AC133" s="61">
        <f t="shared" si="37"/>
        <v>0</v>
      </c>
      <c r="AD133" s="407"/>
      <c r="AE133" s="61"/>
      <c r="AG133">
        <v>2070</v>
      </c>
      <c r="AH133" s="61">
        <f t="shared" si="43"/>
        <v>0</v>
      </c>
      <c r="AI133" s="61">
        <f t="shared" si="44"/>
        <v>0</v>
      </c>
      <c r="AJ133" s="61">
        <f t="shared" si="38"/>
        <v>0</v>
      </c>
      <c r="AK133" s="61">
        <f t="shared" si="38"/>
        <v>0</v>
      </c>
      <c r="AL133" s="61">
        <f t="shared" si="38"/>
        <v>0</v>
      </c>
      <c r="AM133" s="61">
        <f t="shared" si="38"/>
        <v>0</v>
      </c>
      <c r="AN133" s="407"/>
    </row>
    <row r="134" spans="5:42">
      <c r="E134">
        <v>2080</v>
      </c>
      <c r="F134" s="61">
        <f t="shared" si="45"/>
        <v>0</v>
      </c>
      <c r="G134" s="61">
        <f t="shared" si="46"/>
        <v>0</v>
      </c>
      <c r="H134" s="61">
        <f t="shared" si="31"/>
        <v>0</v>
      </c>
      <c r="I134" s="61">
        <f t="shared" si="31"/>
        <v>0</v>
      </c>
      <c r="J134" s="61">
        <f t="shared" si="31"/>
        <v>0</v>
      </c>
      <c r="K134" s="61">
        <f t="shared" si="31"/>
        <v>0</v>
      </c>
      <c r="L134" s="61"/>
      <c r="M134" s="61"/>
      <c r="N134">
        <v>2080</v>
      </c>
      <c r="O134" s="61">
        <f t="shared" si="39"/>
        <v>0</v>
      </c>
      <c r="P134" s="61">
        <f t="shared" si="40"/>
        <v>0</v>
      </c>
      <c r="Q134" s="61">
        <f t="shared" si="47"/>
        <v>0</v>
      </c>
      <c r="R134" s="61">
        <f t="shared" si="47"/>
        <v>0</v>
      </c>
      <c r="S134" s="61">
        <f t="shared" si="47"/>
        <v>0</v>
      </c>
      <c r="T134" s="61">
        <f t="shared" si="47"/>
        <v>0</v>
      </c>
      <c r="U134" s="407"/>
      <c r="W134">
        <v>2080</v>
      </c>
      <c r="X134" s="61">
        <f t="shared" si="41"/>
        <v>0</v>
      </c>
      <c r="Y134" s="61">
        <f t="shared" si="42"/>
        <v>0</v>
      </c>
      <c r="Z134" s="61">
        <f t="shared" si="37"/>
        <v>0</v>
      </c>
      <c r="AA134" s="61">
        <f t="shared" si="37"/>
        <v>0</v>
      </c>
      <c r="AB134" s="61">
        <f t="shared" si="37"/>
        <v>0</v>
      </c>
      <c r="AC134" s="61">
        <f t="shared" si="37"/>
        <v>0</v>
      </c>
      <c r="AD134" s="407"/>
      <c r="AE134" s="61"/>
      <c r="AG134">
        <v>2080</v>
      </c>
      <c r="AH134" s="61">
        <f t="shared" si="43"/>
        <v>0</v>
      </c>
      <c r="AI134" s="61">
        <f t="shared" si="44"/>
        <v>0</v>
      </c>
      <c r="AJ134" s="61">
        <f t="shared" si="38"/>
        <v>0</v>
      </c>
      <c r="AK134" s="61">
        <f t="shared" si="38"/>
        <v>0</v>
      </c>
      <c r="AL134" s="61">
        <f t="shared" si="38"/>
        <v>0</v>
      </c>
      <c r="AM134" s="61">
        <f t="shared" si="38"/>
        <v>0</v>
      </c>
      <c r="AN134" s="407"/>
    </row>
    <row r="135" spans="5:42">
      <c r="E135">
        <v>2090</v>
      </c>
      <c r="F135" s="61">
        <f t="shared" si="45"/>
        <v>0</v>
      </c>
      <c r="G135" s="61">
        <f t="shared" si="46"/>
        <v>0</v>
      </c>
      <c r="H135" s="61">
        <f t="shared" si="31"/>
        <v>0</v>
      </c>
      <c r="I135" s="61">
        <f t="shared" si="31"/>
        <v>0</v>
      </c>
      <c r="J135" s="61">
        <f t="shared" si="31"/>
        <v>0</v>
      </c>
      <c r="K135" s="61">
        <f t="shared" si="31"/>
        <v>0</v>
      </c>
      <c r="L135" s="61"/>
      <c r="M135" s="61"/>
      <c r="N135">
        <v>2090</v>
      </c>
      <c r="O135" s="61">
        <f t="shared" si="39"/>
        <v>0</v>
      </c>
      <c r="P135" s="61">
        <f t="shared" si="40"/>
        <v>0</v>
      </c>
      <c r="Q135" s="61">
        <f t="shared" si="47"/>
        <v>0</v>
      </c>
      <c r="R135" s="61">
        <f t="shared" si="47"/>
        <v>0</v>
      </c>
      <c r="S135" s="61">
        <f t="shared" si="47"/>
        <v>0</v>
      </c>
      <c r="T135" s="61">
        <f t="shared" si="47"/>
        <v>0</v>
      </c>
      <c r="U135" s="407"/>
      <c r="W135">
        <v>2090</v>
      </c>
      <c r="X135" s="61">
        <f t="shared" si="41"/>
        <v>0</v>
      </c>
      <c r="Y135" s="61">
        <f t="shared" si="42"/>
        <v>0</v>
      </c>
      <c r="Z135" s="61">
        <f t="shared" si="37"/>
        <v>0</v>
      </c>
      <c r="AA135" s="61">
        <f t="shared" si="37"/>
        <v>0</v>
      </c>
      <c r="AB135" s="61">
        <f t="shared" si="37"/>
        <v>0</v>
      </c>
      <c r="AC135" s="61">
        <f t="shared" si="37"/>
        <v>0</v>
      </c>
      <c r="AD135" s="407"/>
      <c r="AE135" s="61"/>
      <c r="AG135">
        <v>2090</v>
      </c>
      <c r="AH135" s="61">
        <f t="shared" si="43"/>
        <v>0</v>
      </c>
      <c r="AI135" s="61">
        <f t="shared" si="44"/>
        <v>0</v>
      </c>
      <c r="AJ135" s="61">
        <f t="shared" si="38"/>
        <v>0</v>
      </c>
      <c r="AK135" s="61">
        <f t="shared" si="38"/>
        <v>0</v>
      </c>
      <c r="AL135" s="61">
        <f t="shared" si="38"/>
        <v>0</v>
      </c>
      <c r="AM135" s="61">
        <f t="shared" si="38"/>
        <v>0</v>
      </c>
      <c r="AN135" s="407"/>
    </row>
    <row r="136" spans="5:42">
      <c r="E136">
        <v>2100</v>
      </c>
      <c r="F136" s="61">
        <f t="shared" si="45"/>
        <v>0</v>
      </c>
      <c r="G136" s="61">
        <f t="shared" si="46"/>
        <v>0</v>
      </c>
      <c r="H136" s="61">
        <f t="shared" ref="H136:K136" si="48">-SUM($F136:$G136)*(MAX(H117,0)/SUM(MAX($H117,0)+MAX($I117,0)+MAX($J117,0)+MAX($K117,0)))</f>
        <v>0</v>
      </c>
      <c r="I136" s="61">
        <f t="shared" si="48"/>
        <v>0</v>
      </c>
      <c r="J136" s="61">
        <f t="shared" si="48"/>
        <v>0</v>
      </c>
      <c r="K136" s="61">
        <f t="shared" si="48"/>
        <v>0</v>
      </c>
      <c r="L136" s="61"/>
      <c r="M136" s="61"/>
      <c r="N136">
        <v>2100</v>
      </c>
      <c r="O136" s="61">
        <f t="shared" si="39"/>
        <v>0</v>
      </c>
      <c r="P136" s="61">
        <f t="shared" si="40"/>
        <v>0</v>
      </c>
      <c r="Q136" s="61">
        <f>-SUM($O136:$P136)*(MAX(Q117,0)/SUM(MAX($Q117,0)+MAX($R117,0)+MAX($S117,0)+MAX($T117,0)))</f>
        <v>0</v>
      </c>
      <c r="R136" s="61">
        <f>-SUM($O136:$P136)*(MAX(R117,0)/SUM(MAX($Q117,0)+MAX($R117,0)+MAX($S117,0)+MAX($T117,0)))</f>
        <v>0</v>
      </c>
      <c r="S136" s="61">
        <f>-SUM($O136:$P136)*(MAX(S117,0)/SUM(MAX($Q117,0)+MAX($R117,0)+MAX($S117,0)+MAX($T117,0)))</f>
        <v>0</v>
      </c>
      <c r="T136" s="61">
        <f>-SUM($O136:$P136)*(MAX(T117,0)/SUM(MAX($Q117,0)+MAX($R117,0)+MAX($S117,0)+MAX($T117,0)))</f>
        <v>0</v>
      </c>
      <c r="U136" s="407"/>
      <c r="W136">
        <v>2100</v>
      </c>
      <c r="X136" s="61">
        <f t="shared" si="41"/>
        <v>0</v>
      </c>
      <c r="Y136" s="61">
        <f t="shared" si="42"/>
        <v>0</v>
      </c>
      <c r="Z136" s="61">
        <f t="shared" si="37"/>
        <v>0</v>
      </c>
      <c r="AA136" s="61">
        <f t="shared" si="37"/>
        <v>0</v>
      </c>
      <c r="AB136" s="61">
        <f t="shared" si="37"/>
        <v>0</v>
      </c>
      <c r="AC136" s="61">
        <f t="shared" si="37"/>
        <v>0</v>
      </c>
      <c r="AD136" s="407"/>
      <c r="AE136" s="61"/>
      <c r="AG136">
        <v>2100</v>
      </c>
      <c r="AH136" s="61">
        <f t="shared" si="43"/>
        <v>0</v>
      </c>
      <c r="AI136" s="61">
        <f t="shared" si="44"/>
        <v>0</v>
      </c>
      <c r="AJ136" s="61">
        <f t="shared" si="38"/>
        <v>0</v>
      </c>
      <c r="AK136" s="61">
        <f t="shared" si="38"/>
        <v>0</v>
      </c>
      <c r="AL136" s="61">
        <f t="shared" si="38"/>
        <v>0</v>
      </c>
      <c r="AM136" s="61">
        <f t="shared" si="38"/>
        <v>0</v>
      </c>
      <c r="AN136" s="407"/>
    </row>
    <row r="137" spans="5:42">
      <c r="F137" s="581" t="s">
        <v>285</v>
      </c>
      <c r="G137" s="581"/>
      <c r="H137" s="581"/>
      <c r="I137" s="581"/>
      <c r="J137" s="581"/>
      <c r="K137" s="581"/>
      <c r="L137" s="61"/>
      <c r="M137" s="61"/>
      <c r="O137" s="581" t="s">
        <v>285</v>
      </c>
      <c r="P137" s="581"/>
      <c r="Q137" s="581"/>
      <c r="R137" s="581"/>
      <c r="S137" s="581"/>
      <c r="T137" s="581"/>
      <c r="U137" s="407"/>
      <c r="X137" s="581" t="s">
        <v>285</v>
      </c>
      <c r="Y137" s="581"/>
      <c r="Z137" s="581"/>
      <c r="AA137" s="581"/>
      <c r="AB137" s="581"/>
      <c r="AC137" s="581"/>
      <c r="AD137" s="407"/>
      <c r="AE137" s="61"/>
      <c r="AH137" s="581" t="s">
        <v>285</v>
      </c>
      <c r="AI137" s="581"/>
      <c r="AJ137" s="581"/>
      <c r="AK137" s="581"/>
      <c r="AL137" s="581"/>
      <c r="AM137" s="581"/>
      <c r="AN137" s="407"/>
    </row>
    <row r="138" spans="5:42">
      <c r="E138">
        <v>2020</v>
      </c>
      <c r="F138" s="431">
        <f>F119*'Demographic-Economic'!C$12</f>
        <v>-2434.2734880000003</v>
      </c>
      <c r="G138" s="431">
        <f>G119*'Demographic-Economic'!D$12</f>
        <v>-3483.6117959999997</v>
      </c>
      <c r="H138" s="431">
        <f>H119*'Demographic-Economic'!E$12</f>
        <v>3044.766614643172</v>
      </c>
      <c r="I138" s="431">
        <f>I119*'Demographic-Economic'!F$12</f>
        <v>1465.289447576472</v>
      </c>
      <c r="J138" s="431">
        <f>J119*'Demographic-Economic'!G$12</f>
        <v>925.94392593917257</v>
      </c>
      <c r="K138" s="431">
        <f>K119*'Demographic-Economic'!H$12</f>
        <v>324.47367818517233</v>
      </c>
      <c r="L138" s="61"/>
      <c r="M138" s="61"/>
      <c r="N138">
        <v>2020</v>
      </c>
      <c r="O138" s="61">
        <f>O119*'Demographic-Economic'!C$12</f>
        <v>-2434.2734880000003</v>
      </c>
      <c r="P138" s="61">
        <f>P119*'Demographic-Economic'!D$12</f>
        <v>-3483.6117959999997</v>
      </c>
      <c r="Q138" s="61">
        <f>Q119*'Demographic-Economic'!E$12</f>
        <v>3044.766614643172</v>
      </c>
      <c r="R138" s="61">
        <f>R119*'Demographic-Economic'!F$12</f>
        <v>1465.289447576472</v>
      </c>
      <c r="S138" s="61">
        <f>S119*'Demographic-Economic'!G$12</f>
        <v>925.94392593917257</v>
      </c>
      <c r="T138" s="61">
        <f>T119*'Demographic-Economic'!H$12</f>
        <v>324.47367818517233</v>
      </c>
      <c r="U138" s="407"/>
      <c r="W138">
        <v>2020</v>
      </c>
      <c r="X138" s="61">
        <f>X119*'Demographic-Economic'!C$12</f>
        <v>-2434.2734880000003</v>
      </c>
      <c r="Y138" s="61">
        <f>Y119*'Demographic-Economic'!D$12</f>
        <v>-3483.6117959999997</v>
      </c>
      <c r="Z138" s="61">
        <f>Z119*'Demographic-Economic'!E$12</f>
        <v>3044.766614643172</v>
      </c>
      <c r="AA138" s="61">
        <f>AA119*'Demographic-Economic'!F$12</f>
        <v>1465.289447576472</v>
      </c>
      <c r="AB138" s="61">
        <f>AB119*'Demographic-Economic'!G$12</f>
        <v>925.94392593917257</v>
      </c>
      <c r="AC138" s="61">
        <f>AC119*'Demographic-Economic'!H$12</f>
        <v>324.47367818517233</v>
      </c>
      <c r="AD138" s="407"/>
      <c r="AE138" s="61"/>
      <c r="AG138">
        <v>2020</v>
      </c>
      <c r="AH138" s="61">
        <f>-AH24*$C$4</f>
        <v>-2434.2734879999998</v>
      </c>
      <c r="AI138" s="61">
        <f>-AI24*$C$3</f>
        <v>-3483.6117959999997</v>
      </c>
      <c r="AJ138" s="61">
        <f>-SUM($AH138:$AI138) * (AJ100/SUM($AJ100:$AM100))</f>
        <v>3116.3454568125157</v>
      </c>
      <c r="AK138" s="61">
        <f t="shared" ref="AK138:AM138" si="49">-SUM($AH138:$AI138) * (AK100/SUM($AJ100:$AM100))</f>
        <v>1507.417769570375</v>
      </c>
      <c r="AL138" s="61">
        <f t="shared" si="49"/>
        <v>978.8864956340384</v>
      </c>
      <c r="AM138" s="61">
        <f t="shared" si="49"/>
        <v>315.23556198307068</v>
      </c>
      <c r="AN138" s="407"/>
    </row>
    <row r="139" spans="5:42">
      <c r="E139">
        <v>2021</v>
      </c>
      <c r="F139" s="431">
        <f>F120*'Demographic-Economic'!C$12</f>
        <v>-2449.0759903591538</v>
      </c>
      <c r="G139" s="431">
        <f>G120*'Demographic-Economic'!D$12</f>
        <v>-3503.9187710419596</v>
      </c>
      <c r="H139" s="431">
        <f>H120*'Demographic-Economic'!E$12</f>
        <v>3237.1324864346525</v>
      </c>
      <c r="I139" s="431">
        <f>I120*'Demographic-Economic'!F$12</f>
        <v>1346.1231010852587</v>
      </c>
      <c r="J139" s="431">
        <f>J120*'Demographic-Economic'!G$12</f>
        <v>885.53481289574609</v>
      </c>
      <c r="K139" s="431">
        <f>K120*'Demographic-Economic'!H$12</f>
        <v>328.13628179924547</v>
      </c>
      <c r="L139" s="61"/>
      <c r="M139" s="61"/>
      <c r="N139">
        <v>2021</v>
      </c>
      <c r="O139" s="61">
        <f>O120*'Demographic-Economic'!C$12</f>
        <v>-2454.4518079034037</v>
      </c>
      <c r="P139" s="61">
        <f>P120*'Demographic-Economic'!D$12</f>
        <v>-3511.6100097283643</v>
      </c>
      <c r="Q139" s="61">
        <f>Q120*'Demographic-Economic'!E$12</f>
        <v>3233.2878547976566</v>
      </c>
      <c r="R139" s="61">
        <f>R120*'Demographic-Economic'!F$12</f>
        <v>1359.30556713036</v>
      </c>
      <c r="S139" s="61">
        <f>S120*'Demographic-Economic'!G$12</f>
        <v>886.59039513398216</v>
      </c>
      <c r="T139" s="61">
        <f>T120*'Demographic-Economic'!H$12</f>
        <v>330.52912363590679</v>
      </c>
      <c r="U139" s="407"/>
      <c r="W139">
        <v>2021</v>
      </c>
      <c r="X139" s="61">
        <f>X120*'Demographic-Economic'!C$12</f>
        <v>-2459.2658103409703</v>
      </c>
      <c r="Y139" s="61">
        <f>Y120*'Demographic-Economic'!D$12</f>
        <v>-3518.497453634242</v>
      </c>
      <c r="Z139" s="61">
        <f>Z120*'Demographic-Economic'!E$12</f>
        <v>3229.4704981967652</v>
      </c>
      <c r="AA139" s="61">
        <f>AA120*'Demographic-Economic'!F$12</f>
        <v>1371.4601672569363</v>
      </c>
      <c r="AB139" s="61">
        <f>AB120*'Demographic-Economic'!G$12</f>
        <v>887.50528263241756</v>
      </c>
      <c r="AC139" s="61">
        <f>AC120*'Demographic-Economic'!H$12</f>
        <v>332.72909968881214</v>
      </c>
      <c r="AD139" s="407"/>
      <c r="AE139" s="61"/>
      <c r="AG139">
        <v>2021</v>
      </c>
      <c r="AH139" s="61">
        <f t="shared" ref="AH139:AH148" si="50">-AH25*$C$4</f>
        <v>-2449.7819058507025</v>
      </c>
      <c r="AI139" s="61">
        <f t="shared" ref="AI139:AI148" si="51">-AI25*$C$3</f>
        <v>-3504.9287317583053</v>
      </c>
      <c r="AJ139" s="61">
        <f t="shared" ref="AJ139:AM154" si="52">-SUM($AH139:$AI139) * (AJ101/SUM($AJ101:$AM101))</f>
        <v>3312.7279875828262</v>
      </c>
      <c r="AK139" s="61">
        <f t="shared" si="52"/>
        <v>1386.576834116654</v>
      </c>
      <c r="AL139" s="61">
        <f t="shared" si="52"/>
        <v>936.3116208744915</v>
      </c>
      <c r="AM139" s="61">
        <f t="shared" si="52"/>
        <v>319.09419503503574</v>
      </c>
      <c r="AN139" s="407"/>
    </row>
    <row r="140" spans="5:42">
      <c r="E140">
        <v>2022</v>
      </c>
      <c r="F140" s="431">
        <f>F121*'Demographic-Economic'!C$12</f>
        <v>-2463.8709393250351</v>
      </c>
      <c r="G140" s="431">
        <f>G121*'Demographic-Economic'!D$12</f>
        <v>-3524.2045682059293</v>
      </c>
      <c r="H140" s="431">
        <f>H121*'Demographic-Economic'!E$12</f>
        <v>3412.0069789354652</v>
      </c>
      <c r="I140" s="431">
        <f>I121*'Demographic-Economic'!F$12</f>
        <v>1239.9923864661371</v>
      </c>
      <c r="J140" s="431">
        <f>J121*'Demographic-Economic'!G$12</f>
        <v>849.56107901216296</v>
      </c>
      <c r="K140" s="431">
        <f>K121*'Demographic-Economic'!H$12</f>
        <v>331.56703138301742</v>
      </c>
      <c r="L140" s="61"/>
      <c r="M140" s="61"/>
      <c r="N140">
        <v>2022</v>
      </c>
      <c r="O140" s="61">
        <f>O121*'Demographic-Economic'!C$12</f>
        <v>-2474.6198865047622</v>
      </c>
      <c r="P140" s="61">
        <f>P121*'Demographic-Economic'!D$12</f>
        <v>-3539.5793543400505</v>
      </c>
      <c r="Q140" s="61">
        <f>Q121*'Demographic-Economic'!E$12</f>
        <v>3411.219397672106</v>
      </c>
      <c r="R140" s="61">
        <f>R121*'Demographic-Economic'!F$12</f>
        <v>1261.0980584680922</v>
      </c>
      <c r="S140" s="61">
        <f>S121*'Demographic-Economic'!G$12</f>
        <v>850.18451486665663</v>
      </c>
      <c r="T140" s="61">
        <f>T121*'Demographic-Economic'!H$12</f>
        <v>336.25910852677521</v>
      </c>
      <c r="U140" s="407"/>
      <c r="W140">
        <v>2022</v>
      </c>
      <c r="X140" s="61">
        <f>X121*'Demographic-Economic'!C$12</f>
        <v>-2484.2454843786763</v>
      </c>
      <c r="Y140" s="61">
        <f>Y121*'Demographic-Economic'!D$12</f>
        <v>-3553.3473547079002</v>
      </c>
      <c r="Z140" s="61">
        <f>Z121*'Demographic-Economic'!E$12</f>
        <v>3409.4776629547696</v>
      </c>
      <c r="AA140" s="61">
        <f>AA121*'Demographic-Economic'!F$12</f>
        <v>1281.0361177544787</v>
      </c>
      <c r="AB140" s="61">
        <f>AB121*'Demographic-Economic'!G$12</f>
        <v>850.53873196419613</v>
      </c>
      <c r="AC140" s="61">
        <f>AC121*'Demographic-Economic'!H$12</f>
        <v>340.67555921324333</v>
      </c>
      <c r="AD140" s="407"/>
      <c r="AE140" s="61"/>
      <c r="AG140">
        <v>2022</v>
      </c>
      <c r="AH140" s="61">
        <f t="shared" si="50"/>
        <v>-2465.2824173503855</v>
      </c>
      <c r="AI140" s="61">
        <f t="shared" si="51"/>
        <v>-3526.2234796779021</v>
      </c>
      <c r="AJ140" s="61">
        <f t="shared" si="52"/>
        <v>3492.1512780075891</v>
      </c>
      <c r="AK140" s="61">
        <f t="shared" si="52"/>
        <v>1278.4159918181479</v>
      </c>
      <c r="AL140" s="61">
        <f t="shared" si="52"/>
        <v>898.22899842403592</v>
      </c>
      <c r="AM140" s="61">
        <f t="shared" si="52"/>
        <v>322.70962877851531</v>
      </c>
      <c r="AN140" s="407"/>
    </row>
    <row r="141" spans="5:42">
      <c r="E141">
        <v>2023</v>
      </c>
      <c r="F141" s="431">
        <f>F122*'Demographic-Economic'!C$12</f>
        <v>-2478.6583377491834</v>
      </c>
      <c r="G141" s="431">
        <f>G122*'Demographic-Economic'!D$12</f>
        <v>-3544.4692035930411</v>
      </c>
      <c r="H141" s="431">
        <f>H122*'Demographic-Economic'!E$12</f>
        <v>3571.966295032184</v>
      </c>
      <c r="I141" s="431">
        <f>I122*'Demographic-Economic'!F$12</f>
        <v>1144.975323866295</v>
      </c>
      <c r="J141" s="431">
        <f>J122*'Demographic-Economic'!G$12</f>
        <v>817.36718347359306</v>
      </c>
      <c r="K141" s="431">
        <f>K122*'Demographic-Economic'!H$12</f>
        <v>334.80042231113293</v>
      </c>
      <c r="L141" s="61"/>
      <c r="M141" s="61"/>
      <c r="N141">
        <v>2023</v>
      </c>
      <c r="O141" s="61">
        <f>O122*'Demographic-Economic'!C$12</f>
        <v>-2494.7777276635825</v>
      </c>
      <c r="P141" s="61">
        <f>P122*'Demographic-Economic'!D$12</f>
        <v>-3567.5198517046229</v>
      </c>
      <c r="Q141" s="61">
        <f>Q122*'Demographic-Economic'!E$12</f>
        <v>3579.4500145797706</v>
      </c>
      <c r="R141" s="61">
        <f>R122*'Demographic-Economic'!F$12</f>
        <v>1170.0103828750841</v>
      </c>
      <c r="S141" s="61">
        <f>S122*'Demographic-Economic'!G$12</f>
        <v>816.477062263108</v>
      </c>
      <c r="T141" s="61">
        <f>T122*'Demographic-Economic'!H$12</f>
        <v>341.69373737911042</v>
      </c>
      <c r="U141" s="407"/>
      <c r="W141">
        <v>2023</v>
      </c>
      <c r="X141" s="61">
        <f>X122*'Demographic-Economic'!C$12</f>
        <v>-2509.2125148752511</v>
      </c>
      <c r="Y141" s="61">
        <f>Y122*'Demographic-Economic'!D$12</f>
        <v>-3588.1615262561218</v>
      </c>
      <c r="Z141" s="61">
        <f>Z122*'Demographic-Economic'!E$12</f>
        <v>3584.6433616826662</v>
      </c>
      <c r="AA141" s="61">
        <f>AA122*'Demographic-Economic'!F$12</f>
        <v>1194.1146660438205</v>
      </c>
      <c r="AB141" s="61">
        <f>AB122*'Demographic-Economic'!G$12</f>
        <v>815.0841592091449</v>
      </c>
      <c r="AC141" s="61">
        <f>AC122*'Demographic-Economic'!H$12</f>
        <v>348.31907731375389</v>
      </c>
      <c r="AD141" s="407"/>
      <c r="AE141" s="61"/>
      <c r="AG141">
        <v>2023</v>
      </c>
      <c r="AH141" s="61">
        <f t="shared" si="50"/>
        <v>-2480.7750254829507</v>
      </c>
      <c r="AI141" s="61">
        <f t="shared" si="51"/>
        <v>-3547.4960566173972</v>
      </c>
      <c r="AJ141" s="61">
        <f t="shared" si="52"/>
        <v>3656.9941706396098</v>
      </c>
      <c r="AK141" s="61">
        <f t="shared" si="52"/>
        <v>1181.1543105741869</v>
      </c>
      <c r="AL141" s="61">
        <f t="shared" si="52"/>
        <v>864.00615089179848</v>
      </c>
      <c r="AM141" s="61">
        <f t="shared" si="52"/>
        <v>326.11644999475254</v>
      </c>
      <c r="AN141" s="407"/>
      <c r="AP141" s="61"/>
    </row>
    <row r="142" spans="5:42">
      <c r="E142">
        <v>2024</v>
      </c>
      <c r="F142" s="431">
        <f>F123*'Demographic-Economic'!C$12</f>
        <v>-2493.4381884821864</v>
      </c>
      <c r="G142" s="431">
        <f>G123*'Demographic-Economic'!D$12</f>
        <v>-3564.7126932936239</v>
      </c>
      <c r="H142" s="431">
        <f>H123*'Demographic-Economic'!E$12</f>
        <v>3719.1095382348431</v>
      </c>
      <c r="I142" s="431">
        <f>I123*'Demographic-Economic'!F$12</f>
        <v>1059.5058915388106</v>
      </c>
      <c r="J142" s="431">
        <f>J123*'Demographic-Economic'!G$12</f>
        <v>788.41898002121445</v>
      </c>
      <c r="K142" s="431">
        <f>K123*'Demographic-Economic'!H$12</f>
        <v>337.86455558638943</v>
      </c>
      <c r="L142" s="61"/>
      <c r="M142" s="61"/>
      <c r="N142">
        <v>2024</v>
      </c>
      <c r="O142" s="61">
        <f>O123*'Demographic-Economic'!C$12</f>
        <v>-2514.9253352380797</v>
      </c>
      <c r="P142" s="61">
        <f>P123*'Demographic-Economic'!D$12</f>
        <v>-3595.4315236769926</v>
      </c>
      <c r="Q142" s="61">
        <f>Q123*'Demographic-Economic'!E$12</f>
        <v>3738.7852903708745</v>
      </c>
      <c r="R142" s="61">
        <f>R123*'Demographic-Economic'!F$12</f>
        <v>1085.4476898756375</v>
      </c>
      <c r="S142" s="61">
        <f>S123*'Demographic-Economic'!G$12</f>
        <v>785.24212385486794</v>
      </c>
      <c r="T142" s="61">
        <f>T123*'Demographic-Economic'!H$12</f>
        <v>346.8600659831161</v>
      </c>
      <c r="U142" s="407"/>
      <c r="W142">
        <v>2024</v>
      </c>
      <c r="X142" s="61">
        <f>X123*'Demographic-Economic'!C$12</f>
        <v>-2534.1669065912342</v>
      </c>
      <c r="Y142" s="61">
        <f>Y123*'Demographic-Economic'!D$12</f>
        <v>-3622.939995295957</v>
      </c>
      <c r="Z142" s="61">
        <f>Z123*'Demographic-Economic'!E$12</f>
        <v>3754.8815479122968</v>
      </c>
      <c r="AA142" s="61">
        <f>AA123*'Demographic-Economic'!F$12</f>
        <v>1110.7514900690032</v>
      </c>
      <c r="AB142" s="61">
        <f>AB123*'Demographic-Economic'!G$12</f>
        <v>781.16351595829474</v>
      </c>
      <c r="AC142" s="61">
        <f>AC123*'Demographic-Economic'!H$12</f>
        <v>355.66749222746211</v>
      </c>
      <c r="AD142" s="407"/>
      <c r="AE142" s="61"/>
      <c r="AG142">
        <v>2024</v>
      </c>
      <c r="AH142" s="61">
        <f t="shared" si="50"/>
        <v>-2496.259733231298</v>
      </c>
      <c r="AI142" s="61">
        <f t="shared" si="51"/>
        <v>-3568.7464794240827</v>
      </c>
      <c r="AJ142" s="61">
        <f t="shared" si="52"/>
        <v>3809.2161253136801</v>
      </c>
      <c r="AK142" s="61">
        <f t="shared" si="52"/>
        <v>1093.3248608132185</v>
      </c>
      <c r="AL142" s="61">
        <f t="shared" si="52"/>
        <v>833.12209155476387</v>
      </c>
      <c r="AM142" s="61">
        <f t="shared" si="52"/>
        <v>329.34313497371778</v>
      </c>
      <c r="AN142" s="407"/>
    </row>
    <row r="143" spans="5:42">
      <c r="E143">
        <v>2025</v>
      </c>
      <c r="F143" s="431">
        <f>F124*'Demographic-Economic'!C$12</f>
        <v>-2508.2104943736767</v>
      </c>
      <c r="G143" s="431">
        <f>G124*'Demographic-Economic'!D$12</f>
        <v>-3584.9350533872057</v>
      </c>
      <c r="H143" s="431">
        <f>H124*'Demographic-Economic'!E$12</f>
        <v>3855.1638121202873</v>
      </c>
      <c r="I143" s="431">
        <f>I124*'Demographic-Economic'!F$12</f>
        <v>982.29561388781383</v>
      </c>
      <c r="J143" s="431">
        <f>J124*'Demographic-Economic'!G$12</f>
        <v>762.27697548753565</v>
      </c>
      <c r="K143" s="431">
        <f>K124*'Demographic-Economic'!H$12</f>
        <v>340.7825445059907</v>
      </c>
      <c r="L143" s="61"/>
      <c r="M143" s="61"/>
      <c r="N143">
        <v>2025</v>
      </c>
      <c r="O143" s="61">
        <f>O124*'Demographic-Economic'!C$12</f>
        <v>-2535.0627130851817</v>
      </c>
      <c r="P143" s="61">
        <f>P124*'Demographic-Economic'!D$12</f>
        <v>-3623.3143920974253</v>
      </c>
      <c r="Q143" s="61">
        <f>Q124*'Demographic-Economic'!E$12</f>
        <v>3889.9557709321289</v>
      </c>
      <c r="R143" s="61">
        <f>R124*'Demographic-Economic'!F$12</f>
        <v>1006.8707478879656</v>
      </c>
      <c r="S143" s="61">
        <f>S124*'Demographic-Economic'!G$12</f>
        <v>756.27481511070926</v>
      </c>
      <c r="T143" s="61">
        <f>T124*'Demographic-Economic'!H$12</f>
        <v>351.78242631326196</v>
      </c>
      <c r="U143" s="407"/>
      <c r="W143">
        <v>2025</v>
      </c>
      <c r="X143" s="61">
        <f>X124*'Demographic-Economic'!C$12</f>
        <v>-2559.1086642855771</v>
      </c>
      <c r="Y143" s="61">
        <f>Y124*'Demographic-Economic'!D$12</f>
        <v>-3657.6827888263697</v>
      </c>
      <c r="Z143" s="61">
        <f>Z124*'Demographic-Economic'!E$12</f>
        <v>3920.1572303677863</v>
      </c>
      <c r="AA143" s="61">
        <f>AA124*'Demographic-Economic'!F$12</f>
        <v>1030.9660819290812</v>
      </c>
      <c r="AB143" s="61">
        <f>AB124*'Demographic-Economic'!G$12</f>
        <v>748.78321516339463</v>
      </c>
      <c r="AC143" s="61">
        <f>AC124*'Demographic-Economic'!H$12</f>
        <v>362.73008100660036</v>
      </c>
      <c r="AD143" s="407"/>
      <c r="AE143" s="61"/>
      <c r="AG143">
        <v>2025</v>
      </c>
      <c r="AH143" s="61">
        <f t="shared" si="50"/>
        <v>-2511.7365435773322</v>
      </c>
      <c r="AI143" s="61">
        <f t="shared" si="51"/>
        <v>-3589.9747649339474</v>
      </c>
      <c r="AJ143" s="61">
        <f t="shared" si="52"/>
        <v>3950.4452665401254</v>
      </c>
      <c r="AK143" s="61">
        <f t="shared" si="52"/>
        <v>1013.7087927652753</v>
      </c>
      <c r="AL143" s="61">
        <f t="shared" si="52"/>
        <v>805.14391818458228</v>
      </c>
      <c r="AM143" s="61">
        <f t="shared" si="52"/>
        <v>332.41333102129653</v>
      </c>
      <c r="AN143" s="407"/>
    </row>
    <row r="144" spans="5:42">
      <c r="E144">
        <v>2026</v>
      </c>
      <c r="F144" s="431">
        <f>F125*'Demographic-Economic'!C$12</f>
        <v>-2522.9752582723345</v>
      </c>
      <c r="G144" s="431">
        <f>G125*'Demographic-Economic'!D$12</f>
        <v>-3605.1362999425205</v>
      </c>
      <c r="H144" s="431">
        <f>H125*'Demographic-Economic'!E$12</f>
        <v>3981.5627727770138</v>
      </c>
      <c r="I144" s="431">
        <f>I125*'Demographic-Economic'!F$12</f>
        <v>912.2749549247859</v>
      </c>
      <c r="J144" s="431">
        <f>J125*'Demographic-Economic'!G$12</f>
        <v>738.57634303036036</v>
      </c>
      <c r="K144" s="431">
        <f>K125*'Demographic-Economic'!H$12</f>
        <v>343.57356656957404</v>
      </c>
      <c r="L144" s="61"/>
      <c r="M144" s="61"/>
      <c r="N144">
        <v>2026</v>
      </c>
      <c r="O144" s="61">
        <f>O125*'Demographic-Economic'!C$12</f>
        <v>-2555.1898650605276</v>
      </c>
      <c r="P144" s="61">
        <f>P125*'Demographic-Economic'!D$12</f>
        <v>-3651.1684787915583</v>
      </c>
      <c r="Q144" s="61">
        <f>Q125*'Demographic-Economic'!E$12</f>
        <v>4033.6243571886507</v>
      </c>
      <c r="R144" s="61">
        <f>R125*'Demographic-Economic'!F$12</f>
        <v>933.79044051487597</v>
      </c>
      <c r="S144" s="61">
        <f>S125*'Demographic-Economic'!G$12</f>
        <v>729.38921047393035</v>
      </c>
      <c r="T144" s="61">
        <f>T125*'Demographic-Economic'!H$12</f>
        <v>356.48271724145332</v>
      </c>
      <c r="U144" s="407"/>
      <c r="W144">
        <v>2026</v>
      </c>
      <c r="X144" s="61">
        <f>X125*'Demographic-Economic'!C$12</f>
        <v>-2584.0377927156419</v>
      </c>
      <c r="Y144" s="61">
        <f>Y125*'Demographic-Economic'!D$12</f>
        <v>-3692.3899338282545</v>
      </c>
      <c r="Z144" s="61">
        <f>Z125*'Demographic-Economic'!E$12</f>
        <v>4080.4791811697455</v>
      </c>
      <c r="AA144" s="61">
        <f>AA125*'Demographic-Economic'!F$12</f>
        <v>954.74698540357451</v>
      </c>
      <c r="AB144" s="61">
        <f>AB125*'Demographic-Economic'!G$12</f>
        <v>717.93640644890399</v>
      </c>
      <c r="AC144" s="61">
        <f>AC125*'Demographic-Economic'!H$12</f>
        <v>369.5172195402443</v>
      </c>
      <c r="AD144" s="407"/>
      <c r="AE144" s="61"/>
      <c r="AG144">
        <v>2026</v>
      </c>
      <c r="AH144" s="61">
        <f t="shared" si="50"/>
        <v>-2527.2054595019599</v>
      </c>
      <c r="AI144" s="61">
        <f t="shared" si="51"/>
        <v>-3611.1809299716815</v>
      </c>
      <c r="AJ144" s="61">
        <f t="shared" si="52"/>
        <v>4082.0452022285235</v>
      </c>
      <c r="AK144" s="61">
        <f t="shared" si="52"/>
        <v>941.28530753289874</v>
      </c>
      <c r="AL144" s="61">
        <f t="shared" si="52"/>
        <v>779.70905025995478</v>
      </c>
      <c r="AM144" s="61">
        <f t="shared" si="52"/>
        <v>335.34682945226433</v>
      </c>
      <c r="AN144" s="407"/>
    </row>
    <row r="145" spans="5:43">
      <c r="E145">
        <v>2027</v>
      </c>
      <c r="F145" s="431">
        <f>F126*'Demographic-Economic'!C$12</f>
        <v>-2537.7324830258867</v>
      </c>
      <c r="G145" s="431">
        <f>G126*'Demographic-Economic'!D$12</f>
        <v>-3625.3164490175163</v>
      </c>
      <c r="H145" s="431">
        <f>H126*'Demographic-Economic'!E$12</f>
        <v>4099.5061297781394</v>
      </c>
      <c r="I145" s="431">
        <f>I126*'Demographic-Economic'!F$12</f>
        <v>848.54892525665093</v>
      </c>
      <c r="J145" s="431">
        <f>J126*'Demographic-Economic'!G$12</f>
        <v>717.01178285099991</v>
      </c>
      <c r="K145" s="431">
        <f>K126*'Demographic-Economic'!H$12</f>
        <v>346.25366065286107</v>
      </c>
      <c r="L145" s="61"/>
      <c r="M145" s="61"/>
      <c r="N145">
        <v>2027</v>
      </c>
      <c r="O145" s="61">
        <f>O126*'Demographic-Economic'!C$12</f>
        <v>-2575.3067950184659</v>
      </c>
      <c r="P145" s="61">
        <f>P126*'Demographic-Economic'!D$12</f>
        <v>-3678.9938055703983</v>
      </c>
      <c r="Q145" s="61">
        <f>Q126*'Demographic-Economic'!E$12</f>
        <v>4170.3929921808203</v>
      </c>
      <c r="R145" s="61">
        <f>R126*'Demographic-Economic'!F$12</f>
        <v>865.76279253039809</v>
      </c>
      <c r="S145" s="61">
        <f>S126*'Demographic-Economic'!G$12</f>
        <v>704.4164709848983</v>
      </c>
      <c r="T145" s="61">
        <f>T126*'Demographic-Economic'!H$12</f>
        <v>360.98066409961001</v>
      </c>
      <c r="U145" s="407"/>
      <c r="W145">
        <v>2027</v>
      </c>
      <c r="X145" s="61">
        <f>X126*'Demographic-Economic'!C$12</f>
        <v>-2608.9542966371991</v>
      </c>
      <c r="Y145" s="61">
        <f>Y126*'Demographic-Economic'!D$12</f>
        <v>-3727.0614572644386</v>
      </c>
      <c r="Z145" s="61">
        <f>Z126*'Demographic-Economic'!E$12</f>
        <v>4235.8931193094986</v>
      </c>
      <c r="AA145" s="61">
        <f>AA126*'Demographic-Economic'!F$12</f>
        <v>882.05668290747974</v>
      </c>
      <c r="AB145" s="61">
        <f>AB126*'Demographic-Economic'!G$12</f>
        <v>688.60509568685507</v>
      </c>
      <c r="AC145" s="61">
        <f>AC126*'Demographic-Economic'!H$12</f>
        <v>376.04008256278229</v>
      </c>
      <c r="AD145" s="407"/>
      <c r="AE145" s="61"/>
      <c r="AG145">
        <v>2027</v>
      </c>
      <c r="AH145" s="61">
        <f t="shared" si="50"/>
        <v>-2542.6664839850914</v>
      </c>
      <c r="AI145" s="61">
        <f t="shared" si="51"/>
        <v>-3632.3649913506874</v>
      </c>
      <c r="AJ145" s="61">
        <f t="shared" si="52"/>
        <v>4205.1663443544494</v>
      </c>
      <c r="AK145" s="61">
        <f t="shared" si="52"/>
        <v>875.1932316195165</v>
      </c>
      <c r="AL145" s="61">
        <f t="shared" si="52"/>
        <v>756.5115861302578</v>
      </c>
      <c r="AM145" s="61">
        <f t="shared" si="52"/>
        <v>338.16031323155522</v>
      </c>
      <c r="AN145" s="407"/>
    </row>
    <row r="146" spans="5:43">
      <c r="E146">
        <v>2028</v>
      </c>
      <c r="F146" s="431">
        <f>F127*'Demographic-Economic'!C$12</f>
        <v>-2552.4821714811092</v>
      </c>
      <c r="G146" s="431">
        <f>G127*'Demographic-Economic'!D$12</f>
        <v>-3645.4755166593627</v>
      </c>
      <c r="H146" s="431">
        <f>H127*'Demographic-Economic'!E$12</f>
        <v>4210.0052687935859</v>
      </c>
      <c r="I146" s="431">
        <f>I127*'Demographic-Economic'!F$12</f>
        <v>790.36304326963636</v>
      </c>
      <c r="J146" s="431">
        <f>J127*'Demographic-Economic'!G$12</f>
        <v>697.32591412265947</v>
      </c>
      <c r="K146" s="431">
        <f>K127*'Demographic-Economic'!H$12</f>
        <v>348.836338518388</v>
      </c>
      <c r="L146" s="61"/>
      <c r="M146" s="61"/>
      <c r="N146">
        <v>2028</v>
      </c>
      <c r="O146" s="61">
        <f>O127*'Demographic-Economic'!C$12</f>
        <v>-2595.4135068120581</v>
      </c>
      <c r="P146" s="61">
        <f>P127*'Demographic-Economic'!D$12</f>
        <v>-3706.7903942303401</v>
      </c>
      <c r="Q146" s="61">
        <f>Q127*'Demographic-Economic'!E$12</f>
        <v>4300.8086929195151</v>
      </c>
      <c r="R146" s="61">
        <f>R127*'Demographic-Economic'!F$12</f>
        <v>802.3844860878429</v>
      </c>
      <c r="S146" s="61">
        <f>S127*'Demographic-Economic'!G$12</f>
        <v>681.20315510554622</v>
      </c>
      <c r="T146" s="61">
        <f>T127*'Demographic-Economic'!H$12</f>
        <v>365.29405007275733</v>
      </c>
      <c r="U146" s="407"/>
      <c r="W146">
        <v>2028</v>
      </c>
      <c r="X146" s="61">
        <f>X127*'Demographic-Economic'!C$12</f>
        <v>-2633.8581808044346</v>
      </c>
      <c r="Y146" s="61">
        <f>Y127*'Demographic-Economic'!D$12</f>
        <v>-3761.6973860797038</v>
      </c>
      <c r="Z146" s="61">
        <f>Z127*'Demographic-Economic'!E$12</f>
        <v>4386.4754466752229</v>
      </c>
      <c r="AA146" s="61">
        <f>AA127*'Demographic-Economic'!F$12</f>
        <v>812.8360784928542</v>
      </c>
      <c r="AB146" s="61">
        <f>AB127*'Demographic-Economic'!G$12</f>
        <v>660.76208644097153</v>
      </c>
      <c r="AC146" s="61">
        <f>AC127*'Demographic-Economic'!H$12</f>
        <v>382.31038312739423</v>
      </c>
      <c r="AD146" s="407"/>
      <c r="AE146" s="61"/>
      <c r="AG146">
        <v>2028</v>
      </c>
      <c r="AH146" s="61">
        <f t="shared" si="50"/>
        <v>-2558.1196200056402</v>
      </c>
      <c r="AI146" s="61">
        <f t="shared" si="51"/>
        <v>-3653.5269658730817</v>
      </c>
      <c r="AJ146" s="61">
        <f t="shared" si="52"/>
        <v>4320.7857619470633</v>
      </c>
      <c r="AK146" s="61">
        <f t="shared" si="52"/>
        <v>814.70117745208415</v>
      </c>
      <c r="AL146" s="61">
        <f t="shared" si="52"/>
        <v>735.29170869497113</v>
      </c>
      <c r="AM146" s="61">
        <f t="shared" si="52"/>
        <v>340.86793778460247</v>
      </c>
      <c r="AN146" s="407"/>
    </row>
    <row r="147" spans="5:43">
      <c r="E147">
        <v>2029</v>
      </c>
      <c r="F147" s="431">
        <f>F128*'Demographic-Economic'!C$12</f>
        <v>-2567.2243264838235</v>
      </c>
      <c r="G147" s="431">
        <f>G128*'Demographic-Economic'!D$12</f>
        <v>-3665.6135189044539</v>
      </c>
      <c r="H147" s="431">
        <f>H128*'Demographic-Economic'!E$12</f>
        <v>4313.9186252600148</v>
      </c>
      <c r="I147" s="431">
        <f>I128*'Demographic-Economic'!F$12</f>
        <v>737.07694279543489</v>
      </c>
      <c r="J147" s="431">
        <f>J128*'Demographic-Economic'!G$12</f>
        <v>679.30027464603472</v>
      </c>
      <c r="K147" s="431">
        <f>K128*'Demographic-Economic'!H$12</f>
        <v>351.33305914928235</v>
      </c>
      <c r="L147" s="61"/>
      <c r="M147" s="61"/>
      <c r="N147">
        <v>2029</v>
      </c>
      <c r="O147" s="61">
        <f>O128*'Demographic-Economic'!C$12</f>
        <v>-2615.5100042930785</v>
      </c>
      <c r="P147" s="61">
        <f>P128*'Demographic-Economic'!D$12</f>
        <v>-3734.5582665531706</v>
      </c>
      <c r="Q147" s="61">
        <f>Q128*'Demographic-Economic'!E$12</f>
        <v>4425.3689804755249</v>
      </c>
      <c r="R147" s="61">
        <f>R128*'Demographic-Economic'!F$12</f>
        <v>743.28882659498163</v>
      </c>
      <c r="S147" s="61">
        <f>S128*'Demographic-Economic'!G$12</f>
        <v>659.60969785115219</v>
      </c>
      <c r="T147" s="61">
        <f>T128*'Demographic-Economic'!H$12</f>
        <v>369.43892225742906</v>
      </c>
      <c r="U147" s="407"/>
      <c r="W147">
        <v>2029</v>
      </c>
      <c r="X147" s="61">
        <f>X128*'Demographic-Economic'!C$12</f>
        <v>-2658.7494499699419</v>
      </c>
      <c r="Y147" s="61">
        <f>Y128*'Demographic-Economic'!D$12</f>
        <v>-3796.2977472007892</v>
      </c>
      <c r="Z147" s="61">
        <f>Z128*'Demographic-Economic'!E$12</f>
        <v>4532.3275776968148</v>
      </c>
      <c r="AA147" s="61">
        <f>AA128*'Demographic-Economic'!F$12</f>
        <v>747.00854926650072</v>
      </c>
      <c r="AB147" s="61">
        <f>AB128*'Demographic-Economic'!G$12</f>
        <v>634.37273197690911</v>
      </c>
      <c r="AC147" s="61">
        <f>AC128*'Demographic-Economic'!H$12</f>
        <v>388.34014983794202</v>
      </c>
      <c r="AD147" s="407"/>
      <c r="AE147" s="61"/>
      <c r="AG147">
        <v>2029</v>
      </c>
      <c r="AH147" s="61">
        <f t="shared" si="50"/>
        <v>-2573.5648705415233</v>
      </c>
      <c r="AI147" s="61">
        <f t="shared" si="51"/>
        <v>-3674.6668703297064</v>
      </c>
      <c r="AJ147" s="61">
        <f t="shared" si="52"/>
        <v>4429.7384432622721</v>
      </c>
      <c r="AK147" s="61">
        <f t="shared" si="52"/>
        <v>759.18413602124667</v>
      </c>
      <c r="AL147" s="61">
        <f t="shared" si="52"/>
        <v>715.82737481739514</v>
      </c>
      <c r="AM147" s="61">
        <f t="shared" si="52"/>
        <v>343.48178677031717</v>
      </c>
      <c r="AN147" s="407"/>
      <c r="AQ147" s="61"/>
    </row>
    <row r="148" spans="5:43">
      <c r="E148">
        <v>2030</v>
      </c>
      <c r="F148" s="431">
        <f>F129*'Demographic-Economic'!C$12</f>
        <v>-2581.9589508789018</v>
      </c>
      <c r="G148" s="431">
        <f>G129*'Demographic-Economic'!D$12</f>
        <v>-3685.7304717784223</v>
      </c>
      <c r="H148" s="431">
        <f>H129*'Demographic-Economic'!E$12</f>
        <v>4411.9793940233485</v>
      </c>
      <c r="I148" s="431">
        <f>I129*'Demographic-Economic'!F$12</f>
        <v>688.14369877358183</v>
      </c>
      <c r="J148" s="431">
        <f>J129*'Demographic-Economic'!G$12</f>
        <v>662.74827052048124</v>
      </c>
      <c r="K148" s="431">
        <f>K129*'Demographic-Economic'!H$12</f>
        <v>353.75360045589696</v>
      </c>
      <c r="L148" s="61"/>
      <c r="M148" s="61"/>
      <c r="N148">
        <v>2030</v>
      </c>
      <c r="O148" s="61">
        <f>O129*'Demographic-Economic'!C$12</f>
        <v>-2635.5962913120165</v>
      </c>
      <c r="P148" s="61">
        <f>P129*'Demographic-Economic'!D$12</f>
        <v>-3762.2974443060816</v>
      </c>
      <c r="Q148" s="61">
        <f>Q129*'Demographic-Economic'!E$12</f>
        <v>4544.5267612491971</v>
      </c>
      <c r="R148" s="61">
        <f>R129*'Demographic-Economic'!F$12</f>
        <v>688.14211825857672</v>
      </c>
      <c r="S148" s="61">
        <f>S129*'Demographic-Economic'!G$12</f>
        <v>639.5090434609599</v>
      </c>
      <c r="T148" s="61">
        <f>T129*'Demographic-Economic'!H$12</f>
        <v>373.42977503054254</v>
      </c>
      <c r="U148" s="407"/>
      <c r="W148">
        <v>2030</v>
      </c>
      <c r="X148" s="61">
        <f>X129*'Demographic-Economic'!C$12</f>
        <v>-2683.6281088847313</v>
      </c>
      <c r="Y148" s="61">
        <f>Y129*'Demographic-Economic'!D$12</f>
        <v>-3830.8625675364087</v>
      </c>
      <c r="Z148" s="61">
        <f>Z129*'Demographic-Economic'!E$12</f>
        <v>4673.5708750820695</v>
      </c>
      <c r="AA148" s="61">
        <f>AA129*'Demographic-Economic'!F$12</f>
        <v>684.48355786246555</v>
      </c>
      <c r="AB148" s="61">
        <f>AB129*'Demographic-Economic'!G$12</f>
        <v>609.39649523974185</v>
      </c>
      <c r="AC148" s="61">
        <f>AC129*'Demographic-Economic'!H$12</f>
        <v>394.14153932228584</v>
      </c>
      <c r="AD148" s="407"/>
      <c r="AE148" s="61"/>
      <c r="AG148">
        <v>2030</v>
      </c>
      <c r="AH148" s="61">
        <f t="shared" si="50"/>
        <v>-2589.0022385696629</v>
      </c>
      <c r="AI148" s="61">
        <f t="shared" si="51"/>
        <v>-3695.7847215001329</v>
      </c>
      <c r="AJ148" s="61">
        <f t="shared" si="52"/>
        <v>4532.7420487456711</v>
      </c>
      <c r="AK148" s="61">
        <f t="shared" si="52"/>
        <v>708.10494314736638</v>
      </c>
      <c r="AL148" s="61">
        <f t="shared" si="52"/>
        <v>697.92773510471693</v>
      </c>
      <c r="AM148" s="61">
        <f t="shared" si="52"/>
        <v>346.01223307204248</v>
      </c>
      <c r="AN148" s="407"/>
    </row>
    <row r="149" spans="5:43">
      <c r="E149">
        <v>2040</v>
      </c>
      <c r="F149" s="431">
        <f>F130*'Demographic-Economic'!C$12</f>
        <v>0</v>
      </c>
      <c r="G149" s="431">
        <f>G130*'Demographic-Economic'!D$12</f>
        <v>0</v>
      </c>
      <c r="H149" s="431">
        <f>H130*'Demographic-Economic'!E$12</f>
        <v>0</v>
      </c>
      <c r="I149" s="431">
        <f>I130*'Demographic-Economic'!F$12</f>
        <v>0</v>
      </c>
      <c r="J149" s="431">
        <f>J130*'Demographic-Economic'!G$12</f>
        <v>0</v>
      </c>
      <c r="K149" s="431">
        <f>K130*'Demographic-Economic'!H$12</f>
        <v>0</v>
      </c>
      <c r="L149" s="61"/>
      <c r="M149" s="61"/>
      <c r="N149">
        <v>2040</v>
      </c>
      <c r="O149" s="61">
        <f>O130*'Demographic-Economic'!C$12</f>
        <v>0</v>
      </c>
      <c r="P149" s="61">
        <f>P130*'Demographic-Economic'!D$12</f>
        <v>0</v>
      </c>
      <c r="Q149" s="61">
        <f>Q130*'Demographic-Economic'!E$12</f>
        <v>0</v>
      </c>
      <c r="R149" s="61">
        <f>R130*'Demographic-Economic'!F$12</f>
        <v>0</v>
      </c>
      <c r="S149" s="61">
        <f>S130*'Demographic-Economic'!G$12</f>
        <v>0</v>
      </c>
      <c r="T149" s="61">
        <f>T130*'Demographic-Economic'!H$12</f>
        <v>0</v>
      </c>
      <c r="U149" s="407"/>
      <c r="W149">
        <v>2040</v>
      </c>
      <c r="X149" s="61">
        <f>X130*'Demographic-Economic'!C$12</f>
        <v>0</v>
      </c>
      <c r="Y149" s="61">
        <f>Y130*'Demographic-Economic'!D$12</f>
        <v>0</v>
      </c>
      <c r="Z149" s="61">
        <f>Z130*'Demographic-Economic'!E$12</f>
        <v>0</v>
      </c>
      <c r="AA149" s="61">
        <f>AA130*'Demographic-Economic'!F$12</f>
        <v>0</v>
      </c>
      <c r="AB149" s="61">
        <f>AB130*'Demographic-Economic'!G$12</f>
        <v>0</v>
      </c>
      <c r="AC149" s="61">
        <f>AC130*'Demographic-Economic'!H$12</f>
        <v>0</v>
      </c>
      <c r="AD149" s="407"/>
      <c r="AE149" s="61"/>
      <c r="AG149">
        <v>2040</v>
      </c>
      <c r="AH149" s="61">
        <f>-AH35*$C$11</f>
        <v>0</v>
      </c>
      <c r="AI149" s="61">
        <f>-AI35*$C$10</f>
        <v>0</v>
      </c>
      <c r="AJ149" s="61">
        <f t="shared" si="52"/>
        <v>0</v>
      </c>
      <c r="AK149" s="61">
        <f t="shared" si="52"/>
        <v>0</v>
      </c>
      <c r="AL149" s="61">
        <f t="shared" si="52"/>
        <v>0</v>
      </c>
      <c r="AM149" s="61">
        <f t="shared" si="52"/>
        <v>0</v>
      </c>
      <c r="AN149" s="407"/>
    </row>
    <row r="150" spans="5:43">
      <c r="E150">
        <v>2050</v>
      </c>
      <c r="F150" s="431">
        <f>F131*'Demographic-Economic'!C$12</f>
        <v>0</v>
      </c>
      <c r="G150" s="431">
        <f>G131*'Demographic-Economic'!D$12</f>
        <v>0</v>
      </c>
      <c r="H150" s="431">
        <f>H131*'Demographic-Economic'!E$12</f>
        <v>0</v>
      </c>
      <c r="I150" s="431">
        <f>I131*'Demographic-Economic'!F$12</f>
        <v>0</v>
      </c>
      <c r="J150" s="431">
        <f>J131*'Demographic-Economic'!G$12</f>
        <v>0</v>
      </c>
      <c r="K150" s="431">
        <f>K131*'Demographic-Economic'!H$12</f>
        <v>0</v>
      </c>
      <c r="L150" s="61"/>
      <c r="M150" s="61"/>
      <c r="N150">
        <v>2050</v>
      </c>
      <c r="O150" s="61">
        <f>O131*'Demographic-Economic'!C$12</f>
        <v>0</v>
      </c>
      <c r="P150" s="61">
        <f>P131*'Demographic-Economic'!D$12</f>
        <v>0</v>
      </c>
      <c r="Q150" s="61">
        <f>Q131*'Demographic-Economic'!E$12</f>
        <v>0</v>
      </c>
      <c r="R150" s="61">
        <f>R131*'Demographic-Economic'!F$12</f>
        <v>0</v>
      </c>
      <c r="S150" s="61">
        <f>S131*'Demographic-Economic'!G$12</f>
        <v>0</v>
      </c>
      <c r="T150" s="61">
        <f>T131*'Demographic-Economic'!H$12</f>
        <v>0</v>
      </c>
      <c r="U150" s="407"/>
      <c r="W150">
        <v>2050</v>
      </c>
      <c r="X150" s="61">
        <f>X131*'Demographic-Economic'!C$12</f>
        <v>0</v>
      </c>
      <c r="Y150" s="61">
        <f>Y131*'Demographic-Economic'!D$12</f>
        <v>0</v>
      </c>
      <c r="Z150" s="61">
        <f>Z131*'Demographic-Economic'!E$12</f>
        <v>0</v>
      </c>
      <c r="AA150" s="61">
        <f>AA131*'Demographic-Economic'!F$12</f>
        <v>0</v>
      </c>
      <c r="AB150" s="61">
        <f>AB131*'Demographic-Economic'!G$12</f>
        <v>0</v>
      </c>
      <c r="AC150" s="61">
        <f>AC131*'Demographic-Economic'!H$12</f>
        <v>0</v>
      </c>
      <c r="AD150" s="407"/>
      <c r="AE150" s="61"/>
      <c r="AG150">
        <v>2050</v>
      </c>
      <c r="AH150" s="61">
        <f t="shared" ref="AH150:AH155" si="53">-AH36*$C$11</f>
        <v>0</v>
      </c>
      <c r="AI150" s="61">
        <f t="shared" ref="AI150:AI155" si="54">-AI36*$C$10</f>
        <v>0</v>
      </c>
      <c r="AJ150" s="61">
        <f t="shared" si="52"/>
        <v>0</v>
      </c>
      <c r="AK150" s="61">
        <f t="shared" si="52"/>
        <v>0</v>
      </c>
      <c r="AL150" s="61">
        <f t="shared" si="52"/>
        <v>0</v>
      </c>
      <c r="AM150" s="61">
        <f t="shared" si="52"/>
        <v>0</v>
      </c>
      <c r="AN150" s="407"/>
    </row>
    <row r="151" spans="5:43">
      <c r="E151">
        <v>2060</v>
      </c>
      <c r="F151" s="431">
        <f>F132*'Demographic-Economic'!C$12</f>
        <v>0</v>
      </c>
      <c r="G151" s="431">
        <f>G132*'Demographic-Economic'!D$12</f>
        <v>0</v>
      </c>
      <c r="H151" s="431">
        <f>H132*'Demographic-Economic'!E$12</f>
        <v>0</v>
      </c>
      <c r="I151" s="431">
        <f>I132*'Demographic-Economic'!F$12</f>
        <v>0</v>
      </c>
      <c r="J151" s="431">
        <f>J132*'Demographic-Economic'!G$12</f>
        <v>0</v>
      </c>
      <c r="K151" s="431">
        <f>K132*'Demographic-Economic'!H$12</f>
        <v>0</v>
      </c>
      <c r="L151" s="61"/>
      <c r="M151" s="61"/>
      <c r="N151">
        <v>2060</v>
      </c>
      <c r="O151" s="61">
        <f>O132*'Demographic-Economic'!C$12</f>
        <v>0</v>
      </c>
      <c r="P151" s="61">
        <f>P132*'Demographic-Economic'!D$12</f>
        <v>0</v>
      </c>
      <c r="Q151" s="61">
        <f>Q132*'Demographic-Economic'!E$12</f>
        <v>0</v>
      </c>
      <c r="R151" s="61">
        <f>R132*'Demographic-Economic'!F$12</f>
        <v>0</v>
      </c>
      <c r="S151" s="61">
        <f>S132*'Demographic-Economic'!G$12</f>
        <v>0</v>
      </c>
      <c r="T151" s="61">
        <f>T132*'Demographic-Economic'!H$12</f>
        <v>0</v>
      </c>
      <c r="U151" s="407"/>
      <c r="W151">
        <v>2060</v>
      </c>
      <c r="X151" s="61">
        <f>X132*'Demographic-Economic'!C$12</f>
        <v>0</v>
      </c>
      <c r="Y151" s="61">
        <f>Y132*'Demographic-Economic'!D$12</f>
        <v>0</v>
      </c>
      <c r="Z151" s="61">
        <f>Z132*'Demographic-Economic'!E$12</f>
        <v>0</v>
      </c>
      <c r="AA151" s="61">
        <f>AA132*'Demographic-Economic'!F$12</f>
        <v>0</v>
      </c>
      <c r="AB151" s="61">
        <f>AB132*'Demographic-Economic'!G$12</f>
        <v>0</v>
      </c>
      <c r="AC151" s="61">
        <f>AC132*'Demographic-Economic'!H$12</f>
        <v>0</v>
      </c>
      <c r="AD151" s="407"/>
      <c r="AE151" s="61"/>
      <c r="AG151">
        <v>2060</v>
      </c>
      <c r="AH151" s="61">
        <f t="shared" si="53"/>
        <v>0</v>
      </c>
      <c r="AI151" s="61">
        <f t="shared" si="54"/>
        <v>0</v>
      </c>
      <c r="AJ151" s="61">
        <f t="shared" si="52"/>
        <v>0</v>
      </c>
      <c r="AK151" s="61">
        <f t="shared" si="52"/>
        <v>0</v>
      </c>
      <c r="AL151" s="61">
        <f t="shared" si="52"/>
        <v>0</v>
      </c>
      <c r="AM151" s="61">
        <f t="shared" si="52"/>
        <v>0</v>
      </c>
      <c r="AN151" s="407"/>
    </row>
    <row r="152" spans="5:43">
      <c r="E152">
        <v>2070</v>
      </c>
      <c r="F152" s="431">
        <f>F133*'Demographic-Economic'!C$12</f>
        <v>0</v>
      </c>
      <c r="G152" s="431">
        <f>G133*'Demographic-Economic'!D$12</f>
        <v>0</v>
      </c>
      <c r="H152" s="431">
        <f>H133*'Demographic-Economic'!E$12</f>
        <v>0</v>
      </c>
      <c r="I152" s="431">
        <f>I133*'Demographic-Economic'!F$12</f>
        <v>0</v>
      </c>
      <c r="J152" s="431">
        <f>J133*'Demographic-Economic'!G$12</f>
        <v>0</v>
      </c>
      <c r="K152" s="431">
        <f>K133*'Demographic-Economic'!H$12</f>
        <v>0</v>
      </c>
      <c r="L152" s="61"/>
      <c r="M152" s="61"/>
      <c r="N152">
        <v>2070</v>
      </c>
      <c r="O152" s="61">
        <f>O133*'Demographic-Economic'!C$12</f>
        <v>0</v>
      </c>
      <c r="P152" s="61">
        <f>P133*'Demographic-Economic'!D$12</f>
        <v>0</v>
      </c>
      <c r="Q152" s="61">
        <f>Q133*'Demographic-Economic'!E$12</f>
        <v>0</v>
      </c>
      <c r="R152" s="61">
        <f>R133*'Demographic-Economic'!F$12</f>
        <v>0</v>
      </c>
      <c r="S152" s="61">
        <f>S133*'Demographic-Economic'!G$12</f>
        <v>0</v>
      </c>
      <c r="T152" s="61">
        <f>T133*'Demographic-Economic'!H$12</f>
        <v>0</v>
      </c>
      <c r="U152" s="407"/>
      <c r="W152">
        <v>2070</v>
      </c>
      <c r="X152" s="61">
        <f>X133*'Demographic-Economic'!C$12</f>
        <v>0</v>
      </c>
      <c r="Y152" s="61">
        <f>Y133*'Demographic-Economic'!D$12</f>
        <v>0</v>
      </c>
      <c r="Z152" s="61">
        <f>Z133*'Demographic-Economic'!E$12</f>
        <v>0</v>
      </c>
      <c r="AA152" s="61">
        <f>AA133*'Demographic-Economic'!F$12</f>
        <v>0</v>
      </c>
      <c r="AB152" s="61">
        <f>AB133*'Demographic-Economic'!G$12</f>
        <v>0</v>
      </c>
      <c r="AC152" s="61">
        <f>AC133*'Demographic-Economic'!H$12</f>
        <v>0</v>
      </c>
      <c r="AD152" s="407"/>
      <c r="AE152" s="61"/>
      <c r="AG152">
        <v>2070</v>
      </c>
      <c r="AH152" s="61">
        <f t="shared" si="53"/>
        <v>0</v>
      </c>
      <c r="AI152" s="61">
        <f t="shared" si="54"/>
        <v>0</v>
      </c>
      <c r="AJ152" s="61">
        <f t="shared" si="52"/>
        <v>0</v>
      </c>
      <c r="AK152" s="61">
        <f t="shared" si="52"/>
        <v>0</v>
      </c>
      <c r="AL152" s="61">
        <f t="shared" si="52"/>
        <v>0</v>
      </c>
      <c r="AM152" s="61">
        <f t="shared" si="52"/>
        <v>0</v>
      </c>
      <c r="AN152" s="407"/>
    </row>
    <row r="153" spans="5:43">
      <c r="E153">
        <v>2080</v>
      </c>
      <c r="F153" s="431">
        <f>F134*'Demographic-Economic'!C$12</f>
        <v>0</v>
      </c>
      <c r="G153" s="431">
        <f>G134*'Demographic-Economic'!D$12</f>
        <v>0</v>
      </c>
      <c r="H153" s="431">
        <f>H134*'Demographic-Economic'!E$12</f>
        <v>0</v>
      </c>
      <c r="I153" s="431">
        <f>I134*'Demographic-Economic'!F$12</f>
        <v>0</v>
      </c>
      <c r="J153" s="431">
        <f>J134*'Demographic-Economic'!G$12</f>
        <v>0</v>
      </c>
      <c r="K153" s="431">
        <f>K134*'Demographic-Economic'!H$12</f>
        <v>0</v>
      </c>
      <c r="L153" s="61"/>
      <c r="M153" s="61"/>
      <c r="N153">
        <v>2080</v>
      </c>
      <c r="O153" s="61">
        <f>O134*'Demographic-Economic'!C$12</f>
        <v>0</v>
      </c>
      <c r="P153" s="61">
        <f>P134*'Demographic-Economic'!D$12</f>
        <v>0</v>
      </c>
      <c r="Q153" s="61">
        <f>Q134*'Demographic-Economic'!E$12</f>
        <v>0</v>
      </c>
      <c r="R153" s="61">
        <f>R134*'Demographic-Economic'!F$12</f>
        <v>0</v>
      </c>
      <c r="S153" s="61">
        <f>S134*'Demographic-Economic'!G$12</f>
        <v>0</v>
      </c>
      <c r="T153" s="61">
        <f>T134*'Demographic-Economic'!H$12</f>
        <v>0</v>
      </c>
      <c r="U153" s="407"/>
      <c r="W153">
        <v>2080</v>
      </c>
      <c r="X153" s="61">
        <f>X134*'Demographic-Economic'!C$12</f>
        <v>0</v>
      </c>
      <c r="Y153" s="61">
        <f>Y134*'Demographic-Economic'!D$12</f>
        <v>0</v>
      </c>
      <c r="Z153" s="61">
        <f>Z134*'Demographic-Economic'!E$12</f>
        <v>0</v>
      </c>
      <c r="AA153" s="61">
        <f>AA134*'Demographic-Economic'!F$12</f>
        <v>0</v>
      </c>
      <c r="AB153" s="61">
        <f>AB134*'Demographic-Economic'!G$12</f>
        <v>0</v>
      </c>
      <c r="AC153" s="61">
        <f>AC134*'Demographic-Economic'!H$12</f>
        <v>0</v>
      </c>
      <c r="AD153" s="407"/>
      <c r="AE153" s="61"/>
      <c r="AG153">
        <v>2080</v>
      </c>
      <c r="AH153" s="61">
        <f t="shared" si="53"/>
        <v>0</v>
      </c>
      <c r="AI153" s="61">
        <f t="shared" si="54"/>
        <v>0</v>
      </c>
      <c r="AJ153" s="61">
        <f t="shared" si="52"/>
        <v>0</v>
      </c>
      <c r="AK153" s="61">
        <f t="shared" si="52"/>
        <v>0</v>
      </c>
      <c r="AL153" s="61">
        <f t="shared" si="52"/>
        <v>0</v>
      </c>
      <c r="AM153" s="61">
        <f t="shared" si="52"/>
        <v>0</v>
      </c>
      <c r="AN153" s="407"/>
    </row>
    <row r="154" spans="5:43">
      <c r="E154">
        <v>2090</v>
      </c>
      <c r="F154" s="431">
        <f>F135*'Demographic-Economic'!C$12</f>
        <v>0</v>
      </c>
      <c r="G154" s="431">
        <f>G135*'Demographic-Economic'!D$12</f>
        <v>0</v>
      </c>
      <c r="H154" s="431">
        <f>H135*'Demographic-Economic'!E$12</f>
        <v>0</v>
      </c>
      <c r="I154" s="431">
        <f>I135*'Demographic-Economic'!F$12</f>
        <v>0</v>
      </c>
      <c r="J154" s="431">
        <f>J135*'Demographic-Economic'!G$12</f>
        <v>0</v>
      </c>
      <c r="K154" s="431">
        <f>K135*'Demographic-Economic'!H$12</f>
        <v>0</v>
      </c>
      <c r="L154" s="61"/>
      <c r="M154" s="61"/>
      <c r="N154">
        <v>2090</v>
      </c>
      <c r="O154" s="61">
        <f>O135*'Demographic-Economic'!C$12</f>
        <v>0</v>
      </c>
      <c r="P154" s="61">
        <f>P135*'Demographic-Economic'!D$12</f>
        <v>0</v>
      </c>
      <c r="Q154" s="61">
        <f>Q135*'Demographic-Economic'!E$12</f>
        <v>0</v>
      </c>
      <c r="R154" s="61">
        <f>R135*'Demographic-Economic'!F$12</f>
        <v>0</v>
      </c>
      <c r="S154" s="61">
        <f>S135*'Demographic-Economic'!G$12</f>
        <v>0</v>
      </c>
      <c r="T154" s="61">
        <f>T135*'Demographic-Economic'!H$12</f>
        <v>0</v>
      </c>
      <c r="U154" s="407"/>
      <c r="W154">
        <v>2090</v>
      </c>
      <c r="X154" s="61">
        <f>X135*'Demographic-Economic'!C$12</f>
        <v>0</v>
      </c>
      <c r="Y154" s="61">
        <f>Y135*'Demographic-Economic'!D$12</f>
        <v>0</v>
      </c>
      <c r="Z154" s="61">
        <f>Z135*'Demographic-Economic'!E$12</f>
        <v>0</v>
      </c>
      <c r="AA154" s="61">
        <f>AA135*'Demographic-Economic'!F$12</f>
        <v>0</v>
      </c>
      <c r="AB154" s="61">
        <f>AB135*'Demographic-Economic'!G$12</f>
        <v>0</v>
      </c>
      <c r="AC154" s="61">
        <f>AC135*'Demographic-Economic'!H$12</f>
        <v>0</v>
      </c>
      <c r="AD154" s="407"/>
      <c r="AE154" s="61"/>
      <c r="AG154">
        <v>2090</v>
      </c>
      <c r="AH154" s="61">
        <f t="shared" si="53"/>
        <v>0</v>
      </c>
      <c r="AI154" s="61">
        <f t="shared" si="54"/>
        <v>0</v>
      </c>
      <c r="AJ154" s="61">
        <f t="shared" si="52"/>
        <v>0</v>
      </c>
      <c r="AK154" s="61">
        <f t="shared" si="52"/>
        <v>0</v>
      </c>
      <c r="AL154" s="61">
        <f t="shared" si="52"/>
        <v>0</v>
      </c>
      <c r="AM154" s="61">
        <f t="shared" si="52"/>
        <v>0</v>
      </c>
      <c r="AN154" s="407"/>
    </row>
    <row r="155" spans="5:43">
      <c r="E155">
        <v>2100</v>
      </c>
      <c r="F155" s="431">
        <f>F136*'Demographic-Economic'!C$12</f>
        <v>0</v>
      </c>
      <c r="G155" s="431">
        <f>G136*'Demographic-Economic'!D$12</f>
        <v>0</v>
      </c>
      <c r="H155" s="431">
        <f>H136*'Demographic-Economic'!E$12</f>
        <v>0</v>
      </c>
      <c r="I155" s="431">
        <f>I136*'Demographic-Economic'!F$12</f>
        <v>0</v>
      </c>
      <c r="J155" s="431">
        <f>J136*'Demographic-Economic'!G$12</f>
        <v>0</v>
      </c>
      <c r="K155" s="431">
        <f>K136*'Demographic-Economic'!H$12</f>
        <v>0</v>
      </c>
      <c r="L155" s="61"/>
      <c r="M155" s="61"/>
      <c r="N155">
        <v>2100</v>
      </c>
      <c r="O155" s="61">
        <f>O136*'Demographic-Economic'!C$12</f>
        <v>0</v>
      </c>
      <c r="P155" s="61">
        <f>P136*'Demographic-Economic'!D$12</f>
        <v>0</v>
      </c>
      <c r="Q155" s="61">
        <f>Q136*'Demographic-Economic'!E$12</f>
        <v>0</v>
      </c>
      <c r="R155" s="61">
        <f>R136*'Demographic-Economic'!F$12</f>
        <v>0</v>
      </c>
      <c r="S155" s="61">
        <f>S136*'Demographic-Economic'!G$12</f>
        <v>0</v>
      </c>
      <c r="T155" s="61">
        <f>T136*'Demographic-Economic'!H$12</f>
        <v>0</v>
      </c>
      <c r="U155" s="407"/>
      <c r="W155">
        <v>2100</v>
      </c>
      <c r="X155" s="61">
        <f>X136*'Demographic-Economic'!C$12</f>
        <v>0</v>
      </c>
      <c r="Y155" s="61">
        <f>Y136*'Demographic-Economic'!D$12</f>
        <v>0</v>
      </c>
      <c r="Z155" s="61">
        <f>Z136*'Demographic-Economic'!E$12</f>
        <v>0</v>
      </c>
      <c r="AA155" s="61">
        <f>AA136*'Demographic-Economic'!F$12</f>
        <v>0</v>
      </c>
      <c r="AB155" s="61">
        <f>AB136*'Demographic-Economic'!G$12</f>
        <v>0</v>
      </c>
      <c r="AC155" s="61">
        <f>AC136*'Demographic-Economic'!H$12</f>
        <v>0</v>
      </c>
      <c r="AD155" s="407"/>
      <c r="AE155" s="61"/>
      <c r="AG155">
        <v>2100</v>
      </c>
      <c r="AH155" s="61">
        <f t="shared" si="53"/>
        <v>0</v>
      </c>
      <c r="AI155" s="61">
        <f t="shared" si="54"/>
        <v>0</v>
      </c>
      <c r="AJ155" s="61">
        <f t="shared" ref="AJ155:AM155" si="55">-SUM($AH155:$AI155) * (AJ117/SUM($AJ117:$AM117))</f>
        <v>0</v>
      </c>
      <c r="AK155" s="61">
        <f t="shared" si="55"/>
        <v>0</v>
      </c>
      <c r="AL155" s="61">
        <f t="shared" si="55"/>
        <v>0</v>
      </c>
      <c r="AM155" s="61">
        <f t="shared" si="55"/>
        <v>0</v>
      </c>
      <c r="AN155" s="407"/>
    </row>
    <row r="156" spans="5:43">
      <c r="F156" s="581" t="s">
        <v>286</v>
      </c>
      <c r="G156" s="581"/>
      <c r="H156" s="581"/>
      <c r="I156" s="581"/>
      <c r="J156" s="581"/>
      <c r="K156" s="581"/>
      <c r="L156" s="61"/>
      <c r="M156" s="61"/>
      <c r="O156" s="581" t="s">
        <v>286</v>
      </c>
      <c r="P156" s="581"/>
      <c r="Q156" s="581"/>
      <c r="R156" s="581"/>
      <c r="S156" s="581"/>
      <c r="T156" s="581"/>
      <c r="U156" s="407"/>
      <c r="X156" s="581" t="s">
        <v>286</v>
      </c>
      <c r="Y156" s="581"/>
      <c r="Z156" s="581"/>
      <c r="AA156" s="581"/>
      <c r="AB156" s="581"/>
      <c r="AC156" s="581"/>
      <c r="AD156" s="407"/>
      <c r="AE156" s="61"/>
      <c r="AH156" s="581" t="s">
        <v>286</v>
      </c>
      <c r="AI156" s="581"/>
      <c r="AJ156" s="581"/>
      <c r="AK156" s="581"/>
      <c r="AL156" s="581"/>
      <c r="AM156" s="581"/>
      <c r="AN156" s="407"/>
    </row>
    <row r="157" spans="5:43">
      <c r="E157">
        <v>2020</v>
      </c>
      <c r="F157" s="431">
        <f>F119-F138</f>
        <v>-718.93051199999991</v>
      </c>
      <c r="G157" s="431">
        <f t="shared" ref="G157:K157" si="56">G119-G138</f>
        <v>-728.73620400000027</v>
      </c>
      <c r="H157" s="431">
        <f t="shared" si="56"/>
        <v>833.91697088953106</v>
      </c>
      <c r="I157" s="431">
        <f t="shared" si="56"/>
        <v>410.88141999903632</v>
      </c>
      <c r="J157" s="431">
        <f t="shared" si="56"/>
        <v>292.40334503342285</v>
      </c>
      <c r="K157" s="431">
        <f t="shared" si="56"/>
        <v>67.876597734020379</v>
      </c>
      <c r="L157" s="61"/>
      <c r="M157" s="61"/>
      <c r="N157">
        <v>2020</v>
      </c>
      <c r="O157" s="61">
        <f>O119-O138</f>
        <v>-718.93051199999991</v>
      </c>
      <c r="P157" s="61">
        <f t="shared" ref="P157:T157" si="57">P119-P138</f>
        <v>-728.73620400000027</v>
      </c>
      <c r="Q157" s="61">
        <f t="shared" si="57"/>
        <v>833.91697088953106</v>
      </c>
      <c r="R157" s="61">
        <f t="shared" si="57"/>
        <v>410.88141999903632</v>
      </c>
      <c r="S157" s="61">
        <f t="shared" si="57"/>
        <v>292.40334503342285</v>
      </c>
      <c r="T157" s="61">
        <f t="shared" si="57"/>
        <v>67.876597734020379</v>
      </c>
      <c r="U157" s="407"/>
      <c r="W157">
        <v>2020</v>
      </c>
      <c r="X157" s="61">
        <f>X119-X138</f>
        <v>-718.93051199999991</v>
      </c>
      <c r="Y157" s="61">
        <f t="shared" ref="Y157:AC157" si="58">Y119-Y138</f>
        <v>-728.73620400000027</v>
      </c>
      <c r="Z157" s="61">
        <f t="shared" si="58"/>
        <v>833.91697088953106</v>
      </c>
      <c r="AA157" s="61">
        <f t="shared" si="58"/>
        <v>410.88141999903632</v>
      </c>
      <c r="AB157" s="61">
        <f t="shared" si="58"/>
        <v>292.40334503342285</v>
      </c>
      <c r="AC157" s="61">
        <f t="shared" si="58"/>
        <v>67.876597734020379</v>
      </c>
      <c r="AD157" s="407"/>
      <c r="AG157">
        <v>2020</v>
      </c>
      <c r="AH157" s="61">
        <f>-AH43*$C$4</f>
        <v>-718.93051200000014</v>
      </c>
      <c r="AI157" s="61">
        <f>-AI43*$C$3</f>
        <v>-728.73620400000038</v>
      </c>
      <c r="AJ157" s="61">
        <f>-SUM($AH157:$AI157) * (AJ100/SUM($AJ100:$AM100))</f>
        <v>762.33812872018768</v>
      </c>
      <c r="AK157" s="61">
        <f t="shared" ref="AK157:AM157" si="59">-SUM($AH157:$AI157) * (AK100/SUM($AJ100:$AM100))</f>
        <v>368.75309800513367</v>
      </c>
      <c r="AL157" s="61">
        <f t="shared" si="59"/>
        <v>239.46077533855711</v>
      </c>
      <c r="AM157" s="61">
        <f t="shared" si="59"/>
        <v>77.114713936122087</v>
      </c>
      <c r="AN157" s="407"/>
    </row>
    <row r="158" spans="5:43">
      <c r="E158">
        <v>2021</v>
      </c>
      <c r="F158" s="431">
        <f t="shared" ref="F158:K173" si="60">F120-F139</f>
        <v>-723.302235494672</v>
      </c>
      <c r="G158" s="431">
        <f t="shared" si="60"/>
        <v>-732.98421691687918</v>
      </c>
      <c r="H158" s="431">
        <f t="shared" si="60"/>
        <v>886.60316507445896</v>
      </c>
      <c r="I158" s="431">
        <f t="shared" si="60"/>
        <v>377.46601682160258</v>
      </c>
      <c r="J158" s="431">
        <f t="shared" si="60"/>
        <v>279.64257249339346</v>
      </c>
      <c r="K158" s="431">
        <f t="shared" si="60"/>
        <v>68.642777208306541</v>
      </c>
      <c r="L158" s="61"/>
      <c r="M158" s="61"/>
      <c r="N158">
        <v>2021</v>
      </c>
      <c r="O158" s="61">
        <f t="shared" ref="O158:T173" si="61">O120-O139</f>
        <v>-724.88991217872535</v>
      </c>
      <c r="P158" s="61">
        <f t="shared" si="61"/>
        <v>-734.59314592866667</v>
      </c>
      <c r="Q158" s="61">
        <f t="shared" si="61"/>
        <v>885.55017679171442</v>
      </c>
      <c r="R158" s="61">
        <f t="shared" si="61"/>
        <v>381.1625085807284</v>
      </c>
      <c r="S158" s="61">
        <f t="shared" si="61"/>
        <v>279.97591425283645</v>
      </c>
      <c r="T158" s="61">
        <f t="shared" si="61"/>
        <v>69.143335415975685</v>
      </c>
      <c r="U158" s="407"/>
      <c r="W158">
        <v>2021</v>
      </c>
      <c r="X158" s="61">
        <f t="shared" ref="X158:AC173" si="62">X120-X139</f>
        <v>-726.31166419396504</v>
      </c>
      <c r="Y158" s="61">
        <f t="shared" si="62"/>
        <v>-736.03392923666752</v>
      </c>
      <c r="Z158" s="61">
        <f t="shared" si="62"/>
        <v>884.50465874178917</v>
      </c>
      <c r="AA158" s="61">
        <f t="shared" si="62"/>
        <v>384.57077673401909</v>
      </c>
      <c r="AB158" s="61">
        <f t="shared" si="62"/>
        <v>280.26482609444759</v>
      </c>
      <c r="AC158" s="61">
        <f t="shared" si="62"/>
        <v>69.603548060658397</v>
      </c>
      <c r="AD158" s="407"/>
      <c r="AG158">
        <v>2021</v>
      </c>
      <c r="AH158" s="61">
        <f t="shared" ref="AH158:AH167" si="63">-AH44*$C$4</f>
        <v>-723.51071830823832</v>
      </c>
      <c r="AI158" s="61">
        <f t="shared" ref="AI158:AI167" si="64">-AI44*$C$3</f>
        <v>-733.19549044037103</v>
      </c>
      <c r="AJ158" s="61">
        <f t="shared" ref="AJ158:AM173" si="65">-SUM($AH158:$AI158) * (AJ101/SUM($AJ101:$AM101))</f>
        <v>810.39562139745522</v>
      </c>
      <c r="AK158" s="61">
        <f t="shared" si="65"/>
        <v>339.19953564288454</v>
      </c>
      <c r="AL158" s="61">
        <f t="shared" si="65"/>
        <v>229.05075232992417</v>
      </c>
      <c r="AM158" s="61">
        <f t="shared" si="65"/>
        <v>78.060299378345235</v>
      </c>
      <c r="AN158" s="407"/>
    </row>
    <row r="159" spans="5:43">
      <c r="E159">
        <v>2022</v>
      </c>
      <c r="F159" s="431">
        <f t="shared" si="60"/>
        <v>-727.67172819444022</v>
      </c>
      <c r="G159" s="431">
        <f t="shared" si="60"/>
        <v>-737.22779963679068</v>
      </c>
      <c r="H159" s="431">
        <f t="shared" si="60"/>
        <v>934.49872671480853</v>
      </c>
      <c r="I159" s="431">
        <f t="shared" si="60"/>
        <v>347.70593167232278</v>
      </c>
      <c r="J159" s="431">
        <f t="shared" si="60"/>
        <v>268.28244600384096</v>
      </c>
      <c r="K159" s="431">
        <f t="shared" si="60"/>
        <v>69.360455174440176</v>
      </c>
      <c r="L159" s="61"/>
      <c r="M159" s="61"/>
      <c r="N159">
        <v>2022</v>
      </c>
      <c r="O159" s="61">
        <f t="shared" si="61"/>
        <v>-730.84628772420456</v>
      </c>
      <c r="P159" s="61">
        <f t="shared" si="61"/>
        <v>-740.44404873135318</v>
      </c>
      <c r="Q159" s="61">
        <f t="shared" si="61"/>
        <v>934.28301974458964</v>
      </c>
      <c r="R159" s="61">
        <f t="shared" si="61"/>
        <v>353.62416748337023</v>
      </c>
      <c r="S159" s="61">
        <f t="shared" si="61"/>
        <v>268.47932048420739</v>
      </c>
      <c r="T159" s="61">
        <f t="shared" si="61"/>
        <v>70.34199005457333</v>
      </c>
      <c r="U159" s="407"/>
      <c r="W159">
        <v>2022</v>
      </c>
      <c r="X159" s="61">
        <f t="shared" si="62"/>
        <v>-733.68908087867658</v>
      </c>
      <c r="Y159" s="61">
        <f t="shared" si="62"/>
        <v>-743.3241745640471</v>
      </c>
      <c r="Z159" s="61">
        <f t="shared" si="62"/>
        <v>933.80598412136987</v>
      </c>
      <c r="AA159" s="61">
        <f t="shared" si="62"/>
        <v>359.21499332679991</v>
      </c>
      <c r="AB159" s="61">
        <f t="shared" si="62"/>
        <v>268.59117851500923</v>
      </c>
      <c r="AC159" s="61">
        <f t="shared" si="62"/>
        <v>71.265866679433032</v>
      </c>
      <c r="AD159" s="407"/>
      <c r="AG159">
        <v>2022</v>
      </c>
      <c r="AH159" s="61">
        <f t="shared" si="63"/>
        <v>-728.08858958016572</v>
      </c>
      <c r="AI159" s="61">
        <f t="shared" si="64"/>
        <v>-737.65013541025064</v>
      </c>
      <c r="AJ159" s="61">
        <f t="shared" si="65"/>
        <v>854.30632126044452</v>
      </c>
      <c r="AK159" s="61">
        <f t="shared" si="65"/>
        <v>312.74672145182797</v>
      </c>
      <c r="AL159" s="61">
        <f t="shared" si="65"/>
        <v>219.73925245612574</v>
      </c>
      <c r="AM159" s="61">
        <f t="shared" si="65"/>
        <v>78.946429822018146</v>
      </c>
      <c r="AN159" s="407"/>
    </row>
    <row r="160" spans="5:43">
      <c r="E160">
        <v>2023</v>
      </c>
      <c r="F160" s="431">
        <f t="shared" si="60"/>
        <v>-732.03899094146846</v>
      </c>
      <c r="G160" s="431">
        <f t="shared" si="60"/>
        <v>-741.46695552792789</v>
      </c>
      <c r="H160" s="431">
        <f t="shared" si="60"/>
        <v>978.30924004066173</v>
      </c>
      <c r="I160" s="431">
        <f t="shared" si="60"/>
        <v>321.06222269746286</v>
      </c>
      <c r="J160" s="431">
        <f t="shared" si="60"/>
        <v>258.11595267587154</v>
      </c>
      <c r="K160" s="431">
        <f t="shared" si="60"/>
        <v>70.036847714420787</v>
      </c>
      <c r="L160" s="61"/>
      <c r="M160" s="61"/>
      <c r="N160">
        <v>2023</v>
      </c>
      <c r="O160" s="61">
        <f t="shared" si="61"/>
        <v>-736.79963977629086</v>
      </c>
      <c r="P160" s="61">
        <f t="shared" si="61"/>
        <v>-746.28891698295047</v>
      </c>
      <c r="Q160" s="61">
        <f t="shared" si="61"/>
        <v>980.35892119063783</v>
      </c>
      <c r="R160" s="61">
        <f t="shared" si="61"/>
        <v>328.08229686253958</v>
      </c>
      <c r="S160" s="61">
        <f t="shared" si="61"/>
        <v>257.83486176729718</v>
      </c>
      <c r="T160" s="61">
        <f t="shared" si="61"/>
        <v>71.478859209898587</v>
      </c>
      <c r="U160" s="407"/>
      <c r="W160">
        <v>2023</v>
      </c>
      <c r="X160" s="61">
        <f t="shared" si="62"/>
        <v>-741.0627634605662</v>
      </c>
      <c r="Y160" s="61">
        <f t="shared" si="62"/>
        <v>-750.60694563761717</v>
      </c>
      <c r="Z160" s="61">
        <f t="shared" si="62"/>
        <v>981.78130288123975</v>
      </c>
      <c r="AA160" s="61">
        <f t="shared" si="62"/>
        <v>334.8413724245795</v>
      </c>
      <c r="AB160" s="61">
        <f t="shared" si="62"/>
        <v>257.39499764499305</v>
      </c>
      <c r="AC160" s="61">
        <f t="shared" si="62"/>
        <v>72.864813029358459</v>
      </c>
      <c r="AD160" s="407"/>
      <c r="AG160">
        <v>2023</v>
      </c>
      <c r="AH160" s="61">
        <f t="shared" si="63"/>
        <v>-732.66412669703686</v>
      </c>
      <c r="AI160" s="61">
        <f t="shared" si="64"/>
        <v>-742.1001424362878</v>
      </c>
      <c r="AJ160" s="61">
        <f t="shared" si="65"/>
        <v>894.65192620519531</v>
      </c>
      <c r="AK160" s="61">
        <f t="shared" si="65"/>
        <v>288.95916421872357</v>
      </c>
      <c r="AL160" s="61">
        <f t="shared" si="65"/>
        <v>211.3716158900217</v>
      </c>
      <c r="AM160" s="61">
        <f t="shared" si="65"/>
        <v>79.781562819384135</v>
      </c>
      <c r="AN160" s="407"/>
    </row>
    <row r="161" spans="5:40">
      <c r="E161">
        <v>2024</v>
      </c>
      <c r="F161" s="431">
        <f t="shared" si="60"/>
        <v>-736.40402457764048</v>
      </c>
      <c r="G161" s="431">
        <f t="shared" si="60"/>
        <v>-745.70168795622385</v>
      </c>
      <c r="H161" s="431">
        <f t="shared" si="60"/>
        <v>1018.609618752218</v>
      </c>
      <c r="I161" s="431">
        <f t="shared" si="60"/>
        <v>297.09576216005053</v>
      </c>
      <c r="J161" s="431">
        <f t="shared" si="60"/>
        <v>248.97441474354139</v>
      </c>
      <c r="K161" s="431">
        <f t="shared" si="60"/>
        <v>70.677833272606279</v>
      </c>
      <c r="L161" s="61"/>
      <c r="M161" s="61"/>
      <c r="N161">
        <v>2024</v>
      </c>
      <c r="O161" s="61">
        <f t="shared" si="61"/>
        <v>-742.74996947445879</v>
      </c>
      <c r="P161" s="61">
        <f t="shared" si="61"/>
        <v>-752.12775525528377</v>
      </c>
      <c r="Q161" s="61">
        <f t="shared" si="61"/>
        <v>1023.9985190187745</v>
      </c>
      <c r="R161" s="61">
        <f t="shared" si="61"/>
        <v>304.37009485629278</v>
      </c>
      <c r="S161" s="61">
        <f t="shared" si="61"/>
        <v>247.97119700680037</v>
      </c>
      <c r="T161" s="61">
        <f t="shared" si="61"/>
        <v>72.559602678451142</v>
      </c>
      <c r="U161" s="407"/>
      <c r="W161">
        <v>2024</v>
      </c>
      <c r="X161" s="61">
        <f t="shared" si="62"/>
        <v>-748.43271334559768</v>
      </c>
      <c r="Y161" s="61">
        <f t="shared" si="62"/>
        <v>-757.88224810906968</v>
      </c>
      <c r="Z161" s="61">
        <f t="shared" si="62"/>
        <v>1028.4070481543231</v>
      </c>
      <c r="AA161" s="61">
        <f t="shared" si="62"/>
        <v>311.46552666467574</v>
      </c>
      <c r="AB161" s="61">
        <f t="shared" si="62"/>
        <v>246.68321556577735</v>
      </c>
      <c r="AC161" s="61">
        <f t="shared" si="62"/>
        <v>74.402026790025332</v>
      </c>
      <c r="AD161" s="407"/>
      <c r="AG161">
        <v>2024</v>
      </c>
      <c r="AH161" s="61">
        <f t="shared" si="63"/>
        <v>-737.23733053981323</v>
      </c>
      <c r="AI161" s="61">
        <f t="shared" si="64"/>
        <v>-746.54551504276503</v>
      </c>
      <c r="AJ161" s="61">
        <f t="shared" si="65"/>
        <v>931.91158321705927</v>
      </c>
      <c r="AK161" s="61">
        <f t="shared" si="65"/>
        <v>267.47815521418198</v>
      </c>
      <c r="AL161" s="61">
        <f t="shared" si="65"/>
        <v>203.8204454177494</v>
      </c>
      <c r="AM161" s="61">
        <f t="shared" si="65"/>
        <v>80.572661733587751</v>
      </c>
      <c r="AN161" s="407"/>
    </row>
    <row r="162" spans="5:40">
      <c r="E162">
        <v>2025</v>
      </c>
      <c r="F162" s="431">
        <f t="shared" si="60"/>
        <v>-740.76682994455723</v>
      </c>
      <c r="G162" s="431">
        <f t="shared" si="60"/>
        <v>-749.93200028535284</v>
      </c>
      <c r="H162" s="431">
        <f t="shared" si="60"/>
        <v>1055.872891217658</v>
      </c>
      <c r="I162" s="431">
        <f t="shared" si="60"/>
        <v>275.44524896470068</v>
      </c>
      <c r="J162" s="431">
        <f t="shared" si="60"/>
        <v>240.71904489080066</v>
      </c>
      <c r="K162" s="431">
        <f t="shared" si="60"/>
        <v>71.288246916005335</v>
      </c>
      <c r="L162" s="61"/>
      <c r="M162" s="61"/>
      <c r="N162">
        <v>2025</v>
      </c>
      <c r="O162" s="61">
        <f t="shared" si="61"/>
        <v>-748.69727795779954</v>
      </c>
      <c r="P162" s="61">
        <f t="shared" si="61"/>
        <v>-757.96056811711605</v>
      </c>
      <c r="Q162" s="61">
        <f t="shared" si="61"/>
        <v>1065.401899045105</v>
      </c>
      <c r="R162" s="61">
        <f t="shared" si="61"/>
        <v>282.33635568177272</v>
      </c>
      <c r="S162" s="61">
        <f t="shared" si="61"/>
        <v>238.82362582443454</v>
      </c>
      <c r="T162" s="61">
        <f t="shared" si="61"/>
        <v>73.589310462145534</v>
      </c>
      <c r="U162" s="407"/>
      <c r="W162">
        <v>2025</v>
      </c>
      <c r="X162" s="61">
        <f t="shared" si="62"/>
        <v>-755.79893193926364</v>
      </c>
      <c r="Y162" s="61">
        <f t="shared" si="62"/>
        <v>-765.15008762631442</v>
      </c>
      <c r="Z162" s="61">
        <f t="shared" si="62"/>
        <v>1073.6736363427694</v>
      </c>
      <c r="AA162" s="61">
        <f t="shared" si="62"/>
        <v>289.09292182134277</v>
      </c>
      <c r="AB162" s="61">
        <f t="shared" si="62"/>
        <v>236.45785742001931</v>
      </c>
      <c r="AC162" s="61">
        <f t="shared" si="62"/>
        <v>75.879448626531882</v>
      </c>
      <c r="AD162" s="407"/>
      <c r="AG162">
        <v>2025</v>
      </c>
      <c r="AH162" s="61">
        <f t="shared" si="63"/>
        <v>-741.80820198916035</v>
      </c>
      <c r="AI162" s="61">
        <f t="shared" si="64"/>
        <v>-750.98625675159974</v>
      </c>
      <c r="AJ162" s="61">
        <f t="shared" si="65"/>
        <v>966.48341838522481</v>
      </c>
      <c r="AK162" s="61">
        <f t="shared" si="65"/>
        <v>248.00564826886239</v>
      </c>
      <c r="AL162" s="61">
        <f t="shared" si="65"/>
        <v>196.97988298433876</v>
      </c>
      <c r="AM162" s="61">
        <f t="shared" si="65"/>
        <v>81.325509102334181</v>
      </c>
      <c r="AN162" s="407"/>
    </row>
    <row r="163" spans="5:40">
      <c r="E163">
        <v>2026</v>
      </c>
      <c r="F163" s="431">
        <f t="shared" si="60"/>
        <v>-745.12740788353904</v>
      </c>
      <c r="G163" s="431">
        <f t="shared" si="60"/>
        <v>-754.15789587673089</v>
      </c>
      <c r="H163" s="431">
        <f t="shared" si="60"/>
        <v>1090.4917148370164</v>
      </c>
      <c r="I163" s="431">
        <f t="shared" si="60"/>
        <v>255.81077481245586</v>
      </c>
      <c r="J163" s="431">
        <f t="shared" si="60"/>
        <v>233.23463464116639</v>
      </c>
      <c r="K163" s="431">
        <f t="shared" si="60"/>
        <v>71.872100382752535</v>
      </c>
      <c r="L163" s="61"/>
      <c r="M163" s="61"/>
      <c r="N163">
        <v>2026</v>
      </c>
      <c r="O163" s="61">
        <f t="shared" si="61"/>
        <v>-754.64156636502639</v>
      </c>
      <c r="P163" s="61">
        <f t="shared" si="61"/>
        <v>-763.78736013414709</v>
      </c>
      <c r="Q163" s="61">
        <f t="shared" si="61"/>
        <v>1104.750620121732</v>
      </c>
      <c r="R163" s="61">
        <f t="shared" si="61"/>
        <v>261.84392634155927</v>
      </c>
      <c r="S163" s="61">
        <f t="shared" si="61"/>
        <v>230.33343488650428</v>
      </c>
      <c r="T163" s="61">
        <f t="shared" si="61"/>
        <v>74.57256358255313</v>
      </c>
      <c r="U163" s="407"/>
      <c r="W163">
        <v>2026</v>
      </c>
      <c r="X163" s="61">
        <f t="shared" si="62"/>
        <v>-763.16142064658834</v>
      </c>
      <c r="Y163" s="61">
        <f t="shared" si="62"/>
        <v>-772.41046983348042</v>
      </c>
      <c r="Z163" s="61">
        <f t="shared" si="62"/>
        <v>1117.5834700019045</v>
      </c>
      <c r="AA163" s="61">
        <f t="shared" si="62"/>
        <v>267.72034545887675</v>
      </c>
      <c r="AB163" s="61">
        <f t="shared" si="62"/>
        <v>226.7167599312329</v>
      </c>
      <c r="AC163" s="61">
        <f t="shared" si="62"/>
        <v>77.299249069482812</v>
      </c>
      <c r="AD163" s="407"/>
      <c r="AG163">
        <v>2026</v>
      </c>
      <c r="AH163" s="61">
        <f t="shared" si="63"/>
        <v>-746.3767419254491</v>
      </c>
      <c r="AI163" s="61">
        <f t="shared" si="64"/>
        <v>-755.42237108234735</v>
      </c>
      <c r="AJ163" s="61">
        <f t="shared" si="65"/>
        <v>998.70087593006713</v>
      </c>
      <c r="AK163" s="61">
        <f t="shared" si="65"/>
        <v>230.29202631563155</v>
      </c>
      <c r="AL163" s="61">
        <f t="shared" si="65"/>
        <v>190.76126620060492</v>
      </c>
      <c r="AM163" s="61">
        <f t="shared" si="65"/>
        <v>82.044944561492883</v>
      </c>
      <c r="AN163" s="407"/>
    </row>
    <row r="164" spans="5:40">
      <c r="E164">
        <v>2027</v>
      </c>
      <c r="F164" s="431">
        <f t="shared" si="60"/>
        <v>-749.48575923562476</v>
      </c>
      <c r="G164" s="431">
        <f t="shared" si="60"/>
        <v>-758.3793780895171</v>
      </c>
      <c r="H164" s="431">
        <f t="shared" si="60"/>
        <v>1122.7946724870062</v>
      </c>
      <c r="I164" s="431">
        <f t="shared" si="60"/>
        <v>237.94137596825419</v>
      </c>
      <c r="J164" s="431">
        <f t="shared" si="60"/>
        <v>226.42477353189463</v>
      </c>
      <c r="K164" s="431">
        <f t="shared" si="60"/>
        <v>72.432748842738818</v>
      </c>
      <c r="L164" s="61"/>
      <c r="M164" s="61"/>
      <c r="N164">
        <v>2027</v>
      </c>
      <c r="O164" s="61">
        <f t="shared" si="61"/>
        <v>-760.58283583446882</v>
      </c>
      <c r="P164" s="61">
        <f t="shared" si="61"/>
        <v>-769.60813586901941</v>
      </c>
      <c r="Q164" s="61">
        <f t="shared" si="61"/>
        <v>1142.2095456291418</v>
      </c>
      <c r="R164" s="61">
        <f t="shared" si="61"/>
        <v>242.76831186191691</v>
      </c>
      <c r="S164" s="61">
        <f t="shared" si="61"/>
        <v>222.4473066268099</v>
      </c>
      <c r="T164" s="61">
        <f t="shared" si="61"/>
        <v>75.513488378757586</v>
      </c>
      <c r="U164" s="407"/>
      <c r="W164">
        <v>2027</v>
      </c>
      <c r="X164" s="61">
        <f t="shared" si="62"/>
        <v>-770.52018087212628</v>
      </c>
      <c r="Y164" s="61">
        <f t="shared" si="62"/>
        <v>-779.66340037091641</v>
      </c>
      <c r="Z164" s="61">
        <f t="shared" si="62"/>
        <v>1160.1490708936844</v>
      </c>
      <c r="AA164" s="61">
        <f t="shared" si="62"/>
        <v>247.33727728135466</v>
      </c>
      <c r="AB164" s="61">
        <f t="shared" si="62"/>
        <v>217.45424074321738</v>
      </c>
      <c r="AC164" s="61">
        <f t="shared" si="62"/>
        <v>78.663765759808143</v>
      </c>
      <c r="AD164" s="407"/>
      <c r="AG164">
        <v>2027</v>
      </c>
      <c r="AH164" s="61">
        <f t="shared" si="63"/>
        <v>-750.94295122875735</v>
      </c>
      <c r="AI164" s="61">
        <f t="shared" si="64"/>
        <v>-759.85386155219987</v>
      </c>
      <c r="AJ164" s="61">
        <f t="shared" si="65"/>
        <v>1028.8452675326625</v>
      </c>
      <c r="AK164" s="61">
        <f t="shared" si="65"/>
        <v>214.12670529364911</v>
      </c>
      <c r="AL164" s="61">
        <f t="shared" si="65"/>
        <v>185.08979229054228</v>
      </c>
      <c r="AM164" s="61">
        <f t="shared" si="65"/>
        <v>82.735047664103305</v>
      </c>
      <c r="AN164" s="407"/>
    </row>
    <row r="165" spans="5:40">
      <c r="E165">
        <v>2028</v>
      </c>
      <c r="F165" s="431">
        <f t="shared" si="60"/>
        <v>-753.8418848415713</v>
      </c>
      <c r="G165" s="431">
        <f t="shared" si="60"/>
        <v>-762.59645028061686</v>
      </c>
      <c r="H165" s="431">
        <f t="shared" si="60"/>
        <v>1153.0587678861411</v>
      </c>
      <c r="I165" s="431">
        <f t="shared" si="60"/>
        <v>221.62548844564708</v>
      </c>
      <c r="J165" s="431">
        <f t="shared" si="60"/>
        <v>220.20818340715562</v>
      </c>
      <c r="K165" s="431">
        <f t="shared" si="60"/>
        <v>72.973018819445144</v>
      </c>
      <c r="L165" s="61"/>
      <c r="M165" s="61"/>
      <c r="N165">
        <v>2028</v>
      </c>
      <c r="O165" s="61">
        <f t="shared" si="61"/>
        <v>-766.52108750407933</v>
      </c>
      <c r="P165" s="61">
        <f t="shared" si="61"/>
        <v>-775.42289988131688</v>
      </c>
      <c r="Q165" s="61">
        <f t="shared" si="61"/>
        <v>1177.9284955129879</v>
      </c>
      <c r="R165" s="61">
        <f t="shared" si="61"/>
        <v>224.99641799390213</v>
      </c>
      <c r="S165" s="61">
        <f t="shared" si="61"/>
        <v>215.11678582280399</v>
      </c>
      <c r="T165" s="61">
        <f t="shared" si="61"/>
        <v>76.415804912439</v>
      </c>
      <c r="U165" s="407"/>
      <c r="W165">
        <v>2028</v>
      </c>
      <c r="X165" s="61">
        <f t="shared" si="62"/>
        <v>-777.87521401996219</v>
      </c>
      <c r="Y165" s="61">
        <f t="shared" si="62"/>
        <v>-786.90888487519851</v>
      </c>
      <c r="Z165" s="61">
        <f t="shared" si="62"/>
        <v>1201.3913643760161</v>
      </c>
      <c r="AA165" s="61">
        <f t="shared" si="62"/>
        <v>227.92714620990398</v>
      </c>
      <c r="AB165" s="61">
        <f t="shared" si="62"/>
        <v>208.66171150767514</v>
      </c>
      <c r="AC165" s="61">
        <f t="shared" si="62"/>
        <v>79.975448949261477</v>
      </c>
      <c r="AD165" s="407"/>
      <c r="AG165">
        <v>2028</v>
      </c>
      <c r="AH165" s="61">
        <f t="shared" si="63"/>
        <v>-755.50683077886754</v>
      </c>
      <c r="AI165" s="61">
        <f t="shared" si="64"/>
        <v>-764.2807316759895</v>
      </c>
      <c r="AJ165" s="61">
        <f t="shared" si="65"/>
        <v>1057.1555175028093</v>
      </c>
      <c r="AK165" s="61">
        <f t="shared" si="65"/>
        <v>199.33083756307241</v>
      </c>
      <c r="AL165" s="61">
        <f t="shared" si="65"/>
        <v>179.90192748429089</v>
      </c>
      <c r="AM165" s="61">
        <f t="shared" si="65"/>
        <v>83.399279904684093</v>
      </c>
      <c r="AN165" s="407"/>
    </row>
    <row r="166" spans="5:40">
      <c r="E166">
        <v>2029</v>
      </c>
      <c r="F166" s="431">
        <f t="shared" si="60"/>
        <v>-758.19578554185455</v>
      </c>
      <c r="G166" s="431">
        <f t="shared" si="60"/>
        <v>-766.80911580468046</v>
      </c>
      <c r="H166" s="431">
        <f t="shared" si="60"/>
        <v>1181.5191139247172</v>
      </c>
      <c r="I166" s="431">
        <f t="shared" si="60"/>
        <v>206.68354733956494</v>
      </c>
      <c r="J166" s="431">
        <f t="shared" si="60"/>
        <v>214.51587620401097</v>
      </c>
      <c r="K166" s="431">
        <f t="shared" si="60"/>
        <v>73.495307415750744</v>
      </c>
      <c r="L166" s="61"/>
      <c r="M166" s="61"/>
      <c r="N166">
        <v>2029</v>
      </c>
      <c r="O166" s="61">
        <f t="shared" si="61"/>
        <v>-772.45632251142752</v>
      </c>
      <c r="P166" s="61">
        <f t="shared" si="61"/>
        <v>-781.23165672756795</v>
      </c>
      <c r="Q166" s="61">
        <f t="shared" si="61"/>
        <v>1212.0437335060351</v>
      </c>
      <c r="R166" s="61">
        <f t="shared" si="61"/>
        <v>208.42542000550691</v>
      </c>
      <c r="S166" s="61">
        <f t="shared" si="61"/>
        <v>208.29779932141651</v>
      </c>
      <c r="T166" s="61">
        <f t="shared" si="61"/>
        <v>77.282870073198637</v>
      </c>
      <c r="U166" s="407"/>
      <c r="W166">
        <v>2029</v>
      </c>
      <c r="X166" s="61">
        <f t="shared" si="62"/>
        <v>-785.22652149371334</v>
      </c>
      <c r="Y166" s="61">
        <f t="shared" si="62"/>
        <v>-794.14692897912528</v>
      </c>
      <c r="Z166" s="61">
        <f t="shared" si="62"/>
        <v>1241.3381263755609</v>
      </c>
      <c r="AA166" s="61">
        <f t="shared" si="62"/>
        <v>209.46846643964614</v>
      </c>
      <c r="AB166" s="61">
        <f t="shared" si="62"/>
        <v>200.32823115060285</v>
      </c>
      <c r="AC166" s="61">
        <f t="shared" si="62"/>
        <v>81.236814899593696</v>
      </c>
      <c r="AD166" s="407"/>
      <c r="AG166">
        <v>2029</v>
      </c>
      <c r="AH166" s="61">
        <f t="shared" si="63"/>
        <v>-760.06838145526876</v>
      </c>
      <c r="AI166" s="61">
        <f t="shared" si="64"/>
        <v>-768.70298496619012</v>
      </c>
      <c r="AJ166" s="61">
        <f t="shared" si="65"/>
        <v>1083.8358072569599</v>
      </c>
      <c r="AK166" s="61">
        <f t="shared" si="65"/>
        <v>185.75158814913988</v>
      </c>
      <c r="AL166" s="61">
        <f t="shared" si="65"/>
        <v>175.14337484686263</v>
      </c>
      <c r="AM166" s="61">
        <f t="shared" si="65"/>
        <v>84.040596168496663</v>
      </c>
      <c r="AN166" s="407"/>
    </row>
    <row r="167" spans="5:40">
      <c r="E167">
        <v>2030</v>
      </c>
      <c r="F167" s="431">
        <f t="shared" si="60"/>
        <v>-762.54746217667025</v>
      </c>
      <c r="G167" s="431">
        <f t="shared" si="60"/>
        <v>-771.01737801410809</v>
      </c>
      <c r="H167" s="431">
        <f t="shared" si="60"/>
        <v>1208.3765219299612</v>
      </c>
      <c r="I167" s="431">
        <f t="shared" si="60"/>
        <v>192.96218954086351</v>
      </c>
      <c r="J167" s="431">
        <f t="shared" si="60"/>
        <v>209.28892753278353</v>
      </c>
      <c r="K167" s="431">
        <f t="shared" si="60"/>
        <v>74.001660071185256</v>
      </c>
      <c r="L167" s="61"/>
      <c r="M167" s="61"/>
      <c r="N167">
        <v>2030</v>
      </c>
      <c r="O167" s="61">
        <f t="shared" si="61"/>
        <v>-778.38854199370417</v>
      </c>
      <c r="P167" s="61">
        <f t="shared" si="61"/>
        <v>-787.03441096124834</v>
      </c>
      <c r="Q167" s="61">
        <f t="shared" si="61"/>
        <v>1244.6793040364037</v>
      </c>
      <c r="R167" s="61">
        <f t="shared" si="61"/>
        <v>192.96174634907584</v>
      </c>
      <c r="S167" s="61">
        <f t="shared" si="61"/>
        <v>201.95022425082948</v>
      </c>
      <c r="T167" s="61">
        <f t="shared" si="61"/>
        <v>78.117715937465391</v>
      </c>
      <c r="U167" s="407"/>
      <c r="W167">
        <v>2030</v>
      </c>
      <c r="X167" s="61">
        <f t="shared" si="62"/>
        <v>-792.57410469652677</v>
      </c>
      <c r="Y167" s="61">
        <f t="shared" si="62"/>
        <v>-801.37753831172768</v>
      </c>
      <c r="Z167" s="61">
        <f t="shared" si="62"/>
        <v>1280.0225963600569</v>
      </c>
      <c r="AA167" s="61">
        <f t="shared" si="62"/>
        <v>191.93585041213817</v>
      </c>
      <c r="AB167" s="61">
        <f t="shared" si="62"/>
        <v>192.44099849676059</v>
      </c>
      <c r="AC167" s="61">
        <f t="shared" si="62"/>
        <v>82.45040665387603</v>
      </c>
      <c r="AD167" s="407"/>
      <c r="AG167">
        <v>2030</v>
      </c>
      <c r="AH167" s="61">
        <f t="shared" si="63"/>
        <v>-764.62760413715432</v>
      </c>
      <c r="AI167" s="61">
        <f t="shared" si="64"/>
        <v>-773.1206249329183</v>
      </c>
      <c r="AJ167" s="61">
        <f t="shared" si="65"/>
        <v>1109.0616281148693</v>
      </c>
      <c r="AK167" s="61">
        <f t="shared" si="65"/>
        <v>173.25760272207134</v>
      </c>
      <c r="AL167" s="61">
        <f t="shared" si="65"/>
        <v>170.7674652291231</v>
      </c>
      <c r="AM167" s="61">
        <f t="shared" si="65"/>
        <v>84.66153300400903</v>
      </c>
      <c r="AN167" s="407"/>
    </row>
    <row r="168" spans="5:40">
      <c r="E168">
        <v>2040</v>
      </c>
      <c r="F168" s="431">
        <f t="shared" si="60"/>
        <v>0</v>
      </c>
      <c r="G168" s="431">
        <f t="shared" si="60"/>
        <v>0</v>
      </c>
      <c r="H168" s="431">
        <f t="shared" si="60"/>
        <v>0</v>
      </c>
      <c r="I168" s="431">
        <f t="shared" si="60"/>
        <v>0</v>
      </c>
      <c r="J168" s="431">
        <f t="shared" si="60"/>
        <v>0</v>
      </c>
      <c r="K168" s="431">
        <f t="shared" si="60"/>
        <v>0</v>
      </c>
      <c r="L168" s="61"/>
      <c r="M168" s="61"/>
      <c r="N168">
        <v>2040</v>
      </c>
      <c r="O168" s="61">
        <f t="shared" si="61"/>
        <v>0</v>
      </c>
      <c r="P168" s="61">
        <f t="shared" si="61"/>
        <v>0</v>
      </c>
      <c r="Q168" s="61">
        <f t="shared" si="61"/>
        <v>0</v>
      </c>
      <c r="R168" s="61">
        <f t="shared" si="61"/>
        <v>0</v>
      </c>
      <c r="S168" s="61">
        <f t="shared" si="61"/>
        <v>0</v>
      </c>
      <c r="T168" s="61">
        <f t="shared" si="61"/>
        <v>0</v>
      </c>
      <c r="U168" s="407"/>
      <c r="W168">
        <v>2040</v>
      </c>
      <c r="X168" s="61">
        <f t="shared" si="62"/>
        <v>0</v>
      </c>
      <c r="Y168" s="61">
        <f t="shared" si="62"/>
        <v>0</v>
      </c>
      <c r="Z168" s="61">
        <f t="shared" si="62"/>
        <v>0</v>
      </c>
      <c r="AA168" s="61">
        <f t="shared" si="62"/>
        <v>0</v>
      </c>
      <c r="AB168" s="61">
        <f t="shared" si="62"/>
        <v>0</v>
      </c>
      <c r="AC168" s="61">
        <f t="shared" si="62"/>
        <v>0</v>
      </c>
      <c r="AD168" s="407"/>
      <c r="AG168">
        <v>2040</v>
      </c>
      <c r="AH168" s="61">
        <f>-AH54*$C$11</f>
        <v>0</v>
      </c>
      <c r="AI168" s="61">
        <f>-AI54*$C$10</f>
        <v>0</v>
      </c>
      <c r="AJ168" s="61">
        <f t="shared" si="65"/>
        <v>0</v>
      </c>
      <c r="AK168" s="61">
        <f t="shared" si="65"/>
        <v>0</v>
      </c>
      <c r="AL168" s="61">
        <f t="shared" si="65"/>
        <v>0</v>
      </c>
      <c r="AM168" s="61">
        <f t="shared" si="65"/>
        <v>0</v>
      </c>
      <c r="AN168" s="407"/>
    </row>
    <row r="169" spans="5:40">
      <c r="E169">
        <v>2050</v>
      </c>
      <c r="F169" s="431">
        <f t="shared" si="60"/>
        <v>0</v>
      </c>
      <c r="G169" s="431">
        <f t="shared" si="60"/>
        <v>0</v>
      </c>
      <c r="H169" s="431">
        <f t="shared" si="60"/>
        <v>0</v>
      </c>
      <c r="I169" s="431">
        <f t="shared" si="60"/>
        <v>0</v>
      </c>
      <c r="J169" s="431">
        <f t="shared" si="60"/>
        <v>0</v>
      </c>
      <c r="K169" s="431">
        <f t="shared" si="60"/>
        <v>0</v>
      </c>
      <c r="L169" s="61"/>
      <c r="M169" s="61"/>
      <c r="N169">
        <v>2050</v>
      </c>
      <c r="O169" s="61">
        <f t="shared" si="61"/>
        <v>0</v>
      </c>
      <c r="P169" s="61">
        <f t="shared" si="61"/>
        <v>0</v>
      </c>
      <c r="Q169" s="61">
        <f t="shared" si="61"/>
        <v>0</v>
      </c>
      <c r="R169" s="61">
        <f t="shared" si="61"/>
        <v>0</v>
      </c>
      <c r="S169" s="61">
        <f t="shared" si="61"/>
        <v>0</v>
      </c>
      <c r="T169" s="61">
        <f t="shared" si="61"/>
        <v>0</v>
      </c>
      <c r="U169" s="407"/>
      <c r="W169">
        <v>2050</v>
      </c>
      <c r="X169" s="61">
        <f t="shared" si="62"/>
        <v>0</v>
      </c>
      <c r="Y169" s="61">
        <f t="shared" si="62"/>
        <v>0</v>
      </c>
      <c r="Z169" s="61">
        <f t="shared" si="62"/>
        <v>0</v>
      </c>
      <c r="AA169" s="61">
        <f t="shared" si="62"/>
        <v>0</v>
      </c>
      <c r="AB169" s="61">
        <f t="shared" si="62"/>
        <v>0</v>
      </c>
      <c r="AC169" s="61">
        <f t="shared" si="62"/>
        <v>0</v>
      </c>
      <c r="AD169" s="407"/>
      <c r="AG169">
        <v>2050</v>
      </c>
      <c r="AH169" s="61">
        <f t="shared" ref="AH169:AH174" si="66">-AH55*$C$11</f>
        <v>0</v>
      </c>
      <c r="AI169" s="61">
        <f t="shared" ref="AI169:AI174" si="67">-AI55*$C$10</f>
        <v>0</v>
      </c>
      <c r="AJ169" s="61">
        <f t="shared" si="65"/>
        <v>0</v>
      </c>
      <c r="AK169" s="61">
        <f t="shared" si="65"/>
        <v>0</v>
      </c>
      <c r="AL169" s="61">
        <f t="shared" si="65"/>
        <v>0</v>
      </c>
      <c r="AM169" s="61">
        <f t="shared" si="65"/>
        <v>0</v>
      </c>
      <c r="AN169" s="407"/>
    </row>
    <row r="170" spans="5:40">
      <c r="E170">
        <v>2060</v>
      </c>
      <c r="F170" s="431">
        <f t="shared" si="60"/>
        <v>0</v>
      </c>
      <c r="G170" s="431">
        <f t="shared" si="60"/>
        <v>0</v>
      </c>
      <c r="H170" s="431">
        <f t="shared" si="60"/>
        <v>0</v>
      </c>
      <c r="I170" s="431">
        <f t="shared" si="60"/>
        <v>0</v>
      </c>
      <c r="J170" s="431">
        <f t="shared" si="60"/>
        <v>0</v>
      </c>
      <c r="K170" s="431">
        <f t="shared" si="60"/>
        <v>0</v>
      </c>
      <c r="L170" s="61"/>
      <c r="M170" s="61"/>
      <c r="N170">
        <v>2060</v>
      </c>
      <c r="O170" s="61">
        <f t="shared" si="61"/>
        <v>0</v>
      </c>
      <c r="P170" s="61">
        <f t="shared" si="61"/>
        <v>0</v>
      </c>
      <c r="Q170" s="61">
        <f t="shared" si="61"/>
        <v>0</v>
      </c>
      <c r="R170" s="61">
        <f t="shared" si="61"/>
        <v>0</v>
      </c>
      <c r="S170" s="61">
        <f t="shared" si="61"/>
        <v>0</v>
      </c>
      <c r="T170" s="61">
        <f t="shared" si="61"/>
        <v>0</v>
      </c>
      <c r="U170" s="407"/>
      <c r="W170">
        <v>2060</v>
      </c>
      <c r="X170" s="61">
        <f t="shared" si="62"/>
        <v>0</v>
      </c>
      <c r="Y170" s="61">
        <f t="shared" si="62"/>
        <v>0</v>
      </c>
      <c r="Z170" s="61">
        <f t="shared" si="62"/>
        <v>0</v>
      </c>
      <c r="AA170" s="61">
        <f t="shared" si="62"/>
        <v>0</v>
      </c>
      <c r="AB170" s="61">
        <f t="shared" si="62"/>
        <v>0</v>
      </c>
      <c r="AC170" s="61">
        <f t="shared" si="62"/>
        <v>0</v>
      </c>
      <c r="AD170" s="407"/>
      <c r="AG170">
        <v>2060</v>
      </c>
      <c r="AH170" s="61">
        <f t="shared" si="66"/>
        <v>0</v>
      </c>
      <c r="AI170" s="61">
        <f t="shared" si="67"/>
        <v>0</v>
      </c>
      <c r="AJ170" s="61">
        <f t="shared" si="65"/>
        <v>0</v>
      </c>
      <c r="AK170" s="61">
        <f t="shared" si="65"/>
        <v>0</v>
      </c>
      <c r="AL170" s="61">
        <f t="shared" si="65"/>
        <v>0</v>
      </c>
      <c r="AM170" s="61">
        <f t="shared" si="65"/>
        <v>0</v>
      </c>
      <c r="AN170" s="407"/>
    </row>
    <row r="171" spans="5:40">
      <c r="E171">
        <v>2070</v>
      </c>
      <c r="F171" s="431">
        <f t="shared" si="60"/>
        <v>0</v>
      </c>
      <c r="G171" s="431">
        <f t="shared" si="60"/>
        <v>0</v>
      </c>
      <c r="H171" s="431">
        <f t="shared" si="60"/>
        <v>0</v>
      </c>
      <c r="I171" s="431">
        <f t="shared" si="60"/>
        <v>0</v>
      </c>
      <c r="J171" s="431">
        <f t="shared" si="60"/>
        <v>0</v>
      </c>
      <c r="K171" s="431">
        <f t="shared" si="60"/>
        <v>0</v>
      </c>
      <c r="L171" s="61"/>
      <c r="M171" s="61"/>
      <c r="N171">
        <v>2070</v>
      </c>
      <c r="O171" s="61">
        <f t="shared" si="61"/>
        <v>0</v>
      </c>
      <c r="P171" s="61">
        <f t="shared" si="61"/>
        <v>0</v>
      </c>
      <c r="Q171" s="61">
        <f t="shared" si="61"/>
        <v>0</v>
      </c>
      <c r="R171" s="61">
        <f t="shared" si="61"/>
        <v>0</v>
      </c>
      <c r="S171" s="61">
        <f t="shared" si="61"/>
        <v>0</v>
      </c>
      <c r="T171" s="61">
        <f t="shared" si="61"/>
        <v>0</v>
      </c>
      <c r="U171" s="407"/>
      <c r="W171">
        <v>2070</v>
      </c>
      <c r="X171" s="61">
        <f t="shared" si="62"/>
        <v>0</v>
      </c>
      <c r="Y171" s="61">
        <f t="shared" si="62"/>
        <v>0</v>
      </c>
      <c r="Z171" s="61">
        <f t="shared" si="62"/>
        <v>0</v>
      </c>
      <c r="AA171" s="61">
        <f t="shared" si="62"/>
        <v>0</v>
      </c>
      <c r="AB171" s="61">
        <f t="shared" si="62"/>
        <v>0</v>
      </c>
      <c r="AC171" s="61">
        <f t="shared" si="62"/>
        <v>0</v>
      </c>
      <c r="AD171" s="407"/>
      <c r="AG171">
        <v>2070</v>
      </c>
      <c r="AH171" s="61">
        <f t="shared" si="66"/>
        <v>0</v>
      </c>
      <c r="AI171" s="61">
        <f t="shared" si="67"/>
        <v>0</v>
      </c>
      <c r="AJ171" s="61">
        <f t="shared" si="65"/>
        <v>0</v>
      </c>
      <c r="AK171" s="61">
        <f t="shared" si="65"/>
        <v>0</v>
      </c>
      <c r="AL171" s="61">
        <f t="shared" si="65"/>
        <v>0</v>
      </c>
      <c r="AM171" s="61">
        <f t="shared" si="65"/>
        <v>0</v>
      </c>
      <c r="AN171" s="407"/>
    </row>
    <row r="172" spans="5:40">
      <c r="E172">
        <v>2080</v>
      </c>
      <c r="F172" s="431">
        <f t="shared" si="60"/>
        <v>0</v>
      </c>
      <c r="G172" s="431">
        <f t="shared" si="60"/>
        <v>0</v>
      </c>
      <c r="H172" s="431">
        <f t="shared" si="60"/>
        <v>0</v>
      </c>
      <c r="I172" s="431">
        <f t="shared" si="60"/>
        <v>0</v>
      </c>
      <c r="J172" s="431">
        <f t="shared" si="60"/>
        <v>0</v>
      </c>
      <c r="K172" s="431">
        <f t="shared" si="60"/>
        <v>0</v>
      </c>
      <c r="L172" s="61"/>
      <c r="M172" s="61"/>
      <c r="N172">
        <v>2080</v>
      </c>
      <c r="O172" s="61">
        <f t="shared" si="61"/>
        <v>0</v>
      </c>
      <c r="P172" s="61">
        <f t="shared" si="61"/>
        <v>0</v>
      </c>
      <c r="Q172" s="61">
        <f t="shared" si="61"/>
        <v>0</v>
      </c>
      <c r="R172" s="61">
        <f t="shared" si="61"/>
        <v>0</v>
      </c>
      <c r="S172" s="61">
        <f t="shared" si="61"/>
        <v>0</v>
      </c>
      <c r="T172" s="61">
        <f t="shared" si="61"/>
        <v>0</v>
      </c>
      <c r="U172" s="407"/>
      <c r="W172">
        <v>2080</v>
      </c>
      <c r="X172" s="61">
        <f t="shared" si="62"/>
        <v>0</v>
      </c>
      <c r="Y172" s="61">
        <f t="shared" si="62"/>
        <v>0</v>
      </c>
      <c r="Z172" s="61">
        <f t="shared" si="62"/>
        <v>0</v>
      </c>
      <c r="AA172" s="61">
        <f t="shared" si="62"/>
        <v>0</v>
      </c>
      <c r="AB172" s="61">
        <f t="shared" si="62"/>
        <v>0</v>
      </c>
      <c r="AC172" s="61">
        <f t="shared" si="62"/>
        <v>0</v>
      </c>
      <c r="AD172" s="407"/>
      <c r="AG172">
        <v>2080</v>
      </c>
      <c r="AH172" s="61">
        <f t="shared" si="66"/>
        <v>0</v>
      </c>
      <c r="AI172" s="61">
        <f t="shared" si="67"/>
        <v>0</v>
      </c>
      <c r="AJ172" s="61">
        <f t="shared" si="65"/>
        <v>0</v>
      </c>
      <c r="AK172" s="61">
        <f t="shared" si="65"/>
        <v>0</v>
      </c>
      <c r="AL172" s="61">
        <f t="shared" si="65"/>
        <v>0</v>
      </c>
      <c r="AM172" s="61">
        <f t="shared" si="65"/>
        <v>0</v>
      </c>
      <c r="AN172" s="407"/>
    </row>
    <row r="173" spans="5:40">
      <c r="E173">
        <v>2090</v>
      </c>
      <c r="F173" s="431">
        <f t="shared" si="60"/>
        <v>0</v>
      </c>
      <c r="G173" s="431">
        <f t="shared" si="60"/>
        <v>0</v>
      </c>
      <c r="H173" s="431">
        <f t="shared" si="60"/>
        <v>0</v>
      </c>
      <c r="I173" s="431">
        <f t="shared" si="60"/>
        <v>0</v>
      </c>
      <c r="J173" s="431">
        <f t="shared" si="60"/>
        <v>0</v>
      </c>
      <c r="K173" s="431">
        <f t="shared" si="60"/>
        <v>0</v>
      </c>
      <c r="L173" s="61"/>
      <c r="M173" s="61"/>
      <c r="N173">
        <v>2090</v>
      </c>
      <c r="O173" s="61">
        <f t="shared" si="61"/>
        <v>0</v>
      </c>
      <c r="P173" s="61">
        <f t="shared" si="61"/>
        <v>0</v>
      </c>
      <c r="Q173" s="61">
        <f t="shared" si="61"/>
        <v>0</v>
      </c>
      <c r="R173" s="61">
        <f t="shared" si="61"/>
        <v>0</v>
      </c>
      <c r="S173" s="61">
        <f t="shared" si="61"/>
        <v>0</v>
      </c>
      <c r="T173" s="61">
        <f t="shared" si="61"/>
        <v>0</v>
      </c>
      <c r="U173" s="407"/>
      <c r="W173">
        <v>2090</v>
      </c>
      <c r="X173" s="61">
        <f t="shared" si="62"/>
        <v>0</v>
      </c>
      <c r="Y173" s="61">
        <f t="shared" si="62"/>
        <v>0</v>
      </c>
      <c r="Z173" s="61">
        <f t="shared" si="62"/>
        <v>0</v>
      </c>
      <c r="AA173" s="61">
        <f t="shared" si="62"/>
        <v>0</v>
      </c>
      <c r="AB173" s="61">
        <f t="shared" si="62"/>
        <v>0</v>
      </c>
      <c r="AC173" s="61">
        <f t="shared" si="62"/>
        <v>0</v>
      </c>
      <c r="AD173" s="407"/>
      <c r="AG173">
        <v>2090</v>
      </c>
      <c r="AH173" s="61">
        <f t="shared" si="66"/>
        <v>0</v>
      </c>
      <c r="AI173" s="61">
        <f t="shared" si="67"/>
        <v>0</v>
      </c>
      <c r="AJ173" s="61">
        <f t="shared" si="65"/>
        <v>0</v>
      </c>
      <c r="AK173" s="61">
        <f t="shared" si="65"/>
        <v>0</v>
      </c>
      <c r="AL173" s="61">
        <f t="shared" si="65"/>
        <v>0</v>
      </c>
      <c r="AM173" s="61">
        <f t="shared" si="65"/>
        <v>0</v>
      </c>
      <c r="AN173" s="407"/>
    </row>
    <row r="174" spans="5:40">
      <c r="E174">
        <v>2100</v>
      </c>
      <c r="F174" s="431">
        <f t="shared" ref="F174:K174" si="68">F136-F155</f>
        <v>0</v>
      </c>
      <c r="G174" s="431">
        <f t="shared" si="68"/>
        <v>0</v>
      </c>
      <c r="H174" s="431">
        <f t="shared" si="68"/>
        <v>0</v>
      </c>
      <c r="I174" s="431">
        <f t="shared" si="68"/>
        <v>0</v>
      </c>
      <c r="J174" s="431">
        <f t="shared" si="68"/>
        <v>0</v>
      </c>
      <c r="K174" s="431">
        <f t="shared" si="68"/>
        <v>0</v>
      </c>
      <c r="L174" s="61"/>
      <c r="M174" s="61"/>
      <c r="N174">
        <v>2100</v>
      </c>
      <c r="O174" s="61">
        <f t="shared" ref="O174:T174" si="69">O136-O155</f>
        <v>0</v>
      </c>
      <c r="P174" s="61">
        <f t="shared" si="69"/>
        <v>0</v>
      </c>
      <c r="Q174" s="61">
        <f t="shared" si="69"/>
        <v>0</v>
      </c>
      <c r="R174" s="61">
        <f t="shared" si="69"/>
        <v>0</v>
      </c>
      <c r="S174" s="61">
        <f t="shared" si="69"/>
        <v>0</v>
      </c>
      <c r="T174" s="61">
        <f t="shared" si="69"/>
        <v>0</v>
      </c>
      <c r="U174" s="407"/>
      <c r="W174">
        <v>2100</v>
      </c>
      <c r="X174" s="61">
        <f t="shared" ref="X174:AC174" si="70">X136-X155</f>
        <v>0</v>
      </c>
      <c r="Y174" s="61">
        <f t="shared" si="70"/>
        <v>0</v>
      </c>
      <c r="Z174" s="61">
        <f t="shared" si="70"/>
        <v>0</v>
      </c>
      <c r="AA174" s="61">
        <f t="shared" si="70"/>
        <v>0</v>
      </c>
      <c r="AB174" s="61">
        <f t="shared" si="70"/>
        <v>0</v>
      </c>
      <c r="AC174" s="61">
        <f t="shared" si="70"/>
        <v>0</v>
      </c>
      <c r="AD174" s="407"/>
      <c r="AG174">
        <v>2100</v>
      </c>
      <c r="AH174" s="61">
        <f t="shared" si="66"/>
        <v>0</v>
      </c>
      <c r="AI174" s="61">
        <f t="shared" si="67"/>
        <v>0</v>
      </c>
      <c r="AJ174" s="61">
        <f t="shared" ref="AJ174:AM174" si="71">-SUM($AH174:$AI174) * (AJ117/SUM($AJ117:$AM117))</f>
        <v>0</v>
      </c>
      <c r="AK174" s="61">
        <f t="shared" si="71"/>
        <v>0</v>
      </c>
      <c r="AL174" s="61">
        <f t="shared" si="71"/>
        <v>0</v>
      </c>
      <c r="AM174" s="61">
        <f t="shared" si="71"/>
        <v>0</v>
      </c>
      <c r="AN174" s="407"/>
    </row>
    <row r="175" spans="5:40">
      <c r="F175" s="581" t="s">
        <v>243</v>
      </c>
      <c r="G175" s="581"/>
      <c r="H175" s="581"/>
      <c r="I175" s="581"/>
      <c r="J175" s="581"/>
      <c r="K175" s="581"/>
      <c r="O175" s="581" t="s">
        <v>243</v>
      </c>
      <c r="P175" s="581"/>
      <c r="Q175" s="581"/>
      <c r="R175" s="581"/>
      <c r="S175" s="581"/>
      <c r="T175" s="581"/>
      <c r="X175" s="581" t="s">
        <v>243</v>
      </c>
      <c r="Y175" s="581"/>
      <c r="Z175" s="581"/>
      <c r="AA175" s="581"/>
      <c r="AB175" s="581"/>
      <c r="AC175" s="581"/>
      <c r="AH175" s="581" t="s">
        <v>243</v>
      </c>
      <c r="AI175" s="581"/>
      <c r="AJ175" s="581"/>
      <c r="AK175" s="581"/>
      <c r="AL175" s="581"/>
      <c r="AM175" s="581"/>
    </row>
    <row r="176" spans="5:40">
      <c r="E176">
        <v>2020</v>
      </c>
      <c r="F176" s="61">
        <f t="shared" ref="F176:K176" si="72">$C$7</f>
        <v>5000</v>
      </c>
      <c r="G176" s="61">
        <f t="shared" si="72"/>
        <v>5000</v>
      </c>
      <c r="H176" s="61">
        <f t="shared" si="72"/>
        <v>5000</v>
      </c>
      <c r="I176" s="61">
        <f t="shared" si="72"/>
        <v>5000</v>
      </c>
      <c r="J176" s="61">
        <f t="shared" si="72"/>
        <v>5000</v>
      </c>
      <c r="K176" s="61">
        <f t="shared" si="72"/>
        <v>5000</v>
      </c>
      <c r="N176">
        <v>2020</v>
      </c>
      <c r="O176" s="61">
        <f>'Demographic-Economic'!C$56*$C$7</f>
        <v>1801880749.9999998</v>
      </c>
      <c r="P176" s="61">
        <f>'Demographic-Economic'!D$56*$C$7</f>
        <v>1571541500.0000002</v>
      </c>
      <c r="Q176" s="61">
        <f>'Demographic-Economic'!E$56*$C$7</f>
        <v>1516280000</v>
      </c>
      <c r="R176" s="61">
        <f>'Demographic-Economic'!F$56*$C$7</f>
        <v>958168500</v>
      </c>
      <c r="S176" s="61">
        <f>'Demographic-Economic'!G$56*$C$7</f>
        <v>1044517000</v>
      </c>
      <c r="T176" s="61">
        <f>'Demographic-Economic'!H$56*$C$7</f>
        <v>1245174750</v>
      </c>
      <c r="W176">
        <v>2020</v>
      </c>
      <c r="X176" s="61">
        <f>'Demographic-Economic'!C$56*$C$7</f>
        <v>1801880749.9999998</v>
      </c>
      <c r="Y176" s="61">
        <f>'Demographic-Economic'!D$56*$C$7</f>
        <v>1571541500.0000002</v>
      </c>
      <c r="Z176" s="61">
        <f>'Demographic-Economic'!E$56*$C$7</f>
        <v>1516280000</v>
      </c>
      <c r="AA176" s="61">
        <f>'Demographic-Economic'!F$56*$C$7</f>
        <v>958168500</v>
      </c>
      <c r="AB176" s="61">
        <f>'Demographic-Economic'!G$56*$C$7</f>
        <v>1044517000</v>
      </c>
      <c r="AC176" s="61">
        <f>'Demographic-Economic'!H$56*$C$7</f>
        <v>1245174750</v>
      </c>
      <c r="AG176">
        <v>2020</v>
      </c>
      <c r="AH176" s="61">
        <f>'Demographic-Economic'!C$56*$C$7</f>
        <v>1801880749.9999998</v>
      </c>
      <c r="AI176" s="61">
        <f>'Demographic-Economic'!D$56*$C$7</f>
        <v>1571541500.0000002</v>
      </c>
      <c r="AJ176" s="61">
        <f>'Demographic-Economic'!E$56*$C$7</f>
        <v>1516280000</v>
      </c>
      <c r="AK176" s="61">
        <f>'Demographic-Economic'!F$56*$C$7</f>
        <v>958168500</v>
      </c>
      <c r="AL176" s="61">
        <f>'Demographic-Economic'!G$56*$C$7</f>
        <v>1044517000</v>
      </c>
      <c r="AM176" s="61">
        <f>'Demographic-Economic'!H$56*$C$7</f>
        <v>1245174750</v>
      </c>
    </row>
    <row r="177" spans="5:39">
      <c r="E177">
        <v>2021</v>
      </c>
      <c r="F177" s="61">
        <f>(1+$C$6)*F176</f>
        <v>5187.6958333333332</v>
      </c>
      <c r="G177" s="61">
        <f t="shared" ref="G177:K186" si="73">(1+$C$6)*G176</f>
        <v>5187.6958333333332</v>
      </c>
      <c r="H177" s="61">
        <f t="shared" si="73"/>
        <v>5187.6958333333332</v>
      </c>
      <c r="I177" s="61">
        <f t="shared" si="73"/>
        <v>5187.6958333333332</v>
      </c>
      <c r="J177" s="61">
        <f t="shared" si="73"/>
        <v>5187.6958333333332</v>
      </c>
      <c r="K177" s="61">
        <f t="shared" si="73"/>
        <v>5187.6958333333332</v>
      </c>
      <c r="N177">
        <v>2021</v>
      </c>
      <c r="O177" s="61">
        <f>(1+$C$6)*O176</f>
        <v>1869521851.787708</v>
      </c>
      <c r="P177" s="61">
        <f t="shared" ref="P177:T186" si="74">(1+$C$6)*P176</f>
        <v>1630535858.2920835</v>
      </c>
      <c r="Q177" s="61">
        <f t="shared" si="74"/>
        <v>1573199887.6333334</v>
      </c>
      <c r="R177" s="61">
        <f t="shared" si="74"/>
        <v>994137347.01625001</v>
      </c>
      <c r="S177" s="61">
        <f t="shared" si="74"/>
        <v>1083727297.7491667</v>
      </c>
      <c r="T177" s="61">
        <f t="shared" si="74"/>
        <v>1291917572.4693751</v>
      </c>
      <c r="W177">
        <v>2021</v>
      </c>
      <c r="X177" s="61">
        <f>(1+$C$6)*X176</f>
        <v>1869521851.787708</v>
      </c>
      <c r="Y177" s="61">
        <f t="shared" ref="Y177:AC177" si="75">(1+$C$6)*Y176</f>
        <v>1630535858.2920835</v>
      </c>
      <c r="Z177" s="61">
        <f t="shared" si="75"/>
        <v>1573199887.6333334</v>
      </c>
      <c r="AA177" s="61">
        <f t="shared" si="75"/>
        <v>994137347.01625001</v>
      </c>
      <c r="AB177" s="61">
        <f t="shared" si="75"/>
        <v>1083727297.7491667</v>
      </c>
      <c r="AC177" s="61">
        <f t="shared" si="75"/>
        <v>1291917572.4693751</v>
      </c>
      <c r="AG177">
        <v>2021</v>
      </c>
      <c r="AH177" s="61">
        <f>(1+$C$6)*AH176</f>
        <v>1869521851.787708</v>
      </c>
      <c r="AI177" s="61">
        <f t="shared" ref="AI177:AM177" si="76">(1+$C$6)*AI176</f>
        <v>1630535858.2920835</v>
      </c>
      <c r="AJ177" s="61">
        <f t="shared" si="76"/>
        <v>1573199887.6333334</v>
      </c>
      <c r="AK177" s="61">
        <f t="shared" si="76"/>
        <v>994137347.01625001</v>
      </c>
      <c r="AL177" s="61">
        <f t="shared" si="76"/>
        <v>1083727297.7491667</v>
      </c>
      <c r="AM177" s="61">
        <f t="shared" si="76"/>
        <v>1291917572.4693751</v>
      </c>
    </row>
    <row r="178" spans="5:39">
      <c r="E178">
        <v>2022</v>
      </c>
      <c r="F178" s="61">
        <f t="shared" ref="F178:F186" si="77">(1+$C$6)*F177</f>
        <v>5382.4376118368054</v>
      </c>
      <c r="G178" s="61">
        <f t="shared" si="73"/>
        <v>5382.4376118368054</v>
      </c>
      <c r="H178" s="61">
        <f t="shared" si="73"/>
        <v>5382.4376118368054</v>
      </c>
      <c r="I178" s="61">
        <f t="shared" si="73"/>
        <v>5382.4376118368054</v>
      </c>
      <c r="J178" s="61">
        <f t="shared" si="73"/>
        <v>5382.4376118368054</v>
      </c>
      <c r="K178" s="61">
        <f t="shared" si="73"/>
        <v>5382.4376118368054</v>
      </c>
      <c r="N178">
        <v>2022</v>
      </c>
      <c r="O178" s="61">
        <f t="shared" ref="O178:O186" si="78">(1+$C$6)*O177</f>
        <v>1939702144.1689422</v>
      </c>
      <c r="P178" s="61">
        <f t="shared" si="74"/>
        <v>1691744815.6324863</v>
      </c>
      <c r="Q178" s="61">
        <f t="shared" si="74"/>
        <v>1632256500.4151824</v>
      </c>
      <c r="R178" s="61">
        <f t="shared" si="74"/>
        <v>1031456434.5754509</v>
      </c>
      <c r="S178" s="61">
        <f t="shared" si="74"/>
        <v>1124409517.400589</v>
      </c>
      <c r="T178" s="61">
        <f t="shared" si="74"/>
        <v>1340415081.5418985</v>
      </c>
      <c r="W178">
        <v>2022</v>
      </c>
      <c r="X178" s="61">
        <f t="shared" ref="X178:AC186" si="79">(1+$C$6)*X177</f>
        <v>1939702144.1689422</v>
      </c>
      <c r="Y178" s="61">
        <f t="shared" si="79"/>
        <v>1691744815.6324863</v>
      </c>
      <c r="Z178" s="61">
        <f t="shared" si="79"/>
        <v>1632256500.4151824</v>
      </c>
      <c r="AA178" s="61">
        <f t="shared" si="79"/>
        <v>1031456434.5754509</v>
      </c>
      <c r="AB178" s="61">
        <f t="shared" si="79"/>
        <v>1124409517.400589</v>
      </c>
      <c r="AC178" s="61">
        <f t="shared" si="79"/>
        <v>1340415081.5418985</v>
      </c>
      <c r="AG178">
        <v>2022</v>
      </c>
      <c r="AH178" s="61">
        <f t="shared" ref="AH178:AM186" si="80">(1+$C$6)*AH177</f>
        <v>1939702144.1689422</v>
      </c>
      <c r="AI178" s="61">
        <f t="shared" si="80"/>
        <v>1691744815.6324863</v>
      </c>
      <c r="AJ178" s="61">
        <f t="shared" si="80"/>
        <v>1632256500.4151824</v>
      </c>
      <c r="AK178" s="61">
        <f t="shared" si="80"/>
        <v>1031456434.5754509</v>
      </c>
      <c r="AL178" s="61">
        <f t="shared" si="80"/>
        <v>1124409517.400589</v>
      </c>
      <c r="AM178" s="61">
        <f t="shared" si="80"/>
        <v>1340415081.5418985</v>
      </c>
    </row>
    <row r="179" spans="5:39">
      <c r="E179">
        <v>2023</v>
      </c>
      <c r="F179" s="61">
        <f t="shared" si="77"/>
        <v>5584.489834420483</v>
      </c>
      <c r="G179" s="61">
        <f t="shared" si="73"/>
        <v>5584.489834420483</v>
      </c>
      <c r="H179" s="61">
        <f t="shared" si="73"/>
        <v>5584.489834420483</v>
      </c>
      <c r="I179" s="61">
        <f t="shared" si="73"/>
        <v>5584.489834420483</v>
      </c>
      <c r="J179" s="61">
        <f t="shared" si="73"/>
        <v>5584.489834420483</v>
      </c>
      <c r="K179" s="61">
        <f t="shared" si="73"/>
        <v>5584.489834420483</v>
      </c>
      <c r="N179">
        <v>2023</v>
      </c>
      <c r="O179" s="61">
        <f t="shared" si="78"/>
        <v>2012516946.2425909</v>
      </c>
      <c r="P179" s="61">
        <f t="shared" si="74"/>
        <v>1755251506.2239835</v>
      </c>
      <c r="Q179" s="61">
        <f t="shared" si="74"/>
        <v>1693530049.2270179</v>
      </c>
      <c r="R179" s="61">
        <f t="shared" si="74"/>
        <v>1070176449.5823845</v>
      </c>
      <c r="S179" s="61">
        <f t="shared" si="74"/>
        <v>1166618913.6758759</v>
      </c>
      <c r="T179" s="61">
        <f t="shared" si="74"/>
        <v>1390733146.6904135</v>
      </c>
      <c r="W179">
        <v>2023</v>
      </c>
      <c r="X179" s="61">
        <f t="shared" si="79"/>
        <v>2012516946.2425909</v>
      </c>
      <c r="Y179" s="61">
        <f t="shared" si="79"/>
        <v>1755251506.2239835</v>
      </c>
      <c r="Z179" s="61">
        <f t="shared" si="79"/>
        <v>1693530049.2270179</v>
      </c>
      <c r="AA179" s="61">
        <f t="shared" si="79"/>
        <v>1070176449.5823845</v>
      </c>
      <c r="AB179" s="61">
        <f t="shared" si="79"/>
        <v>1166618913.6758759</v>
      </c>
      <c r="AC179" s="61">
        <f t="shared" si="79"/>
        <v>1390733146.6904135</v>
      </c>
      <c r="AG179">
        <v>2023</v>
      </c>
      <c r="AH179" s="61">
        <f t="shared" si="80"/>
        <v>2012516946.2425909</v>
      </c>
      <c r="AI179" s="61">
        <f t="shared" si="80"/>
        <v>1755251506.2239835</v>
      </c>
      <c r="AJ179" s="61">
        <f t="shared" si="80"/>
        <v>1693530049.2270179</v>
      </c>
      <c r="AK179" s="61">
        <f t="shared" si="80"/>
        <v>1070176449.5823845</v>
      </c>
      <c r="AL179" s="61">
        <f t="shared" si="80"/>
        <v>1166618913.6758759</v>
      </c>
      <c r="AM179" s="61">
        <f t="shared" si="80"/>
        <v>1390733146.6904135</v>
      </c>
    </row>
    <row r="180" spans="5:39">
      <c r="E180">
        <v>2024</v>
      </c>
      <c r="F180" s="61">
        <f>(1+$C$6)*F179</f>
        <v>5794.1269290630989</v>
      </c>
      <c r="G180" s="61">
        <f t="shared" si="73"/>
        <v>5794.1269290630989</v>
      </c>
      <c r="H180" s="61">
        <f t="shared" si="73"/>
        <v>5794.1269290630989</v>
      </c>
      <c r="I180" s="61">
        <f t="shared" si="73"/>
        <v>5794.1269290630989</v>
      </c>
      <c r="J180" s="61">
        <f t="shared" si="73"/>
        <v>5794.1269290630989</v>
      </c>
      <c r="K180" s="61">
        <f t="shared" si="73"/>
        <v>5794.1269290630989</v>
      </c>
      <c r="N180">
        <v>2024</v>
      </c>
      <c r="O180" s="61">
        <f t="shared" si="78"/>
        <v>2088065155.3070827</v>
      </c>
      <c r="P180" s="61">
        <f t="shared" si="74"/>
        <v>1821142185.0580435</v>
      </c>
      <c r="Q180" s="61">
        <f t="shared" si="74"/>
        <v>1757103755.9999592</v>
      </c>
      <c r="R180" s="61">
        <f t="shared" si="74"/>
        <v>1110349981.6859992</v>
      </c>
      <c r="S180" s="61">
        <f t="shared" si="74"/>
        <v>1210412815.5128403</v>
      </c>
      <c r="T180" s="61">
        <f t="shared" si="74"/>
        <v>1442940110.0728827</v>
      </c>
      <c r="W180">
        <v>2024</v>
      </c>
      <c r="X180" s="61">
        <f t="shared" si="79"/>
        <v>2088065155.3070827</v>
      </c>
      <c r="Y180" s="61">
        <f t="shared" si="79"/>
        <v>1821142185.0580435</v>
      </c>
      <c r="Z180" s="61">
        <f t="shared" si="79"/>
        <v>1757103755.9999592</v>
      </c>
      <c r="AA180" s="61">
        <f t="shared" si="79"/>
        <v>1110349981.6859992</v>
      </c>
      <c r="AB180" s="61">
        <f t="shared" si="79"/>
        <v>1210412815.5128403</v>
      </c>
      <c r="AC180" s="61">
        <f t="shared" si="79"/>
        <v>1442940110.0728827</v>
      </c>
      <c r="AG180">
        <v>2024</v>
      </c>
      <c r="AH180" s="61">
        <f t="shared" si="80"/>
        <v>2088065155.3070827</v>
      </c>
      <c r="AI180" s="61">
        <f t="shared" si="80"/>
        <v>1821142185.0580435</v>
      </c>
      <c r="AJ180" s="61">
        <f t="shared" si="80"/>
        <v>1757103755.9999592</v>
      </c>
      <c r="AK180" s="61">
        <f t="shared" si="80"/>
        <v>1110349981.6859992</v>
      </c>
      <c r="AL180" s="61">
        <f t="shared" si="80"/>
        <v>1210412815.5128403</v>
      </c>
      <c r="AM180" s="61">
        <f t="shared" si="80"/>
        <v>1442940110.0728827</v>
      </c>
    </row>
    <row r="181" spans="5:39">
      <c r="E181">
        <v>2025</v>
      </c>
      <c r="F181" s="61">
        <f t="shared" si="77"/>
        <v>6011.6336255410206</v>
      </c>
      <c r="G181" s="61">
        <f t="shared" si="73"/>
        <v>6011.6336255410206</v>
      </c>
      <c r="H181" s="61">
        <f t="shared" si="73"/>
        <v>6011.6336255410206</v>
      </c>
      <c r="I181" s="61">
        <f t="shared" si="73"/>
        <v>6011.6336255410206</v>
      </c>
      <c r="J181" s="61">
        <f t="shared" si="73"/>
        <v>6011.6336255410206</v>
      </c>
      <c r="K181" s="61">
        <f t="shared" si="73"/>
        <v>6011.6336255410206</v>
      </c>
      <c r="N181">
        <v>2025</v>
      </c>
      <c r="O181" s="61">
        <f t="shared" si="78"/>
        <v>2166449381.1830144</v>
      </c>
      <c r="P181" s="61">
        <f t="shared" si="74"/>
        <v>1889506345.0666349</v>
      </c>
      <c r="Q181" s="61">
        <f t="shared" si="74"/>
        <v>1823063966.7470677</v>
      </c>
      <c r="R181" s="61">
        <f t="shared" si="74"/>
        <v>1152031594.7068403</v>
      </c>
      <c r="S181" s="61">
        <f t="shared" si="74"/>
        <v>1255850703.929846</v>
      </c>
      <c r="T181" s="61">
        <f t="shared" si="74"/>
        <v>1497106879.3549271</v>
      </c>
      <c r="W181">
        <v>2025</v>
      </c>
      <c r="X181" s="61">
        <f t="shared" si="79"/>
        <v>2166449381.1830144</v>
      </c>
      <c r="Y181" s="61">
        <f t="shared" si="79"/>
        <v>1889506345.0666349</v>
      </c>
      <c r="Z181" s="61">
        <f t="shared" si="79"/>
        <v>1823063966.7470677</v>
      </c>
      <c r="AA181" s="61">
        <f t="shared" si="79"/>
        <v>1152031594.7068403</v>
      </c>
      <c r="AB181" s="61">
        <f t="shared" si="79"/>
        <v>1255850703.929846</v>
      </c>
      <c r="AC181" s="61">
        <f t="shared" si="79"/>
        <v>1497106879.3549271</v>
      </c>
      <c r="AG181">
        <v>2025</v>
      </c>
      <c r="AH181" s="61">
        <f t="shared" si="80"/>
        <v>2166449381.1830144</v>
      </c>
      <c r="AI181" s="61">
        <f t="shared" si="80"/>
        <v>1889506345.0666349</v>
      </c>
      <c r="AJ181" s="61">
        <f t="shared" si="80"/>
        <v>1823063966.7470677</v>
      </c>
      <c r="AK181" s="61">
        <f t="shared" si="80"/>
        <v>1152031594.7068403</v>
      </c>
      <c r="AL181" s="61">
        <f t="shared" si="80"/>
        <v>1255850703.929846</v>
      </c>
      <c r="AM181" s="61">
        <f t="shared" si="80"/>
        <v>1497106879.3549271</v>
      </c>
    </row>
    <row r="182" spans="5:39">
      <c r="E182">
        <v>2026</v>
      </c>
      <c r="F182" s="61">
        <f t="shared" si="77"/>
        <v>6237.3053421491422</v>
      </c>
      <c r="G182" s="61">
        <f t="shared" si="73"/>
        <v>6237.3053421491422</v>
      </c>
      <c r="H182" s="61">
        <f t="shared" si="73"/>
        <v>6237.3053421491422</v>
      </c>
      <c r="I182" s="61">
        <f t="shared" si="73"/>
        <v>6237.3053421491422</v>
      </c>
      <c r="J182" s="61">
        <f t="shared" si="73"/>
        <v>6237.3053421491422</v>
      </c>
      <c r="K182" s="61">
        <f t="shared" si="73"/>
        <v>6237.3053421491422</v>
      </c>
      <c r="N182">
        <v>2026</v>
      </c>
      <c r="O182" s="61">
        <f t="shared" si="78"/>
        <v>2247776085.5781403</v>
      </c>
      <c r="P182" s="61">
        <f t="shared" si="74"/>
        <v>1960436838.6718154</v>
      </c>
      <c r="Q182" s="61">
        <f t="shared" si="74"/>
        <v>1891500268.8387804</v>
      </c>
      <c r="R182" s="61">
        <f t="shared" si="74"/>
        <v>1195277900.7458062</v>
      </c>
      <c r="S182" s="61">
        <f t="shared" si="74"/>
        <v>1302994292.8131192</v>
      </c>
      <c r="T182" s="61">
        <f t="shared" si="74"/>
        <v>1553307024.016845</v>
      </c>
      <c r="W182">
        <v>2026</v>
      </c>
      <c r="X182" s="61">
        <f t="shared" si="79"/>
        <v>2247776085.5781403</v>
      </c>
      <c r="Y182" s="61">
        <f t="shared" si="79"/>
        <v>1960436838.6718154</v>
      </c>
      <c r="Z182" s="61">
        <f t="shared" si="79"/>
        <v>1891500268.8387804</v>
      </c>
      <c r="AA182" s="61">
        <f t="shared" si="79"/>
        <v>1195277900.7458062</v>
      </c>
      <c r="AB182" s="61">
        <f t="shared" si="79"/>
        <v>1302994292.8131192</v>
      </c>
      <c r="AC182" s="61">
        <f t="shared" si="79"/>
        <v>1553307024.016845</v>
      </c>
      <c r="AG182">
        <v>2026</v>
      </c>
      <c r="AH182" s="61">
        <f t="shared" si="80"/>
        <v>2247776085.5781403</v>
      </c>
      <c r="AI182" s="61">
        <f t="shared" si="80"/>
        <v>1960436838.6718154</v>
      </c>
      <c r="AJ182" s="61">
        <f t="shared" si="80"/>
        <v>1891500268.8387804</v>
      </c>
      <c r="AK182" s="61">
        <f t="shared" si="80"/>
        <v>1195277900.7458062</v>
      </c>
      <c r="AL182" s="61">
        <f t="shared" si="80"/>
        <v>1302994292.8131192</v>
      </c>
      <c r="AM182" s="61">
        <f t="shared" si="80"/>
        <v>1553307024.016845</v>
      </c>
    </row>
    <row r="183" spans="5:39">
      <c r="E183">
        <v>2027</v>
      </c>
      <c r="F183" s="61">
        <f t="shared" si="77"/>
        <v>6471.4485869389691</v>
      </c>
      <c r="G183" s="61">
        <f t="shared" si="73"/>
        <v>6471.4485869389691</v>
      </c>
      <c r="H183" s="61">
        <f t="shared" si="73"/>
        <v>6471.4485869389691</v>
      </c>
      <c r="I183" s="61">
        <f t="shared" si="73"/>
        <v>6471.4485869389691</v>
      </c>
      <c r="J183" s="61">
        <f t="shared" si="73"/>
        <v>6471.4485869389691</v>
      </c>
      <c r="K183" s="61">
        <f t="shared" si="73"/>
        <v>6471.4485869389691</v>
      </c>
      <c r="N183">
        <v>2027</v>
      </c>
      <c r="O183" s="61">
        <f t="shared" si="78"/>
        <v>2332155726.6840057</v>
      </c>
      <c r="P183" s="61">
        <f t="shared" si="74"/>
        <v>2034030003.8981898</v>
      </c>
      <c r="Q183" s="61">
        <f t="shared" si="74"/>
        <v>1962505612.6807642</v>
      </c>
      <c r="R183" s="61">
        <f t="shared" si="74"/>
        <v>1240147637.0748866</v>
      </c>
      <c r="S183" s="61">
        <f t="shared" si="74"/>
        <v>1351907612.7367463</v>
      </c>
      <c r="T183" s="61">
        <f t="shared" si="74"/>
        <v>1611616875.2759173</v>
      </c>
      <c r="W183">
        <v>2027</v>
      </c>
      <c r="X183" s="61">
        <f t="shared" si="79"/>
        <v>2332155726.6840057</v>
      </c>
      <c r="Y183" s="61">
        <f t="shared" si="79"/>
        <v>2034030003.8981898</v>
      </c>
      <c r="Z183" s="61">
        <f t="shared" si="79"/>
        <v>1962505612.6807642</v>
      </c>
      <c r="AA183" s="61">
        <f t="shared" si="79"/>
        <v>1240147637.0748866</v>
      </c>
      <c r="AB183" s="61">
        <f t="shared" si="79"/>
        <v>1351907612.7367463</v>
      </c>
      <c r="AC183" s="61">
        <f t="shared" si="79"/>
        <v>1611616875.2759173</v>
      </c>
      <c r="AG183">
        <v>2027</v>
      </c>
      <c r="AH183" s="61">
        <f t="shared" si="80"/>
        <v>2332155726.6840057</v>
      </c>
      <c r="AI183" s="61">
        <f t="shared" si="80"/>
        <v>2034030003.8981898</v>
      </c>
      <c r="AJ183" s="61">
        <f t="shared" si="80"/>
        <v>1962505612.6807642</v>
      </c>
      <c r="AK183" s="61">
        <f t="shared" si="80"/>
        <v>1240147637.0748866</v>
      </c>
      <c r="AL183" s="61">
        <f t="shared" si="80"/>
        <v>1351907612.7367463</v>
      </c>
      <c r="AM183" s="61">
        <f t="shared" si="80"/>
        <v>1611616875.2759173</v>
      </c>
    </row>
    <row r="184" spans="5:39">
      <c r="E184">
        <v>2028</v>
      </c>
      <c r="F184" s="61">
        <f t="shared" si="77"/>
        <v>6714.3813740188352</v>
      </c>
      <c r="G184" s="61">
        <f t="shared" si="73"/>
        <v>6714.3813740188352</v>
      </c>
      <c r="H184" s="61">
        <f t="shared" si="73"/>
        <v>6714.3813740188352</v>
      </c>
      <c r="I184" s="61">
        <f t="shared" si="73"/>
        <v>6714.3813740188352</v>
      </c>
      <c r="J184" s="61">
        <f t="shared" si="73"/>
        <v>6714.3813740188352</v>
      </c>
      <c r="K184" s="61">
        <f t="shared" si="73"/>
        <v>6714.3813740188352</v>
      </c>
      <c r="N184">
        <v>2028</v>
      </c>
      <c r="O184" s="61">
        <f t="shared" si="78"/>
        <v>2419702909.2006178</v>
      </c>
      <c r="P184" s="61">
        <f t="shared" si="74"/>
        <v>2110385795.2195246</v>
      </c>
      <c r="Q184" s="61">
        <f t="shared" si="74"/>
        <v>2036176437.9594562</v>
      </c>
      <c r="R184" s="61">
        <f t="shared" si="74"/>
        <v>1286701745.9143136</v>
      </c>
      <c r="S184" s="61">
        <f t="shared" si="74"/>
        <v>1402657097.9292066</v>
      </c>
      <c r="T184" s="61">
        <f t="shared" si="74"/>
        <v>1672115629.7597125</v>
      </c>
      <c r="W184">
        <v>2028</v>
      </c>
      <c r="X184" s="61">
        <f t="shared" si="79"/>
        <v>2419702909.2006178</v>
      </c>
      <c r="Y184" s="61">
        <f t="shared" si="79"/>
        <v>2110385795.2195246</v>
      </c>
      <c r="Z184" s="61">
        <f t="shared" si="79"/>
        <v>2036176437.9594562</v>
      </c>
      <c r="AA184" s="61">
        <f t="shared" si="79"/>
        <v>1286701745.9143136</v>
      </c>
      <c r="AB184" s="61">
        <f t="shared" si="79"/>
        <v>1402657097.9292066</v>
      </c>
      <c r="AC184" s="61">
        <f t="shared" si="79"/>
        <v>1672115629.7597125</v>
      </c>
      <c r="AG184">
        <v>2028</v>
      </c>
      <c r="AH184" s="61">
        <f t="shared" si="80"/>
        <v>2419702909.2006178</v>
      </c>
      <c r="AI184" s="61">
        <f t="shared" si="80"/>
        <v>2110385795.2195246</v>
      </c>
      <c r="AJ184" s="61">
        <f t="shared" si="80"/>
        <v>2036176437.9594562</v>
      </c>
      <c r="AK184" s="61">
        <f t="shared" si="80"/>
        <v>1286701745.9143136</v>
      </c>
      <c r="AL184" s="61">
        <f t="shared" si="80"/>
        <v>1402657097.9292066</v>
      </c>
      <c r="AM184" s="61">
        <f t="shared" si="80"/>
        <v>1672115629.7597125</v>
      </c>
    </row>
    <row r="185" spans="5:39">
      <c r="E185">
        <v>2029</v>
      </c>
      <c r="F185" s="61">
        <f t="shared" si="77"/>
        <v>6966.4336554816909</v>
      </c>
      <c r="G185" s="61">
        <f t="shared" si="73"/>
        <v>6966.4336554816909</v>
      </c>
      <c r="H185" s="61">
        <f t="shared" si="73"/>
        <v>6966.4336554816909</v>
      </c>
      <c r="I185" s="61">
        <f t="shared" si="73"/>
        <v>6966.4336554816909</v>
      </c>
      <c r="J185" s="61">
        <f t="shared" si="73"/>
        <v>6966.4336554816909</v>
      </c>
      <c r="K185" s="61">
        <f t="shared" si="73"/>
        <v>6966.4336554816909</v>
      </c>
      <c r="N185">
        <v>2029</v>
      </c>
      <c r="O185" s="61">
        <f t="shared" si="78"/>
        <v>2510536539.992918</v>
      </c>
      <c r="P185" s="61">
        <f t="shared" si="74"/>
        <v>2189607919.3172364</v>
      </c>
      <c r="Q185" s="61">
        <f t="shared" si="74"/>
        <v>2112612804.626756</v>
      </c>
      <c r="R185" s="61">
        <f t="shared" si="74"/>
        <v>1335003457.2044821</v>
      </c>
      <c r="S185" s="61">
        <f t="shared" si="74"/>
        <v>1455311676.504554</v>
      </c>
      <c r="T185" s="61">
        <f t="shared" si="74"/>
        <v>1734885457.0712006</v>
      </c>
      <c r="W185">
        <v>2029</v>
      </c>
      <c r="X185" s="61">
        <f t="shared" si="79"/>
        <v>2510536539.992918</v>
      </c>
      <c r="Y185" s="61">
        <f t="shared" si="79"/>
        <v>2189607919.3172364</v>
      </c>
      <c r="Z185" s="61">
        <f t="shared" si="79"/>
        <v>2112612804.626756</v>
      </c>
      <c r="AA185" s="61">
        <f t="shared" si="79"/>
        <v>1335003457.2044821</v>
      </c>
      <c r="AB185" s="61">
        <f t="shared" si="79"/>
        <v>1455311676.504554</v>
      </c>
      <c r="AC185" s="61">
        <f t="shared" si="79"/>
        <v>1734885457.0712006</v>
      </c>
      <c r="AG185">
        <v>2029</v>
      </c>
      <c r="AH185" s="61">
        <f t="shared" si="80"/>
        <v>2510536539.992918</v>
      </c>
      <c r="AI185" s="61">
        <f t="shared" si="80"/>
        <v>2189607919.3172364</v>
      </c>
      <c r="AJ185" s="61">
        <f t="shared" si="80"/>
        <v>2112612804.626756</v>
      </c>
      <c r="AK185" s="61">
        <f t="shared" si="80"/>
        <v>1335003457.2044821</v>
      </c>
      <c r="AL185" s="61">
        <f t="shared" si="80"/>
        <v>1455311676.504554</v>
      </c>
      <c r="AM185" s="61">
        <f t="shared" si="80"/>
        <v>1734885457.0712006</v>
      </c>
    </row>
    <row r="186" spans="5:39">
      <c r="E186">
        <v>2030</v>
      </c>
      <c r="F186" s="61">
        <f t="shared" si="77"/>
        <v>7227.9477695470941</v>
      </c>
      <c r="G186" s="61">
        <f t="shared" si="73"/>
        <v>7227.9477695470941</v>
      </c>
      <c r="H186" s="61">
        <f t="shared" si="73"/>
        <v>7227.9477695470941</v>
      </c>
      <c r="I186" s="61">
        <f t="shared" si="73"/>
        <v>7227.9477695470941</v>
      </c>
      <c r="J186" s="61">
        <f t="shared" si="73"/>
        <v>7227.9477695470941</v>
      </c>
      <c r="K186" s="61">
        <f t="shared" si="73"/>
        <v>7227.9477695470941</v>
      </c>
      <c r="N186">
        <v>2030</v>
      </c>
      <c r="O186" s="61">
        <f t="shared" si="78"/>
        <v>2604779989.5904689</v>
      </c>
      <c r="P186" s="61">
        <f t="shared" si="74"/>
        <v>2271803975.9351392</v>
      </c>
      <c r="Q186" s="61">
        <f t="shared" si="74"/>
        <v>2191918528.801774</v>
      </c>
      <c r="R186" s="61">
        <f t="shared" si="74"/>
        <v>1385118374.4850574</v>
      </c>
      <c r="S186" s="61">
        <f t="shared" si="74"/>
        <v>1509942864.0808046</v>
      </c>
      <c r="T186" s="61">
        <f t="shared" si="74"/>
        <v>1800011611.3917725</v>
      </c>
      <c r="W186">
        <v>2030</v>
      </c>
      <c r="X186" s="61">
        <f t="shared" si="79"/>
        <v>2604779989.5904689</v>
      </c>
      <c r="Y186" s="61">
        <f t="shared" si="79"/>
        <v>2271803975.9351392</v>
      </c>
      <c r="Z186" s="61">
        <f t="shared" si="79"/>
        <v>2191918528.801774</v>
      </c>
      <c r="AA186" s="61">
        <f t="shared" si="79"/>
        <v>1385118374.4850574</v>
      </c>
      <c r="AB186" s="61">
        <f t="shared" si="79"/>
        <v>1509942864.0808046</v>
      </c>
      <c r="AC186" s="61">
        <f t="shared" si="79"/>
        <v>1800011611.3917725</v>
      </c>
      <c r="AG186">
        <v>2030</v>
      </c>
      <c r="AH186" s="61">
        <f t="shared" si="80"/>
        <v>2604779989.5904689</v>
      </c>
      <c r="AI186" s="61">
        <f t="shared" si="80"/>
        <v>2271803975.9351392</v>
      </c>
      <c r="AJ186" s="61">
        <f t="shared" si="80"/>
        <v>2191918528.801774</v>
      </c>
      <c r="AK186" s="61">
        <f t="shared" si="80"/>
        <v>1385118374.4850574</v>
      </c>
      <c r="AL186" s="61">
        <f t="shared" si="80"/>
        <v>1509942864.0808046</v>
      </c>
      <c r="AM186" s="61">
        <f t="shared" si="80"/>
        <v>1800011611.3917725</v>
      </c>
    </row>
    <row r="187" spans="5:39">
      <c r="E187">
        <v>2040</v>
      </c>
      <c r="F187" s="61">
        <f>(1+$C$6)^10*F186</f>
        <v>10448.645791860165</v>
      </c>
      <c r="G187" s="61">
        <f t="shared" ref="G187:K193" si="81">(1+$C$6)^10*G186</f>
        <v>10448.645791860165</v>
      </c>
      <c r="H187" s="61">
        <f t="shared" si="81"/>
        <v>10448.645791860165</v>
      </c>
      <c r="I187" s="61">
        <f t="shared" si="81"/>
        <v>10448.645791860165</v>
      </c>
      <c r="J187" s="61">
        <f t="shared" si="81"/>
        <v>10448.645791860165</v>
      </c>
      <c r="K187" s="61">
        <f t="shared" si="81"/>
        <v>10448.645791860165</v>
      </c>
      <c r="N187">
        <v>2040</v>
      </c>
      <c r="O187" s="61">
        <f>(1+$C$6)^10*O186</f>
        <v>3765442743.184267</v>
      </c>
      <c r="P187" s="61">
        <f t="shared" ref="P187:T193" si="82">(1+$C$6)^10*P186</f>
        <v>3284096096.1417222</v>
      </c>
      <c r="Q187" s="61">
        <f t="shared" si="82"/>
        <v>3168614528.2563467</v>
      </c>
      <c r="R187" s="61">
        <f t="shared" si="82"/>
        <v>2002312653.0835936</v>
      </c>
      <c r="S187" s="61">
        <f t="shared" si="82"/>
        <v>2182757631.3152809</v>
      </c>
      <c r="T187" s="61">
        <f t="shared" si="82"/>
        <v>2602077982.3436069</v>
      </c>
      <c r="W187">
        <v>2040</v>
      </c>
      <c r="X187" s="61">
        <f>(1+$C$6)^10*X186</f>
        <v>3765442743.184267</v>
      </c>
      <c r="Y187" s="61">
        <f t="shared" ref="Y187:AC187" si="83">(1+$C$6)^10*Y186</f>
        <v>3284096096.1417222</v>
      </c>
      <c r="Z187" s="61">
        <f t="shared" si="83"/>
        <v>3168614528.2563467</v>
      </c>
      <c r="AA187" s="61">
        <f t="shared" si="83"/>
        <v>2002312653.0835936</v>
      </c>
      <c r="AB187" s="61">
        <f t="shared" si="83"/>
        <v>2182757631.3152809</v>
      </c>
      <c r="AC187" s="61">
        <f t="shared" si="83"/>
        <v>2602077982.3436069</v>
      </c>
      <c r="AG187">
        <v>2040</v>
      </c>
      <c r="AH187" s="61">
        <f>(1+$C$6)^10*AH186</f>
        <v>3765442743.184267</v>
      </c>
      <c r="AI187" s="61">
        <f t="shared" ref="AI187:AM187" si="84">(1+$C$6)^10*AI186</f>
        <v>3284096096.1417222</v>
      </c>
      <c r="AJ187" s="61">
        <f t="shared" si="84"/>
        <v>3168614528.2563467</v>
      </c>
      <c r="AK187" s="61">
        <f t="shared" si="84"/>
        <v>2002312653.0835936</v>
      </c>
      <c r="AL187" s="61">
        <f t="shared" si="84"/>
        <v>2182757631.3152809</v>
      </c>
      <c r="AM187" s="61">
        <f t="shared" si="84"/>
        <v>2602077982.3436069</v>
      </c>
    </row>
    <row r="188" spans="5:39">
      <c r="E188">
        <v>2050</v>
      </c>
      <c r="F188" s="61">
        <f t="shared" ref="F188:F193" si="85">(1+$C$6)^10*F187</f>
        <v>15104.453209212663</v>
      </c>
      <c r="G188" s="61">
        <f t="shared" si="81"/>
        <v>15104.453209212663</v>
      </c>
      <c r="H188" s="61">
        <f t="shared" si="81"/>
        <v>15104.453209212663</v>
      </c>
      <c r="I188" s="61">
        <f t="shared" si="81"/>
        <v>15104.453209212663</v>
      </c>
      <c r="J188" s="61">
        <f t="shared" si="81"/>
        <v>15104.453209212663</v>
      </c>
      <c r="K188" s="61">
        <f t="shared" si="81"/>
        <v>15104.453209212663</v>
      </c>
      <c r="N188">
        <v>2050</v>
      </c>
      <c r="O188" s="61">
        <f t="shared" ref="O188:O193" si="86">(1+$C$6)^10*O187</f>
        <v>5443284695.3912039</v>
      </c>
      <c r="P188" s="61">
        <f t="shared" si="82"/>
        <v>4747455010.617177</v>
      </c>
      <c r="Q188" s="61">
        <f t="shared" si="82"/>
        <v>4580516062.4129963</v>
      </c>
      <c r="R188" s="61">
        <f t="shared" si="82"/>
        <v>2894522254.9582973</v>
      </c>
      <c r="S188" s="61">
        <f t="shared" si="82"/>
        <v>3155371630.5454369</v>
      </c>
      <c r="T188" s="61">
        <f t="shared" si="82"/>
        <v>3761536749.7336159</v>
      </c>
      <c r="W188">
        <v>2050</v>
      </c>
      <c r="X188" s="61">
        <f t="shared" ref="X188:AC193" si="87">(1+$C$6)^10*X187</f>
        <v>5443284695.3912039</v>
      </c>
      <c r="Y188" s="61">
        <f t="shared" si="87"/>
        <v>4747455010.617177</v>
      </c>
      <c r="Z188" s="61">
        <f t="shared" si="87"/>
        <v>4580516062.4129963</v>
      </c>
      <c r="AA188" s="61">
        <f t="shared" si="87"/>
        <v>2894522254.9582973</v>
      </c>
      <c r="AB188" s="61">
        <f t="shared" si="87"/>
        <v>3155371630.5454369</v>
      </c>
      <c r="AC188" s="61">
        <f t="shared" si="87"/>
        <v>3761536749.7336159</v>
      </c>
      <c r="AG188">
        <v>2050</v>
      </c>
      <c r="AH188" s="61">
        <f t="shared" ref="AH188:AM193" si="88">(1+$C$6)^10*AH187</f>
        <v>5443284695.3912039</v>
      </c>
      <c r="AI188" s="61">
        <f t="shared" si="88"/>
        <v>4747455010.617177</v>
      </c>
      <c r="AJ188" s="61">
        <f t="shared" si="88"/>
        <v>4580516062.4129963</v>
      </c>
      <c r="AK188" s="61">
        <f t="shared" si="88"/>
        <v>2894522254.9582973</v>
      </c>
      <c r="AL188" s="61">
        <f t="shared" si="88"/>
        <v>3155371630.5454369</v>
      </c>
      <c r="AM188" s="61">
        <f t="shared" si="88"/>
        <v>3761536749.7336159</v>
      </c>
    </row>
    <row r="189" spans="5:39">
      <c r="E189">
        <v>2060</v>
      </c>
      <c r="F189" s="61">
        <f t="shared" si="85"/>
        <v>21834.839776751425</v>
      </c>
      <c r="G189" s="61">
        <f t="shared" si="81"/>
        <v>21834.839776751425</v>
      </c>
      <c r="H189" s="61">
        <f t="shared" si="81"/>
        <v>21834.839776751425</v>
      </c>
      <c r="I189" s="61">
        <f t="shared" si="81"/>
        <v>21834.839776751425</v>
      </c>
      <c r="J189" s="61">
        <f t="shared" si="81"/>
        <v>21834.839776751425</v>
      </c>
      <c r="K189" s="61">
        <f t="shared" si="81"/>
        <v>21834.839776751425</v>
      </c>
      <c r="N189">
        <v>2060</v>
      </c>
      <c r="O189" s="61">
        <f t="shared" si="86"/>
        <v>7868755494.6125383</v>
      </c>
      <c r="P189" s="61">
        <f t="shared" si="82"/>
        <v>6862871371.0031214</v>
      </c>
      <c r="Q189" s="61">
        <f t="shared" si="82"/>
        <v>6621546171.3385315</v>
      </c>
      <c r="R189" s="61">
        <f t="shared" si="82"/>
        <v>4184291135.3260508</v>
      </c>
      <c r="S189" s="61">
        <f t="shared" si="82"/>
        <v>4561372267.818614</v>
      </c>
      <c r="T189" s="61">
        <f t="shared" si="82"/>
        <v>5437638232.0613041</v>
      </c>
      <c r="W189">
        <v>2060</v>
      </c>
      <c r="X189" s="61">
        <f t="shared" si="87"/>
        <v>7868755494.6125383</v>
      </c>
      <c r="Y189" s="61">
        <f t="shared" si="87"/>
        <v>6862871371.0031214</v>
      </c>
      <c r="Z189" s="61">
        <f t="shared" si="87"/>
        <v>6621546171.3385315</v>
      </c>
      <c r="AA189" s="61">
        <f t="shared" si="87"/>
        <v>4184291135.3260508</v>
      </c>
      <c r="AB189" s="61">
        <f t="shared" si="87"/>
        <v>4561372267.818614</v>
      </c>
      <c r="AC189" s="61">
        <f t="shared" si="87"/>
        <v>5437638232.0613041</v>
      </c>
      <c r="AG189">
        <v>2060</v>
      </c>
      <c r="AH189" s="61">
        <f t="shared" si="88"/>
        <v>7868755494.6125383</v>
      </c>
      <c r="AI189" s="61">
        <f t="shared" si="88"/>
        <v>6862871371.0031214</v>
      </c>
      <c r="AJ189" s="61">
        <f t="shared" si="88"/>
        <v>6621546171.3385315</v>
      </c>
      <c r="AK189" s="61">
        <f t="shared" si="88"/>
        <v>4184291135.3260508</v>
      </c>
      <c r="AL189" s="61">
        <f t="shared" si="88"/>
        <v>4561372267.818614</v>
      </c>
      <c r="AM189" s="61">
        <f t="shared" si="88"/>
        <v>5437638232.0613041</v>
      </c>
    </row>
    <row r="190" spans="5:39">
      <c r="E190">
        <v>2070</v>
      </c>
      <c r="F190" s="61">
        <f t="shared" si="85"/>
        <v>31564.216292557732</v>
      </c>
      <c r="G190" s="61">
        <f t="shared" si="81"/>
        <v>31564.216292557732</v>
      </c>
      <c r="H190" s="61">
        <f t="shared" si="81"/>
        <v>31564.216292557732</v>
      </c>
      <c r="I190" s="61">
        <f t="shared" si="81"/>
        <v>31564.216292557732</v>
      </c>
      <c r="J190" s="61">
        <f t="shared" si="81"/>
        <v>31564.216292557732</v>
      </c>
      <c r="K190" s="61">
        <f t="shared" si="81"/>
        <v>31564.216292557732</v>
      </c>
      <c r="N190">
        <v>2070</v>
      </c>
      <c r="O190" s="61">
        <f t="shared" si="86"/>
        <v>11374990745.279228</v>
      </c>
      <c r="P190" s="61">
        <f t="shared" si="82"/>
        <v>9920895163.7461243</v>
      </c>
      <c r="Q190" s="61">
        <f t="shared" si="82"/>
        <v>9572037976.0158882</v>
      </c>
      <c r="R190" s="61">
        <f t="shared" si="82"/>
        <v>6048767555.7431221</v>
      </c>
      <c r="S190" s="61">
        <f t="shared" si="82"/>
        <v>6593872101.8507051</v>
      </c>
      <c r="T190" s="61">
        <f t="shared" si="82"/>
        <v>7860593026.2063026</v>
      </c>
      <c r="W190">
        <v>2070</v>
      </c>
      <c r="X190" s="61">
        <f t="shared" si="87"/>
        <v>11374990745.279228</v>
      </c>
      <c r="Y190" s="61">
        <f t="shared" si="87"/>
        <v>9920895163.7461243</v>
      </c>
      <c r="Z190" s="61">
        <f t="shared" si="87"/>
        <v>9572037976.0158882</v>
      </c>
      <c r="AA190" s="61">
        <f t="shared" si="87"/>
        <v>6048767555.7431221</v>
      </c>
      <c r="AB190" s="61">
        <f t="shared" si="87"/>
        <v>6593872101.8507051</v>
      </c>
      <c r="AC190" s="61">
        <f t="shared" si="87"/>
        <v>7860593026.2063026</v>
      </c>
      <c r="AG190">
        <v>2070</v>
      </c>
      <c r="AH190" s="61">
        <f t="shared" si="88"/>
        <v>11374990745.279228</v>
      </c>
      <c r="AI190" s="61">
        <f t="shared" si="88"/>
        <v>9920895163.7461243</v>
      </c>
      <c r="AJ190" s="61">
        <f t="shared" si="88"/>
        <v>9572037976.0158882</v>
      </c>
      <c r="AK190" s="61">
        <f t="shared" si="88"/>
        <v>6048767555.7431221</v>
      </c>
      <c r="AL190" s="61">
        <f t="shared" si="88"/>
        <v>6593872101.8507051</v>
      </c>
      <c r="AM190" s="61">
        <f t="shared" si="88"/>
        <v>7860593026.2063026</v>
      </c>
    </row>
    <row r="191" spans="5:39">
      <c r="E191">
        <v>2080</v>
      </c>
      <c r="F191" s="61">
        <f t="shared" si="85"/>
        <v>45628.901349858948</v>
      </c>
      <c r="G191" s="61">
        <f t="shared" si="81"/>
        <v>45628.901349858948</v>
      </c>
      <c r="H191" s="61">
        <f t="shared" si="81"/>
        <v>45628.901349858948</v>
      </c>
      <c r="I191" s="61">
        <f t="shared" si="81"/>
        <v>45628.901349858948</v>
      </c>
      <c r="J191" s="61">
        <f t="shared" si="81"/>
        <v>45628.901349858948</v>
      </c>
      <c r="K191" s="61">
        <f t="shared" si="81"/>
        <v>45628.901349858948</v>
      </c>
      <c r="N191">
        <v>2080</v>
      </c>
      <c r="O191" s="61">
        <f t="shared" si="86"/>
        <v>16443567797.191969</v>
      </c>
      <c r="P191" s="61">
        <f t="shared" si="82"/>
        <v>14341542414.141872</v>
      </c>
      <c r="Q191" s="61">
        <f t="shared" si="82"/>
        <v>13837238107.752827</v>
      </c>
      <c r="R191" s="61">
        <f t="shared" si="82"/>
        <v>8744035192.6084671</v>
      </c>
      <c r="S191" s="61">
        <f t="shared" si="82"/>
        <v>9532032630.250124</v>
      </c>
      <c r="T191" s="61">
        <f t="shared" si="82"/>
        <v>11363191166.217058</v>
      </c>
      <c r="W191">
        <v>2080</v>
      </c>
      <c r="X191" s="61">
        <f t="shared" si="87"/>
        <v>16443567797.191969</v>
      </c>
      <c r="Y191" s="61">
        <f t="shared" si="87"/>
        <v>14341542414.141872</v>
      </c>
      <c r="Z191" s="61">
        <f t="shared" si="87"/>
        <v>13837238107.752827</v>
      </c>
      <c r="AA191" s="61">
        <f t="shared" si="87"/>
        <v>8744035192.6084671</v>
      </c>
      <c r="AB191" s="61">
        <f t="shared" si="87"/>
        <v>9532032630.250124</v>
      </c>
      <c r="AC191" s="61">
        <f t="shared" si="87"/>
        <v>11363191166.217058</v>
      </c>
      <c r="AG191">
        <v>2080</v>
      </c>
      <c r="AH191" s="61">
        <f t="shared" si="88"/>
        <v>16443567797.191969</v>
      </c>
      <c r="AI191" s="61">
        <f t="shared" si="88"/>
        <v>14341542414.141872</v>
      </c>
      <c r="AJ191" s="61">
        <f t="shared" si="88"/>
        <v>13837238107.752827</v>
      </c>
      <c r="AK191" s="61">
        <f t="shared" si="88"/>
        <v>8744035192.6084671</v>
      </c>
      <c r="AL191" s="61">
        <f t="shared" si="88"/>
        <v>9532032630.250124</v>
      </c>
      <c r="AM191" s="61">
        <f t="shared" si="88"/>
        <v>11363191166.217058</v>
      </c>
    </row>
    <row r="192" spans="5:39">
      <c r="E192">
        <v>2090</v>
      </c>
      <c r="F192" s="61">
        <f t="shared" si="85"/>
        <v>65960.66314771949</v>
      </c>
      <c r="G192" s="61">
        <f t="shared" si="81"/>
        <v>65960.66314771949</v>
      </c>
      <c r="H192" s="61">
        <f t="shared" si="81"/>
        <v>65960.66314771949</v>
      </c>
      <c r="I192" s="61">
        <f t="shared" si="81"/>
        <v>65960.66314771949</v>
      </c>
      <c r="J192" s="61">
        <f t="shared" si="81"/>
        <v>65960.66314771949</v>
      </c>
      <c r="K192" s="61">
        <f t="shared" si="81"/>
        <v>65960.66314771949</v>
      </c>
      <c r="N192">
        <v>2090</v>
      </c>
      <c r="O192" s="61">
        <f t="shared" si="86"/>
        <v>23770649836.622025</v>
      </c>
      <c r="P192" s="61">
        <f t="shared" si="82"/>
        <v>20731983900.832363</v>
      </c>
      <c r="Q192" s="61">
        <f t="shared" si="82"/>
        <v>20002966863.524822</v>
      </c>
      <c r="R192" s="61">
        <f t="shared" si="82"/>
        <v>12640285933.451136</v>
      </c>
      <c r="S192" s="61">
        <f t="shared" si="82"/>
        <v>13779406797.813303</v>
      </c>
      <c r="T192" s="61">
        <f t="shared" si="82"/>
        <v>16426510448.959167</v>
      </c>
      <c r="W192">
        <v>2090</v>
      </c>
      <c r="X192" s="61">
        <f t="shared" si="87"/>
        <v>23770649836.622025</v>
      </c>
      <c r="Y192" s="61">
        <f t="shared" si="87"/>
        <v>20731983900.832363</v>
      </c>
      <c r="Z192" s="61">
        <f t="shared" si="87"/>
        <v>20002966863.524822</v>
      </c>
      <c r="AA192" s="61">
        <f t="shared" si="87"/>
        <v>12640285933.451136</v>
      </c>
      <c r="AB192" s="61">
        <f t="shared" si="87"/>
        <v>13779406797.813303</v>
      </c>
      <c r="AC192" s="61">
        <f t="shared" si="87"/>
        <v>16426510448.959167</v>
      </c>
      <c r="AG192">
        <v>2090</v>
      </c>
      <c r="AH192" s="61">
        <f t="shared" si="88"/>
        <v>23770649836.622025</v>
      </c>
      <c r="AI192" s="61">
        <f t="shared" si="88"/>
        <v>20731983900.832363</v>
      </c>
      <c r="AJ192" s="61">
        <f t="shared" si="88"/>
        <v>20002966863.524822</v>
      </c>
      <c r="AK192" s="61">
        <f t="shared" si="88"/>
        <v>12640285933.451136</v>
      </c>
      <c r="AL192" s="61">
        <f t="shared" si="88"/>
        <v>13779406797.813303</v>
      </c>
      <c r="AM192" s="61">
        <f t="shared" si="88"/>
        <v>16426510448.959167</v>
      </c>
    </row>
    <row r="193" spans="2:40">
      <c r="E193">
        <v>2100</v>
      </c>
      <c r="F193" s="61">
        <f t="shared" si="85"/>
        <v>95352.045615281269</v>
      </c>
      <c r="G193" s="61">
        <f t="shared" si="81"/>
        <v>95352.045615281269</v>
      </c>
      <c r="H193" s="61">
        <f t="shared" si="81"/>
        <v>95352.045615281269</v>
      </c>
      <c r="I193" s="61">
        <f t="shared" si="81"/>
        <v>95352.045615281269</v>
      </c>
      <c r="J193" s="61">
        <f t="shared" si="81"/>
        <v>95352.045615281269</v>
      </c>
      <c r="K193" s="61">
        <f t="shared" si="81"/>
        <v>95352.045615281269</v>
      </c>
      <c r="N193">
        <v>2100</v>
      </c>
      <c r="O193" s="61">
        <f t="shared" si="86"/>
        <v>34362603093.459435</v>
      </c>
      <c r="P193" s="61">
        <f t="shared" si="82"/>
        <v>29969939358.861511</v>
      </c>
      <c r="Q193" s="61">
        <f t="shared" si="82"/>
        <v>28916079945.107738</v>
      </c>
      <c r="R193" s="61">
        <f t="shared" si="82"/>
        <v>18272665303.82513</v>
      </c>
      <c r="S193" s="61">
        <f t="shared" si="82"/>
        <v>19919366525.98735</v>
      </c>
      <c r="T193" s="61">
        <f t="shared" si="82"/>
        <v>23745991912.199291</v>
      </c>
      <c r="W193">
        <v>2100</v>
      </c>
      <c r="X193" s="61">
        <f t="shared" si="87"/>
        <v>34362603093.459435</v>
      </c>
      <c r="Y193" s="61">
        <f t="shared" si="87"/>
        <v>29969939358.861511</v>
      </c>
      <c r="Z193" s="61">
        <f t="shared" si="87"/>
        <v>28916079945.107738</v>
      </c>
      <c r="AA193" s="61">
        <f t="shared" si="87"/>
        <v>18272665303.82513</v>
      </c>
      <c r="AB193" s="61">
        <f t="shared" si="87"/>
        <v>19919366525.98735</v>
      </c>
      <c r="AC193" s="61">
        <f t="shared" si="87"/>
        <v>23745991912.199291</v>
      </c>
      <c r="AG193">
        <v>2100</v>
      </c>
      <c r="AH193" s="61">
        <f t="shared" si="88"/>
        <v>34362603093.459435</v>
      </c>
      <c r="AI193" s="61">
        <f t="shared" si="88"/>
        <v>29969939358.861511</v>
      </c>
      <c r="AJ193" s="61">
        <f t="shared" si="88"/>
        <v>28916079945.107738</v>
      </c>
      <c r="AK193" s="61">
        <f t="shared" si="88"/>
        <v>18272665303.82513</v>
      </c>
      <c r="AL193" s="61">
        <f t="shared" si="88"/>
        <v>19919366525.98735</v>
      </c>
      <c r="AM193" s="61">
        <f t="shared" si="88"/>
        <v>23745991912.199291</v>
      </c>
    </row>
    <row r="194" spans="2:40">
      <c r="B194" s="383"/>
      <c r="F194" s="581" t="s">
        <v>244</v>
      </c>
      <c r="G194" s="581"/>
      <c r="H194" s="581"/>
      <c r="I194" s="581"/>
      <c r="J194" s="581"/>
      <c r="K194" s="581"/>
      <c r="O194" s="581" t="s">
        <v>244</v>
      </c>
      <c r="P194" s="581"/>
      <c r="Q194" s="581"/>
      <c r="R194" s="581"/>
      <c r="S194" s="581"/>
      <c r="T194" s="581"/>
      <c r="X194" s="581" t="s">
        <v>244</v>
      </c>
      <c r="Y194" s="581"/>
      <c r="Z194" s="581"/>
      <c r="AA194" s="581"/>
      <c r="AB194" s="581"/>
      <c r="AC194" s="581"/>
      <c r="AH194" s="581" t="s">
        <v>244</v>
      </c>
      <c r="AI194" s="581"/>
      <c r="AJ194" s="581"/>
      <c r="AK194" s="581"/>
      <c r="AL194" s="581"/>
      <c r="AM194" s="581"/>
    </row>
    <row r="195" spans="2:40">
      <c r="E195">
        <v>2020</v>
      </c>
      <c r="F195" s="320" t="s">
        <v>240</v>
      </c>
      <c r="G195" s="320" t="s">
        <v>240</v>
      </c>
      <c r="H195" s="61">
        <f>H119*H176/'Demographic-Economic'!E$29</f>
        <v>7851586.2055317871</v>
      </c>
      <c r="I195" s="61">
        <f>I119*I176/'Demographic-Economic'!F$29</f>
        <v>3752341.7351510166</v>
      </c>
      <c r="J195" s="61">
        <f>J119*J176/'Demographic-Economic'!G$29</f>
        <v>2436694.5419451906</v>
      </c>
      <c r="K195" s="61">
        <f>K119*K176/'Demographic-Economic'!H$29</f>
        <v>740283.53947017493</v>
      </c>
      <c r="L195" s="194">
        <f t="shared" ref="L195:L212" si="89">SUM(H195:K195)/(SUM(F404:K404)*1000)</f>
        <v>1.1396763387519162E-5</v>
      </c>
      <c r="M195" s="194"/>
      <c r="N195">
        <v>2020</v>
      </c>
      <c r="O195" t="s">
        <v>240</v>
      </c>
      <c r="P195" t="s">
        <v>240</v>
      </c>
      <c r="Q195" s="61">
        <f>Q119*Q176/'Demographic-Economic'!E$29</f>
        <v>2381040626344.7476</v>
      </c>
      <c r="R195" s="61">
        <f>R119*R176/'Demographic-Economic'!F$29</f>
        <v>719075130371.40942</v>
      </c>
      <c r="S195" s="61">
        <f>S119*S176/'Demographic-Economic'!G$29</f>
        <v>509033774573.79297</v>
      </c>
      <c r="T195" s="61">
        <f>T119*T176/'Demographic-Economic'!H$29</f>
        <v>184356474237.77805</v>
      </c>
      <c r="U195" s="194">
        <f t="shared" ref="U195:U212" si="90">SUM(Q195:T195)/(SUM(O404:T404)*1000)</f>
        <v>2.9249688949713919</v>
      </c>
      <c r="W195">
        <v>2020</v>
      </c>
      <c r="X195" t="s">
        <v>240</v>
      </c>
      <c r="Y195" t="s">
        <v>240</v>
      </c>
      <c r="Z195" s="61">
        <f>Z119*Z176/'Demographic-Economic'!E$29</f>
        <v>2381040626344.7476</v>
      </c>
      <c r="AA195" s="61">
        <f>AA119*AA176/'Demographic-Economic'!F$29</f>
        <v>719075130371.40942</v>
      </c>
      <c r="AB195" s="61">
        <f>AB119*AB176/'Demographic-Economic'!G$29</f>
        <v>509033774573.79297</v>
      </c>
      <c r="AC195" s="61">
        <f>AC119*AC176/'Demographic-Economic'!H$29</f>
        <v>184356474237.77805</v>
      </c>
      <c r="AD195" s="194">
        <f t="shared" ref="AD195:AD212" si="91">SUM(Z195:AC195)/(SUM(X404:AC404)*1000)</f>
        <v>2.9249688949713919</v>
      </c>
      <c r="AG195">
        <v>2020</v>
      </c>
      <c r="AH195" t="s">
        <v>240</v>
      </c>
      <c r="AI195" t="s">
        <v>240</v>
      </c>
      <c r="AJ195" s="61">
        <f>AJ119*AJ176/'Demographic-Economic'!E$29</f>
        <v>2381040626344.7476</v>
      </c>
      <c r="AK195" s="61">
        <f>AK119*AK176/'Demographic-Economic'!F$29</f>
        <v>719075130371.40942</v>
      </c>
      <c r="AL195" s="61">
        <f>AL119*AL176/'Demographic-Economic'!G$29</f>
        <v>509033774573.79297</v>
      </c>
      <c r="AM195" s="61">
        <f>AM119*AM176/'Demographic-Economic'!H$29</f>
        <v>184356474237.77805</v>
      </c>
      <c r="AN195" s="194">
        <f t="shared" ref="AN195:AN212" si="92">SUM(AJ195:AM195)/(SUM(AH404:AM404)*1000)</f>
        <v>2.9249688949713919</v>
      </c>
    </row>
    <row r="196" spans="2:40">
      <c r="E196">
        <v>2021</v>
      </c>
      <c r="F196" s="320" t="s">
        <v>240</v>
      </c>
      <c r="G196" s="320" t="s">
        <v>240</v>
      </c>
      <c r="H196" s="61">
        <f>H120*H177/'Demographic-Economic'!E$29</f>
        <v>8661006.5818226449</v>
      </c>
      <c r="I196" s="61">
        <f>I120*I177/'Demographic-Economic'!F$29</f>
        <v>3576582.4341376396</v>
      </c>
      <c r="J196" s="61">
        <f>J120*J177/'Demographic-Economic'!G$29</f>
        <v>2417834.3469109866</v>
      </c>
      <c r="K196" s="61">
        <f>K120*K177/'Demographic-Economic'!H$29</f>
        <v>776743.04572354653</v>
      </c>
      <c r="L196" s="194">
        <f t="shared" si="89"/>
        <v>1.1299325311938906E-5</v>
      </c>
      <c r="M196" s="194"/>
      <c r="N196">
        <v>2021</v>
      </c>
      <c r="O196" t="s">
        <v>240</v>
      </c>
      <c r="P196" t="s">
        <v>240</v>
      </c>
      <c r="Q196" s="61">
        <f>Q120*Q177/'Demographic-Economic'!E$29</f>
        <v>2623382805051.1328</v>
      </c>
      <c r="R196" s="61">
        <f>R120*R177/'Demographic-Economic'!F$29</f>
        <v>692105726141.55969</v>
      </c>
      <c r="S196" s="61">
        <f>S120*S177/'Demographic-Economic'!G$29</f>
        <v>505695901646.79816</v>
      </c>
      <c r="T196" s="61">
        <f>T120*T177/'Demographic-Economic'!H$29</f>
        <v>194846744558.93347</v>
      </c>
      <c r="U196" s="194">
        <f t="shared" si="90"/>
        <v>2.9738695828106247</v>
      </c>
      <c r="W196">
        <v>2021</v>
      </c>
      <c r="X196" t="s">
        <v>240</v>
      </c>
      <c r="Y196" t="s">
        <v>240</v>
      </c>
      <c r="Z196" s="61">
        <f>Z120*Z177/'Demographic-Economic'!E$29</f>
        <v>2620285528187.0684</v>
      </c>
      <c r="AA196" s="61">
        <f>AA120*AA177/'Demographic-Economic'!F$29</f>
        <v>698294377575.04382</v>
      </c>
      <c r="AB196" s="61">
        <f>AB120*AB177/'Demographic-Economic'!G$29</f>
        <v>506217737729.12646</v>
      </c>
      <c r="AC196" s="61">
        <f>AC120*AC177/'Demographic-Economic'!H$29</f>
        <v>196143629285.15933</v>
      </c>
      <c r="AD196" s="194">
        <f t="shared" si="91"/>
        <v>2.9992385915909812</v>
      </c>
      <c r="AG196">
        <v>2021</v>
      </c>
      <c r="AH196" t="s">
        <v>240</v>
      </c>
      <c r="AI196" t="s">
        <v>240</v>
      </c>
      <c r="AJ196" s="61">
        <f>AJ120*AJ177/'Demographic-Economic'!E$29</f>
        <v>2626112387994.3818</v>
      </c>
      <c r="AK196" s="61">
        <f>AK120*AK177/'Demographic-Economic'!F$29</f>
        <v>686263496710.43298</v>
      </c>
      <c r="AL196" s="61">
        <f>AL120*AL177/'Demographic-Economic'!G$29</f>
        <v>505174006244.55096</v>
      </c>
      <c r="AM196" s="61">
        <f>AM120*AM177/'Demographic-Economic'!H$29</f>
        <v>193619196346.35364</v>
      </c>
      <c r="AN196" s="194">
        <f t="shared" si="92"/>
        <v>2.9102967615786217</v>
      </c>
    </row>
    <row r="197" spans="2:40">
      <c r="E197">
        <v>2022</v>
      </c>
      <c r="F197" s="320" t="s">
        <v>240</v>
      </c>
      <c r="G197" s="320" t="s">
        <v>240</v>
      </c>
      <c r="H197" s="61">
        <f>H121*H178/'Demographic-Economic'!E$29</f>
        <v>9471577.2429778557</v>
      </c>
      <c r="I197" s="61">
        <f>I121*I178/'Demographic-Economic'!F$29</f>
        <v>3418274.8575193933</v>
      </c>
      <c r="J197" s="61">
        <f>J121*J178/'Demographic-Economic'!G$29</f>
        <v>2406689.2132777506</v>
      </c>
      <c r="K197" s="61">
        <f>K121*K178/'Demographic-Economic'!H$29</f>
        <v>814327.23896832264</v>
      </c>
      <c r="L197" s="194">
        <f t="shared" si="89"/>
        <v>1.1230364778337821E-5</v>
      </c>
      <c r="M197" s="194"/>
      <c r="N197">
        <v>2022</v>
      </c>
      <c r="O197" t="s">
        <v>240</v>
      </c>
      <c r="P197" t="s">
        <v>240</v>
      </c>
      <c r="Q197" s="61">
        <f>Q121*Q178/'Demographic-Economic'!E$29</f>
        <v>2871649622833.3159</v>
      </c>
      <c r="R197" s="61">
        <f>R121*R178/'Demographic-Economic'!F$29</f>
        <v>666206252003.85242</v>
      </c>
      <c r="S197" s="61">
        <f>S121*S178/'Demographic-Economic'!G$29</f>
        <v>503134505296.14276</v>
      </c>
      <c r="T197" s="61">
        <f>T121*T178/'Demographic-Economic'!H$29</f>
        <v>205665752720.73352</v>
      </c>
      <c r="U197" s="194">
        <f t="shared" si="90"/>
        <v>3.024812626869986</v>
      </c>
      <c r="W197">
        <v>2022</v>
      </c>
      <c r="X197" t="s">
        <v>240</v>
      </c>
      <c r="Y197" t="s">
        <v>240</v>
      </c>
      <c r="Z197" s="61">
        <f>Z121*Z178/'Demographic-Economic'!E$29</f>
        <v>2870183387079.7524</v>
      </c>
      <c r="AA197" s="61">
        <f>AA121*AA178/'Demographic-Economic'!F$29</f>
        <v>676739025137.72705</v>
      </c>
      <c r="AB197" s="61">
        <f>AB121*AB178/'Demographic-Economic'!G$29</f>
        <v>503344129020.19501</v>
      </c>
      <c r="AC197" s="61">
        <f>AC121*AC178/'Demographic-Economic'!H$29</f>
        <v>208366981123.93121</v>
      </c>
      <c r="AD197" s="194">
        <f t="shared" si="91"/>
        <v>3.0762269044068589</v>
      </c>
      <c r="AG197">
        <v>2022</v>
      </c>
      <c r="AH197" t="s">
        <v>240</v>
      </c>
      <c r="AI197" t="s">
        <v>240</v>
      </c>
      <c r="AJ197" s="61">
        <f>AJ121*AJ178/'Demographic-Economic'!E$29</f>
        <v>2872280838131.2612</v>
      </c>
      <c r="AK197" s="61">
        <f>AK121*AK178/'Demographic-Economic'!F$29</f>
        <v>656486007623.53992</v>
      </c>
      <c r="AL197" s="61">
        <f>AL121*AL178/'Demographic-Economic'!G$29</f>
        <v>502821656576.53729</v>
      </c>
      <c r="AM197" s="61">
        <f>AM121*AM178/'Demographic-Economic'!H$29</f>
        <v>203164467373.89871</v>
      </c>
      <c r="AN197" s="194">
        <f t="shared" si="92"/>
        <v>2.9013161605296078</v>
      </c>
    </row>
    <row r="198" spans="2:40">
      <c r="E198">
        <v>2023</v>
      </c>
      <c r="F198" s="320" t="s">
        <v>240</v>
      </c>
      <c r="G198" s="320" t="s">
        <v>240</v>
      </c>
      <c r="H198" s="61">
        <f>H122*H179/'Demographic-Economic'!E$29</f>
        <v>10287841.080739485</v>
      </c>
      <c r="I198" s="61">
        <f>I122*I179/'Demographic-Economic'!F$29</f>
        <v>3274828.7102656206</v>
      </c>
      <c r="J198" s="61">
        <f>J122*J179/'Demographic-Economic'!G$29</f>
        <v>2402409.856366938</v>
      </c>
      <c r="K198" s="61">
        <f>K122*K179/'Demographic-Economic'!H$29</f>
        <v>853135.70530273393</v>
      </c>
      <c r="L198" s="194">
        <f t="shared" si="89"/>
        <v>1.1186771064550268E-5</v>
      </c>
      <c r="M198" s="194"/>
      <c r="N198">
        <v>2023</v>
      </c>
      <c r="O198" t="s">
        <v>240</v>
      </c>
      <c r="P198" t="s">
        <v>240</v>
      </c>
      <c r="Q198" s="61">
        <f>Q122*Q179/'Demographic-Economic'!E$29</f>
        <v>3126386012737.269</v>
      </c>
      <c r="R198" s="61">
        <f>R122*R179/'Demographic-Economic'!F$29</f>
        <v>641289402058.78809</v>
      </c>
      <c r="S198" s="61">
        <f>S122*S179/'Demographic-Economic'!G$29</f>
        <v>501325043904.55652</v>
      </c>
      <c r="T198" s="61">
        <f>T122*T179/'Demographic-Economic'!H$29</f>
        <v>216835028445.46466</v>
      </c>
      <c r="U198" s="194">
        <f t="shared" si="90"/>
        <v>3.077885037933096</v>
      </c>
      <c r="W198">
        <v>2023</v>
      </c>
      <c r="X198" t="s">
        <v>240</v>
      </c>
      <c r="Y198" t="s">
        <v>240</v>
      </c>
      <c r="Z198" s="61">
        <f>Z122*Z179/'Demographic-Economic'!E$29</f>
        <v>3130922019016.3477</v>
      </c>
      <c r="AA198" s="61">
        <f>AA122*AA179/'Demographic-Economic'!F$29</f>
        <v>654501097926.26392</v>
      </c>
      <c r="AB198" s="61">
        <f>AB122*AB179/'Demographic-Economic'!G$29</f>
        <v>500469787563.67755</v>
      </c>
      <c r="AC198" s="61">
        <f>AC122*AC179/'Demographic-Economic'!H$29</f>
        <v>221039395151.76855</v>
      </c>
      <c r="AD198" s="194">
        <f t="shared" si="91"/>
        <v>3.1559289399119193</v>
      </c>
      <c r="AG198">
        <v>2023</v>
      </c>
      <c r="AH198" t="s">
        <v>240</v>
      </c>
      <c r="AI198" t="s">
        <v>240</v>
      </c>
      <c r="AJ198" s="61">
        <f>AJ122*AJ179/'Demographic-Economic'!E$29</f>
        <v>3120789246337.4683</v>
      </c>
      <c r="AK198" s="61">
        <f>AK122*AK179/'Demographic-Economic'!F$29</f>
        <v>629312327574.83972</v>
      </c>
      <c r="AL198" s="61">
        <f>AL122*AL179/'Demographic-Economic'!G$29</f>
        <v>501822416829.67871</v>
      </c>
      <c r="AM198" s="61">
        <f>AM122*AM179/'Demographic-Economic'!H$29</f>
        <v>213017290791.09064</v>
      </c>
      <c r="AN198" s="194">
        <f t="shared" si="92"/>
        <v>2.8975695530376862</v>
      </c>
    </row>
    <row r="199" spans="2:40">
      <c r="E199">
        <v>2024</v>
      </c>
      <c r="F199" s="320" t="s">
        <v>240</v>
      </c>
      <c r="G199" s="320" t="s">
        <v>240</v>
      </c>
      <c r="H199" s="61">
        <f>H123*H180/'Demographic-Economic'!E$29</f>
        <v>11113743.380500749</v>
      </c>
      <c r="I199" s="61">
        <f>I123*I180/'Demographic-Economic'!F$29</f>
        <v>3144128.8694832413</v>
      </c>
      <c r="J199" s="61">
        <f>J123*J180/'Demographic-Economic'!G$29</f>
        <v>2404315.6018554633</v>
      </c>
      <c r="K199" s="61">
        <f>K123*K180/'Demographic-Economic'!H$29</f>
        <v>893262.81394402834</v>
      </c>
      <c r="L199" s="194">
        <f t="shared" si="89"/>
        <v>1.1166004163903561E-5</v>
      </c>
      <c r="M199" s="194"/>
      <c r="N199">
        <v>2024</v>
      </c>
      <c r="O199" t="s">
        <v>240</v>
      </c>
      <c r="P199" t="s">
        <v>240</v>
      </c>
      <c r="Q199" s="61">
        <f>Q123*Q180/'Demographic-Economic'!E$29</f>
        <v>3388139805868.1558</v>
      </c>
      <c r="R199" s="61">
        <f>R123*R180/'Demographic-Economic'!F$29</f>
        <v>617273660729.58984</v>
      </c>
      <c r="S199" s="61">
        <f>S123*S180/'Demographic-Economic'!G$29</f>
        <v>500245857891.81738</v>
      </c>
      <c r="T199" s="61">
        <f>T123*T180/'Demographic-Economic'!H$29</f>
        <v>228376401081.22784</v>
      </c>
      <c r="U199" s="194">
        <f t="shared" si="90"/>
        <v>3.1331693590459153</v>
      </c>
      <c r="W199">
        <v>2024</v>
      </c>
      <c r="X199" t="s">
        <v>240</v>
      </c>
      <c r="Y199" t="s">
        <v>240</v>
      </c>
      <c r="Z199" s="61">
        <f>Z123*Z180/'Demographic-Economic'!E$29</f>
        <v>3402726460801.793</v>
      </c>
      <c r="AA199" s="61">
        <f>AA123*AA180/'Demographic-Economic'!F$29</f>
        <v>631663455393.50269</v>
      </c>
      <c r="AB199" s="61">
        <f>AB123*AB180/'Demographic-Economic'!G$29</f>
        <v>497647542487.88898</v>
      </c>
      <c r="AC199" s="61">
        <f>AC123*AC180/'Demographic-Economic'!H$29</f>
        <v>234175305324.56036</v>
      </c>
      <c r="AD199" s="194">
        <f t="shared" si="91"/>
        <v>3.2383577891487447</v>
      </c>
      <c r="AG199">
        <v>2024</v>
      </c>
      <c r="AH199" t="s">
        <v>240</v>
      </c>
      <c r="AI199" t="s">
        <v>240</v>
      </c>
      <c r="AJ199" s="61">
        <f>AJ123*AJ180/'Demographic-Economic'!E$29</f>
        <v>3372734131309.6523</v>
      </c>
      <c r="AK199" s="61">
        <f>AK123*AK180/'Demographic-Economic'!F$29</f>
        <v>604387041569.71057</v>
      </c>
      <c r="AL199" s="61">
        <f>AL123*AL180/'Demographic-Economic'!G$29</f>
        <v>502051414280.77081</v>
      </c>
      <c r="AM199" s="61">
        <f>AM123*AM180/'Demographic-Economic'!H$29</f>
        <v>223201488611.86899</v>
      </c>
      <c r="AN199" s="194">
        <f t="shared" si="92"/>
        <v>2.898664290937067</v>
      </c>
    </row>
    <row r="200" spans="2:40">
      <c r="E200">
        <v>2025</v>
      </c>
      <c r="F200" s="320" t="s">
        <v>240</v>
      </c>
      <c r="G200" s="320" t="s">
        <v>240</v>
      </c>
      <c r="H200" s="61">
        <f>H124*H181/'Demographic-Economic'!E$29</f>
        <v>11952774.648604255</v>
      </c>
      <c r="I200" s="61">
        <f>I124*I181/'Demographic-Economic'!F$29</f>
        <v>3024430.905336461</v>
      </c>
      <c r="J200" s="61">
        <f>J124*J181/'Demographic-Economic'!G$29</f>
        <v>2411857.8409560933</v>
      </c>
      <c r="K200" s="61">
        <f>K124*K181/'Demographic-Economic'!H$29</f>
        <v>934799.48143991386</v>
      </c>
      <c r="L200" s="194">
        <f t="shared" si="89"/>
        <v>1.1165977287695105E-5</v>
      </c>
      <c r="M200" s="194"/>
      <c r="N200">
        <v>2025</v>
      </c>
      <c r="O200" t="s">
        <v>240</v>
      </c>
      <c r="P200" t="s">
        <v>240</v>
      </c>
      <c r="Q200" s="61">
        <f>Q124*Q181/'Demographic-Economic'!E$29</f>
        <v>3657463162137.3291</v>
      </c>
      <c r="R200" s="61">
        <f>R124*R181/'Demographic-Economic'!F$29</f>
        <v>594082926173.13293</v>
      </c>
      <c r="S200" s="61">
        <f>S124*S181/'Demographic-Economic'!G$29</f>
        <v>499878031011.15704</v>
      </c>
      <c r="T200" s="61">
        <f>T124*T181/'Demographic-Economic'!H$29</f>
        <v>240312057890.42108</v>
      </c>
      <c r="U200" s="194">
        <f t="shared" si="90"/>
        <v>3.1907450518749259</v>
      </c>
      <c r="W200">
        <v>2025</v>
      </c>
      <c r="X200" t="s">
        <v>240</v>
      </c>
      <c r="Y200" t="s">
        <v>240</v>
      </c>
      <c r="Z200" s="61">
        <f>Z124*Z181/'Demographic-Economic'!E$29</f>
        <v>3685859558351.9399</v>
      </c>
      <c r="AA200" s="61">
        <f>AA124*AA181/'Demographic-Economic'!F$29</f>
        <v>608299871679.08948</v>
      </c>
      <c r="AB200" s="61">
        <f>AB124*AB181/'Demographic-Economic'!G$29</f>
        <v>494926277817.79083</v>
      </c>
      <c r="AC200" s="61">
        <f>AC124*AC181/'Demographic-Economic'!H$29</f>
        <v>247790695911.09094</v>
      </c>
      <c r="AD200" s="194">
        <f t="shared" si="91"/>
        <v>3.3235424056963003</v>
      </c>
      <c r="AG200">
        <v>2025</v>
      </c>
      <c r="AH200" t="s">
        <v>240</v>
      </c>
      <c r="AI200" t="s">
        <v>240</v>
      </c>
      <c r="AJ200" s="61">
        <f>AJ124*AJ181/'Demographic-Economic'!E$29</f>
        <v>3629099397794.5151</v>
      </c>
      <c r="AK200" s="61">
        <f>AK124*AK181/'Demographic-Economic'!F$29</f>
        <v>581413959827.68286</v>
      </c>
      <c r="AL200" s="61">
        <f>AL124*AL181/'Demographic-Economic'!G$29</f>
        <v>503407152449.13702</v>
      </c>
      <c r="AM200" s="61">
        <f>AM124*AM181/'Demographic-Economic'!H$29</f>
        <v>233740099549.21356</v>
      </c>
      <c r="AN200" s="194">
        <f t="shared" si="92"/>
        <v>2.9042646291118346</v>
      </c>
    </row>
    <row r="201" spans="2:40">
      <c r="E201">
        <v>2026</v>
      </c>
      <c r="F201" s="320" t="s">
        <v>240</v>
      </c>
      <c r="G201" s="320" t="s">
        <v>240</v>
      </c>
      <c r="H201" s="61">
        <f>H125*H182/'Demographic-Economic'!E$29</f>
        <v>12808077.955978347</v>
      </c>
      <c r="I201" s="61">
        <f>I125*I182/'Demographic-Economic'!F$29</f>
        <v>2914282.9448713111</v>
      </c>
      <c r="J201" s="61">
        <f>J125*J182/'Demographic-Economic'!G$29</f>
        <v>2424592.7210359178</v>
      </c>
      <c r="K201" s="61">
        <f>K125*K182/'Demographic-Economic'!H$29</f>
        <v>977834.51994507923</v>
      </c>
      <c r="L201" s="194">
        <f t="shared" si="89"/>
        <v>1.1184967555021229E-5</v>
      </c>
      <c r="M201" s="194"/>
      <c r="N201">
        <v>2026</v>
      </c>
      <c r="O201" t="s">
        <v>240</v>
      </c>
      <c r="P201" t="s">
        <v>240</v>
      </c>
      <c r="Q201" s="61">
        <f>Q125*Q182/'Demographic-Economic'!E$29</f>
        <v>3934914028735.6479</v>
      </c>
      <c r="R201" s="61">
        <f>R125*R182/'Demographic-Economic'!F$29</f>
        <v>571646134430.28052</v>
      </c>
      <c r="S201" s="61">
        <f>S125*S182/'Demographic-Economic'!G$29</f>
        <v>500205251835.26221</v>
      </c>
      <c r="T201" s="61">
        <f>T125*T182/'Demographic-Economic'!H$29</f>
        <v>252664602054.14447</v>
      </c>
      <c r="U201" s="194">
        <f t="shared" si="90"/>
        <v>3.250689625543763</v>
      </c>
      <c r="W201">
        <v>2026</v>
      </c>
      <c r="X201" t="s">
        <v>240</v>
      </c>
      <c r="Y201" t="s">
        <v>240</v>
      </c>
      <c r="Z201" s="61">
        <f>Z125*Z182/'Demographic-Economic'!E$29</f>
        <v>3980622227583.8052</v>
      </c>
      <c r="AA201" s="61">
        <f>AA125*AA182/'Demographic-Economic'!F$29</f>
        <v>584475273985.43982</v>
      </c>
      <c r="AB201" s="61">
        <f>AB125*AB182/'Demographic-Economic'!G$29</f>
        <v>492351073792.46405</v>
      </c>
      <c r="AC201" s="61">
        <f>AC125*AC182/'Demographic-Economic'!H$29</f>
        <v>261903078919.95895</v>
      </c>
      <c r="AD201" s="194">
        <f t="shared" si="91"/>
        <v>3.4115257783885897</v>
      </c>
      <c r="AG201">
        <v>2026</v>
      </c>
      <c r="AH201" t="s">
        <v>240</v>
      </c>
      <c r="AI201" t="s">
        <v>240</v>
      </c>
      <c r="AJ201" s="61">
        <f>AJ125*AJ182/'Demographic-Economic'!E$29</f>
        <v>3890782418112.7739</v>
      </c>
      <c r="AK201" s="61">
        <f>AK125*AK182/'Demographic-Economic'!F$29</f>
        <v>560144198465.53589</v>
      </c>
      <c r="AL201" s="61">
        <f>AL125*AL182/'Demographic-Economic'!G$29</f>
        <v>505806913477.06036</v>
      </c>
      <c r="AM201" s="61">
        <f>AM125*AM182/'Demographic-Economic'!H$29</f>
        <v>244655688431.10217</v>
      </c>
      <c r="AN201" s="194">
        <f t="shared" si="92"/>
        <v>2.9140842935526359</v>
      </c>
    </row>
    <row r="202" spans="2:40">
      <c r="E202">
        <v>2027</v>
      </c>
      <c r="F202" s="320" t="s">
        <v>240</v>
      </c>
      <c r="G202" s="320" t="s">
        <v>240</v>
      </c>
      <c r="H202" s="61">
        <f>H126*H183/'Demographic-Economic'!E$29</f>
        <v>13682530.828902438</v>
      </c>
      <c r="I202" s="61">
        <f>I126*I183/'Demographic-Economic'!F$29</f>
        <v>2812466.449833923</v>
      </c>
      <c r="J202" s="61">
        <f>J126*J183/'Demographic-Economic'!G$29</f>
        <v>2442160.4678682601</v>
      </c>
      <c r="K202" s="61">
        <f>K126*K183/'Demographic-Economic'!H$29</f>
        <v>1022455.6879625851</v>
      </c>
      <c r="L202" s="194">
        <f t="shared" si="89"/>
        <v>1.1221547301051591E-5</v>
      </c>
      <c r="M202" s="194"/>
      <c r="N202">
        <v>2027</v>
      </c>
      <c r="O202" t="s">
        <v>240</v>
      </c>
      <c r="P202" t="s">
        <v>240</v>
      </c>
      <c r="Q202" s="61">
        <f>Q126*Q183/'Demographic-Economic'!E$29</f>
        <v>4221057610685.8794</v>
      </c>
      <c r="R202" s="61">
        <f>R126*R183/'Demographic-Economic'!F$29</f>
        <v>549896891894.45752</v>
      </c>
      <c r="S202" s="61">
        <f>S126*S183/'Demographic-Economic'!G$29</f>
        <v>501213678769.28284</v>
      </c>
      <c r="T202" s="61">
        <f>T126*T183/'Demographic-Economic'!H$29</f>
        <v>265457110223.92325</v>
      </c>
      <c r="U202" s="194">
        <f t="shared" si="90"/>
        <v>3.3130795627173413</v>
      </c>
      <c r="W202">
        <v>2027</v>
      </c>
      <c r="X202" t="s">
        <v>240</v>
      </c>
      <c r="Y202" t="s">
        <v>240</v>
      </c>
      <c r="Z202" s="61">
        <f>Z126*Z183/'Demographic-Economic'!E$29</f>
        <v>4287353475520.6274</v>
      </c>
      <c r="AA202" s="61">
        <f>AA126*AA183/'Demographic-Economic'!F$29</f>
        <v>560246100421.93262</v>
      </c>
      <c r="AB202" s="61">
        <f>AB126*AB183/'Demographic-Economic'!G$29</f>
        <v>489963405804.4079</v>
      </c>
      <c r="AC202" s="61">
        <f>AC126*AC183/'Demographic-Economic'!H$29</f>
        <v>276531469890.41052</v>
      </c>
      <c r="AD202" s="194">
        <f t="shared" si="91"/>
        <v>3.5023633628990507</v>
      </c>
      <c r="AG202">
        <v>2027</v>
      </c>
      <c r="AH202" t="s">
        <v>240</v>
      </c>
      <c r="AI202" t="s">
        <v>240</v>
      </c>
      <c r="AJ202" s="61">
        <f>AJ126*AJ183/'Demographic-Economic'!E$29</f>
        <v>4158614236908.8052</v>
      </c>
      <c r="AK202" s="61">
        <f>AK126*AK183/'Demographic-Economic'!F$29</f>
        <v>540367018312.57068</v>
      </c>
      <c r="AL202" s="61">
        <f>AL126*AL183/'Demographic-Economic'!G$29</f>
        <v>509183228660.19739</v>
      </c>
      <c r="AM202" s="61">
        <f>AM126*AM183/'Demographic-Economic'!H$29</f>
        <v>255970591073.50595</v>
      </c>
      <c r="AN202" s="194">
        <f t="shared" si="92"/>
        <v>2.9278798593649165</v>
      </c>
    </row>
    <row r="203" spans="2:40">
      <c r="E203">
        <v>2028</v>
      </c>
      <c r="F203" s="320" t="s">
        <v>240</v>
      </c>
      <c r="G203" s="320" t="s">
        <v>240</v>
      </c>
      <c r="H203" s="61">
        <f>H127*H184/'Demographic-Economic'!E$29</f>
        <v>14578808.613584056</v>
      </c>
      <c r="I203" s="61">
        <f>I127*I184/'Demographic-Economic'!F$29</f>
        <v>2717950.7792279073</v>
      </c>
      <c r="J203" s="61">
        <f>J127*J184/'Demographic-Economic'!G$29</f>
        <v>2464269.5417925487</v>
      </c>
      <c r="K203" s="61">
        <f>K127*K184/'Demographic-Economic'!H$29</f>
        <v>1068750.5253947177</v>
      </c>
      <c r="L203" s="194">
        <f t="shared" si="89"/>
        <v>1.1274530671517963E-5</v>
      </c>
      <c r="M203" s="194"/>
      <c r="N203">
        <v>2028</v>
      </c>
      <c r="O203" t="s">
        <v>240</v>
      </c>
      <c r="P203" t="s">
        <v>240</v>
      </c>
      <c r="Q203" s="61">
        <f>Q127*Q184/'Demographic-Economic'!E$29</f>
        <v>4516467843262.5498</v>
      </c>
      <c r="R203" s="61">
        <f>R127*R184/'Demographic-Economic'!F$29</f>
        <v>528773121200.40295</v>
      </c>
      <c r="S203" s="61">
        <f>S127*S184/'Demographic-Economic'!G$29</f>
        <v>502891810863.45508</v>
      </c>
      <c r="T203" s="61">
        <f>T127*T184/'Demographic-Economic'!H$29</f>
        <v>278713189562.12939</v>
      </c>
      <c r="U203" s="194">
        <f t="shared" si="90"/>
        <v>3.3779910852745956</v>
      </c>
      <c r="W203">
        <v>2028</v>
      </c>
      <c r="X203" t="s">
        <v>240</v>
      </c>
      <c r="Y203" t="s">
        <v>240</v>
      </c>
      <c r="Z203" s="61">
        <f>Z127*Z184/'Demographic-Economic'!E$29</f>
        <v>4606430258752.2979</v>
      </c>
      <c r="AA203" s="61">
        <f>AA127*AA184/'Demographic-Economic'!F$29</f>
        <v>535660743323.38</v>
      </c>
      <c r="AB203" s="61">
        <f>AB127*AB184/'Demographic-Economic'!G$29</f>
        <v>487801384520.495</v>
      </c>
      <c r="AC203" s="61">
        <f>AC127*AC184/'Demographic-Economic'!H$29</f>
        <v>291696364238.4339</v>
      </c>
      <c r="AD203" s="194">
        <f t="shared" si="91"/>
        <v>3.5961217416339544</v>
      </c>
      <c r="AG203">
        <v>2028</v>
      </c>
      <c r="AH203" t="s">
        <v>240</v>
      </c>
      <c r="AI203" t="s">
        <v>240</v>
      </c>
      <c r="AJ203" s="61">
        <f>AJ127*AJ184/'Demographic-Economic'!E$29</f>
        <v>4433375432366.5439</v>
      </c>
      <c r="AK203" s="61">
        <f>AK127*AK184/'Demographic-Economic'!F$29</f>
        <v>521902705653.20459</v>
      </c>
      <c r="AL203" s="61">
        <f>AL127*AL184/'Demographic-Economic'!G$29</f>
        <v>513481139906.59277</v>
      </c>
      <c r="AM203" s="61">
        <f>AM127*AM184/'Demographic-Economic'!H$29</f>
        <v>267707111657.7066</v>
      </c>
      <c r="AN203" s="194">
        <f t="shared" si="92"/>
        <v>2.9454449878940285</v>
      </c>
    </row>
    <row r="204" spans="2:40">
      <c r="E204">
        <v>2029</v>
      </c>
      <c r="F204" s="320" t="s">
        <v>240</v>
      </c>
      <c r="G204" s="320" t="s">
        <v>240</v>
      </c>
      <c r="H204" s="61">
        <f>H128*H185/'Demographic-Economic'!E$29</f>
        <v>15499434.177271551</v>
      </c>
      <c r="I204" s="61">
        <f>I128*I185/'Demographic-Economic'!F$29</f>
        <v>2629857.936476144</v>
      </c>
      <c r="J204" s="61">
        <f>J128*J185/'Demographic-Economic'!G$29</f>
        <v>2490684.3660379434</v>
      </c>
      <c r="K204" s="61">
        <f>K128*K185/'Demographic-Economic'!H$29</f>
        <v>1116807.0304309281</v>
      </c>
      <c r="L204" s="194">
        <f t="shared" si="89"/>
        <v>1.134293169106372E-5</v>
      </c>
      <c r="M204" s="194"/>
      <c r="N204">
        <v>2029</v>
      </c>
      <c r="O204" t="s">
        <v>240</v>
      </c>
      <c r="P204" t="s">
        <v>240</v>
      </c>
      <c r="Q204" s="61">
        <f>Q128*Q185/'Demographic-Economic'!E$29</f>
        <v>4821728860130.8154</v>
      </c>
      <c r="R204" s="61">
        <f>R128*R185/'Demographic-Economic'!F$29</f>
        <v>508216723792.96448</v>
      </c>
      <c r="S204" s="61">
        <f>S128*S185/'Demographic-Economic'!G$29</f>
        <v>505230365904.43298</v>
      </c>
      <c r="T204" s="61">
        <f>T128*T185/'Demographic-Economic'!H$29</f>
        <v>292457034291.01398</v>
      </c>
      <c r="U204" s="194">
        <f t="shared" si="90"/>
        <v>3.4455007925678927</v>
      </c>
      <c r="W204">
        <v>2029</v>
      </c>
      <c r="X204" t="s">
        <v>240</v>
      </c>
      <c r="Y204" t="s">
        <v>240</v>
      </c>
      <c r="Z204" s="61">
        <f>Z128*Z185/'Demographic-Economic'!E$29</f>
        <v>4938267245367.4717</v>
      </c>
      <c r="AA204" s="61">
        <f>AA128*AA185/'Demographic-Economic'!F$29</f>
        <v>510760049081.73273</v>
      </c>
      <c r="AB204" s="61">
        <f>AB128*AB185/'Demographic-Economic'!G$29</f>
        <v>485900023211.62616</v>
      </c>
      <c r="AC204" s="61">
        <f>AC128*AC185/'Demographic-Economic'!H$29</f>
        <v>307419715886.33466</v>
      </c>
      <c r="AD204" s="194">
        <f t="shared" si="91"/>
        <v>3.6928774853410826</v>
      </c>
      <c r="AG204">
        <v>2029</v>
      </c>
      <c r="AH204" t="s">
        <v>240</v>
      </c>
      <c r="AI204" t="s">
        <v>240</v>
      </c>
      <c r="AJ204" s="61">
        <f>AJ128*AJ185/'Demographic-Economic'!E$29</f>
        <v>4715808729112.2666</v>
      </c>
      <c r="AK204" s="61">
        <f>AK128*AK185/'Demographic-Economic'!F$29</f>
        <v>504596983441.39484</v>
      </c>
      <c r="AL204" s="61">
        <f>AL128*AL185/'Demographic-Economic'!G$29</f>
        <v>518656054164.16406</v>
      </c>
      <c r="AM204" s="61">
        <f>AM128*AM185/'Demographic-Economic'!H$29</f>
        <v>279887684804.89539</v>
      </c>
      <c r="AN204" s="194">
        <f t="shared" si="92"/>
        <v>2.9666054780656976</v>
      </c>
    </row>
    <row r="205" spans="2:40">
      <c r="E205">
        <v>2030</v>
      </c>
      <c r="F205" s="320" t="s">
        <v>240</v>
      </c>
      <c r="G205" s="320" t="s">
        <v>240</v>
      </c>
      <c r="H205" s="61">
        <f>H129*H186/'Demographic-Economic'!E$29</f>
        <v>16446817.411650017</v>
      </c>
      <c r="I205" s="61">
        <f>I129*I186/'Demographic-Economic'!F$29</f>
        <v>2547434.9360708827</v>
      </c>
      <c r="J205" s="61">
        <f>J129*J186/'Demographic-Economic'!G$29</f>
        <v>2521215.728252477</v>
      </c>
      <c r="K205" s="61">
        <f>K129*K186/'Demographic-Economic'!H$29</f>
        <v>1166714.2193353812</v>
      </c>
      <c r="L205" s="194">
        <f t="shared" si="89"/>
        <v>1.1425931042555032E-5</v>
      </c>
      <c r="M205" s="194"/>
      <c r="N205">
        <v>2030</v>
      </c>
      <c r="O205" t="s">
        <v>240</v>
      </c>
      <c r="P205" t="s">
        <v>240</v>
      </c>
      <c r="Q205" s="61">
        <f>Q129*Q186/'Demographic-Economic'!E$29</f>
        <v>5137436454069.2793</v>
      </c>
      <c r="R205" s="61">
        <f>R129*R186/'Demographic-Economic'!F$29</f>
        <v>488173261079.14148</v>
      </c>
      <c r="S205" s="61">
        <f>S129*S186/'Demographic-Economic'!G$29</f>
        <v>508222166678.4303</v>
      </c>
      <c r="T205" s="61">
        <f>T129*T186/'Demographic-Economic'!H$29</f>
        <v>306713481825.37201</v>
      </c>
      <c r="U205" s="194">
        <f t="shared" si="90"/>
        <v>3.5156861981722414</v>
      </c>
      <c r="W205">
        <v>2030</v>
      </c>
      <c r="X205" t="s">
        <v>240</v>
      </c>
      <c r="Y205" t="s">
        <v>240</v>
      </c>
      <c r="Z205" s="61">
        <f>Z129*Z186/'Demographic-Economic'!E$29</f>
        <v>5283316535630.4736</v>
      </c>
      <c r="AA205" s="61">
        <f>AA129*AA186/'Demographic-Economic'!F$29</f>
        <v>485577850462.58997</v>
      </c>
      <c r="AB205" s="61">
        <f>AB129*AB186/'Demographic-Economic'!G$29</f>
        <v>484291520727.94745</v>
      </c>
      <c r="AC205" s="61">
        <f>AC129*AC186/'Demographic-Economic'!H$29</f>
        <v>323724919491.65729</v>
      </c>
      <c r="AD205" s="194">
        <f t="shared" si="91"/>
        <v>3.7927161929466688</v>
      </c>
      <c r="AG205">
        <v>2030</v>
      </c>
      <c r="AH205" t="s">
        <v>240</v>
      </c>
      <c r="AI205" t="s">
        <v>240</v>
      </c>
      <c r="AJ205" s="61">
        <f>AJ129*AJ186/'Demographic-Economic'!E$29</f>
        <v>5006629155940.3213</v>
      </c>
      <c r="AK205" s="61">
        <f>AK129*AK186/'Demographic-Economic'!F$29</f>
        <v>488316582746.67493</v>
      </c>
      <c r="AL205" s="61">
        <f>AL129*AL186/'Demographic-Economic'!G$29</f>
        <v>524672047522.13068</v>
      </c>
      <c r="AM205" s="61">
        <f>AM129*AM186/'Demographic-Economic'!H$29</f>
        <v>292535011191.96857</v>
      </c>
      <c r="AN205" s="194">
        <f t="shared" si="92"/>
        <v>2.991215048969476</v>
      </c>
    </row>
    <row r="206" spans="2:40">
      <c r="E206">
        <v>2040</v>
      </c>
      <c r="F206" s="320" t="s">
        <v>240</v>
      </c>
      <c r="G206" s="320" t="s">
        <v>240</v>
      </c>
      <c r="H206" s="61">
        <f>H130*H187/'Demographic-Economic'!E$29</f>
        <v>0</v>
      </c>
      <c r="I206" s="61">
        <f>I130*I187/'Demographic-Economic'!F$29</f>
        <v>0</v>
      </c>
      <c r="J206" s="61">
        <f>J130*J187/'Demographic-Economic'!G$29</f>
        <v>0</v>
      </c>
      <c r="K206" s="61">
        <f>K130*K187/'Demographic-Economic'!H$29</f>
        <v>0</v>
      </c>
      <c r="L206" s="194">
        <f t="shared" si="89"/>
        <v>0</v>
      </c>
      <c r="M206" s="194"/>
      <c r="N206">
        <v>2040</v>
      </c>
      <c r="O206" t="s">
        <v>240</v>
      </c>
      <c r="P206" t="s">
        <v>240</v>
      </c>
      <c r="Q206" s="61">
        <f>Q130*Q187/'Demographic-Economic'!E$29</f>
        <v>0</v>
      </c>
      <c r="R206" s="61">
        <f>R130*R187/'Demographic-Economic'!F$29</f>
        <v>0</v>
      </c>
      <c r="S206" s="61">
        <f>S130*S187/'Demographic-Economic'!G$29</f>
        <v>0</v>
      </c>
      <c r="T206" s="61">
        <f>T130*T187/'Demographic-Economic'!H$29</f>
        <v>0</v>
      </c>
      <c r="U206" s="194">
        <f t="shared" si="90"/>
        <v>0</v>
      </c>
      <c r="W206">
        <v>2040</v>
      </c>
      <c r="X206" t="s">
        <v>240</v>
      </c>
      <c r="Y206" t="s">
        <v>240</v>
      </c>
      <c r="Z206" s="61">
        <f>Z130*Z187/'Demographic-Economic'!E$29</f>
        <v>0</v>
      </c>
      <c r="AA206" s="61">
        <f>AA130*AA187/'Demographic-Economic'!F$29</f>
        <v>0</v>
      </c>
      <c r="AB206" s="61">
        <f>AB130*AB187/'Demographic-Economic'!G$29</f>
        <v>0</v>
      </c>
      <c r="AC206" s="61">
        <f>AC130*AC187/'Demographic-Economic'!H$29</f>
        <v>0</v>
      </c>
      <c r="AD206" s="194">
        <f t="shared" si="91"/>
        <v>0</v>
      </c>
      <c r="AG206">
        <v>2040</v>
      </c>
      <c r="AH206" t="s">
        <v>240</v>
      </c>
      <c r="AI206" t="s">
        <v>240</v>
      </c>
      <c r="AJ206" s="61">
        <f>AJ130*AJ187/'Demographic-Economic'!E$29</f>
        <v>0</v>
      </c>
      <c r="AK206" s="61">
        <f>AK130*AK187/'Demographic-Economic'!F$29</f>
        <v>0</v>
      </c>
      <c r="AL206" s="61">
        <f>AL130*AL187/'Demographic-Economic'!G$29</f>
        <v>0</v>
      </c>
      <c r="AM206" s="61">
        <f>AM130*AM187/'Demographic-Economic'!H$29</f>
        <v>0</v>
      </c>
      <c r="AN206" s="194">
        <f t="shared" si="92"/>
        <v>0</v>
      </c>
    </row>
    <row r="207" spans="2:40">
      <c r="E207">
        <v>2050</v>
      </c>
      <c r="F207" s="320" t="s">
        <v>240</v>
      </c>
      <c r="G207" s="320" t="s">
        <v>240</v>
      </c>
      <c r="H207" s="61">
        <f>H131*H188/'Demographic-Economic'!E$29</f>
        <v>0</v>
      </c>
      <c r="I207" s="61">
        <f>I131*I188/'Demographic-Economic'!F$29</f>
        <v>0</v>
      </c>
      <c r="J207" s="61">
        <f>J131*J188/'Demographic-Economic'!G$29</f>
        <v>0</v>
      </c>
      <c r="K207" s="61">
        <f>K131*K188/'Demographic-Economic'!H$29</f>
        <v>0</v>
      </c>
      <c r="L207" s="194">
        <f t="shared" si="89"/>
        <v>0</v>
      </c>
      <c r="M207" s="194"/>
      <c r="N207">
        <v>2050</v>
      </c>
      <c r="O207" t="s">
        <v>240</v>
      </c>
      <c r="P207" t="s">
        <v>240</v>
      </c>
      <c r="Q207" s="61">
        <f>Q131*Q188/'Demographic-Economic'!E$29</f>
        <v>0</v>
      </c>
      <c r="R207" s="61">
        <f>R131*R188/'Demographic-Economic'!F$29</f>
        <v>0</v>
      </c>
      <c r="S207" s="61">
        <f>S131*S188/'Demographic-Economic'!G$29</f>
        <v>0</v>
      </c>
      <c r="T207" s="61">
        <f>T131*T188/'Demographic-Economic'!H$29</f>
        <v>0</v>
      </c>
      <c r="U207" s="194">
        <f t="shared" si="90"/>
        <v>0</v>
      </c>
      <c r="W207">
        <v>2050</v>
      </c>
      <c r="X207" t="s">
        <v>240</v>
      </c>
      <c r="Y207" t="s">
        <v>240</v>
      </c>
      <c r="Z207" s="61">
        <f>Z131*Z188/'Demographic-Economic'!E$29</f>
        <v>0</v>
      </c>
      <c r="AA207" s="61">
        <f>AA131*AA188/'Demographic-Economic'!F$29</f>
        <v>0</v>
      </c>
      <c r="AB207" s="61">
        <f>AB131*AB188/'Demographic-Economic'!G$29</f>
        <v>0</v>
      </c>
      <c r="AC207" s="61">
        <f>AC131*AC188/'Demographic-Economic'!H$29</f>
        <v>0</v>
      </c>
      <c r="AD207" s="194">
        <f t="shared" si="91"/>
        <v>0</v>
      </c>
      <c r="AG207">
        <v>2050</v>
      </c>
      <c r="AH207" t="s">
        <v>240</v>
      </c>
      <c r="AI207" t="s">
        <v>240</v>
      </c>
      <c r="AJ207" s="61">
        <f>AJ131*AJ188/'Demographic-Economic'!E$29</f>
        <v>0</v>
      </c>
      <c r="AK207" s="61">
        <f>AK131*AK188/'Demographic-Economic'!F$29</f>
        <v>0</v>
      </c>
      <c r="AL207" s="61">
        <f>AL131*AL188/'Demographic-Economic'!G$29</f>
        <v>0</v>
      </c>
      <c r="AM207" s="61">
        <f>AM131*AM188/'Demographic-Economic'!H$29</f>
        <v>0</v>
      </c>
      <c r="AN207" s="194">
        <f t="shared" si="92"/>
        <v>0</v>
      </c>
    </row>
    <row r="208" spans="2:40">
      <c r="E208">
        <v>2060</v>
      </c>
      <c r="F208" s="320" t="s">
        <v>240</v>
      </c>
      <c r="G208" s="320" t="s">
        <v>240</v>
      </c>
      <c r="H208" s="61">
        <f>H132*H189/'Demographic-Economic'!E$29</f>
        <v>0</v>
      </c>
      <c r="I208" s="61">
        <f>I132*I189/'Demographic-Economic'!F$29</f>
        <v>0</v>
      </c>
      <c r="J208" s="61">
        <f>J132*J189/'Demographic-Economic'!G$29</f>
        <v>0</v>
      </c>
      <c r="K208" s="61">
        <f>K132*K189/'Demographic-Economic'!H$29</f>
        <v>0</v>
      </c>
      <c r="L208" s="194">
        <f t="shared" si="89"/>
        <v>0</v>
      </c>
      <c r="M208" s="194"/>
      <c r="N208">
        <v>2060</v>
      </c>
      <c r="O208" t="s">
        <v>240</v>
      </c>
      <c r="P208" t="s">
        <v>240</v>
      </c>
      <c r="Q208" s="61">
        <f>Q132*Q189/'Demographic-Economic'!E$29</f>
        <v>0</v>
      </c>
      <c r="R208" s="61">
        <f>R132*R189/'Demographic-Economic'!F$29</f>
        <v>0</v>
      </c>
      <c r="S208" s="61">
        <f>S132*S189/'Demographic-Economic'!G$29</f>
        <v>0</v>
      </c>
      <c r="T208" s="61">
        <f>T132*T189/'Demographic-Economic'!H$29</f>
        <v>0</v>
      </c>
      <c r="U208" s="194">
        <f t="shared" si="90"/>
        <v>0</v>
      </c>
      <c r="W208">
        <v>2060</v>
      </c>
      <c r="X208" t="s">
        <v>240</v>
      </c>
      <c r="Y208" t="s">
        <v>240</v>
      </c>
      <c r="Z208" s="61">
        <f>Z132*Z189/'Demographic-Economic'!E$29</f>
        <v>0</v>
      </c>
      <c r="AA208" s="61">
        <f>AA132*AA189/'Demographic-Economic'!F$29</f>
        <v>0</v>
      </c>
      <c r="AB208" s="61">
        <f>AB132*AB189/'Demographic-Economic'!G$29</f>
        <v>0</v>
      </c>
      <c r="AC208" s="61">
        <f>AC132*AC189/'Demographic-Economic'!H$29</f>
        <v>0</v>
      </c>
      <c r="AD208" s="194">
        <f t="shared" si="91"/>
        <v>0</v>
      </c>
      <c r="AG208">
        <v>2060</v>
      </c>
      <c r="AH208" t="s">
        <v>240</v>
      </c>
      <c r="AI208" t="s">
        <v>240</v>
      </c>
      <c r="AJ208" s="61">
        <f>AJ132*AJ189/'Demographic-Economic'!E$29</f>
        <v>0</v>
      </c>
      <c r="AK208" s="61">
        <f>AK132*AK189/'Demographic-Economic'!F$29</f>
        <v>0</v>
      </c>
      <c r="AL208" s="61">
        <f>AL132*AL189/'Demographic-Economic'!G$29</f>
        <v>0</v>
      </c>
      <c r="AM208" s="61">
        <f>AM132*AM189/'Demographic-Economic'!H$29</f>
        <v>0</v>
      </c>
      <c r="AN208" s="194">
        <f t="shared" si="92"/>
        <v>0</v>
      </c>
    </row>
    <row r="209" spans="5:40">
      <c r="E209">
        <v>2070</v>
      </c>
      <c r="F209" s="320" t="s">
        <v>240</v>
      </c>
      <c r="G209" s="320" t="s">
        <v>240</v>
      </c>
      <c r="H209" s="61">
        <f>H133*H190/'Demographic-Economic'!E$29</f>
        <v>0</v>
      </c>
      <c r="I209" s="61">
        <f>I133*I190/'Demographic-Economic'!F$29</f>
        <v>0</v>
      </c>
      <c r="J209" s="61">
        <f>J133*J190/'Demographic-Economic'!G$29</f>
        <v>0</v>
      </c>
      <c r="K209" s="61">
        <f>K133*K190/'Demographic-Economic'!H$29</f>
        <v>0</v>
      </c>
      <c r="L209" s="194">
        <f t="shared" si="89"/>
        <v>0</v>
      </c>
      <c r="M209" s="194"/>
      <c r="N209">
        <v>2070</v>
      </c>
      <c r="O209" t="s">
        <v>240</v>
      </c>
      <c r="P209" t="s">
        <v>240</v>
      </c>
      <c r="Q209" s="61">
        <f>Q133*Q190/'Demographic-Economic'!E$29</f>
        <v>0</v>
      </c>
      <c r="R209" s="61">
        <f>R133*R190/'Demographic-Economic'!F$29</f>
        <v>0</v>
      </c>
      <c r="S209" s="61">
        <f>S133*S190/'Demographic-Economic'!G$29</f>
        <v>0</v>
      </c>
      <c r="T209" s="61">
        <f>T133*T190/'Demographic-Economic'!H$29</f>
        <v>0</v>
      </c>
      <c r="U209" s="194">
        <f t="shared" si="90"/>
        <v>0</v>
      </c>
      <c r="W209">
        <v>2070</v>
      </c>
      <c r="X209" t="s">
        <v>240</v>
      </c>
      <c r="Y209" t="s">
        <v>240</v>
      </c>
      <c r="Z209" s="61">
        <f>Z133*Z190/'Demographic-Economic'!E$29</f>
        <v>0</v>
      </c>
      <c r="AA209" s="61">
        <f>AA133*AA190/'Demographic-Economic'!F$29</f>
        <v>0</v>
      </c>
      <c r="AB209" s="61">
        <f>AB133*AB190/'Demographic-Economic'!G$29</f>
        <v>0</v>
      </c>
      <c r="AC209" s="61">
        <f>AC133*AC190/'Demographic-Economic'!H$29</f>
        <v>0</v>
      </c>
      <c r="AD209" s="194">
        <f t="shared" si="91"/>
        <v>0</v>
      </c>
      <c r="AG209">
        <v>2070</v>
      </c>
      <c r="AH209" t="s">
        <v>240</v>
      </c>
      <c r="AI209" t="s">
        <v>240</v>
      </c>
      <c r="AJ209" s="61">
        <f>AJ133*AJ190/'Demographic-Economic'!E$29</f>
        <v>0</v>
      </c>
      <c r="AK209" s="61">
        <f>AK133*AK190/'Demographic-Economic'!F$29</f>
        <v>0</v>
      </c>
      <c r="AL209" s="61">
        <f>AL133*AL190/'Demographic-Economic'!G$29</f>
        <v>0</v>
      </c>
      <c r="AM209" s="61">
        <f>AM133*AM190/'Demographic-Economic'!H$29</f>
        <v>0</v>
      </c>
      <c r="AN209" s="194">
        <f t="shared" si="92"/>
        <v>0</v>
      </c>
    </row>
    <row r="210" spans="5:40">
      <c r="E210">
        <v>2080</v>
      </c>
      <c r="F210" s="320" t="s">
        <v>240</v>
      </c>
      <c r="G210" s="320" t="s">
        <v>240</v>
      </c>
      <c r="H210" s="61">
        <f>H134*H191/'Demographic-Economic'!E$29</f>
        <v>0</v>
      </c>
      <c r="I210" s="61">
        <f>I134*I191/'Demographic-Economic'!F$29</f>
        <v>0</v>
      </c>
      <c r="J210" s="61">
        <f>J134*J191/'Demographic-Economic'!G$29</f>
        <v>0</v>
      </c>
      <c r="K210" s="61">
        <f>K134*K191/'Demographic-Economic'!H$29</f>
        <v>0</v>
      </c>
      <c r="L210" s="194">
        <f t="shared" si="89"/>
        <v>0</v>
      </c>
      <c r="M210" s="194"/>
      <c r="N210">
        <v>2080</v>
      </c>
      <c r="O210" t="s">
        <v>240</v>
      </c>
      <c r="P210" t="s">
        <v>240</v>
      </c>
      <c r="Q210" s="61">
        <f>Q134*Q191/'Demographic-Economic'!E$29</f>
        <v>0</v>
      </c>
      <c r="R210" s="61">
        <f>R134*R191/'Demographic-Economic'!F$29</f>
        <v>0</v>
      </c>
      <c r="S210" s="61">
        <f>S134*S191/'Demographic-Economic'!G$29</f>
        <v>0</v>
      </c>
      <c r="T210" s="61">
        <f>T134*T191/'Demographic-Economic'!H$29</f>
        <v>0</v>
      </c>
      <c r="U210" s="194">
        <f t="shared" si="90"/>
        <v>0</v>
      </c>
      <c r="W210">
        <v>2080</v>
      </c>
      <c r="X210" t="s">
        <v>240</v>
      </c>
      <c r="Y210" t="s">
        <v>240</v>
      </c>
      <c r="Z210" s="61">
        <f>Z134*Z191/'Demographic-Economic'!E$29</f>
        <v>0</v>
      </c>
      <c r="AA210" s="61">
        <f>AA134*AA191/'Demographic-Economic'!F$29</f>
        <v>0</v>
      </c>
      <c r="AB210" s="61">
        <f>AB134*AB191/'Demographic-Economic'!G$29</f>
        <v>0</v>
      </c>
      <c r="AC210" s="61">
        <f>AC134*AC191/'Demographic-Economic'!H$29</f>
        <v>0</v>
      </c>
      <c r="AD210" s="194">
        <f t="shared" si="91"/>
        <v>0</v>
      </c>
      <c r="AG210">
        <v>2080</v>
      </c>
      <c r="AH210" t="s">
        <v>240</v>
      </c>
      <c r="AI210" t="s">
        <v>240</v>
      </c>
      <c r="AJ210" s="61">
        <f>AJ134*AJ191/'Demographic-Economic'!E$29</f>
        <v>0</v>
      </c>
      <c r="AK210" s="61">
        <f>AK134*AK191/'Demographic-Economic'!F$29</f>
        <v>0</v>
      </c>
      <c r="AL210" s="61">
        <f>AL134*AL191/'Demographic-Economic'!G$29</f>
        <v>0</v>
      </c>
      <c r="AM210" s="61">
        <f>AM134*AM191/'Demographic-Economic'!H$29</f>
        <v>0</v>
      </c>
      <c r="AN210" s="194">
        <f t="shared" si="92"/>
        <v>0</v>
      </c>
    </row>
    <row r="211" spans="5:40">
      <c r="E211">
        <v>2090</v>
      </c>
      <c r="F211" s="320" t="s">
        <v>240</v>
      </c>
      <c r="G211" s="320" t="s">
        <v>240</v>
      </c>
      <c r="H211" s="61">
        <f>H135*H192/'Demographic-Economic'!E$29</f>
        <v>0</v>
      </c>
      <c r="I211" s="61">
        <f>I135*I192/'Demographic-Economic'!F$29</f>
        <v>0</v>
      </c>
      <c r="J211" s="61">
        <f>J135*J192/'Demographic-Economic'!G$29</f>
        <v>0</v>
      </c>
      <c r="K211" s="61">
        <f>K135*K192/'Demographic-Economic'!H$29</f>
        <v>0</v>
      </c>
      <c r="L211" s="194">
        <f t="shared" si="89"/>
        <v>0</v>
      </c>
      <c r="M211" s="194"/>
      <c r="N211">
        <v>2090</v>
      </c>
      <c r="O211" t="s">
        <v>240</v>
      </c>
      <c r="P211" t="s">
        <v>240</v>
      </c>
      <c r="Q211" s="61">
        <f>Q135*Q192/'Demographic-Economic'!E$29</f>
        <v>0</v>
      </c>
      <c r="R211" s="61">
        <f>R135*R192/'Demographic-Economic'!F$29</f>
        <v>0</v>
      </c>
      <c r="S211" s="61">
        <f>S135*S192/'Demographic-Economic'!G$29</f>
        <v>0</v>
      </c>
      <c r="T211" s="61">
        <f>T135*T192/'Demographic-Economic'!H$29</f>
        <v>0</v>
      </c>
      <c r="U211" s="194">
        <f t="shared" si="90"/>
        <v>0</v>
      </c>
      <c r="W211">
        <v>2090</v>
      </c>
      <c r="X211" t="s">
        <v>240</v>
      </c>
      <c r="Y211" t="s">
        <v>240</v>
      </c>
      <c r="Z211" s="61">
        <f>Z135*Z192/'Demographic-Economic'!E$29</f>
        <v>0</v>
      </c>
      <c r="AA211" s="61">
        <f>AA135*AA192/'Demographic-Economic'!F$29</f>
        <v>0</v>
      </c>
      <c r="AB211" s="61">
        <f>AB135*AB192/'Demographic-Economic'!G$29</f>
        <v>0</v>
      </c>
      <c r="AC211" s="61">
        <f>AC135*AC192/'Demographic-Economic'!H$29</f>
        <v>0</v>
      </c>
      <c r="AD211" s="194">
        <f t="shared" si="91"/>
        <v>0</v>
      </c>
      <c r="AG211">
        <v>2090</v>
      </c>
      <c r="AH211" t="s">
        <v>240</v>
      </c>
      <c r="AI211" t="s">
        <v>240</v>
      </c>
      <c r="AJ211" s="61">
        <f>AJ135*AJ192/'Demographic-Economic'!E$29</f>
        <v>0</v>
      </c>
      <c r="AK211" s="61">
        <f>AK135*AK192/'Demographic-Economic'!F$29</f>
        <v>0</v>
      </c>
      <c r="AL211" s="61">
        <f>AL135*AL192/'Demographic-Economic'!G$29</f>
        <v>0</v>
      </c>
      <c r="AM211" s="61">
        <f>AM135*AM192/'Demographic-Economic'!H$29</f>
        <v>0</v>
      </c>
      <c r="AN211" s="194">
        <f t="shared" si="92"/>
        <v>0</v>
      </c>
    </row>
    <row r="212" spans="5:40">
      <c r="E212">
        <v>2100</v>
      </c>
      <c r="F212" s="320" t="s">
        <v>240</v>
      </c>
      <c r="G212" s="320" t="s">
        <v>240</v>
      </c>
      <c r="H212" s="61">
        <f>H136*H193/'Demographic-Economic'!E$29</f>
        <v>0</v>
      </c>
      <c r="I212" s="61">
        <f>I136*I193/'Demographic-Economic'!F$29</f>
        <v>0</v>
      </c>
      <c r="J212" s="61">
        <f>J136*J193/'Demographic-Economic'!G$29</f>
        <v>0</v>
      </c>
      <c r="K212" s="61">
        <f>K136*K193/'Demographic-Economic'!H$29</f>
        <v>0</v>
      </c>
      <c r="L212" s="194">
        <f t="shared" si="89"/>
        <v>0</v>
      </c>
      <c r="M212" s="194"/>
      <c r="N212">
        <v>2100</v>
      </c>
      <c r="O212" t="s">
        <v>240</v>
      </c>
      <c r="P212" t="s">
        <v>240</v>
      </c>
      <c r="Q212" s="61">
        <f>Q136*Q193/'Demographic-Economic'!E$29</f>
        <v>0</v>
      </c>
      <c r="R212" s="61">
        <f>R136*R193/'Demographic-Economic'!F$29</f>
        <v>0</v>
      </c>
      <c r="S212" s="61">
        <f>S136*S193/'Demographic-Economic'!G$29</f>
        <v>0</v>
      </c>
      <c r="T212" s="61">
        <f>T136*T193/'Demographic-Economic'!H$29</f>
        <v>0</v>
      </c>
      <c r="U212" s="194">
        <f t="shared" si="90"/>
        <v>0</v>
      </c>
      <c r="W212">
        <v>2100</v>
      </c>
      <c r="X212" t="s">
        <v>240</v>
      </c>
      <c r="Y212" t="s">
        <v>240</v>
      </c>
      <c r="Z212" s="61">
        <f>Z136*Z193/'Demographic-Economic'!E$29</f>
        <v>0</v>
      </c>
      <c r="AA212" s="61">
        <f>AA136*AA193/'Demographic-Economic'!F$29</f>
        <v>0</v>
      </c>
      <c r="AB212" s="61">
        <f>AB136*AB193/'Demographic-Economic'!G$29</f>
        <v>0</v>
      </c>
      <c r="AC212" s="61">
        <f>AC136*AC193/'Demographic-Economic'!H$29</f>
        <v>0</v>
      </c>
      <c r="AD212" s="194">
        <f t="shared" si="91"/>
        <v>0</v>
      </c>
      <c r="AG212">
        <v>2100</v>
      </c>
      <c r="AH212" t="s">
        <v>240</v>
      </c>
      <c r="AI212" t="s">
        <v>240</v>
      </c>
      <c r="AJ212" s="61">
        <f>AJ136*AJ193/'Demographic-Economic'!E$29</f>
        <v>0</v>
      </c>
      <c r="AK212" s="61">
        <f>AK136*AK193/'Demographic-Economic'!F$29</f>
        <v>0</v>
      </c>
      <c r="AL212" s="61">
        <f>AL136*AL193/'Demographic-Economic'!G$29</f>
        <v>0</v>
      </c>
      <c r="AM212" s="61">
        <f>AM136*AM193/'Demographic-Economic'!H$29</f>
        <v>0</v>
      </c>
      <c r="AN212" s="194">
        <f t="shared" si="92"/>
        <v>0</v>
      </c>
    </row>
    <row r="213" spans="5:40">
      <c r="F213" s="581" t="s">
        <v>287</v>
      </c>
      <c r="G213" s="581"/>
      <c r="H213" s="581"/>
      <c r="I213" s="581"/>
      <c r="J213" s="581"/>
      <c r="K213" s="581"/>
      <c r="O213" s="581" t="s">
        <v>287</v>
      </c>
      <c r="P213" s="581"/>
      <c r="Q213" s="581"/>
      <c r="R213" s="581"/>
      <c r="S213" s="581"/>
      <c r="T213" s="581"/>
      <c r="X213" s="581" t="s">
        <v>288</v>
      </c>
      <c r="Y213" s="581"/>
      <c r="Z213" s="581"/>
      <c r="AA213" s="581"/>
      <c r="AB213" s="581"/>
      <c r="AC213" s="581"/>
      <c r="AH213" s="581" t="s">
        <v>288</v>
      </c>
      <c r="AI213" s="581"/>
      <c r="AJ213" s="581"/>
      <c r="AK213" s="581"/>
      <c r="AL213" s="581"/>
      <c r="AM213" s="581"/>
    </row>
    <row r="214" spans="5:40">
      <c r="E214">
        <v>2020</v>
      </c>
      <c r="F214" s="320" t="s">
        <v>240</v>
      </c>
      <c r="G214" s="320" t="s">
        <v>240</v>
      </c>
      <c r="H214" s="62">
        <f>(('Demographic-Economic'!E$23*1000*(1+'Inflation-Interest'!$C$65)*(1+'Inflation-Interest'!$C$66)*(1+'Inflation-Interest'!$C$67)) * AVERAGE('Demographic-Economic'!$C12:$H12)/'Voluntary Costs (3)'!H24)*$C$5</f>
        <v>1485.0822843802528</v>
      </c>
      <c r="I214" s="62">
        <f>(('Demographic-Economic'!F$23*1000*(1+'Inflation-Interest'!$C$65)*(1+'Inflation-Interest'!$C$66)*(1+'Inflation-Interest'!$C$67)) * AVERAGE('Demographic-Economic'!$C12:$H12)/'Voluntary Costs (3)'!I24)*$C$5</f>
        <v>700.05617365998603</v>
      </c>
      <c r="J214" s="62">
        <f>(('Demographic-Economic'!G$23*1000*(1+'Inflation-Interest'!$C$65)*(1+'Inflation-Interest'!$C$66)*(1+'Inflation-Interest'!$C$67)) * AVERAGE('Demographic-Economic'!$C12:$H12)/'Voluntary Costs (3)'!J24)*$C$5</f>
        <v>822.63168389439056</v>
      </c>
      <c r="K214" s="62">
        <f>(('Demographic-Economic'!H$23*1000*(1+'Inflation-Interest'!$C$65)*(1+'Inflation-Interest'!$C$66)*(1+'Inflation-Interest'!$C$67)) * AVERAGE('Demographic-Economic'!$C12:$H12)/'Voluntary Costs (3)'!K24)*$C$5</f>
        <v>227.44146166410471</v>
      </c>
      <c r="L214" s="329">
        <f>SUMPRODUCT(H214:K214, H24:K24)/SUM(H24:K24)</f>
        <v>1218.8996901679086</v>
      </c>
      <c r="M214" s="329"/>
      <c r="N214">
        <v>2020</v>
      </c>
      <c r="O214" s="320" t="s">
        <v>240</v>
      </c>
      <c r="P214" s="320" t="s">
        <v>240</v>
      </c>
      <c r="Q214" s="170">
        <f>(('Demographic-Economic'!E$23*1000*(1+'Inflation-Interest'!$C$65)*(1+'Inflation-Interest'!$C$66)*(1+'Inflation-Interest'!$C$67)) * AVERAGE('Demographic-Economic'!$C12:$H12)/'Voluntary Costs (3)'!Q24)*$C$5</f>
        <v>1485.0822843802528</v>
      </c>
      <c r="R214" s="170">
        <f>(('Demographic-Economic'!F$23*1000*(1+'Inflation-Interest'!$C$65)*(1+'Inflation-Interest'!$C$66)*(1+'Inflation-Interest'!$C$67)) * AVERAGE('Demographic-Economic'!$C12:$H12)/'Voluntary Costs (3)'!R24)*$C$5</f>
        <v>700.05617365998603</v>
      </c>
      <c r="S214" s="170">
        <f>(('Demographic-Economic'!G$23*1000*(1+'Inflation-Interest'!$C$65)*(1+'Inflation-Interest'!$C$66)*(1+'Inflation-Interest'!$C$67)) * AVERAGE('Demographic-Economic'!$C12:$H12)/'Voluntary Costs (3)'!S24)*$C$5</f>
        <v>822.63168389439056</v>
      </c>
      <c r="T214" s="170">
        <f>(('Demographic-Economic'!H$23*1000*(1+'Inflation-Interest'!$C$65)*(1+'Inflation-Interest'!$C$66)*(1+'Inflation-Interest'!$C$67)) * AVERAGE('Demographic-Economic'!$C12:$H12)/'Voluntary Costs (3)'!T24)*$C$5</f>
        <v>227.44146166410471</v>
      </c>
      <c r="U214" s="172">
        <f>SUMPRODUCT(Q214:T214, Q24:T24)/SUM(Q24:T24)</f>
        <v>1218.8996901679086</v>
      </c>
      <c r="W214">
        <v>2020</v>
      </c>
      <c r="Z214" s="170">
        <v>3712.7057109506318</v>
      </c>
      <c r="AA214" s="170">
        <v>1750.1404341499649</v>
      </c>
      <c r="AB214" s="170">
        <v>2056.5792097359763</v>
      </c>
      <c r="AC214" s="170">
        <v>568.60365416026173</v>
      </c>
      <c r="AD214" s="172">
        <f>SUMPRODUCT(Z214:AC214, Z24:AC24)/SUM(Z24:AC24)</f>
        <v>3047.2492254197723</v>
      </c>
      <c r="AG214">
        <v>2020</v>
      </c>
      <c r="AH214" t="s">
        <v>240</v>
      </c>
      <c r="AI214" t="s">
        <v>240</v>
      </c>
      <c r="AJ214" s="170">
        <v>3712.7057109506318</v>
      </c>
      <c r="AK214" s="170">
        <v>1750.1404341499649</v>
      </c>
      <c r="AL214" s="170">
        <v>2056.5792097359763</v>
      </c>
      <c r="AM214" s="170">
        <v>568.60365416026173</v>
      </c>
      <c r="AN214" s="172">
        <f>SUMPRODUCT(AJ214:AM214, AJ24:AM24)/SUM(AJ24:AM24)</f>
        <v>3047.2492254197723</v>
      </c>
    </row>
    <row r="215" spans="5:40">
      <c r="E215">
        <v>2021</v>
      </c>
      <c r="F215" s="320" t="s">
        <v>240</v>
      </c>
      <c r="G215" s="320" t="s">
        <v>240</v>
      </c>
      <c r="H215" s="62">
        <f>H214*(1+$C$6)</f>
        <v>1540.8310357673172</v>
      </c>
      <c r="I215" s="62">
        <f t="shared" ref="I215:K224" si="93">I214*(1+$C$6)</f>
        <v>726.33569903903719</v>
      </c>
      <c r="J215" s="62">
        <f t="shared" si="93"/>
        <v>853.51259178138275</v>
      </c>
      <c r="K215" s="62">
        <f t="shared" si="93"/>
        <v>235.97942460042381</v>
      </c>
      <c r="L215" s="329">
        <f t="shared" ref="L215:L231" si="94">SUMPRODUCT(H215:K215, H25:K25)/SUM(H25:K25)</f>
        <v>1264.6003150885997</v>
      </c>
      <c r="M215" s="329"/>
      <c r="N215">
        <v>2021</v>
      </c>
      <c r="O215" s="320" t="s">
        <v>240</v>
      </c>
      <c r="P215" s="320" t="s">
        <v>240</v>
      </c>
      <c r="Q215" s="170">
        <f>Q214*(1+$C$6)</f>
        <v>1540.8310357673172</v>
      </c>
      <c r="R215" s="170">
        <f t="shared" ref="R215:T215" si="95">R214*(1+$C$6)</f>
        <v>726.33569903903719</v>
      </c>
      <c r="S215" s="170">
        <f t="shared" si="95"/>
        <v>853.51259178138275</v>
      </c>
      <c r="T215" s="170">
        <f t="shared" si="95"/>
        <v>235.97942460042381</v>
      </c>
      <c r="U215" s="172">
        <f t="shared" ref="U215:U231" si="96">SUMPRODUCT(Q215:T215, Q25:T25)/SUM(Q25:T25)</f>
        <v>1264.6003150885999</v>
      </c>
      <c r="W215">
        <v>2021</v>
      </c>
      <c r="Z215" s="170">
        <v>3852.077589418293</v>
      </c>
      <c r="AA215" s="170">
        <v>1815.8392475975927</v>
      </c>
      <c r="AB215" s="170">
        <v>2133.7814794534565</v>
      </c>
      <c r="AC215" s="170">
        <v>589.94856150105954</v>
      </c>
      <c r="AD215" s="172">
        <f t="shared" ref="AD215:AD231" si="97">SUMPRODUCT(Z215:AC215, Z25:AC25)/SUM(Z25:AC25)</f>
        <v>3161.5007877214994</v>
      </c>
      <c r="AG215">
        <v>2021</v>
      </c>
      <c r="AH215" t="s">
        <v>240</v>
      </c>
      <c r="AI215" t="s">
        <v>240</v>
      </c>
      <c r="AJ215" s="170">
        <v>3852.077589418293</v>
      </c>
      <c r="AK215" s="170">
        <v>1815.8392475975927</v>
      </c>
      <c r="AL215" s="170">
        <v>2133.7814794534565</v>
      </c>
      <c r="AM215" s="170">
        <v>589.94856150105954</v>
      </c>
      <c r="AN215" s="172">
        <f t="shared" ref="AN215:AN231" si="98">SUMPRODUCT(AJ215:AM215, AJ25:AM25)/SUM(AJ25:AM25)</f>
        <v>3161.5007877214998</v>
      </c>
    </row>
    <row r="216" spans="5:40">
      <c r="E216">
        <v>2022</v>
      </c>
      <c r="F216" s="320" t="s">
        <v>240</v>
      </c>
      <c r="G216" s="320" t="s">
        <v>240</v>
      </c>
      <c r="H216" s="62">
        <f t="shared" ref="H216:H224" si="99">H215*(1+$C$6)</f>
        <v>1598.6725488241591</v>
      </c>
      <c r="I216" s="62">
        <f t="shared" si="93"/>
        <v>753.60173590121349</v>
      </c>
      <c r="J216" s="62">
        <f t="shared" si="93"/>
        <v>885.55274321636273</v>
      </c>
      <c r="K216" s="62">
        <f t="shared" si="93"/>
        <v>244.83789555040323</v>
      </c>
      <c r="L216" s="329">
        <f t="shared" si="94"/>
        <v>1312.0261344644207</v>
      </c>
      <c r="M216" s="329"/>
      <c r="N216">
        <v>2022</v>
      </c>
      <c r="O216" s="320" t="s">
        <v>240</v>
      </c>
      <c r="P216" s="320" t="s">
        <v>240</v>
      </c>
      <c r="Q216" s="170">
        <f t="shared" ref="Q216:T224" si="100">Q215*(1+$C$6)</f>
        <v>1598.6725488241591</v>
      </c>
      <c r="R216" s="170">
        <f t="shared" si="100"/>
        <v>753.60173590121349</v>
      </c>
      <c r="S216" s="170">
        <f t="shared" si="100"/>
        <v>885.55274321636273</v>
      </c>
      <c r="T216" s="170">
        <f t="shared" si="100"/>
        <v>244.83789555040323</v>
      </c>
      <c r="U216" s="172">
        <f t="shared" si="96"/>
        <v>1312.0252773605653</v>
      </c>
      <c r="W216">
        <v>2022</v>
      </c>
      <c r="Z216" s="170">
        <v>3996.6813720603977</v>
      </c>
      <c r="AA216" s="170">
        <v>1884.0043397530333</v>
      </c>
      <c r="AB216" s="170">
        <v>2213.8818580409065</v>
      </c>
      <c r="AC216" s="170">
        <v>612.09473887600802</v>
      </c>
      <c r="AD216" s="172">
        <f t="shared" si="97"/>
        <v>3280.0612093846626</v>
      </c>
      <c r="AG216">
        <v>2022</v>
      </c>
      <c r="AH216" t="s">
        <v>240</v>
      </c>
      <c r="AI216" t="s">
        <v>240</v>
      </c>
      <c r="AJ216" s="170">
        <v>3996.6813720603977</v>
      </c>
      <c r="AK216" s="170">
        <v>1884.0043397530333</v>
      </c>
      <c r="AL216" s="170">
        <v>2213.8818580409065</v>
      </c>
      <c r="AM216" s="170">
        <v>612.09473887600802</v>
      </c>
      <c r="AN216" s="172">
        <f t="shared" si="98"/>
        <v>3280.0650590353689</v>
      </c>
    </row>
    <row r="217" spans="5:40">
      <c r="E217">
        <v>2023</v>
      </c>
      <c r="F217" s="320" t="s">
        <v>240</v>
      </c>
      <c r="G217" s="320" t="s">
        <v>240</v>
      </c>
      <c r="H217" s="62">
        <f t="shared" si="99"/>
        <v>1658.685384079894</v>
      </c>
      <c r="I217" s="62">
        <f t="shared" si="93"/>
        <v>781.89131706549847</v>
      </c>
      <c r="J217" s="62">
        <f t="shared" si="93"/>
        <v>918.79565523608562</v>
      </c>
      <c r="K217" s="62">
        <f t="shared" si="93"/>
        <v>254.02890611778574</v>
      </c>
      <c r="L217" s="329">
        <f t="shared" si="94"/>
        <v>1361.2413404248748</v>
      </c>
      <c r="M217" s="329"/>
      <c r="N217">
        <v>2023</v>
      </c>
      <c r="O217" s="320" t="s">
        <v>240</v>
      </c>
      <c r="P217" s="320" t="s">
        <v>240</v>
      </c>
      <c r="Q217" s="170">
        <f t="shared" si="100"/>
        <v>1658.685384079894</v>
      </c>
      <c r="R217" s="170">
        <f t="shared" si="100"/>
        <v>781.89131706549847</v>
      </c>
      <c r="S217" s="170">
        <f t="shared" si="100"/>
        <v>918.79565523608562</v>
      </c>
      <c r="T217" s="170">
        <f t="shared" si="100"/>
        <v>254.02890611778574</v>
      </c>
      <c r="U217" s="172">
        <f t="shared" si="96"/>
        <v>1361.239127620142</v>
      </c>
      <c r="W217">
        <v>2023</v>
      </c>
      <c r="Z217" s="170">
        <v>4146.713460199735</v>
      </c>
      <c r="AA217" s="170">
        <v>1954.7282926637456</v>
      </c>
      <c r="AB217" s="170">
        <v>2296.9891380902136</v>
      </c>
      <c r="AC217" s="170">
        <v>635.07226529446427</v>
      </c>
      <c r="AD217" s="172">
        <f t="shared" si="97"/>
        <v>3403.0926038241287</v>
      </c>
      <c r="AG217">
        <v>2023</v>
      </c>
      <c r="AH217" t="s">
        <v>240</v>
      </c>
      <c r="AI217" t="s">
        <v>240</v>
      </c>
      <c r="AJ217" s="170">
        <v>4146.713460199735</v>
      </c>
      <c r="AK217" s="170">
        <v>1954.7282926637456</v>
      </c>
      <c r="AL217" s="170">
        <v>2296.9891380902136</v>
      </c>
      <c r="AM217" s="170">
        <v>635.07226529446427</v>
      </c>
      <c r="AN217" s="172">
        <f t="shared" si="98"/>
        <v>3403.1026413134869</v>
      </c>
    </row>
    <row r="218" spans="5:40">
      <c r="E218">
        <v>2024</v>
      </c>
      <c r="F218" s="320" t="s">
        <v>240</v>
      </c>
      <c r="G218" s="320" t="s">
        <v>240</v>
      </c>
      <c r="H218" s="62">
        <f t="shared" si="99"/>
        <v>1720.9510511604333</v>
      </c>
      <c r="I218" s="62">
        <f t="shared" si="93"/>
        <v>811.24286553203979</v>
      </c>
      <c r="J218" s="62">
        <f t="shared" si="93"/>
        <v>953.28647847060222</v>
      </c>
      <c r="K218" s="62">
        <f t="shared" si="93"/>
        <v>263.5649395626923</v>
      </c>
      <c r="L218" s="329">
        <f t="shared" si="94"/>
        <v>1412.3126386212571</v>
      </c>
      <c r="M218" s="329"/>
      <c r="N218">
        <v>2024</v>
      </c>
      <c r="O218" s="320" t="s">
        <v>240</v>
      </c>
      <c r="P218" s="320" t="s">
        <v>240</v>
      </c>
      <c r="Q218" s="170">
        <f t="shared" si="100"/>
        <v>1720.9510511604333</v>
      </c>
      <c r="R218" s="170">
        <f t="shared" si="100"/>
        <v>811.24286553203979</v>
      </c>
      <c r="S218" s="170">
        <f t="shared" si="100"/>
        <v>953.28647847060222</v>
      </c>
      <c r="T218" s="170">
        <f t="shared" si="100"/>
        <v>263.5649395626923</v>
      </c>
      <c r="U218" s="172">
        <f t="shared" si="96"/>
        <v>1412.3088660597091</v>
      </c>
      <c r="W218">
        <v>2024</v>
      </c>
      <c r="Z218" s="170">
        <v>4302.3776279010826</v>
      </c>
      <c r="AA218" s="170">
        <v>2028.1071638300987</v>
      </c>
      <c r="AB218" s="170">
        <v>2383.216196176505</v>
      </c>
      <c r="AC218" s="170">
        <v>658.9123489067307</v>
      </c>
      <c r="AD218" s="172">
        <f t="shared" si="97"/>
        <v>3530.7631366724672</v>
      </c>
      <c r="AG218">
        <v>2024</v>
      </c>
      <c r="AH218" t="s">
        <v>240</v>
      </c>
      <c r="AI218" t="s">
        <v>240</v>
      </c>
      <c r="AJ218" s="170">
        <v>4302.3776279010826</v>
      </c>
      <c r="AK218" s="170">
        <v>2028.1071638300987</v>
      </c>
      <c r="AL218" s="170">
        <v>2383.216196176505</v>
      </c>
      <c r="AM218" s="170">
        <v>658.9123489067307</v>
      </c>
      <c r="AN218" s="172">
        <f t="shared" si="98"/>
        <v>3530.7803946365016</v>
      </c>
    </row>
    <row r="219" spans="5:40">
      <c r="E219">
        <v>2025</v>
      </c>
      <c r="F219" s="320" t="s">
        <v>240</v>
      </c>
      <c r="G219" s="320" t="s">
        <v>240</v>
      </c>
      <c r="H219" s="62">
        <f t="shared" si="99"/>
        <v>1785.5541194951199</v>
      </c>
      <c r="I219" s="62">
        <f t="shared" si="93"/>
        <v>841.69624666839127</v>
      </c>
      <c r="J219" s="62">
        <f t="shared" si="93"/>
        <v>989.07205846698992</v>
      </c>
      <c r="K219" s="62">
        <f t="shared" si="93"/>
        <v>273.45894775642614</v>
      </c>
      <c r="L219" s="329">
        <f t="shared" si="94"/>
        <v>1465.3093243755795</v>
      </c>
      <c r="M219" s="329"/>
      <c r="N219">
        <v>2025</v>
      </c>
      <c r="O219" s="320" t="s">
        <v>240</v>
      </c>
      <c r="P219" s="320" t="s">
        <v>240</v>
      </c>
      <c r="Q219" s="170">
        <f t="shared" si="100"/>
        <v>1785.5541194951199</v>
      </c>
      <c r="R219" s="170">
        <f t="shared" si="100"/>
        <v>841.69624666839127</v>
      </c>
      <c r="S219" s="170">
        <f t="shared" si="100"/>
        <v>989.07205846698992</v>
      </c>
      <c r="T219" s="170">
        <f t="shared" si="100"/>
        <v>273.45894775642614</v>
      </c>
      <c r="U219" s="172">
        <f t="shared" si="96"/>
        <v>1465.3040328007398</v>
      </c>
      <c r="W219">
        <v>2025</v>
      </c>
      <c r="Z219" s="170">
        <v>4463.8852987377995</v>
      </c>
      <c r="AA219" s="170">
        <v>2104.2406166709775</v>
      </c>
      <c r="AB219" s="170">
        <v>2472.680146167474</v>
      </c>
      <c r="AC219" s="170">
        <v>683.64736939106524</v>
      </c>
      <c r="AD219" s="172">
        <f t="shared" si="97"/>
        <v>3663.2472590648881</v>
      </c>
      <c r="AG219">
        <v>2025</v>
      </c>
      <c r="AH219" t="s">
        <v>240</v>
      </c>
      <c r="AI219" t="s">
        <v>240</v>
      </c>
      <c r="AJ219" s="170">
        <v>4463.8852987377995</v>
      </c>
      <c r="AK219" s="170">
        <v>2104.2406166709775</v>
      </c>
      <c r="AL219" s="170">
        <v>2472.680146167474</v>
      </c>
      <c r="AM219" s="170">
        <v>683.64736939106524</v>
      </c>
      <c r="AN219" s="172">
        <f t="shared" si="98"/>
        <v>3663.2716341950122</v>
      </c>
    </row>
    <row r="220" spans="5:40">
      <c r="E220">
        <v>2026</v>
      </c>
      <c r="F220" s="320" t="s">
        <v>240</v>
      </c>
      <c r="G220" s="320" t="s">
        <v>240</v>
      </c>
      <c r="H220" s="62">
        <f t="shared" si="99"/>
        <v>1852.5823331792005</v>
      </c>
      <c r="I220" s="62">
        <f t="shared" si="93"/>
        <v>873.29282235478377</v>
      </c>
      <c r="J220" s="62">
        <f t="shared" si="93"/>
        <v>1026.2009993151253</v>
      </c>
      <c r="K220" s="62">
        <f t="shared" si="93"/>
        <v>283.72436877274589</v>
      </c>
      <c r="L220" s="329">
        <f t="shared" si="94"/>
        <v>1520.3033657287615</v>
      </c>
      <c r="M220" s="329"/>
      <c r="N220">
        <v>2026</v>
      </c>
      <c r="O220" s="320" t="s">
        <v>240</v>
      </c>
      <c r="P220" s="320" t="s">
        <v>240</v>
      </c>
      <c r="Q220" s="170">
        <f t="shared" si="100"/>
        <v>1852.5823331792005</v>
      </c>
      <c r="R220" s="170">
        <f t="shared" si="100"/>
        <v>873.29282235478377</v>
      </c>
      <c r="S220" s="170">
        <f t="shared" si="100"/>
        <v>1026.2009993151253</v>
      </c>
      <c r="T220" s="170">
        <f t="shared" si="100"/>
        <v>283.72436877274589</v>
      </c>
      <c r="U220" s="172">
        <f t="shared" si="96"/>
        <v>1520.2968017993319</v>
      </c>
      <c r="W220">
        <v>2026</v>
      </c>
      <c r="Z220" s="170">
        <v>4631.4558329480005</v>
      </c>
      <c r="AA220" s="170">
        <v>2183.2320558869587</v>
      </c>
      <c r="AB220" s="170">
        <v>2565.5024982878126</v>
      </c>
      <c r="AC220" s="170">
        <v>709.31092193186464</v>
      </c>
      <c r="AD220" s="172">
        <f t="shared" si="97"/>
        <v>3800.7259493837855</v>
      </c>
      <c r="AG220">
        <v>2026</v>
      </c>
      <c r="AH220" t="s">
        <v>240</v>
      </c>
      <c r="AI220" t="s">
        <v>240</v>
      </c>
      <c r="AJ220" s="170">
        <v>4631.4558329480005</v>
      </c>
      <c r="AK220" s="170">
        <v>2183.2320558869587</v>
      </c>
      <c r="AL220" s="170">
        <v>2565.5024982878126</v>
      </c>
      <c r="AM220" s="170">
        <v>709.31092193186464</v>
      </c>
      <c r="AN220" s="172">
        <f t="shared" si="98"/>
        <v>3800.7563427041155</v>
      </c>
    </row>
    <row r="221" spans="5:40">
      <c r="E221">
        <v>2027</v>
      </c>
      <c r="F221" s="320" t="s">
        <v>240</v>
      </c>
      <c r="G221" s="320" t="s">
        <v>240</v>
      </c>
      <c r="H221" s="62">
        <f t="shared" si="99"/>
        <v>1922.1267301481369</v>
      </c>
      <c r="I221" s="62">
        <f t="shared" si="93"/>
        <v>906.07550716196374</v>
      </c>
      <c r="J221" s="62">
        <f t="shared" si="93"/>
        <v>1064.7237296619157</v>
      </c>
      <c r="K221" s="62">
        <f t="shared" si="93"/>
        <v>294.37514513950077</v>
      </c>
      <c r="L221" s="329">
        <f t="shared" si="94"/>
        <v>1577.369492629706</v>
      </c>
      <c r="M221" s="329"/>
      <c r="N221">
        <v>2027</v>
      </c>
      <c r="O221" s="320" t="s">
        <v>240</v>
      </c>
      <c r="P221" s="320" t="s">
        <v>240</v>
      </c>
      <c r="Q221" s="170">
        <f t="shared" si="100"/>
        <v>1922.1267301481369</v>
      </c>
      <c r="R221" s="170">
        <f t="shared" si="100"/>
        <v>906.07550716196374</v>
      </c>
      <c r="S221" s="170">
        <f t="shared" si="100"/>
        <v>1064.7237296619157</v>
      </c>
      <c r="T221" s="170">
        <f t="shared" si="100"/>
        <v>294.37514513950077</v>
      </c>
      <c r="U221" s="172">
        <f t="shared" si="96"/>
        <v>1577.3620784105008</v>
      </c>
      <c r="W221">
        <v>2027</v>
      </c>
      <c r="Z221" s="170">
        <v>4805.3168253703407</v>
      </c>
      <c r="AA221" s="170">
        <v>2265.1887679049087</v>
      </c>
      <c r="AB221" s="170">
        <v>2661.8093241547886</v>
      </c>
      <c r="AC221" s="170">
        <v>735.93786284875193</v>
      </c>
      <c r="AD221" s="172">
        <f t="shared" si="97"/>
        <v>3943.3869637309685</v>
      </c>
      <c r="AG221">
        <v>2027</v>
      </c>
      <c r="AH221" t="s">
        <v>240</v>
      </c>
      <c r="AI221" t="s">
        <v>240</v>
      </c>
      <c r="AJ221" s="170">
        <v>4805.3168253703407</v>
      </c>
      <c r="AK221" s="170">
        <v>2265.1887679049087</v>
      </c>
      <c r="AL221" s="170">
        <v>2661.8093241547886</v>
      </c>
      <c r="AM221" s="170">
        <v>735.93786284875193</v>
      </c>
      <c r="AN221" s="172">
        <f t="shared" si="98"/>
        <v>3943.4213968998351</v>
      </c>
    </row>
    <row r="222" spans="5:40">
      <c r="E222">
        <v>2028</v>
      </c>
      <c r="F222" s="320" t="s">
        <v>240</v>
      </c>
      <c r="G222" s="320" t="s">
        <v>240</v>
      </c>
      <c r="H222" s="62">
        <f t="shared" si="99"/>
        <v>1994.2817658256229</v>
      </c>
      <c r="I222" s="62">
        <f t="shared" si="93"/>
        <v>940.08882663790121</v>
      </c>
      <c r="J222" s="62">
        <f t="shared" si="93"/>
        <v>1104.6925712036493</v>
      </c>
      <c r="K222" s="62">
        <f t="shared" si="93"/>
        <v>305.42574277541667</v>
      </c>
      <c r="L222" s="329">
        <f t="shared" si="94"/>
        <v>1636.5852917654199</v>
      </c>
      <c r="M222" s="329"/>
      <c r="N222">
        <v>2028</v>
      </c>
      <c r="O222" s="320" t="s">
        <v>240</v>
      </c>
      <c r="P222" s="320" t="s">
        <v>240</v>
      </c>
      <c r="Q222" s="170">
        <f t="shared" si="100"/>
        <v>1994.2817658256229</v>
      </c>
      <c r="R222" s="170">
        <f t="shared" si="100"/>
        <v>940.08882663790121</v>
      </c>
      <c r="S222" s="170">
        <f t="shared" si="100"/>
        <v>1104.6925712036493</v>
      </c>
      <c r="T222" s="170">
        <f t="shared" si="100"/>
        <v>305.42574277541667</v>
      </c>
      <c r="U222" s="172">
        <f t="shared" si="96"/>
        <v>1636.5776007413576</v>
      </c>
      <c r="W222">
        <v>2028</v>
      </c>
      <c r="Z222" s="170">
        <v>4985.7044145640557</v>
      </c>
      <c r="AA222" s="170">
        <v>2350.2220665947525</v>
      </c>
      <c r="AB222" s="170">
        <v>2761.7314280091227</v>
      </c>
      <c r="AC222" s="170">
        <v>763.56435693854166</v>
      </c>
      <c r="AD222" s="172">
        <f t="shared" si="97"/>
        <v>4091.4250954255945</v>
      </c>
      <c r="AG222">
        <v>2028</v>
      </c>
      <c r="AH222" t="s">
        <v>240</v>
      </c>
      <c r="AI222" t="s">
        <v>240</v>
      </c>
      <c r="AJ222" s="170">
        <v>4985.7044145640557</v>
      </c>
      <c r="AK222" s="170">
        <v>2350.2220665947525</v>
      </c>
      <c r="AL222" s="170">
        <v>2761.7314280091227</v>
      </c>
      <c r="AM222" s="170">
        <v>763.56435693854166</v>
      </c>
      <c r="AN222" s="172">
        <f t="shared" si="98"/>
        <v>4091.4608072361129</v>
      </c>
    </row>
    <row r="223" spans="5:40">
      <c r="E223">
        <v>2029</v>
      </c>
      <c r="F223" s="320" t="s">
        <v>240</v>
      </c>
      <c r="G223" s="320" t="s">
        <v>240</v>
      </c>
      <c r="H223" s="62">
        <f t="shared" si="99"/>
        <v>2069.1454414132454</v>
      </c>
      <c r="I223" s="62">
        <f t="shared" si="93"/>
        <v>975.3789777825325</v>
      </c>
      <c r="J223" s="62">
        <f t="shared" si="93"/>
        <v>1146.1618097494916</v>
      </c>
      <c r="K223" s="62">
        <f t="shared" si="93"/>
        <v>316.89117063775348</v>
      </c>
      <c r="L223" s="329">
        <f t="shared" si="94"/>
        <v>1698.031306711709</v>
      </c>
      <c r="M223" s="329"/>
      <c r="N223">
        <v>2029</v>
      </c>
      <c r="O223" s="320" t="s">
        <v>240</v>
      </c>
      <c r="P223" s="320" t="s">
        <v>240</v>
      </c>
      <c r="Q223" s="170">
        <f t="shared" si="100"/>
        <v>2069.1454414132454</v>
      </c>
      <c r="R223" s="170">
        <f t="shared" si="100"/>
        <v>975.3789777825325</v>
      </c>
      <c r="S223" s="170">
        <f t="shared" si="100"/>
        <v>1146.1618097494916</v>
      </c>
      <c r="T223" s="170">
        <f t="shared" si="100"/>
        <v>316.89117063775348</v>
      </c>
      <c r="U223" s="172">
        <f t="shared" si="96"/>
        <v>1698.0240449277014</v>
      </c>
      <c r="W223">
        <v>2029</v>
      </c>
      <c r="Z223" s="170">
        <v>5172.8636035331119</v>
      </c>
      <c r="AA223" s="170">
        <v>2438.4474444563307</v>
      </c>
      <c r="AB223" s="170">
        <v>2865.4045243737287</v>
      </c>
      <c r="AC223" s="170">
        <v>792.22792659438369</v>
      </c>
      <c r="AD223" s="172">
        <f t="shared" si="97"/>
        <v>4245.0424438533182</v>
      </c>
      <c r="AG223">
        <v>2029</v>
      </c>
      <c r="AH223" t="s">
        <v>240</v>
      </c>
      <c r="AI223" t="s">
        <v>240</v>
      </c>
      <c r="AJ223" s="170">
        <v>5172.8636035331119</v>
      </c>
      <c r="AK223" s="170">
        <v>2438.4474444563307</v>
      </c>
      <c r="AL223" s="170">
        <v>2865.4045243737287</v>
      </c>
      <c r="AM223" s="170">
        <v>792.22792659438369</v>
      </c>
      <c r="AN223" s="172">
        <f t="shared" si="98"/>
        <v>4245.0759702342593</v>
      </c>
    </row>
    <row r="224" spans="5:40">
      <c r="E224">
        <v>2030</v>
      </c>
      <c r="F224" s="320" t="s">
        <v>240</v>
      </c>
      <c r="G224" s="320" t="s">
        <v>240</v>
      </c>
      <c r="H224" s="62">
        <f t="shared" si="99"/>
        <v>2146.8194369960306</v>
      </c>
      <c r="I224" s="62">
        <f t="shared" si="93"/>
        <v>1011.9938917926739</v>
      </c>
      <c r="J224" s="62">
        <f t="shared" si="93"/>
        <v>1189.1877689526461</v>
      </c>
      <c r="K224" s="62">
        <f t="shared" si="93"/>
        <v>328.78700110751919</v>
      </c>
      <c r="L224" s="329">
        <f t="shared" si="94"/>
        <v>1761.7911432110404</v>
      </c>
      <c r="M224" s="329"/>
      <c r="N224">
        <v>2030</v>
      </c>
      <c r="O224" s="320" t="s">
        <v>240</v>
      </c>
      <c r="P224" s="320" t="s">
        <v>240</v>
      </c>
      <c r="Q224" s="170">
        <f t="shared" si="100"/>
        <v>2146.8194369960306</v>
      </c>
      <c r="R224" s="170">
        <f t="shared" si="100"/>
        <v>1011.9938917926739</v>
      </c>
      <c r="S224" s="170">
        <f t="shared" si="100"/>
        <v>1189.1877689526461</v>
      </c>
      <c r="T224" s="170">
        <f t="shared" si="100"/>
        <v>328.78700110751919</v>
      </c>
      <c r="U224" s="172">
        <f t="shared" si="96"/>
        <v>1761.785134473535</v>
      </c>
      <c r="W224">
        <v>2030</v>
      </c>
      <c r="Z224" s="170">
        <v>5367.048592490075</v>
      </c>
      <c r="AA224" s="170">
        <v>2529.9847294816841</v>
      </c>
      <c r="AB224" s="170">
        <v>2972.969422381615</v>
      </c>
      <c r="AC224" s="170">
        <v>821.967502768798</v>
      </c>
      <c r="AD224" s="172">
        <f t="shared" si="97"/>
        <v>4404.4486930173844</v>
      </c>
      <c r="AG224">
        <v>2030</v>
      </c>
      <c r="AH224" t="s">
        <v>240</v>
      </c>
      <c r="AI224" t="s">
        <v>240</v>
      </c>
      <c r="AJ224" s="170">
        <v>5367.048592490075</v>
      </c>
      <c r="AK224" s="170">
        <v>2529.9847294816841</v>
      </c>
      <c r="AL224" s="170">
        <v>2972.969422381615</v>
      </c>
      <c r="AM224" s="170">
        <v>821.967502768798</v>
      </c>
      <c r="AN224" s="172">
        <f t="shared" si="98"/>
        <v>4404.4759331778023</v>
      </c>
    </row>
    <row r="225" spans="5:40">
      <c r="E225">
        <v>2040</v>
      </c>
      <c r="F225" s="320" t="s">
        <v>240</v>
      </c>
      <c r="G225" s="320" t="s">
        <v>240</v>
      </c>
      <c r="H225" s="62">
        <f t="shared" ref="H225:K231" si="101">H224*(1+$C$6)^10</f>
        <v>3103.4197522511618</v>
      </c>
      <c r="I225" s="62">
        <f t="shared" si="101"/>
        <v>1462.9277985956285</v>
      </c>
      <c r="J225" s="62">
        <f t="shared" si="101"/>
        <v>1719.0774164347929</v>
      </c>
      <c r="K225" s="62">
        <f t="shared" si="101"/>
        <v>475.2910542622343</v>
      </c>
      <c r="L225" s="329">
        <f t="shared" si="94"/>
        <v>2547.1634901434195</v>
      </c>
      <c r="M225" s="329"/>
      <c r="N225">
        <v>2040</v>
      </c>
      <c r="O225" s="320" t="s">
        <v>240</v>
      </c>
      <c r="P225" s="320" t="s">
        <v>240</v>
      </c>
      <c r="Q225" s="170">
        <f t="shared" ref="Q225:T231" si="102">Q224*(1+$C$6)^10</f>
        <v>3103.4197522511618</v>
      </c>
      <c r="R225" s="170">
        <f t="shared" si="102"/>
        <v>1462.9277985956285</v>
      </c>
      <c r="S225" s="170">
        <f t="shared" si="102"/>
        <v>1719.0774164347929</v>
      </c>
      <c r="T225" s="170">
        <f t="shared" si="102"/>
        <v>475.2910542622343</v>
      </c>
      <c r="U225" s="172">
        <f t="shared" si="96"/>
        <v>2547.1882173448898</v>
      </c>
      <c r="W225">
        <v>2040</v>
      </c>
      <c r="Z225" s="170">
        <v>7758.5493806279028</v>
      </c>
      <c r="AA225" s="170">
        <v>3657.3194964890699</v>
      </c>
      <c r="AB225" s="170">
        <v>4297.6935410869819</v>
      </c>
      <c r="AC225" s="170">
        <v>1188.2276356555858</v>
      </c>
      <c r="AD225" s="172">
        <f t="shared" si="97"/>
        <v>6368.0429008751953</v>
      </c>
      <c r="AG225">
        <v>2040</v>
      </c>
      <c r="AH225" t="s">
        <v>240</v>
      </c>
      <c r="AI225" t="s">
        <v>240</v>
      </c>
      <c r="AJ225" s="170">
        <v>7758.5493806279028</v>
      </c>
      <c r="AK225" s="170">
        <v>3657.3194964890699</v>
      </c>
      <c r="AL225" s="170">
        <v>4297.6935410869819</v>
      </c>
      <c r="AM225" s="170">
        <v>1188.2276356555858</v>
      </c>
      <c r="AN225" s="172">
        <f t="shared" si="98"/>
        <v>6367.9159231922449</v>
      </c>
    </row>
    <row r="226" spans="5:40">
      <c r="E226">
        <v>2050</v>
      </c>
      <c r="F226" s="320" t="s">
        <v>240</v>
      </c>
      <c r="G226" s="320" t="s">
        <v>240</v>
      </c>
      <c r="H226" s="62">
        <f t="shared" si="101"/>
        <v>4486.2711752504365</v>
      </c>
      <c r="I226" s="62">
        <f t="shared" si="101"/>
        <v>2114.7931437735429</v>
      </c>
      <c r="J226" s="62">
        <f t="shared" si="101"/>
        <v>2485.080355559729</v>
      </c>
      <c r="K226" s="62">
        <f t="shared" si="101"/>
        <v>687.07578310808071</v>
      </c>
      <c r="L226" s="329">
        <f t="shared" si="94"/>
        <v>3682.1529334507845</v>
      </c>
      <c r="M226" s="329"/>
      <c r="N226">
        <v>2050</v>
      </c>
      <c r="O226" s="320" t="s">
        <v>240</v>
      </c>
      <c r="P226" s="320" t="s">
        <v>240</v>
      </c>
      <c r="Q226" s="170">
        <f t="shared" si="102"/>
        <v>4486.2711752504365</v>
      </c>
      <c r="R226" s="170">
        <f t="shared" si="102"/>
        <v>2114.7931437735429</v>
      </c>
      <c r="S226" s="170">
        <f t="shared" si="102"/>
        <v>2485.080355559729</v>
      </c>
      <c r="T226" s="170">
        <f t="shared" si="102"/>
        <v>687.07578310808071</v>
      </c>
      <c r="U226" s="172">
        <f t="shared" si="96"/>
        <v>3682.1886788349279</v>
      </c>
      <c r="W226">
        <v>2050</v>
      </c>
      <c r="Z226" s="170">
        <v>11215.677938126089</v>
      </c>
      <c r="AA226" s="170">
        <v>5286.982859433856</v>
      </c>
      <c r="AB226" s="170">
        <v>6212.7008888993214</v>
      </c>
      <c r="AC226" s="170">
        <v>1717.6894577702019</v>
      </c>
      <c r="AD226" s="172">
        <f t="shared" si="97"/>
        <v>9205.5762963522175</v>
      </c>
      <c r="AG226">
        <v>2050</v>
      </c>
      <c r="AH226" t="s">
        <v>240</v>
      </c>
      <c r="AI226" t="s">
        <v>240</v>
      </c>
      <c r="AJ226" s="170">
        <v>11215.677938126089</v>
      </c>
      <c r="AK226" s="170">
        <v>5286.982859433856</v>
      </c>
      <c r="AL226" s="170">
        <v>6212.7008888993214</v>
      </c>
      <c r="AM226" s="170">
        <v>1717.6894577702019</v>
      </c>
      <c r="AN226" s="172">
        <f t="shared" si="98"/>
        <v>9205.39273874016</v>
      </c>
    </row>
    <row r="227" spans="5:40">
      <c r="E227">
        <v>2060</v>
      </c>
      <c r="F227" s="320" t="s">
        <v>240</v>
      </c>
      <c r="G227" s="320" t="s">
        <v>240</v>
      </c>
      <c r="H227" s="62">
        <f t="shared" si="101"/>
        <v>6485.3067469469634</v>
      </c>
      <c r="I227" s="62">
        <f t="shared" si="101"/>
        <v>3057.1228773182938</v>
      </c>
      <c r="J227" s="62">
        <f t="shared" si="101"/>
        <v>3592.4062026226488</v>
      </c>
      <c r="K227" s="62">
        <f t="shared" si="101"/>
        <v>993.22957480517516</v>
      </c>
      <c r="L227" s="329">
        <f t="shared" si="94"/>
        <v>5322.88181649338</v>
      </c>
      <c r="M227" s="329"/>
      <c r="N227">
        <v>2060</v>
      </c>
      <c r="O227" s="320" t="s">
        <v>240</v>
      </c>
      <c r="P227" s="320" t="s">
        <v>240</v>
      </c>
      <c r="Q227" s="170">
        <f t="shared" si="102"/>
        <v>6485.3067469469634</v>
      </c>
      <c r="R227" s="170">
        <f t="shared" si="102"/>
        <v>3057.1228773182938</v>
      </c>
      <c r="S227" s="170">
        <f t="shared" si="102"/>
        <v>3592.4062026226488</v>
      </c>
      <c r="T227" s="170">
        <f t="shared" si="102"/>
        <v>993.22957480517516</v>
      </c>
      <c r="U227" s="172">
        <f t="shared" si="96"/>
        <v>5322.9334896472956</v>
      </c>
      <c r="W227">
        <v>2060</v>
      </c>
      <c r="Z227" s="170">
        <v>16213.266867367405</v>
      </c>
      <c r="AA227" s="170">
        <v>7642.8071932957328</v>
      </c>
      <c r="AB227" s="170">
        <v>8981.0155065566214</v>
      </c>
      <c r="AC227" s="170">
        <v>2483.0739370129381</v>
      </c>
      <c r="AD227" s="172">
        <f t="shared" si="97"/>
        <v>13307.484931722925</v>
      </c>
      <c r="AG227">
        <v>2060</v>
      </c>
      <c r="AH227" t="s">
        <v>240</v>
      </c>
      <c r="AI227" t="s">
        <v>240</v>
      </c>
      <c r="AJ227" s="170">
        <v>16213.266867367405</v>
      </c>
      <c r="AK227" s="170">
        <v>7642.8071932957328</v>
      </c>
      <c r="AL227" s="170">
        <v>8981.0155065566214</v>
      </c>
      <c r="AM227" s="170">
        <v>2483.0739370129381</v>
      </c>
      <c r="AN227" s="172">
        <f t="shared" si="98"/>
        <v>13307.219582756392</v>
      </c>
    </row>
    <row r="228" spans="5:40">
      <c r="E228">
        <v>2070</v>
      </c>
      <c r="F228" s="320" t="s">
        <v>240</v>
      </c>
      <c r="G228" s="320" t="s">
        <v>240</v>
      </c>
      <c r="H228" s="62">
        <f t="shared" si="101"/>
        <v>9375.0916872848065</v>
      </c>
      <c r="I228" s="62">
        <f t="shared" si="101"/>
        <v>4419.3448964688323</v>
      </c>
      <c r="J228" s="62">
        <f t="shared" si="101"/>
        <v>5193.1448799107047</v>
      </c>
      <c r="K228" s="62">
        <f t="shared" si="101"/>
        <v>1435.802297972255</v>
      </c>
      <c r="L228" s="329">
        <f t="shared" si="94"/>
        <v>7694.7023506172209</v>
      </c>
      <c r="M228" s="329"/>
      <c r="N228">
        <v>2070</v>
      </c>
      <c r="O228" s="320" t="s">
        <v>240</v>
      </c>
      <c r="P228" s="320" t="s">
        <v>240</v>
      </c>
      <c r="Q228" s="170">
        <f t="shared" si="102"/>
        <v>9375.0916872848065</v>
      </c>
      <c r="R228" s="170">
        <f t="shared" si="102"/>
        <v>4419.3448964688323</v>
      </c>
      <c r="S228" s="170">
        <f t="shared" si="102"/>
        <v>5193.1448799107047</v>
      </c>
      <c r="T228" s="170">
        <f t="shared" si="102"/>
        <v>1435.802297972255</v>
      </c>
      <c r="U228" s="172">
        <f t="shared" si="96"/>
        <v>7694.7770487887428</v>
      </c>
      <c r="W228">
        <v>2070</v>
      </c>
      <c r="Z228" s="170">
        <v>23437.729218212011</v>
      </c>
      <c r="AA228" s="170">
        <v>11048.362241172077</v>
      </c>
      <c r="AB228" s="170">
        <v>12982.86219977676</v>
      </c>
      <c r="AC228" s="170">
        <v>3589.5057449306382</v>
      </c>
      <c r="AD228" s="172">
        <f t="shared" si="97"/>
        <v>19237.161206105658</v>
      </c>
      <c r="AG228">
        <v>2070</v>
      </c>
      <c r="AH228" t="s">
        <v>240</v>
      </c>
      <c r="AI228" t="s">
        <v>240</v>
      </c>
      <c r="AJ228" s="170">
        <v>23437.729218212011</v>
      </c>
      <c r="AK228" s="170">
        <v>11048.362241172077</v>
      </c>
      <c r="AL228" s="170">
        <v>12982.86219977676</v>
      </c>
      <c r="AM228" s="170">
        <v>3589.5057449306382</v>
      </c>
      <c r="AN228" s="172">
        <f t="shared" si="98"/>
        <v>19236.7776204115</v>
      </c>
    </row>
    <row r="229" spans="5:40">
      <c r="E229">
        <v>2080</v>
      </c>
      <c r="F229" s="320" t="s">
        <v>240</v>
      </c>
      <c r="G229" s="320" t="s">
        <v>240</v>
      </c>
      <c r="H229" s="62">
        <f t="shared" si="101"/>
        <v>13552.534610081946</v>
      </c>
      <c r="I229" s="62">
        <f t="shared" si="101"/>
        <v>6388.5588174582472</v>
      </c>
      <c r="J229" s="62">
        <f t="shared" si="101"/>
        <v>7507.155990337099</v>
      </c>
      <c r="K229" s="62">
        <f t="shared" si="101"/>
        <v>2075.5808034278307</v>
      </c>
      <c r="L229" s="329">
        <f t="shared" si="94"/>
        <v>11123.381338494506</v>
      </c>
      <c r="M229" s="329"/>
      <c r="N229">
        <v>2080</v>
      </c>
      <c r="O229" s="320" t="s">
        <v>240</v>
      </c>
      <c r="P229" s="320" t="s">
        <v>240</v>
      </c>
      <c r="Q229" s="170">
        <f t="shared" si="102"/>
        <v>13552.534610081946</v>
      </c>
      <c r="R229" s="170">
        <f t="shared" si="102"/>
        <v>6388.5588174582472</v>
      </c>
      <c r="S229" s="170">
        <f t="shared" si="102"/>
        <v>7507.155990337099</v>
      </c>
      <c r="T229" s="170">
        <f t="shared" si="102"/>
        <v>2075.5808034278307</v>
      </c>
      <c r="U229" s="172">
        <f t="shared" si="96"/>
        <v>11123.489321390955</v>
      </c>
      <c r="W229">
        <v>2080</v>
      </c>
      <c r="Z229" s="170">
        <v>33881.336525204853</v>
      </c>
      <c r="AA229" s="170">
        <v>15971.397043645611</v>
      </c>
      <c r="AB229" s="170">
        <v>18767.889975842747</v>
      </c>
      <c r="AC229" s="170">
        <v>5188.9520085695785</v>
      </c>
      <c r="AD229" s="172">
        <f t="shared" si="97"/>
        <v>27809.039286417854</v>
      </c>
      <c r="AG229">
        <v>2080</v>
      </c>
      <c r="AH229" t="s">
        <v>240</v>
      </c>
      <c r="AI229" t="s">
        <v>240</v>
      </c>
      <c r="AJ229" s="170">
        <v>33881.336525204853</v>
      </c>
      <c r="AK229" s="170">
        <v>15971.397043645611</v>
      </c>
      <c r="AL229" s="170">
        <v>18767.889975842747</v>
      </c>
      <c r="AM229" s="170">
        <v>5188.9520085695785</v>
      </c>
      <c r="AN229" s="172">
        <f t="shared" si="98"/>
        <v>27808.484778945352</v>
      </c>
    </row>
    <row r="230" spans="5:40">
      <c r="E230">
        <v>2090</v>
      </c>
      <c r="F230" s="320" t="s">
        <v>240</v>
      </c>
      <c r="G230" s="320" t="s">
        <v>240</v>
      </c>
      <c r="H230" s="62">
        <f t="shared" si="101"/>
        <v>19591.402461330323</v>
      </c>
      <c r="I230" s="62">
        <f t="shared" si="101"/>
        <v>9235.2338910535527</v>
      </c>
      <c r="J230" s="62">
        <f t="shared" si="101"/>
        <v>10852.26627919983</v>
      </c>
      <c r="K230" s="62">
        <f t="shared" si="101"/>
        <v>3000.4379277301914</v>
      </c>
      <c r="L230" s="329">
        <f t="shared" si="94"/>
        <v>16079.843867078629</v>
      </c>
      <c r="M230" s="329"/>
      <c r="N230">
        <v>2090</v>
      </c>
      <c r="O230" s="320" t="s">
        <v>240</v>
      </c>
      <c r="P230" s="320" t="s">
        <v>240</v>
      </c>
      <c r="Q230" s="170">
        <f t="shared" si="102"/>
        <v>19591.402461330323</v>
      </c>
      <c r="R230" s="170">
        <f t="shared" si="102"/>
        <v>9235.2338910535527</v>
      </c>
      <c r="S230" s="170">
        <f t="shared" si="102"/>
        <v>10852.26627919983</v>
      </c>
      <c r="T230" s="170">
        <f t="shared" si="102"/>
        <v>3000.4379277301914</v>
      </c>
      <c r="U230" s="172">
        <f t="shared" si="96"/>
        <v>16079.999966025736</v>
      </c>
      <c r="W230">
        <v>2090</v>
      </c>
      <c r="Z230" s="170">
        <v>48978.50615332579</v>
      </c>
      <c r="AA230" s="170">
        <v>23088.084727633872</v>
      </c>
      <c r="AB230" s="170">
        <v>27130.665697999575</v>
      </c>
      <c r="AC230" s="170">
        <v>7501.0948193254808</v>
      </c>
      <c r="AD230" s="172">
        <f t="shared" si="97"/>
        <v>40200.456696702291</v>
      </c>
      <c r="AG230">
        <v>2090</v>
      </c>
      <c r="AH230" t="s">
        <v>240</v>
      </c>
      <c r="AI230" t="s">
        <v>240</v>
      </c>
      <c r="AJ230" s="170">
        <v>48978.50615332579</v>
      </c>
      <c r="AK230" s="170">
        <v>23088.084727633872</v>
      </c>
      <c r="AL230" s="170">
        <v>27130.665697999575</v>
      </c>
      <c r="AM230" s="170">
        <v>7501.0948193254808</v>
      </c>
      <c r="AN230" s="172">
        <f t="shared" si="98"/>
        <v>40199.655106492479</v>
      </c>
    </row>
    <row r="231" spans="5:40">
      <c r="E231">
        <v>2100</v>
      </c>
      <c r="F231" s="320" t="s">
        <v>240</v>
      </c>
      <c r="G231" s="320" t="s">
        <v>240</v>
      </c>
      <c r="H231" s="62">
        <f t="shared" si="101"/>
        <v>28321.126744534395</v>
      </c>
      <c r="I231" s="62">
        <f t="shared" si="101"/>
        <v>13350.357640817254</v>
      </c>
      <c r="J231" s="62">
        <f t="shared" si="101"/>
        <v>15687.922769454713</v>
      </c>
      <c r="K231" s="62">
        <f t="shared" si="101"/>
        <v>4337.4017254803894</v>
      </c>
      <c r="L231" s="329">
        <f t="shared" si="94"/>
        <v>23244.854322743304</v>
      </c>
      <c r="M231" s="329"/>
      <c r="N231">
        <v>2100</v>
      </c>
      <c r="O231" s="320" t="s">
        <v>240</v>
      </c>
      <c r="P231" s="320" t="s">
        <v>240</v>
      </c>
      <c r="Q231" s="170">
        <f t="shared" si="102"/>
        <v>28321.126744534395</v>
      </c>
      <c r="R231" s="170">
        <f t="shared" si="102"/>
        <v>13350.357640817254</v>
      </c>
      <c r="S231" s="170">
        <f t="shared" si="102"/>
        <v>15687.922769454713</v>
      </c>
      <c r="T231" s="170">
        <f t="shared" si="102"/>
        <v>4337.4017254803894</v>
      </c>
      <c r="U231" s="172">
        <f t="shared" si="96"/>
        <v>23245.079977750618</v>
      </c>
      <c r="W231">
        <v>2100</v>
      </c>
      <c r="Z231" s="170">
        <v>70802.816861335959</v>
      </c>
      <c r="AA231" s="170">
        <v>33375.894102043116</v>
      </c>
      <c r="AB231" s="170">
        <v>39219.806923636781</v>
      </c>
      <c r="AC231" s="170">
        <v>10843.504313700976</v>
      </c>
      <c r="AD231" s="172">
        <f t="shared" si="97"/>
        <v>58113.360263140778</v>
      </c>
      <c r="AG231">
        <v>2100</v>
      </c>
      <c r="AH231" t="s">
        <v>240</v>
      </c>
      <c r="AI231" t="s">
        <v>240</v>
      </c>
      <c r="AJ231" s="170">
        <v>70802.816861335959</v>
      </c>
      <c r="AK231" s="170">
        <v>33375.894102043116</v>
      </c>
      <c r="AL231" s="170">
        <v>39219.806923636781</v>
      </c>
      <c r="AM231" s="170">
        <v>10843.504313700976</v>
      </c>
      <c r="AN231" s="172">
        <f t="shared" si="98"/>
        <v>58112.201492706969</v>
      </c>
    </row>
    <row r="232" spans="5:40">
      <c r="F232" s="581" t="s">
        <v>289</v>
      </c>
      <c r="G232" s="581"/>
      <c r="H232" s="581"/>
      <c r="I232" s="581"/>
      <c r="J232" s="581"/>
      <c r="K232" s="581"/>
      <c r="L232" s="329"/>
      <c r="M232" s="329"/>
      <c r="O232" s="581" t="s">
        <v>290</v>
      </c>
      <c r="P232" s="581"/>
      <c r="Q232" s="581"/>
      <c r="R232" s="581"/>
      <c r="S232" s="581"/>
      <c r="T232" s="581"/>
      <c r="X232" s="581" t="s">
        <v>291</v>
      </c>
      <c r="Y232" s="581"/>
      <c r="Z232" s="581"/>
      <c r="AA232" s="581"/>
      <c r="AB232" s="581"/>
      <c r="AC232" s="581"/>
      <c r="AD232" s="172"/>
      <c r="AH232" s="581" t="s">
        <v>291</v>
      </c>
      <c r="AI232" s="581"/>
      <c r="AJ232" s="581"/>
      <c r="AK232" s="581"/>
      <c r="AL232" s="581"/>
      <c r="AM232" s="581"/>
    </row>
    <row r="233" spans="5:40">
      <c r="E233">
        <v>2020</v>
      </c>
      <c r="F233" s="320"/>
      <c r="G233" s="320"/>
      <c r="H233" s="62">
        <f>(('Demographic-Economic'!E$23*1000*(1+'Inflation-Interest'!$C$65)*(1+'Inflation-Interest'!$C$66)*(1+'Inflation-Interest'!$C$67))*(1-AVERAGE('Demographic-Economic'!$C12:$H12))/'Voluntary Costs (3)'!H43)*$C$9</f>
        <v>0</v>
      </c>
      <c r="I233" s="62">
        <f>(('Demographic-Economic'!F$23*1000*(1+'Inflation-Interest'!$C$65)*(1+'Inflation-Interest'!$C$66)*(1+'Inflation-Interest'!$C$67))*(1-AVERAGE('Demographic-Economic'!$C12:$H12))/'Voluntary Costs (3)'!I43)*$C$9</f>
        <v>0</v>
      </c>
      <c r="J233" s="62">
        <f>(('Demographic-Economic'!G$23*1000*(1+'Inflation-Interest'!$C$65)*(1+'Inflation-Interest'!$C$66)*(1+'Inflation-Interest'!$C$67))*(1-AVERAGE('Demographic-Economic'!$C12:$H12))/'Voluntary Costs (3)'!J43)*$C$9</f>
        <v>0</v>
      </c>
      <c r="K233" s="62">
        <f>(('Demographic-Economic'!H$23*1000*(1+'Inflation-Interest'!$C$65)*(1+'Inflation-Interest'!$C$66)*(1+'Inflation-Interest'!$C$67))*(1-AVERAGE('Demographic-Economic'!$C12:$H12))/'Voluntary Costs (3)'!K43)*$C$9</f>
        <v>0</v>
      </c>
      <c r="L233" s="329">
        <f>SUMPRODUCT(H233:K233, H43:K43)/SUM(H43:K43)</f>
        <v>0</v>
      </c>
      <c r="M233" s="329"/>
      <c r="N233">
        <v>2020</v>
      </c>
      <c r="O233" s="320" t="s">
        <v>240</v>
      </c>
      <c r="P233" s="320" t="s">
        <v>240</v>
      </c>
      <c r="Q233" s="170">
        <f>(('Demographic-Economic'!E$23*1000*(1+'Inflation-Interest'!$C$65)*(1+'Inflation-Interest'!$C$66)*(1+'Inflation-Interest'!$C$67))*(1-AVERAGE('Demographic-Economic'!$C12:$H12))/'Voluntary Costs (3)'!Q43)*$C$9</f>
        <v>0</v>
      </c>
      <c r="R233" s="170">
        <f>(('Demographic-Economic'!F$23*1000*(1+'Inflation-Interest'!$C$65)*(1+'Inflation-Interest'!$C$66)*(1+'Inflation-Interest'!$C$67))*(1-AVERAGE('Demographic-Economic'!$C12:$H12))/'Voluntary Costs (3)'!R43)*$C$9</f>
        <v>0</v>
      </c>
      <c r="S233" s="170">
        <f>(('Demographic-Economic'!G$23*1000*(1+'Inflation-Interest'!$C$65)*(1+'Inflation-Interest'!$C$66)*(1+'Inflation-Interest'!$C$67))*(1-AVERAGE('Demographic-Economic'!$C12:$H12))/'Voluntary Costs (3)'!S43)*$C$9</f>
        <v>0</v>
      </c>
      <c r="T233" s="170">
        <f>(('Demographic-Economic'!H$23*1000*(1+'Inflation-Interest'!$C$65)*(1+'Inflation-Interest'!$C$66)*(1+'Inflation-Interest'!$C$67))*(1-AVERAGE('Demographic-Economic'!$C12:$H12))/'Voluntary Costs (3)'!T43)*$C$9</f>
        <v>0</v>
      </c>
      <c r="U233" s="172">
        <f>SUMPRODUCT(Q233:T233, Q43:T43)/SUM(Q43:T43)</f>
        <v>0</v>
      </c>
      <c r="W233">
        <v>2020</v>
      </c>
      <c r="Z233" s="170">
        <v>1780.0404876791742</v>
      </c>
      <c r="AA233" s="170">
        <v>819.57362796571203</v>
      </c>
      <c r="AB233" s="170">
        <v>855.17687677573451</v>
      </c>
      <c r="AC233" s="170">
        <v>356.92519915203928</v>
      </c>
      <c r="AD233" s="172">
        <f>SUMPRODUCT(Z233:AC233, Z43:AC43)/SUM(Z43:AC43)</f>
        <v>1435.3323749932013</v>
      </c>
      <c r="AG233">
        <v>2020</v>
      </c>
      <c r="AJ233" s="170">
        <v>1780.0404876791742</v>
      </c>
      <c r="AK233" s="170">
        <v>819.57362796571203</v>
      </c>
      <c r="AL233" s="170">
        <v>855.17687677573451</v>
      </c>
      <c r="AM233" s="170">
        <v>356.92519915203928</v>
      </c>
      <c r="AN233" s="172">
        <f>SUMPRODUCT(AJ233:AM233, AJ43:AM43)/SUM(AJ43:AM43)</f>
        <v>1435.3323749932013</v>
      </c>
    </row>
    <row r="234" spans="5:40">
      <c r="E234">
        <v>2021</v>
      </c>
      <c r="F234" s="320" t="s">
        <v>240</v>
      </c>
      <c r="G234" s="320" t="s">
        <v>240</v>
      </c>
      <c r="H234" s="62">
        <f>H233*(1+$C$6)</f>
        <v>0</v>
      </c>
      <c r="I234" s="62">
        <f t="shared" ref="I234:K243" si="103">I233*(1+$C$6)</f>
        <v>0</v>
      </c>
      <c r="J234" s="62">
        <f t="shared" si="103"/>
        <v>0</v>
      </c>
      <c r="K234" s="62">
        <f t="shared" si="103"/>
        <v>0</v>
      </c>
      <c r="L234" s="329">
        <f t="shared" ref="L234:L250" si="104">SUMPRODUCT(H234:K234, H44:K44)/SUM(H44:K44)</f>
        <v>0</v>
      </c>
      <c r="M234" s="329"/>
      <c r="N234">
        <v>2021</v>
      </c>
      <c r="O234" s="320" t="s">
        <v>240</v>
      </c>
      <c r="P234" s="320" t="s">
        <v>240</v>
      </c>
      <c r="Q234" s="170">
        <f>Q233*(1+$C$6)</f>
        <v>0</v>
      </c>
      <c r="R234" s="170">
        <f t="shared" ref="R234:T243" si="105">R233*(1+$C$6)</f>
        <v>0</v>
      </c>
      <c r="S234" s="170">
        <f t="shared" si="105"/>
        <v>0</v>
      </c>
      <c r="T234" s="170">
        <f t="shared" si="105"/>
        <v>0</v>
      </c>
      <c r="U234" s="172">
        <f t="shared" ref="U234:U250" si="106">SUMPRODUCT(Q234:T234, Q44:T44)/SUM(Q44:T44)</f>
        <v>0</v>
      </c>
      <c r="W234">
        <v>2021</v>
      </c>
      <c r="Z234" s="170">
        <v>1846.8617242195774</v>
      </c>
      <c r="AA234" s="170">
        <v>850.33973898152158</v>
      </c>
      <c r="AB234" s="170">
        <v>887.27950408249831</v>
      </c>
      <c r="AC234" s="170">
        <v>370.32387369054089</v>
      </c>
      <c r="AD234" s="172">
        <f t="shared" ref="AD234:AD250" si="107">SUMPRODUCT(Z234:AC234, Z44:AC44)/SUM(Z44:AC44)</f>
        <v>1489.1481606106918</v>
      </c>
      <c r="AG234">
        <v>2021</v>
      </c>
      <c r="AJ234" s="170">
        <v>1846.8617242195774</v>
      </c>
      <c r="AK234" s="170">
        <v>850.33973898152158</v>
      </c>
      <c r="AL234" s="170">
        <v>887.27950408249831</v>
      </c>
      <c r="AM234" s="170">
        <v>370.32387369054089</v>
      </c>
      <c r="AN234" s="172">
        <f t="shared" ref="AN234:AN250" si="108">SUMPRODUCT(AJ234:AM234, AJ44:AM44)/SUM(AJ44:AM44)</f>
        <v>1489.1481606106913</v>
      </c>
    </row>
    <row r="235" spans="5:40">
      <c r="E235">
        <v>2022</v>
      </c>
      <c r="F235" s="320" t="s">
        <v>240</v>
      </c>
      <c r="G235" s="320" t="s">
        <v>240</v>
      </c>
      <c r="H235" s="62">
        <f t="shared" ref="H235:H242" si="109">H234*(1+$C$6)</f>
        <v>0</v>
      </c>
      <c r="I235" s="62">
        <f t="shared" si="103"/>
        <v>0</v>
      </c>
      <c r="J235" s="62">
        <f t="shared" si="103"/>
        <v>0</v>
      </c>
      <c r="K235" s="62">
        <f t="shared" si="103"/>
        <v>0</v>
      </c>
      <c r="L235" s="329">
        <f t="shared" si="104"/>
        <v>0</v>
      </c>
      <c r="M235" s="329"/>
      <c r="N235">
        <v>2022</v>
      </c>
      <c r="O235" s="320" t="s">
        <v>240</v>
      </c>
      <c r="P235" s="320" t="s">
        <v>240</v>
      </c>
      <c r="Q235" s="170">
        <f t="shared" ref="Q235:Q242" si="110">Q234*(1+$C$6)</f>
        <v>0</v>
      </c>
      <c r="R235" s="170">
        <f t="shared" si="105"/>
        <v>0</v>
      </c>
      <c r="S235" s="170">
        <f t="shared" si="105"/>
        <v>0</v>
      </c>
      <c r="T235" s="170">
        <f t="shared" si="105"/>
        <v>0</v>
      </c>
      <c r="U235" s="172">
        <f t="shared" si="106"/>
        <v>0</v>
      </c>
      <c r="W235">
        <v>2022</v>
      </c>
      <c r="Z235" s="170">
        <v>1916.1913742953434</v>
      </c>
      <c r="AA235" s="170">
        <v>882.26078416643873</v>
      </c>
      <c r="AB235" s="170">
        <v>920.58723726616859</v>
      </c>
      <c r="AC235" s="170">
        <v>384.22552330565571</v>
      </c>
      <c r="AD235" s="172">
        <f t="shared" si="107"/>
        <v>1544.994964706272</v>
      </c>
      <c r="AG235">
        <v>2022</v>
      </c>
      <c r="AJ235" s="170">
        <v>1916.1913742953434</v>
      </c>
      <c r="AK235" s="170">
        <v>882.26078416643873</v>
      </c>
      <c r="AL235" s="170">
        <v>920.58723726616859</v>
      </c>
      <c r="AM235" s="170">
        <v>384.22552330565571</v>
      </c>
      <c r="AN235" s="172">
        <f t="shared" si="108"/>
        <v>1544.996712260391</v>
      </c>
    </row>
    <row r="236" spans="5:40">
      <c r="E236">
        <v>2023</v>
      </c>
      <c r="F236" s="320" t="s">
        <v>240</v>
      </c>
      <c r="G236" s="320" t="s">
        <v>240</v>
      </c>
      <c r="H236" s="62">
        <f t="shared" si="109"/>
        <v>0</v>
      </c>
      <c r="I236" s="62">
        <f t="shared" si="103"/>
        <v>0</v>
      </c>
      <c r="J236" s="62">
        <f t="shared" si="103"/>
        <v>0</v>
      </c>
      <c r="K236" s="62">
        <f t="shared" si="103"/>
        <v>0</v>
      </c>
      <c r="L236" s="329">
        <f t="shared" si="104"/>
        <v>0</v>
      </c>
      <c r="M236" s="329"/>
      <c r="N236">
        <v>2023</v>
      </c>
      <c r="O236" s="320" t="s">
        <v>240</v>
      </c>
      <c r="P236" s="320" t="s">
        <v>240</v>
      </c>
      <c r="Q236" s="170">
        <f t="shared" si="110"/>
        <v>0</v>
      </c>
      <c r="R236" s="170">
        <f t="shared" si="105"/>
        <v>0</v>
      </c>
      <c r="S236" s="170">
        <f t="shared" si="105"/>
        <v>0</v>
      </c>
      <c r="T236" s="170">
        <f t="shared" si="105"/>
        <v>0</v>
      </c>
      <c r="U236" s="172">
        <f t="shared" si="106"/>
        <v>0</v>
      </c>
      <c r="W236">
        <v>2023</v>
      </c>
      <c r="Z236" s="170">
        <v>1988.1236016602454</v>
      </c>
      <c r="AA236" s="170">
        <v>915.38011878672671</v>
      </c>
      <c r="AB236" s="170">
        <v>955.14531499710949</v>
      </c>
      <c r="AC236" s="170">
        <v>398.64902926261396</v>
      </c>
      <c r="AD236" s="172">
        <f t="shared" si="107"/>
        <v>1602.9492250181154</v>
      </c>
      <c r="AG236">
        <v>2023</v>
      </c>
      <c r="AJ236" s="170">
        <v>1988.1236016602454</v>
      </c>
      <c r="AK236" s="170">
        <v>915.38011878672671</v>
      </c>
      <c r="AL236" s="170">
        <v>955.14531499710949</v>
      </c>
      <c r="AM236" s="170">
        <v>398.64902926261396</v>
      </c>
      <c r="AN236" s="172">
        <f t="shared" si="108"/>
        <v>1602.9536780555302</v>
      </c>
    </row>
    <row r="237" spans="5:40">
      <c r="E237">
        <v>2024</v>
      </c>
      <c r="F237" s="320" t="s">
        <v>240</v>
      </c>
      <c r="G237" s="320" t="s">
        <v>240</v>
      </c>
      <c r="H237" s="62">
        <f t="shared" si="109"/>
        <v>0</v>
      </c>
      <c r="I237" s="62">
        <f t="shared" si="103"/>
        <v>0</v>
      </c>
      <c r="J237" s="62">
        <f t="shared" si="103"/>
        <v>0</v>
      </c>
      <c r="K237" s="62">
        <f t="shared" si="103"/>
        <v>0</v>
      </c>
      <c r="L237" s="329">
        <f t="shared" si="104"/>
        <v>0</v>
      </c>
      <c r="M237" s="329"/>
      <c r="N237">
        <v>2024</v>
      </c>
      <c r="O237" s="320" t="s">
        <v>240</v>
      </c>
      <c r="P237" s="320" t="s">
        <v>240</v>
      </c>
      <c r="Q237" s="170">
        <f t="shared" si="110"/>
        <v>0</v>
      </c>
      <c r="R237" s="170">
        <f t="shared" si="105"/>
        <v>0</v>
      </c>
      <c r="S237" s="170">
        <f t="shared" si="105"/>
        <v>0</v>
      </c>
      <c r="T237" s="170">
        <f t="shared" si="105"/>
        <v>0</v>
      </c>
      <c r="U237" s="172">
        <f t="shared" si="106"/>
        <v>0</v>
      </c>
      <c r="W237">
        <v>2024</v>
      </c>
      <c r="Z237" s="170">
        <v>2062.7561048969028</v>
      </c>
      <c r="AA237" s="170">
        <v>949.74272562921476</v>
      </c>
      <c r="AB237" s="170">
        <v>991.00067416767183</v>
      </c>
      <c r="AC237" s="170">
        <v>413.61398161360813</v>
      </c>
      <c r="AD237" s="172">
        <f t="shared" si="107"/>
        <v>1663.0902315453698</v>
      </c>
      <c r="AG237">
        <v>2024</v>
      </c>
      <c r="AJ237" s="170">
        <v>2062.7561048969028</v>
      </c>
      <c r="AK237" s="170">
        <v>949.74272562921476</v>
      </c>
      <c r="AL237" s="170">
        <v>991.00067416767183</v>
      </c>
      <c r="AM237" s="170">
        <v>413.61398161360813</v>
      </c>
      <c r="AN237" s="172">
        <f t="shared" si="108"/>
        <v>1663.097664950267</v>
      </c>
    </row>
    <row r="238" spans="5:40">
      <c r="E238">
        <v>2025</v>
      </c>
      <c r="F238" s="320" t="s">
        <v>240</v>
      </c>
      <c r="G238" s="320" t="s">
        <v>240</v>
      </c>
      <c r="H238" s="62">
        <f t="shared" si="109"/>
        <v>0</v>
      </c>
      <c r="I238" s="62">
        <f t="shared" si="103"/>
        <v>0</v>
      </c>
      <c r="J238" s="62">
        <f t="shared" si="103"/>
        <v>0</v>
      </c>
      <c r="K238" s="62">
        <f t="shared" si="103"/>
        <v>0</v>
      </c>
      <c r="L238" s="329">
        <f t="shared" si="104"/>
        <v>0</v>
      </c>
      <c r="M238" s="329"/>
      <c r="N238">
        <v>2025</v>
      </c>
      <c r="O238" s="320" t="s">
        <v>240</v>
      </c>
      <c r="P238" s="320" t="s">
        <v>240</v>
      </c>
      <c r="Q238" s="170">
        <f t="shared" si="110"/>
        <v>0</v>
      </c>
      <c r="R238" s="170">
        <f t="shared" si="105"/>
        <v>0</v>
      </c>
      <c r="S238" s="170">
        <f t="shared" si="105"/>
        <v>0</v>
      </c>
      <c r="T238" s="170">
        <f t="shared" si="105"/>
        <v>0</v>
      </c>
      <c r="U238" s="172">
        <f t="shared" si="106"/>
        <v>0</v>
      </c>
      <c r="W238">
        <v>2025</v>
      </c>
      <c r="Z238" s="170">
        <v>2140.1902501113118</v>
      </c>
      <c r="AA238" s="170">
        <v>985.39527609706408</v>
      </c>
      <c r="AB238" s="170">
        <v>1028.202013642031</v>
      </c>
      <c r="AC238" s="170">
        <v>429.14070580506495</v>
      </c>
      <c r="AD238" s="172">
        <f t="shared" si="107"/>
        <v>1725.5002368575788</v>
      </c>
      <c r="AG238">
        <v>2025</v>
      </c>
      <c r="AJ238" s="170">
        <v>2140.1902501113118</v>
      </c>
      <c r="AK238" s="170">
        <v>985.39527609706408</v>
      </c>
      <c r="AL238" s="170">
        <v>1028.202013642031</v>
      </c>
      <c r="AM238" s="170">
        <v>429.14070580506495</v>
      </c>
      <c r="AN238" s="172">
        <f t="shared" si="108"/>
        <v>1725.5103301749909</v>
      </c>
    </row>
    <row r="239" spans="5:40">
      <c r="E239">
        <v>2026</v>
      </c>
      <c r="F239" s="320" t="s">
        <v>240</v>
      </c>
      <c r="G239" s="320" t="s">
        <v>240</v>
      </c>
      <c r="H239" s="62">
        <f t="shared" si="109"/>
        <v>0</v>
      </c>
      <c r="I239" s="62">
        <f t="shared" si="103"/>
        <v>0</v>
      </c>
      <c r="J239" s="62">
        <f t="shared" si="103"/>
        <v>0</v>
      </c>
      <c r="K239" s="62">
        <f t="shared" si="103"/>
        <v>0</v>
      </c>
      <c r="L239" s="329">
        <f t="shared" si="104"/>
        <v>0</v>
      </c>
      <c r="M239" s="329"/>
      <c r="N239">
        <v>2026</v>
      </c>
      <c r="O239" s="320" t="s">
        <v>240</v>
      </c>
      <c r="P239" s="320" t="s">
        <v>240</v>
      </c>
      <c r="Q239" s="170">
        <f t="shared" si="110"/>
        <v>0</v>
      </c>
      <c r="R239" s="170">
        <f t="shared" si="105"/>
        <v>0</v>
      </c>
      <c r="S239" s="170">
        <f t="shared" si="105"/>
        <v>0</v>
      </c>
      <c r="T239" s="170">
        <f t="shared" si="105"/>
        <v>0</v>
      </c>
      <c r="U239" s="172">
        <f t="shared" si="106"/>
        <v>0</v>
      </c>
      <c r="W239">
        <v>2026</v>
      </c>
      <c r="Z239" s="170">
        <v>2220.5312086086155</v>
      </c>
      <c r="AA239" s="170">
        <v>1022.3861935990178</v>
      </c>
      <c r="AB239" s="170">
        <v>1066.7998603991416</v>
      </c>
      <c r="AC239" s="170">
        <v>445.25029028373228</v>
      </c>
      <c r="AD239" s="172">
        <f t="shared" si="107"/>
        <v>1790.2645703835908</v>
      </c>
      <c r="AG239">
        <v>2026</v>
      </c>
      <c r="AJ239" s="170">
        <v>2220.5312086086155</v>
      </c>
      <c r="AK239" s="170">
        <v>1022.3861935990178</v>
      </c>
      <c r="AL239" s="170">
        <v>1066.7998603991416</v>
      </c>
      <c r="AM239" s="170">
        <v>445.25029028373228</v>
      </c>
      <c r="AN239" s="172">
        <f t="shared" si="108"/>
        <v>1790.2764802683218</v>
      </c>
    </row>
    <row r="240" spans="5:40">
      <c r="E240">
        <v>2027</v>
      </c>
      <c r="F240" s="320" t="s">
        <v>240</v>
      </c>
      <c r="G240" s="320" t="s">
        <v>240</v>
      </c>
      <c r="H240" s="62">
        <f t="shared" si="109"/>
        <v>0</v>
      </c>
      <c r="I240" s="62">
        <f t="shared" si="103"/>
        <v>0</v>
      </c>
      <c r="J240" s="62">
        <f t="shared" si="103"/>
        <v>0</v>
      </c>
      <c r="K240" s="62">
        <f t="shared" si="103"/>
        <v>0</v>
      </c>
      <c r="L240" s="329">
        <f t="shared" si="104"/>
        <v>0</v>
      </c>
      <c r="M240" s="329"/>
      <c r="N240">
        <v>2027</v>
      </c>
      <c r="O240" s="320" t="s">
        <v>240</v>
      </c>
      <c r="P240" s="320" t="s">
        <v>240</v>
      </c>
      <c r="Q240" s="170">
        <f t="shared" si="110"/>
        <v>0</v>
      </c>
      <c r="R240" s="170">
        <f t="shared" si="105"/>
        <v>0</v>
      </c>
      <c r="S240" s="170">
        <f t="shared" si="105"/>
        <v>0</v>
      </c>
      <c r="T240" s="170">
        <f t="shared" si="105"/>
        <v>0</v>
      </c>
      <c r="U240" s="172">
        <f t="shared" si="106"/>
        <v>0</v>
      </c>
      <c r="W240">
        <v>2027</v>
      </c>
      <c r="Z240" s="170">
        <v>2303.8880997371093</v>
      </c>
      <c r="AA240" s="170">
        <v>1060.7657193182304</v>
      </c>
      <c r="AB240" s="170">
        <v>1106.8466381586418</v>
      </c>
      <c r="AC240" s="170">
        <v>461.96461513907502</v>
      </c>
      <c r="AD240" s="172">
        <f t="shared" si="107"/>
        <v>1857.4717568039423</v>
      </c>
      <c r="AG240">
        <v>2027</v>
      </c>
      <c r="AJ240" s="170">
        <v>2303.8880997371093</v>
      </c>
      <c r="AK240" s="170">
        <v>1060.7657193182304</v>
      </c>
      <c r="AL240" s="170">
        <v>1106.8466381586418</v>
      </c>
      <c r="AM240" s="170">
        <v>461.96461513907502</v>
      </c>
      <c r="AN240" s="172">
        <f t="shared" si="108"/>
        <v>1857.4841769908762</v>
      </c>
    </row>
    <row r="241" spans="5:40">
      <c r="E241">
        <v>2028</v>
      </c>
      <c r="F241" s="320" t="s">
        <v>240</v>
      </c>
      <c r="G241" s="320" t="s">
        <v>240</v>
      </c>
      <c r="H241" s="62">
        <f t="shared" si="109"/>
        <v>0</v>
      </c>
      <c r="I241" s="62">
        <f t="shared" si="103"/>
        <v>0</v>
      </c>
      <c r="J241" s="62">
        <f t="shared" si="103"/>
        <v>0</v>
      </c>
      <c r="K241" s="62">
        <f t="shared" si="103"/>
        <v>0</v>
      </c>
      <c r="L241" s="329">
        <f t="shared" si="104"/>
        <v>0</v>
      </c>
      <c r="M241" s="329"/>
      <c r="N241">
        <v>2028</v>
      </c>
      <c r="O241" s="320" t="s">
        <v>240</v>
      </c>
      <c r="P241" s="320" t="s">
        <v>240</v>
      </c>
      <c r="Q241" s="170">
        <f t="shared" si="110"/>
        <v>0</v>
      </c>
      <c r="R241" s="170">
        <f t="shared" si="105"/>
        <v>0</v>
      </c>
      <c r="S241" s="170">
        <f t="shared" si="105"/>
        <v>0</v>
      </c>
      <c r="T241" s="170">
        <f t="shared" si="105"/>
        <v>0</v>
      </c>
      <c r="U241" s="172">
        <f t="shared" si="106"/>
        <v>0</v>
      </c>
      <c r="W241">
        <v>2028</v>
      </c>
      <c r="Z241" s="170">
        <v>2390.3741390944906</v>
      </c>
      <c r="AA241" s="170">
        <v>1100.5859804500039</v>
      </c>
      <c r="AB241" s="170">
        <v>1148.3967385829187</v>
      </c>
      <c r="AC241" s="170">
        <v>479.3063818208833</v>
      </c>
      <c r="AD241" s="172">
        <f t="shared" si="107"/>
        <v>1927.2136386857735</v>
      </c>
      <c r="AG241">
        <v>2028</v>
      </c>
      <c r="AJ241" s="170">
        <v>2390.3741390944906</v>
      </c>
      <c r="AK241" s="170">
        <v>1100.5859804500039</v>
      </c>
      <c r="AL241" s="170">
        <v>1148.3967385829187</v>
      </c>
      <c r="AM241" s="170">
        <v>479.3063818208833</v>
      </c>
      <c r="AN241" s="172">
        <f t="shared" si="108"/>
        <v>1927.2248496487871</v>
      </c>
    </row>
    <row r="242" spans="5:40">
      <c r="E242">
        <v>2029</v>
      </c>
      <c r="F242" s="320" t="s">
        <v>240</v>
      </c>
      <c r="G242" s="320" t="s">
        <v>240</v>
      </c>
      <c r="H242" s="62">
        <f t="shared" si="109"/>
        <v>0</v>
      </c>
      <c r="I242" s="62">
        <f t="shared" si="103"/>
        <v>0</v>
      </c>
      <c r="J242" s="62">
        <f t="shared" si="103"/>
        <v>0</v>
      </c>
      <c r="K242" s="62">
        <f t="shared" si="103"/>
        <v>0</v>
      </c>
      <c r="L242" s="329">
        <f t="shared" si="104"/>
        <v>0</v>
      </c>
      <c r="M242" s="329"/>
      <c r="N242">
        <v>2029</v>
      </c>
      <c r="O242" s="320" t="s">
        <v>240</v>
      </c>
      <c r="P242" s="320" t="s">
        <v>240</v>
      </c>
      <c r="Q242" s="170">
        <f t="shared" si="110"/>
        <v>0</v>
      </c>
      <c r="R242" s="170">
        <f t="shared" si="105"/>
        <v>0</v>
      </c>
      <c r="S242" s="170">
        <f t="shared" si="105"/>
        <v>0</v>
      </c>
      <c r="T242" s="170">
        <f t="shared" si="105"/>
        <v>0</v>
      </c>
      <c r="U242" s="172">
        <f t="shared" si="106"/>
        <v>0</v>
      </c>
      <c r="W242">
        <v>2029</v>
      </c>
      <c r="Z242" s="170">
        <v>2480.1067922976486</v>
      </c>
      <c r="AA242" s="170">
        <v>1141.9010610011135</v>
      </c>
      <c r="AB242" s="170">
        <v>1191.5065951520394</v>
      </c>
      <c r="AC242" s="170">
        <v>497.29914397245443</v>
      </c>
      <c r="AD242" s="172">
        <f t="shared" si="107"/>
        <v>1999.5855035131563</v>
      </c>
      <c r="AG242">
        <v>2029</v>
      </c>
      <c r="AJ242" s="170">
        <v>2480.1067922976486</v>
      </c>
      <c r="AK242" s="170">
        <v>1141.9010610011135</v>
      </c>
      <c r="AL242" s="170">
        <v>1191.5065951520394</v>
      </c>
      <c r="AM242" s="170">
        <v>497.29914397245443</v>
      </c>
      <c r="AN242" s="172">
        <f t="shared" si="108"/>
        <v>1999.5934135270368</v>
      </c>
    </row>
    <row r="243" spans="5:40">
      <c r="E243">
        <v>2030</v>
      </c>
      <c r="F243" s="320" t="s">
        <v>240</v>
      </c>
      <c r="G243" s="320" t="s">
        <v>240</v>
      </c>
      <c r="H243" s="62">
        <f>H242*(1+$C$6)</f>
        <v>0</v>
      </c>
      <c r="I243" s="62">
        <f t="shared" si="103"/>
        <v>0</v>
      </c>
      <c r="J243" s="62">
        <f t="shared" si="103"/>
        <v>0</v>
      </c>
      <c r="K243" s="62">
        <f t="shared" si="103"/>
        <v>0</v>
      </c>
      <c r="L243" s="329">
        <f t="shared" si="104"/>
        <v>0</v>
      </c>
      <c r="M243" s="329"/>
      <c r="N243">
        <v>2030</v>
      </c>
      <c r="O243" s="320" t="s">
        <v>240</v>
      </c>
      <c r="P243" s="320" t="s">
        <v>240</v>
      </c>
      <c r="Q243" s="170">
        <f>Q242*(1+$C$6)</f>
        <v>0</v>
      </c>
      <c r="R243" s="170">
        <f t="shared" si="105"/>
        <v>0</v>
      </c>
      <c r="S243" s="170">
        <f t="shared" si="105"/>
        <v>0</v>
      </c>
      <c r="T243" s="170">
        <f t="shared" si="105"/>
        <v>0</v>
      </c>
      <c r="U243" s="172">
        <f t="shared" si="106"/>
        <v>0</v>
      </c>
      <c r="W243">
        <v>2030</v>
      </c>
      <c r="Z243" s="170">
        <v>2573.2079345248421</v>
      </c>
      <c r="AA243" s="170">
        <v>1184.7670752468778</v>
      </c>
      <c r="AB243" s="170">
        <v>1236.2347598118843</v>
      </c>
      <c r="AC243" s="170">
        <v>515.96733942122705</v>
      </c>
      <c r="AD243" s="172">
        <f t="shared" si="107"/>
        <v>2074.686215278206</v>
      </c>
      <c r="AG243">
        <v>2030</v>
      </c>
      <c r="AJ243" s="170">
        <v>2573.2079345248421</v>
      </c>
      <c r="AK243" s="170">
        <v>1184.7670752468778</v>
      </c>
      <c r="AL243" s="170">
        <v>1236.2347598118843</v>
      </c>
      <c r="AM243" s="170">
        <v>515.96733942122705</v>
      </c>
      <c r="AN243" s="172">
        <f t="shared" si="108"/>
        <v>2074.6883942568938</v>
      </c>
    </row>
    <row r="244" spans="5:40">
      <c r="E244">
        <v>2040</v>
      </c>
      <c r="F244" s="320" t="s">
        <v>240</v>
      </c>
      <c r="G244" s="320" t="s">
        <v>240</v>
      </c>
      <c r="H244" s="62">
        <f>H243*(1+$C$6)^10</f>
        <v>0</v>
      </c>
      <c r="I244" s="62">
        <f t="shared" ref="I244:K250" si="111">I243*(1+$C$6)^10</f>
        <v>0</v>
      </c>
      <c r="J244" s="62">
        <f t="shared" si="111"/>
        <v>0</v>
      </c>
      <c r="K244" s="62">
        <f t="shared" si="111"/>
        <v>0</v>
      </c>
      <c r="L244" s="329">
        <f t="shared" si="104"/>
        <v>0</v>
      </c>
      <c r="M244" s="329"/>
      <c r="N244">
        <v>2040</v>
      </c>
      <c r="O244" s="320" t="s">
        <v>240</v>
      </c>
      <c r="P244" s="320" t="s">
        <v>240</v>
      </c>
      <c r="Q244" s="170">
        <f>Q243*(1+$C$6)^10</f>
        <v>0</v>
      </c>
      <c r="R244" s="170">
        <f t="shared" ref="R244:T250" si="112">R243*(1+$C$6)^10</f>
        <v>0</v>
      </c>
      <c r="S244" s="170">
        <f t="shared" si="112"/>
        <v>0</v>
      </c>
      <c r="T244" s="170">
        <f t="shared" si="112"/>
        <v>0</v>
      </c>
      <c r="U244" s="172">
        <f t="shared" si="106"/>
        <v>0</v>
      </c>
      <c r="W244">
        <v>2040</v>
      </c>
      <c r="Z244" s="170">
        <v>3719.8025101859439</v>
      </c>
      <c r="AA244" s="170">
        <v>1712.686907792701</v>
      </c>
      <c r="AB244" s="170">
        <v>1787.0880549637795</v>
      </c>
      <c r="AC244" s="170">
        <v>745.8769960257614</v>
      </c>
      <c r="AD244" s="172">
        <f t="shared" si="107"/>
        <v>2999.8403900507319</v>
      </c>
      <c r="AG244">
        <v>2040</v>
      </c>
      <c r="AJ244" s="170">
        <v>3719.8025101859439</v>
      </c>
      <c r="AK244" s="170">
        <v>1712.686907792701</v>
      </c>
      <c r="AL244" s="170">
        <v>1787.0880549637795</v>
      </c>
      <c r="AM244" s="170">
        <v>745.8769960257614</v>
      </c>
      <c r="AN244" s="172">
        <f t="shared" si="108"/>
        <v>2999.7248671399188</v>
      </c>
    </row>
    <row r="245" spans="5:40">
      <c r="E245">
        <v>2050</v>
      </c>
      <c r="F245" s="320" t="s">
        <v>240</v>
      </c>
      <c r="G245" s="320" t="s">
        <v>240</v>
      </c>
      <c r="H245" s="62">
        <f t="shared" ref="H245:H250" si="113">H244*(1+$C$6)^10</f>
        <v>0</v>
      </c>
      <c r="I245" s="62">
        <f t="shared" si="111"/>
        <v>0</v>
      </c>
      <c r="J245" s="62">
        <f t="shared" si="111"/>
        <v>0</v>
      </c>
      <c r="K245" s="62">
        <f t="shared" si="111"/>
        <v>0</v>
      </c>
      <c r="L245" s="329">
        <f t="shared" si="104"/>
        <v>0</v>
      </c>
      <c r="M245" s="329"/>
      <c r="N245">
        <v>2050</v>
      </c>
      <c r="O245" s="320" t="s">
        <v>240</v>
      </c>
      <c r="P245" s="320" t="s">
        <v>240</v>
      </c>
      <c r="Q245" s="170">
        <f t="shared" ref="Q245:Q250" si="114">Q244*(1+$C$6)^10</f>
        <v>0</v>
      </c>
      <c r="R245" s="170">
        <f t="shared" si="112"/>
        <v>0</v>
      </c>
      <c r="S245" s="170">
        <f t="shared" si="112"/>
        <v>0</v>
      </c>
      <c r="T245" s="170">
        <f t="shared" si="112"/>
        <v>0</v>
      </c>
      <c r="U245" s="172">
        <f t="shared" si="106"/>
        <v>0</v>
      </c>
      <c r="W245">
        <v>2050</v>
      </c>
      <c r="Z245" s="170">
        <v>5377.3076513308361</v>
      </c>
      <c r="AA245" s="170">
        <v>2475.8423030225531</v>
      </c>
      <c r="AB245" s="170">
        <v>2583.3958241719415</v>
      </c>
      <c r="AC245" s="170">
        <v>1078.231993956178</v>
      </c>
      <c r="AD245" s="172">
        <f t="shared" si="107"/>
        <v>4336.5379312528958</v>
      </c>
      <c r="AG245">
        <v>2050</v>
      </c>
      <c r="AJ245" s="170">
        <v>5377.3076513308361</v>
      </c>
      <c r="AK245" s="170">
        <v>2475.8423030225531</v>
      </c>
      <c r="AL245" s="170">
        <v>2583.3958241719415</v>
      </c>
      <c r="AM245" s="170">
        <v>1078.231993956178</v>
      </c>
      <c r="AN245" s="172">
        <f t="shared" si="108"/>
        <v>4336.3709325397876</v>
      </c>
    </row>
    <row r="246" spans="5:40">
      <c r="E246">
        <v>2060</v>
      </c>
      <c r="F246" s="320" t="s">
        <v>240</v>
      </c>
      <c r="G246" s="320" t="s">
        <v>240</v>
      </c>
      <c r="H246" s="62">
        <f t="shared" si="113"/>
        <v>0</v>
      </c>
      <c r="I246" s="62">
        <f t="shared" si="111"/>
        <v>0</v>
      </c>
      <c r="J246" s="62">
        <f t="shared" si="111"/>
        <v>0</v>
      </c>
      <c r="K246" s="62">
        <f t="shared" si="111"/>
        <v>0</v>
      </c>
      <c r="L246" s="329">
        <f t="shared" si="104"/>
        <v>0</v>
      </c>
      <c r="M246" s="329"/>
      <c r="N246">
        <v>2060</v>
      </c>
      <c r="O246" s="320" t="s">
        <v>240</v>
      </c>
      <c r="P246" s="320" t="s">
        <v>240</v>
      </c>
      <c r="Q246" s="170">
        <f t="shared" si="114"/>
        <v>0</v>
      </c>
      <c r="R246" s="170">
        <f t="shared" si="112"/>
        <v>0</v>
      </c>
      <c r="S246" s="170">
        <f t="shared" si="112"/>
        <v>0</v>
      </c>
      <c r="T246" s="170">
        <f t="shared" si="112"/>
        <v>0</v>
      </c>
      <c r="U246" s="172">
        <f t="shared" si="106"/>
        <v>0</v>
      </c>
      <c r="W246">
        <v>2060</v>
      </c>
      <c r="Z246" s="170">
        <v>7773.3797689210487</v>
      </c>
      <c r="AA246" s="170">
        <v>3579.0517703764413</v>
      </c>
      <c r="AB246" s="170">
        <v>3734.5300170361729</v>
      </c>
      <c r="AC246" s="170">
        <v>1558.6809071539749</v>
      </c>
      <c r="AD246" s="172">
        <f t="shared" si="107"/>
        <v>6268.8539335511487</v>
      </c>
      <c r="AG246">
        <v>2060</v>
      </c>
      <c r="AJ246" s="170">
        <v>7773.3797689210487</v>
      </c>
      <c r="AK246" s="170">
        <v>3579.0517703764413</v>
      </c>
      <c r="AL246" s="170">
        <v>3734.5300170361729</v>
      </c>
      <c r="AM246" s="170">
        <v>1558.6809071539749</v>
      </c>
      <c r="AN246" s="172">
        <f t="shared" si="108"/>
        <v>6268.6125219559626</v>
      </c>
    </row>
    <row r="247" spans="5:40">
      <c r="E247">
        <v>2070</v>
      </c>
      <c r="F247" s="320" t="s">
        <v>240</v>
      </c>
      <c r="G247" s="320" t="s">
        <v>240</v>
      </c>
      <c r="H247" s="62">
        <f t="shared" si="113"/>
        <v>0</v>
      </c>
      <c r="I247" s="62">
        <f t="shared" si="111"/>
        <v>0</v>
      </c>
      <c r="J247" s="62">
        <f t="shared" si="111"/>
        <v>0</v>
      </c>
      <c r="K247" s="62">
        <f t="shared" si="111"/>
        <v>0</v>
      </c>
      <c r="L247" s="329">
        <f t="shared" si="104"/>
        <v>0</v>
      </c>
      <c r="M247" s="329"/>
      <c r="N247">
        <v>2070</v>
      </c>
      <c r="O247" s="320" t="s">
        <v>240</v>
      </c>
      <c r="P247" s="320" t="s">
        <v>240</v>
      </c>
      <c r="Q247" s="170">
        <f t="shared" si="114"/>
        <v>0</v>
      </c>
      <c r="R247" s="170">
        <f t="shared" si="112"/>
        <v>0</v>
      </c>
      <c r="S247" s="170">
        <f t="shared" si="112"/>
        <v>0</v>
      </c>
      <c r="T247" s="170">
        <f t="shared" si="112"/>
        <v>0</v>
      </c>
      <c r="U247" s="172">
        <f t="shared" si="106"/>
        <v>0</v>
      </c>
      <c r="W247">
        <v>2070</v>
      </c>
      <c r="Z247" s="170">
        <v>11237.116592523082</v>
      </c>
      <c r="AA247" s="170">
        <v>5173.8398521571962</v>
      </c>
      <c r="AB247" s="170">
        <v>5398.5975813886562</v>
      </c>
      <c r="AC247" s="170">
        <v>2253.2128372598431</v>
      </c>
      <c r="AD247" s="172">
        <f t="shared" si="107"/>
        <v>9062.1897613255132</v>
      </c>
      <c r="AG247">
        <v>2070</v>
      </c>
      <c r="AJ247" s="170">
        <v>11237.116592523082</v>
      </c>
      <c r="AK247" s="170">
        <v>5173.8398521571962</v>
      </c>
      <c r="AL247" s="170">
        <v>5398.5975813886562</v>
      </c>
      <c r="AM247" s="170">
        <v>2253.2128372598431</v>
      </c>
      <c r="AN247" s="172">
        <f t="shared" si="108"/>
        <v>9061.8407792453181</v>
      </c>
    </row>
    <row r="248" spans="5:40">
      <c r="E248">
        <v>2080</v>
      </c>
      <c r="F248" s="320" t="s">
        <v>240</v>
      </c>
      <c r="G248" s="320" t="s">
        <v>240</v>
      </c>
      <c r="H248" s="62">
        <f t="shared" si="113"/>
        <v>0</v>
      </c>
      <c r="I248" s="62">
        <f t="shared" si="111"/>
        <v>0</v>
      </c>
      <c r="J248" s="62">
        <f t="shared" si="111"/>
        <v>0</v>
      </c>
      <c r="K248" s="62">
        <f t="shared" si="111"/>
        <v>0</v>
      </c>
      <c r="L248" s="329">
        <f t="shared" si="104"/>
        <v>0</v>
      </c>
      <c r="M248" s="329"/>
      <c r="N248">
        <v>2080</v>
      </c>
      <c r="O248" s="320" t="s">
        <v>240</v>
      </c>
      <c r="P248" s="320" t="s">
        <v>240</v>
      </c>
      <c r="Q248" s="170">
        <f t="shared" si="114"/>
        <v>0</v>
      </c>
      <c r="R248" s="170">
        <f t="shared" si="112"/>
        <v>0</v>
      </c>
      <c r="S248" s="170">
        <f t="shared" si="112"/>
        <v>0</v>
      </c>
      <c r="T248" s="170">
        <f t="shared" si="112"/>
        <v>0</v>
      </c>
      <c r="U248" s="172">
        <f t="shared" si="106"/>
        <v>0</v>
      </c>
      <c r="W248">
        <v>2080</v>
      </c>
      <c r="Z248" s="170">
        <v>16244.258362213572</v>
      </c>
      <c r="AA248" s="170">
        <v>7479.2488438786959</v>
      </c>
      <c r="AB248" s="170">
        <v>7804.1562694160957</v>
      </c>
      <c r="AC248" s="170">
        <v>3257.2209402774329</v>
      </c>
      <c r="AD248" s="172">
        <f t="shared" si="107"/>
        <v>13100.206854517048</v>
      </c>
      <c r="AG248">
        <v>2080</v>
      </c>
      <c r="AJ248" s="170">
        <v>16244.258362213572</v>
      </c>
      <c r="AK248" s="170">
        <v>7479.2488438786959</v>
      </c>
      <c r="AL248" s="170">
        <v>7804.1562694160957</v>
      </c>
      <c r="AM248" s="170">
        <v>3257.2209402774329</v>
      </c>
      <c r="AN248" s="172">
        <f t="shared" si="108"/>
        <v>13099.702369667424</v>
      </c>
    </row>
    <row r="249" spans="5:40">
      <c r="E249">
        <v>2090</v>
      </c>
      <c r="F249" s="320" t="s">
        <v>240</v>
      </c>
      <c r="G249" s="320" t="s">
        <v>240</v>
      </c>
      <c r="H249" s="62">
        <f t="shared" si="113"/>
        <v>0</v>
      </c>
      <c r="I249" s="62">
        <f t="shared" si="111"/>
        <v>0</v>
      </c>
      <c r="J249" s="62">
        <f t="shared" si="111"/>
        <v>0</v>
      </c>
      <c r="K249" s="62">
        <f t="shared" si="111"/>
        <v>0</v>
      </c>
      <c r="L249" s="329">
        <f t="shared" si="104"/>
        <v>0</v>
      </c>
      <c r="M249" s="329"/>
      <c r="N249">
        <v>2090</v>
      </c>
      <c r="O249" s="320" t="s">
        <v>240</v>
      </c>
      <c r="P249" s="320" t="s">
        <v>240</v>
      </c>
      <c r="Q249" s="170">
        <f t="shared" si="114"/>
        <v>0</v>
      </c>
      <c r="R249" s="170">
        <f t="shared" si="112"/>
        <v>0</v>
      </c>
      <c r="S249" s="170">
        <f t="shared" si="112"/>
        <v>0</v>
      </c>
      <c r="T249" s="170">
        <f t="shared" si="112"/>
        <v>0</v>
      </c>
      <c r="U249" s="172">
        <f t="shared" si="106"/>
        <v>0</v>
      </c>
      <c r="W249">
        <v>2090</v>
      </c>
      <c r="Z249" s="170">
        <v>23482.530199421668</v>
      </c>
      <c r="AA249" s="170">
        <v>10811.923999800141</v>
      </c>
      <c r="AB249" s="170">
        <v>11281.60678014461</v>
      </c>
      <c r="AC249" s="170">
        <v>4708.6045660400723</v>
      </c>
      <c r="AD249" s="172">
        <f t="shared" si="107"/>
        <v>18937.522182942412</v>
      </c>
      <c r="AG249">
        <v>2090</v>
      </c>
      <c r="AJ249" s="170">
        <v>23482.530199421668</v>
      </c>
      <c r="AK249" s="170">
        <v>10811.923999800141</v>
      </c>
      <c r="AL249" s="170">
        <v>11281.60678014461</v>
      </c>
      <c r="AM249" s="170">
        <v>4708.6045660400723</v>
      </c>
      <c r="AN249" s="172">
        <f t="shared" si="108"/>
        <v>18936.792904913687</v>
      </c>
    </row>
    <row r="250" spans="5:40">
      <c r="E250">
        <v>2100</v>
      </c>
      <c r="F250" s="320" t="s">
        <v>240</v>
      </c>
      <c r="G250" s="320" t="s">
        <v>240</v>
      </c>
      <c r="H250" s="62">
        <f t="shared" si="113"/>
        <v>0</v>
      </c>
      <c r="I250" s="62">
        <f t="shared" si="111"/>
        <v>0</v>
      </c>
      <c r="J250" s="62">
        <f t="shared" si="111"/>
        <v>0</v>
      </c>
      <c r="K250" s="62">
        <f t="shared" si="111"/>
        <v>0</v>
      </c>
      <c r="L250" s="329">
        <f t="shared" si="104"/>
        <v>0</v>
      </c>
      <c r="M250" s="329"/>
      <c r="N250">
        <v>2100</v>
      </c>
      <c r="O250" s="320" t="s">
        <v>240</v>
      </c>
      <c r="P250" s="320" t="s">
        <v>240</v>
      </c>
      <c r="Q250" s="170">
        <f t="shared" si="114"/>
        <v>0</v>
      </c>
      <c r="R250" s="170">
        <f t="shared" si="112"/>
        <v>0</v>
      </c>
      <c r="S250" s="170">
        <f t="shared" si="112"/>
        <v>0</v>
      </c>
      <c r="T250" s="170">
        <f t="shared" si="112"/>
        <v>0</v>
      </c>
      <c r="U250" s="172">
        <f t="shared" si="106"/>
        <v>0</v>
      </c>
      <c r="W250">
        <v>2100</v>
      </c>
      <c r="Z250" s="170">
        <v>33946.100355646427</v>
      </c>
      <c r="AA250" s="170">
        <v>15629.604391773628</v>
      </c>
      <c r="AB250" s="170">
        <v>16308.572912690723</v>
      </c>
      <c r="AC250" s="170">
        <v>6806.7095741577214</v>
      </c>
      <c r="AD250" s="172">
        <f t="shared" si="107"/>
        <v>27375.884244589459</v>
      </c>
      <c r="AG250">
        <v>2100</v>
      </c>
      <c r="AJ250" s="170">
        <v>33946.100355646427</v>
      </c>
      <c r="AK250" s="170">
        <v>15629.604391773628</v>
      </c>
      <c r="AL250" s="170">
        <v>16308.572912690723</v>
      </c>
      <c r="AM250" s="170">
        <v>6806.7095741577214</v>
      </c>
      <c r="AN250" s="172">
        <f t="shared" si="108"/>
        <v>27374.830007889224</v>
      </c>
    </row>
    <row r="251" spans="5:40">
      <c r="F251" s="581" t="s">
        <v>292</v>
      </c>
      <c r="G251" s="581"/>
      <c r="H251" s="581"/>
      <c r="I251" s="581"/>
      <c r="J251" s="581"/>
      <c r="K251" s="581"/>
      <c r="O251" s="581" t="s">
        <v>292</v>
      </c>
      <c r="P251" s="581"/>
      <c r="Q251" s="581"/>
      <c r="R251" s="581"/>
      <c r="S251" s="581"/>
      <c r="T251" s="581"/>
      <c r="X251" s="581" t="s">
        <v>292</v>
      </c>
      <c r="Y251" s="581"/>
      <c r="Z251" s="581"/>
      <c r="AA251" s="581"/>
      <c r="AB251" s="581"/>
      <c r="AC251" s="581"/>
      <c r="AD251" s="172"/>
      <c r="AH251" s="581" t="s">
        <v>292</v>
      </c>
      <c r="AI251" s="581"/>
      <c r="AJ251" s="581"/>
      <c r="AK251" s="581"/>
      <c r="AL251" s="581"/>
      <c r="AM251" s="581"/>
    </row>
    <row r="252" spans="5:40">
      <c r="E252">
        <v>2020</v>
      </c>
      <c r="F252" s="320" t="s">
        <v>240</v>
      </c>
      <c r="G252" s="320" t="s">
        <v>240</v>
      </c>
      <c r="H252" s="63">
        <f>'Demographic-Economic'!E$22*1000*AVERAGE('Demographic-Economic'!$C12:$H12)/H24*(1+'Inflation-Interest'!$C$65)*(1+'Inflation-Interest'!$C$66)*(1+'Inflation-Interest'!$C$67)*$C$5</f>
        <v>370.67754313037551</v>
      </c>
      <c r="I252" s="63">
        <f>'Demographic-Economic'!F$22*1000*AVERAGE('Demographic-Economic'!$C12:$H12)/I24*(1+'Inflation-Interest'!$C$65)*(1+'Inflation-Interest'!$C$66)*(1+'Inflation-Interest'!$C$67)*$C$5</f>
        <v>291.69700311030573</v>
      </c>
      <c r="J252" s="63">
        <f>'Demographic-Economic'!G$22*1000*AVERAGE('Demographic-Economic'!$C12:$H12)/J24*(1+'Inflation-Interest'!$C$65)*(1+'Inflation-Interest'!$C$66)*(1+'Inflation-Interest'!$C$67)*$C$5</f>
        <v>225.15132630049575</v>
      </c>
      <c r="K252" s="63">
        <f>'Demographic-Economic'!H$22*1000*AVERAGE('Demographic-Economic'!$C12:$H12)/K24*(1+'Inflation-Interest'!$C$65)*(1+'Inflation-Interest'!$C$66)*(1+'Inflation-Interest'!$C$67)*$C$5</f>
        <v>49.261984892249302</v>
      </c>
      <c r="L252" s="63">
        <f>SUMPRODUCT(H252:K252, H24:K24)/SUM(H24:K24)</f>
        <v>322.7126704024214</v>
      </c>
      <c r="M252" s="63"/>
      <c r="N252">
        <v>2020</v>
      </c>
      <c r="O252" s="320" t="s">
        <v>240</v>
      </c>
      <c r="P252" s="320" t="s">
        <v>240</v>
      </c>
      <c r="Q252" s="170">
        <f>'Demographic-Economic'!E$22*1000*AVERAGE('Demographic-Economic'!$C12:$H12)/Q24*(1+'Inflation-Interest'!$C$65)*(1+'Inflation-Interest'!$C$66)*(1+'Inflation-Interest'!$C$67)*$C$5</f>
        <v>370.67754313037551</v>
      </c>
      <c r="R252" s="170">
        <f>'Demographic-Economic'!F$22*1000*AVERAGE('Demographic-Economic'!$C12:$H12)/R24*(1+'Inflation-Interest'!$C$65)*(1+'Inflation-Interest'!$C$66)*(1+'Inflation-Interest'!$C$67)*$C$5</f>
        <v>291.69700311030573</v>
      </c>
      <c r="S252" s="170">
        <f>'Demographic-Economic'!G$22*1000*AVERAGE('Demographic-Economic'!$C12:$H12)/S24*(1+'Inflation-Interest'!$C$65)*(1+'Inflation-Interest'!$C$66)*(1+'Inflation-Interest'!$C$67)*$C$5</f>
        <v>225.15132630049575</v>
      </c>
      <c r="T252" s="170">
        <f>'Demographic-Economic'!H$22*1000*AVERAGE('Demographic-Economic'!$C12:$H12)/T24*(1+'Inflation-Interest'!$C$65)*(1+'Inflation-Interest'!$C$66)*(1+'Inflation-Interest'!$C$67)*$C$5</f>
        <v>49.261984892249302</v>
      </c>
      <c r="U252" s="172">
        <f>SUMPRODUCT(Q252:T252, Q24:T24)/SUM(Q24:T24)</f>
        <v>322.7126704024214</v>
      </c>
      <c r="W252">
        <v>2020</v>
      </c>
      <c r="Z252" s="170">
        <v>926.69385782593872</v>
      </c>
      <c r="AA252" s="170">
        <v>729.24250777576435</v>
      </c>
      <c r="AB252" s="170">
        <v>562.87831575123937</v>
      </c>
      <c r="AC252" s="170">
        <v>123.15496223062324</v>
      </c>
      <c r="AD252" s="172">
        <f>SUMPRODUCT(Z252:AC252, Z24:AC24)/SUM(Z24:AC24)</f>
        <v>806.78167600605343</v>
      </c>
      <c r="AG252">
        <v>2020</v>
      </c>
      <c r="AH252" t="s">
        <v>240</v>
      </c>
      <c r="AI252" t="s">
        <v>240</v>
      </c>
      <c r="AJ252" s="170">
        <v>926.69385782593872</v>
      </c>
      <c r="AK252" s="170">
        <v>729.24250777576435</v>
      </c>
      <c r="AL252" s="170">
        <v>562.87831575123937</v>
      </c>
      <c r="AM252" s="170">
        <v>123.15496223062324</v>
      </c>
      <c r="AN252" s="172">
        <f>SUMPRODUCT(AJ252:AM252, AJ24:AM24)/SUM(AJ24:AM24)</f>
        <v>806.78167600605343</v>
      </c>
    </row>
    <row r="253" spans="5:40">
      <c r="E253">
        <v>2021</v>
      </c>
      <c r="F253" s="320" t="s">
        <v>240</v>
      </c>
      <c r="G253" s="320" t="s">
        <v>240</v>
      </c>
      <c r="H253" s="63">
        <f t="shared" ref="H253:K262" si="115">H252*(1+$C$6)</f>
        <v>384.5924692015372</v>
      </c>
      <c r="I253" s="63">
        <f t="shared" si="115"/>
        <v>302.64706552623068</v>
      </c>
      <c r="J253" s="63">
        <f t="shared" si="115"/>
        <v>233.60331946371113</v>
      </c>
      <c r="K253" s="63">
        <f t="shared" si="115"/>
        <v>51.111238753450266</v>
      </c>
      <c r="L253" s="63">
        <f t="shared" ref="L253:L269" si="116">SUMPRODUCT(H253:K253, H25:K25)/SUM(H25:K25)</f>
        <v>334.8201700349203</v>
      </c>
      <c r="M253" s="63"/>
      <c r="N253">
        <v>2021</v>
      </c>
      <c r="O253" s="320" t="s">
        <v>240</v>
      </c>
      <c r="P253" s="320" t="s">
        <v>240</v>
      </c>
      <c r="Q253" s="63">
        <f t="shared" ref="Q253:T262" si="117">Q252*(1+$C$6)</f>
        <v>384.5924692015372</v>
      </c>
      <c r="R253" s="63">
        <f t="shared" si="117"/>
        <v>302.64706552623068</v>
      </c>
      <c r="S253" s="63">
        <f t="shared" si="117"/>
        <v>233.60331946371113</v>
      </c>
      <c r="T253" s="63">
        <f t="shared" si="117"/>
        <v>51.111238753450266</v>
      </c>
      <c r="U253" s="172">
        <f t="shared" ref="U253:U269" si="118">SUMPRODUCT(Q253:T253, Q25:T25)/SUM(Q25:T25)</f>
        <v>334.8201700349203</v>
      </c>
      <c r="W253">
        <v>2021</v>
      </c>
      <c r="Z253" s="170">
        <v>961.48117300384297</v>
      </c>
      <c r="AA253" s="170">
        <v>756.61766381557675</v>
      </c>
      <c r="AB253" s="170">
        <v>584.00829865927778</v>
      </c>
      <c r="AC253" s="170">
        <v>127.77809688362565</v>
      </c>
      <c r="AD253" s="172">
        <f t="shared" ref="AD253:AD269" si="119">SUMPRODUCT(Z253:AC253, Z25:AC25)/SUM(Z25:AC25)</f>
        <v>837.0504250873006</v>
      </c>
      <c r="AG253">
        <v>2021</v>
      </c>
      <c r="AH253" t="s">
        <v>240</v>
      </c>
      <c r="AI253" t="s">
        <v>240</v>
      </c>
      <c r="AJ253" s="170">
        <v>961.48117300384297</v>
      </c>
      <c r="AK253" s="170">
        <v>756.61766381557675</v>
      </c>
      <c r="AL253" s="170">
        <v>584.00829865927778</v>
      </c>
      <c r="AM253" s="170">
        <v>127.77809688362565</v>
      </c>
      <c r="AN253" s="172">
        <f t="shared" ref="AN253:AN269" si="120">SUMPRODUCT(AJ253:AM253, AJ25:AM25)/SUM(AJ25:AM25)</f>
        <v>837.05042508730071</v>
      </c>
    </row>
    <row r="254" spans="5:40">
      <c r="E254">
        <v>2022</v>
      </c>
      <c r="F254" s="320" t="s">
        <v>240</v>
      </c>
      <c r="G254" s="320" t="s">
        <v>240</v>
      </c>
      <c r="H254" s="63">
        <f t="shared" si="115"/>
        <v>399.02975000163855</v>
      </c>
      <c r="I254" s="63">
        <f t="shared" si="115"/>
        <v>314.00818416019746</v>
      </c>
      <c r="J254" s="63">
        <f t="shared" si="115"/>
        <v>242.37259340694595</v>
      </c>
      <c r="K254" s="63">
        <f t="shared" si="115"/>
        <v>53.029912063555827</v>
      </c>
      <c r="L254" s="63">
        <f t="shared" si="116"/>
        <v>347.38339934182613</v>
      </c>
      <c r="M254" s="63"/>
      <c r="N254">
        <v>2022</v>
      </c>
      <c r="O254" s="320" t="s">
        <v>240</v>
      </c>
      <c r="P254" s="320" t="s">
        <v>240</v>
      </c>
      <c r="Q254" s="63">
        <f t="shared" si="117"/>
        <v>399.02975000163855</v>
      </c>
      <c r="R254" s="63">
        <f t="shared" si="117"/>
        <v>314.00818416019746</v>
      </c>
      <c r="S254" s="63">
        <f t="shared" si="117"/>
        <v>242.37259340694595</v>
      </c>
      <c r="T254" s="63">
        <f t="shared" si="117"/>
        <v>53.029912063555827</v>
      </c>
      <c r="U254" s="172">
        <f t="shared" si="118"/>
        <v>347.38329020662366</v>
      </c>
      <c r="W254">
        <v>2022</v>
      </c>
      <c r="Z254" s="170">
        <v>997.5743750040964</v>
      </c>
      <c r="AA254" s="170">
        <v>785.02046040049368</v>
      </c>
      <c r="AB254" s="170">
        <v>605.93148351736488</v>
      </c>
      <c r="AC254" s="170">
        <v>132.57478015888955</v>
      </c>
      <c r="AD254" s="172">
        <f t="shared" si="119"/>
        <v>868.45797289131644</v>
      </c>
      <c r="AG254">
        <v>2022</v>
      </c>
      <c r="AH254" t="s">
        <v>240</v>
      </c>
      <c r="AI254" t="s">
        <v>240</v>
      </c>
      <c r="AJ254" s="170">
        <v>997.5743750040964</v>
      </c>
      <c r="AK254" s="170">
        <v>785.02046040049368</v>
      </c>
      <c r="AL254" s="170">
        <v>605.93148351736488</v>
      </c>
      <c r="AM254" s="170">
        <v>132.57478015888955</v>
      </c>
      <c r="AN254" s="172">
        <f t="shared" si="120"/>
        <v>868.45846306809767</v>
      </c>
    </row>
    <row r="255" spans="5:40">
      <c r="E255">
        <v>2023</v>
      </c>
      <c r="F255" s="320" t="s">
        <v>240</v>
      </c>
      <c r="G255" s="320" t="s">
        <v>240</v>
      </c>
      <c r="H255" s="63">
        <f t="shared" si="115"/>
        <v>414.00899429190838</v>
      </c>
      <c r="I255" s="63">
        <f t="shared" si="115"/>
        <v>325.79578972008449</v>
      </c>
      <c r="J255" s="63">
        <f t="shared" si="115"/>
        <v>251.47105858628154</v>
      </c>
      <c r="K255" s="63">
        <f t="shared" si="115"/>
        <v>55.020610770828327</v>
      </c>
      <c r="L255" s="63">
        <f t="shared" si="116"/>
        <v>360.41939642387166</v>
      </c>
      <c r="M255" s="63"/>
      <c r="N255">
        <v>2023</v>
      </c>
      <c r="O255" s="320" t="s">
        <v>240</v>
      </c>
      <c r="P255" s="320" t="s">
        <v>240</v>
      </c>
      <c r="Q255" s="63">
        <f t="shared" si="117"/>
        <v>414.00899429190838</v>
      </c>
      <c r="R255" s="63">
        <f t="shared" si="117"/>
        <v>325.79578972008449</v>
      </c>
      <c r="S255" s="63">
        <f t="shared" si="117"/>
        <v>251.47105858628154</v>
      </c>
      <c r="T255" s="63">
        <f t="shared" si="117"/>
        <v>55.020610770828327</v>
      </c>
      <c r="U255" s="172">
        <f t="shared" si="118"/>
        <v>360.41911439172299</v>
      </c>
      <c r="W255">
        <v>2023</v>
      </c>
      <c r="Z255" s="170">
        <v>1035.022485729771</v>
      </c>
      <c r="AA255" s="170">
        <v>814.48947430021121</v>
      </c>
      <c r="AB255" s="170">
        <v>628.67764646570379</v>
      </c>
      <c r="AC255" s="170">
        <v>137.5515269270708</v>
      </c>
      <c r="AD255" s="172">
        <f t="shared" si="119"/>
        <v>901.04712126646916</v>
      </c>
      <c r="AG255">
        <v>2023</v>
      </c>
      <c r="AH255" t="s">
        <v>240</v>
      </c>
      <c r="AI255" t="s">
        <v>240</v>
      </c>
      <c r="AJ255" s="170">
        <v>1035.022485729771</v>
      </c>
      <c r="AK255" s="170">
        <v>814.48947430021121</v>
      </c>
      <c r="AL255" s="170">
        <v>628.67764646570379</v>
      </c>
      <c r="AM255" s="170">
        <v>137.5515269270708</v>
      </c>
      <c r="AN255" s="172">
        <f t="shared" si="120"/>
        <v>901.04840059944695</v>
      </c>
    </row>
    <row r="256" spans="5:40">
      <c r="E256">
        <v>2024</v>
      </c>
      <c r="F256" s="320" t="s">
        <v>240</v>
      </c>
      <c r="G256" s="320" t="s">
        <v>240</v>
      </c>
      <c r="H256" s="63">
        <f t="shared" si="115"/>
        <v>429.55054693013136</v>
      </c>
      <c r="I256" s="63">
        <f t="shared" si="115"/>
        <v>338.02589216968505</v>
      </c>
      <c r="J256" s="63">
        <f t="shared" si="115"/>
        <v>260.91107256639509</v>
      </c>
      <c r="K256" s="63">
        <f t="shared" si="115"/>
        <v>57.086038648656249</v>
      </c>
      <c r="L256" s="63">
        <f t="shared" si="116"/>
        <v>373.94585197160205</v>
      </c>
      <c r="M256" s="63"/>
      <c r="N256">
        <v>2024</v>
      </c>
      <c r="O256" s="320" t="s">
        <v>240</v>
      </c>
      <c r="P256" s="320" t="s">
        <v>240</v>
      </c>
      <c r="Q256" s="63">
        <f t="shared" si="117"/>
        <v>429.55054693013136</v>
      </c>
      <c r="R256" s="63">
        <f t="shared" si="117"/>
        <v>338.02589216968505</v>
      </c>
      <c r="S256" s="63">
        <f t="shared" si="117"/>
        <v>260.91107256639509</v>
      </c>
      <c r="T256" s="63">
        <f t="shared" si="117"/>
        <v>57.086038648656249</v>
      </c>
      <c r="U256" s="172">
        <f t="shared" si="118"/>
        <v>373.94537065728241</v>
      </c>
      <c r="W256">
        <v>2024</v>
      </c>
      <c r="Z256" s="170">
        <v>1073.8763673253286</v>
      </c>
      <c r="AA256" s="170">
        <v>845.0647304242126</v>
      </c>
      <c r="AB256" s="170">
        <v>652.27768141598756</v>
      </c>
      <c r="AC256" s="170">
        <v>142.71509662164058</v>
      </c>
      <c r="AD256" s="172">
        <f t="shared" si="119"/>
        <v>934.8622747257715</v>
      </c>
      <c r="AG256">
        <v>2024</v>
      </c>
      <c r="AH256" t="s">
        <v>240</v>
      </c>
      <c r="AI256" t="s">
        <v>240</v>
      </c>
      <c r="AJ256" s="170">
        <v>1073.8763673253286</v>
      </c>
      <c r="AK256" s="170">
        <v>845.0647304242126</v>
      </c>
      <c r="AL256" s="170">
        <v>652.27768141598756</v>
      </c>
      <c r="AM256" s="170">
        <v>142.71509662164058</v>
      </c>
      <c r="AN256" s="172">
        <f t="shared" si="120"/>
        <v>934.86447658728275</v>
      </c>
    </row>
    <row r="257" spans="5:40">
      <c r="E257">
        <v>2025</v>
      </c>
      <c r="F257" s="320" t="s">
        <v>240</v>
      </c>
      <c r="G257" s="320" t="s">
        <v>240</v>
      </c>
      <c r="H257" s="63">
        <f t="shared" si="115"/>
        <v>445.6755165030994</v>
      </c>
      <c r="I257" s="63">
        <f t="shared" si="115"/>
        <v>350.71510247349158</v>
      </c>
      <c r="J257" s="63">
        <f t="shared" si="115"/>
        <v>270.70545680464375</v>
      </c>
      <c r="K257" s="63">
        <f t="shared" si="115"/>
        <v>59.229000967827929</v>
      </c>
      <c r="L257" s="63">
        <f t="shared" si="116"/>
        <v>387.98113149842698</v>
      </c>
      <c r="M257" s="63"/>
      <c r="N257">
        <v>2025</v>
      </c>
      <c r="O257" s="320" t="s">
        <v>240</v>
      </c>
      <c r="P257" s="320" t="s">
        <v>240</v>
      </c>
      <c r="Q257" s="63">
        <f t="shared" si="117"/>
        <v>445.6755165030994</v>
      </c>
      <c r="R257" s="63">
        <f t="shared" si="117"/>
        <v>350.71510247349158</v>
      </c>
      <c r="S257" s="63">
        <f t="shared" si="117"/>
        <v>270.70545680464375</v>
      </c>
      <c r="T257" s="63">
        <f t="shared" si="117"/>
        <v>59.229000967827929</v>
      </c>
      <c r="U257" s="172">
        <f t="shared" si="118"/>
        <v>387.98045567337408</v>
      </c>
      <c r="W257">
        <v>2025</v>
      </c>
      <c r="Z257" s="170">
        <v>1114.1887912577488</v>
      </c>
      <c r="AA257" s="170">
        <v>876.7877561837289</v>
      </c>
      <c r="AB257" s="170">
        <v>676.76364201160925</v>
      </c>
      <c r="AC257" s="170">
        <v>148.07250241956979</v>
      </c>
      <c r="AD257" s="172">
        <f t="shared" si="119"/>
        <v>969.94950136710713</v>
      </c>
      <c r="AG257">
        <v>2025</v>
      </c>
      <c r="AH257" t="s">
        <v>240</v>
      </c>
      <c r="AI257" t="s">
        <v>240</v>
      </c>
      <c r="AJ257" s="170">
        <v>1114.1887912577488</v>
      </c>
      <c r="AK257" s="170">
        <v>876.7877561837289</v>
      </c>
      <c r="AL257" s="170">
        <v>676.76364201160925</v>
      </c>
      <c r="AM257" s="170">
        <v>148.07250241956979</v>
      </c>
      <c r="AN257" s="172">
        <f t="shared" si="120"/>
        <v>969.95261460326105</v>
      </c>
    </row>
    <row r="258" spans="5:40">
      <c r="E258">
        <v>2026</v>
      </c>
      <c r="F258" s="320" t="s">
        <v>240</v>
      </c>
      <c r="G258" s="320" t="s">
        <v>240</v>
      </c>
      <c r="H258" s="63">
        <f t="shared" si="115"/>
        <v>462.40580399636201</v>
      </c>
      <c r="I258" s="63">
        <f t="shared" si="115"/>
        <v>363.88065515776105</v>
      </c>
      <c r="J258" s="63">
        <f t="shared" si="115"/>
        <v>280.86751406520938</v>
      </c>
      <c r="K258" s="63">
        <f t="shared" si="115"/>
        <v>61.452408306659386</v>
      </c>
      <c r="L258" s="63">
        <f t="shared" si="116"/>
        <v>402.54429891167541</v>
      </c>
      <c r="M258" s="63"/>
      <c r="N258">
        <v>2026</v>
      </c>
      <c r="O258" s="320" t="s">
        <v>240</v>
      </c>
      <c r="P258" s="320" t="s">
        <v>240</v>
      </c>
      <c r="Q258" s="63">
        <f t="shared" si="117"/>
        <v>462.40580399636201</v>
      </c>
      <c r="R258" s="63">
        <f t="shared" si="117"/>
        <v>363.88065515776105</v>
      </c>
      <c r="S258" s="63">
        <f t="shared" si="117"/>
        <v>280.86751406520938</v>
      </c>
      <c r="T258" s="63">
        <f t="shared" si="117"/>
        <v>61.452408306659386</v>
      </c>
      <c r="U258" s="172">
        <f t="shared" si="118"/>
        <v>402.54345964137923</v>
      </c>
      <c r="W258">
        <v>2026</v>
      </c>
      <c r="Z258" s="170">
        <v>1156.0145099909053</v>
      </c>
      <c r="AA258" s="170">
        <v>909.70163789440267</v>
      </c>
      <c r="AB258" s="170">
        <v>702.16878516302336</v>
      </c>
      <c r="AC258" s="170">
        <v>153.63102076664842</v>
      </c>
      <c r="AD258" s="172">
        <f t="shared" si="119"/>
        <v>1006.356596046565</v>
      </c>
      <c r="AG258">
        <v>2026</v>
      </c>
      <c r="AH258" t="s">
        <v>240</v>
      </c>
      <c r="AI258" t="s">
        <v>240</v>
      </c>
      <c r="AJ258" s="170">
        <v>1156.0145099909053</v>
      </c>
      <c r="AK258" s="170">
        <v>909.70163789440267</v>
      </c>
      <c r="AL258" s="170">
        <v>702.16878516302336</v>
      </c>
      <c r="AM258" s="170">
        <v>153.63102076664842</v>
      </c>
      <c r="AN258" s="172">
        <f t="shared" si="120"/>
        <v>1006.3604824134735</v>
      </c>
    </row>
    <row r="259" spans="5:40">
      <c r="E259">
        <v>2027</v>
      </c>
      <c r="F259" s="320" t="s">
        <v>240</v>
      </c>
      <c r="G259" s="320" t="s">
        <v>240</v>
      </c>
      <c r="H259" s="63">
        <f t="shared" si="115"/>
        <v>479.76413254021543</v>
      </c>
      <c r="I259" s="63">
        <f t="shared" si="115"/>
        <v>377.54043171850412</v>
      </c>
      <c r="J259" s="63">
        <f t="shared" si="115"/>
        <v>291.41104648695563</v>
      </c>
      <c r="K259" s="63">
        <f t="shared" si="115"/>
        <v>63.759280504151121</v>
      </c>
      <c r="L259" s="63">
        <f t="shared" si="116"/>
        <v>417.65514134516519</v>
      </c>
      <c r="M259" s="63"/>
      <c r="N259">
        <v>2027</v>
      </c>
      <c r="O259" s="320" t="s">
        <v>240</v>
      </c>
      <c r="P259" s="320" t="s">
        <v>240</v>
      </c>
      <c r="Q259" s="63">
        <f t="shared" si="117"/>
        <v>479.76413254021543</v>
      </c>
      <c r="R259" s="63">
        <f t="shared" si="117"/>
        <v>377.54043171850412</v>
      </c>
      <c r="S259" s="63">
        <f t="shared" si="117"/>
        <v>291.41104648695563</v>
      </c>
      <c r="T259" s="63">
        <f t="shared" si="117"/>
        <v>63.759280504151121</v>
      </c>
      <c r="U259" s="172">
        <f t="shared" si="118"/>
        <v>417.65419217421584</v>
      </c>
      <c r="W259">
        <v>2027</v>
      </c>
      <c r="Z259" s="170">
        <v>1199.4103313505389</v>
      </c>
      <c r="AA259" s="170">
        <v>943.85107929626031</v>
      </c>
      <c r="AB259" s="170">
        <v>728.52761621738898</v>
      </c>
      <c r="AC259" s="170">
        <v>159.39820126037776</v>
      </c>
      <c r="AD259" s="172">
        <f t="shared" si="119"/>
        <v>1044.1331458828954</v>
      </c>
      <c r="AG259">
        <v>2027</v>
      </c>
      <c r="AH259" t="s">
        <v>240</v>
      </c>
      <c r="AI259" t="s">
        <v>240</v>
      </c>
      <c r="AJ259" s="170">
        <v>1199.4103313505389</v>
      </c>
      <c r="AK259" s="170">
        <v>943.85107929626031</v>
      </c>
      <c r="AL259" s="170">
        <v>728.52761621738898</v>
      </c>
      <c r="AM259" s="170">
        <v>159.39820126037776</v>
      </c>
      <c r="AN259" s="172">
        <f t="shared" si="120"/>
        <v>1044.1375545019594</v>
      </c>
    </row>
    <row r="260" spans="5:40">
      <c r="E260">
        <v>2028</v>
      </c>
      <c r="F260" s="320" t="s">
        <v>240</v>
      </c>
      <c r="G260" s="320" t="s">
        <v>240</v>
      </c>
      <c r="H260" s="63">
        <f t="shared" si="115"/>
        <v>497.77407827233134</v>
      </c>
      <c r="I260" s="63">
        <f t="shared" si="115"/>
        <v>391.71298490819032</v>
      </c>
      <c r="J260" s="63">
        <f t="shared" si="115"/>
        <v>302.3503743295372</v>
      </c>
      <c r="K260" s="63">
        <f t="shared" si="115"/>
        <v>66.152750761543203</v>
      </c>
      <c r="L260" s="63">
        <f t="shared" si="116"/>
        <v>433.33419520967868</v>
      </c>
      <c r="M260" s="63"/>
      <c r="N260">
        <v>2028</v>
      </c>
      <c r="O260" s="320" t="s">
        <v>240</v>
      </c>
      <c r="P260" s="320" t="s">
        <v>240</v>
      </c>
      <c r="Q260" s="63">
        <f t="shared" si="117"/>
        <v>497.77407827233134</v>
      </c>
      <c r="R260" s="63">
        <f t="shared" si="117"/>
        <v>391.71298490819032</v>
      </c>
      <c r="S260" s="63">
        <f t="shared" si="117"/>
        <v>302.3503743295372</v>
      </c>
      <c r="T260" s="63">
        <f t="shared" si="117"/>
        <v>66.152750761543203</v>
      </c>
      <c r="U260" s="172">
        <f t="shared" si="118"/>
        <v>433.33320916339915</v>
      </c>
      <c r="W260">
        <v>2028</v>
      </c>
      <c r="Z260" s="170">
        <v>1244.4351956808287</v>
      </c>
      <c r="AA260" s="170">
        <v>979.28246227047589</v>
      </c>
      <c r="AB260" s="170">
        <v>755.87593582384295</v>
      </c>
      <c r="AC260" s="170">
        <v>165.38187690385797</v>
      </c>
      <c r="AD260" s="172">
        <f t="shared" si="119"/>
        <v>1083.3305981765361</v>
      </c>
      <c r="AG260">
        <v>2028</v>
      </c>
      <c r="AH260" t="s">
        <v>240</v>
      </c>
      <c r="AI260" t="s">
        <v>240</v>
      </c>
      <c r="AJ260" s="170">
        <v>1244.4351956808287</v>
      </c>
      <c r="AK260" s="170">
        <v>979.28246227047589</v>
      </c>
      <c r="AL260" s="170">
        <v>755.87593582384295</v>
      </c>
      <c r="AM260" s="170">
        <v>165.38187690385797</v>
      </c>
      <c r="AN260" s="172">
        <f t="shared" si="120"/>
        <v>1083.3351775260508</v>
      </c>
    </row>
    <row r="261" spans="5:40">
      <c r="E261">
        <v>2029</v>
      </c>
      <c r="F261" s="320" t="s">
        <v>240</v>
      </c>
      <c r="G261" s="320" t="s">
        <v>240</v>
      </c>
      <c r="H261" s="63">
        <f t="shared" si="115"/>
        <v>516.46010235894278</v>
      </c>
      <c r="I261" s="63">
        <f t="shared" si="115"/>
        <v>406.41756393415636</v>
      </c>
      <c r="J261" s="63">
        <f t="shared" si="115"/>
        <v>313.70035542322273</v>
      </c>
      <c r="K261" s="63">
        <f t="shared" si="115"/>
        <v>68.636069897839235</v>
      </c>
      <c r="L261" s="63">
        <f t="shared" si="116"/>
        <v>449.60277344077883</v>
      </c>
      <c r="M261" s="63"/>
      <c r="N261">
        <v>2029</v>
      </c>
      <c r="O261" s="320" t="s">
        <v>240</v>
      </c>
      <c r="P261" s="320" t="s">
        <v>240</v>
      </c>
      <c r="Q261" s="63">
        <f t="shared" si="117"/>
        <v>516.46010235894278</v>
      </c>
      <c r="R261" s="63">
        <f t="shared" si="117"/>
        <v>406.41756393415636</v>
      </c>
      <c r="S261" s="63">
        <f t="shared" si="117"/>
        <v>313.70035542322273</v>
      </c>
      <c r="T261" s="63">
        <f t="shared" si="117"/>
        <v>68.636069897839235</v>
      </c>
      <c r="U261" s="172">
        <f t="shared" si="118"/>
        <v>449.60184066909369</v>
      </c>
      <c r="W261">
        <v>2029</v>
      </c>
      <c r="Z261" s="170">
        <v>1291.1502558973573</v>
      </c>
      <c r="AA261" s="170">
        <v>1016.043909835391</v>
      </c>
      <c r="AB261" s="170">
        <v>784.25088855805689</v>
      </c>
      <c r="AC261" s="170">
        <v>171.59017474459804</v>
      </c>
      <c r="AD261" s="172">
        <f t="shared" si="119"/>
        <v>1124.0023308318248</v>
      </c>
      <c r="AG261">
        <v>2029</v>
      </c>
      <c r="AH261" t="s">
        <v>240</v>
      </c>
      <c r="AI261" t="s">
        <v>240</v>
      </c>
      <c r="AJ261" s="170">
        <v>1291.1502558973573</v>
      </c>
      <c r="AK261" s="170">
        <v>1016.043909835391</v>
      </c>
      <c r="AL261" s="170">
        <v>784.25088855805689</v>
      </c>
      <c r="AM261" s="170">
        <v>171.59017474459804</v>
      </c>
      <c r="AN261" s="172">
        <f t="shared" si="120"/>
        <v>1124.0066386837907</v>
      </c>
    </row>
    <row r="262" spans="5:40">
      <c r="E262">
        <v>2030</v>
      </c>
      <c r="F262" s="320" t="s">
        <v>240</v>
      </c>
      <c r="G262" s="320" t="s">
        <v>240</v>
      </c>
      <c r="H262" s="63">
        <f t="shared" si="115"/>
        <v>535.84758421807885</v>
      </c>
      <c r="I262" s="63">
        <f t="shared" si="115"/>
        <v>421.67414060294129</v>
      </c>
      <c r="J262" s="63">
        <f t="shared" si="115"/>
        <v>325.47640534884766</v>
      </c>
      <c r="K262" s="63">
        <f t="shared" si="115"/>
        <v>71.212610765079205</v>
      </c>
      <c r="L262" s="63">
        <f t="shared" si="116"/>
        <v>466.48299393995376</v>
      </c>
      <c r="M262" s="63"/>
      <c r="N262">
        <v>2030</v>
      </c>
      <c r="O262" s="320" t="s">
        <v>240</v>
      </c>
      <c r="P262" s="320" t="s">
        <v>240</v>
      </c>
      <c r="Q262" s="63">
        <f t="shared" si="117"/>
        <v>535.84758421807885</v>
      </c>
      <c r="R262" s="63">
        <f t="shared" si="117"/>
        <v>421.67414060294129</v>
      </c>
      <c r="S262" s="63">
        <f t="shared" si="117"/>
        <v>325.47640534884766</v>
      </c>
      <c r="T262" s="63">
        <f t="shared" si="117"/>
        <v>71.212610765079205</v>
      </c>
      <c r="U262" s="172">
        <f t="shared" si="118"/>
        <v>466.48221987064835</v>
      </c>
      <c r="W262">
        <v>2030</v>
      </c>
      <c r="Z262" s="170">
        <v>1339.6189605451975</v>
      </c>
      <c r="AA262" s="170">
        <v>1054.1853515073533</v>
      </c>
      <c r="AB262" s="170">
        <v>813.69101337211919</v>
      </c>
      <c r="AC262" s="170">
        <v>178.03152691269798</v>
      </c>
      <c r="AD262" s="172">
        <f t="shared" si="119"/>
        <v>1166.2037253760193</v>
      </c>
      <c r="AG262">
        <v>2030</v>
      </c>
      <c r="AH262" t="s">
        <v>240</v>
      </c>
      <c r="AI262" t="s">
        <v>240</v>
      </c>
      <c r="AJ262" s="170">
        <v>1339.6189605451975</v>
      </c>
      <c r="AK262" s="170">
        <v>1054.1853515073533</v>
      </c>
      <c r="AL262" s="170">
        <v>813.69101337211919</v>
      </c>
      <c r="AM262" s="170">
        <v>178.03152691269798</v>
      </c>
      <c r="AN262" s="172">
        <f t="shared" si="120"/>
        <v>1166.2072370054736</v>
      </c>
    </row>
    <row r="263" spans="5:40">
      <c r="E263">
        <v>2040</v>
      </c>
      <c r="F263" s="320" t="s">
        <v>240</v>
      </c>
      <c r="G263" s="320" t="s">
        <v>240</v>
      </c>
      <c r="H263" s="63">
        <f>H262*(1+$C$6)^10</f>
        <v>774.61567023325244</v>
      </c>
      <c r="I263" s="63">
        <f t="shared" ref="I263:K269" si="121">I262*(1+$C$6)^10</f>
        <v>609.56773280934351</v>
      </c>
      <c r="J263" s="63">
        <f t="shared" si="121"/>
        <v>470.50529161628191</v>
      </c>
      <c r="K263" s="63">
        <f t="shared" si="121"/>
        <v>102.94420622861594</v>
      </c>
      <c r="L263" s="63">
        <f t="shared" si="116"/>
        <v>674.39055971213679</v>
      </c>
      <c r="M263" s="63"/>
      <c r="N263">
        <v>2040</v>
      </c>
      <c r="O263" s="320" t="s">
        <v>240</v>
      </c>
      <c r="P263" s="320" t="s">
        <v>240</v>
      </c>
      <c r="Q263" s="63">
        <f>Q262*(1+$C$6)^10</f>
        <v>774.61567023325244</v>
      </c>
      <c r="R263" s="63">
        <f t="shared" ref="R263:T263" si="122">R262*(1+$C$6)^10</f>
        <v>609.56773280934351</v>
      </c>
      <c r="S263" s="63">
        <f t="shared" si="122"/>
        <v>470.50529161628191</v>
      </c>
      <c r="T263" s="63">
        <f t="shared" si="122"/>
        <v>102.94420622861594</v>
      </c>
      <c r="U263" s="172">
        <f t="shared" si="118"/>
        <v>674.39369991227318</v>
      </c>
      <c r="W263">
        <v>2040</v>
      </c>
      <c r="Z263" s="170">
        <v>1936.5391755831317</v>
      </c>
      <c r="AA263" s="170">
        <v>1523.9193320233589</v>
      </c>
      <c r="AB263" s="170">
        <v>1176.2632290407048</v>
      </c>
      <c r="AC263" s="170">
        <v>257.36051557153979</v>
      </c>
      <c r="AD263" s="172">
        <f t="shared" si="119"/>
        <v>1685.9934410545911</v>
      </c>
      <c r="AG263">
        <v>2040</v>
      </c>
      <c r="AH263" t="s">
        <v>240</v>
      </c>
      <c r="AI263" t="s">
        <v>240</v>
      </c>
      <c r="AJ263" s="170">
        <v>1936.5391755831317</v>
      </c>
      <c r="AK263" s="170">
        <v>1523.9193320233589</v>
      </c>
      <c r="AL263" s="170">
        <v>1176.2632290407048</v>
      </c>
      <c r="AM263" s="170">
        <v>257.36051557153979</v>
      </c>
      <c r="AN263" s="172">
        <f t="shared" si="120"/>
        <v>1685.9773132427965</v>
      </c>
    </row>
    <row r="264" spans="5:40">
      <c r="E264">
        <v>2050</v>
      </c>
      <c r="F264" s="320" t="s">
        <v>240</v>
      </c>
      <c r="G264" s="320" t="s">
        <v>240</v>
      </c>
      <c r="H264" s="63">
        <f t="shared" ref="H264:H268" si="123">H263*(1+$C$6)^10</f>
        <v>1119.776321183733</v>
      </c>
      <c r="I264" s="63">
        <f t="shared" si="121"/>
        <v>881.18474694943484</v>
      </c>
      <c r="J264" s="63">
        <f t="shared" si="121"/>
        <v>680.15753461960207</v>
      </c>
      <c r="K264" s="63">
        <f t="shared" si="121"/>
        <v>148.81506915958414</v>
      </c>
      <c r="L264" s="63">
        <f t="shared" si="116"/>
        <v>974.89194837499122</v>
      </c>
      <c r="M264" s="63"/>
      <c r="N264">
        <v>2050</v>
      </c>
      <c r="O264" s="320" t="s">
        <v>240</v>
      </c>
      <c r="P264" s="320" t="s">
        <v>240</v>
      </c>
      <c r="Q264" s="63">
        <f t="shared" ref="Q264:T269" si="124">Q263*(1+$C$6)^10</f>
        <v>1119.776321183733</v>
      </c>
      <c r="R264" s="63">
        <f t="shared" si="124"/>
        <v>881.18474694943484</v>
      </c>
      <c r="S264" s="63">
        <f t="shared" si="124"/>
        <v>680.15753461960207</v>
      </c>
      <c r="T264" s="63">
        <f t="shared" si="124"/>
        <v>148.81506915958414</v>
      </c>
      <c r="U264" s="172">
        <f t="shared" si="118"/>
        <v>974.89648781550568</v>
      </c>
      <c r="W264">
        <v>2050</v>
      </c>
      <c r="Z264" s="170">
        <v>2799.4408029593333</v>
      </c>
      <c r="AA264" s="170">
        <v>2202.9618673735872</v>
      </c>
      <c r="AB264" s="170">
        <v>1700.3938365490053</v>
      </c>
      <c r="AC264" s="170">
        <v>372.0376728989603</v>
      </c>
      <c r="AD264" s="172">
        <f t="shared" si="119"/>
        <v>2437.2545063483126</v>
      </c>
      <c r="AG264">
        <v>2050</v>
      </c>
      <c r="AH264" t="s">
        <v>240</v>
      </c>
      <c r="AI264" t="s">
        <v>240</v>
      </c>
      <c r="AJ264" s="170">
        <v>2799.4408029593333</v>
      </c>
      <c r="AK264" s="170">
        <v>2202.9618673735872</v>
      </c>
      <c r="AL264" s="170">
        <v>1700.3938365490053</v>
      </c>
      <c r="AM264" s="170">
        <v>372.0376728989603</v>
      </c>
      <c r="AN264" s="172">
        <f t="shared" si="120"/>
        <v>2437.2311921520545</v>
      </c>
    </row>
    <row r="265" spans="5:40">
      <c r="E265">
        <v>2060</v>
      </c>
      <c r="F265" s="320" t="s">
        <v>240</v>
      </c>
      <c r="G265" s="320" t="s">
        <v>240</v>
      </c>
      <c r="H265" s="63">
        <f t="shared" si="123"/>
        <v>1618.7369526183229</v>
      </c>
      <c r="I265" s="63">
        <f t="shared" si="121"/>
        <v>1273.8314652544177</v>
      </c>
      <c r="J265" s="63">
        <f t="shared" si="121"/>
        <v>983.22862705888076</v>
      </c>
      <c r="K265" s="63">
        <f t="shared" si="121"/>
        <v>215.12550944140258</v>
      </c>
      <c r="L265" s="63">
        <f t="shared" si="116"/>
        <v>1409.2936167612881</v>
      </c>
      <c r="M265" s="63"/>
      <c r="N265">
        <v>2060</v>
      </c>
      <c r="O265" s="320" t="s">
        <v>240</v>
      </c>
      <c r="P265" s="320" t="s">
        <v>240</v>
      </c>
      <c r="Q265" s="63">
        <f t="shared" si="124"/>
        <v>1618.7369526183229</v>
      </c>
      <c r="R265" s="63">
        <f t="shared" si="124"/>
        <v>1273.8314652544177</v>
      </c>
      <c r="S265" s="63">
        <f t="shared" si="124"/>
        <v>983.22862705888076</v>
      </c>
      <c r="T265" s="63">
        <f t="shared" si="124"/>
        <v>215.12550944140258</v>
      </c>
      <c r="U265" s="172">
        <f t="shared" si="118"/>
        <v>1409.3001789290761</v>
      </c>
      <c r="W265">
        <v>2060</v>
      </c>
      <c r="Z265" s="170">
        <v>4046.8423815458082</v>
      </c>
      <c r="AA265" s="170">
        <v>3184.5786631360447</v>
      </c>
      <c r="AB265" s="170">
        <v>2458.0715676472023</v>
      </c>
      <c r="AC265" s="170">
        <v>537.81377360350632</v>
      </c>
      <c r="AD265" s="172">
        <f t="shared" si="119"/>
        <v>3523.2696545957783</v>
      </c>
      <c r="AG265">
        <v>2060</v>
      </c>
      <c r="AH265" t="s">
        <v>240</v>
      </c>
      <c r="AI265" t="s">
        <v>240</v>
      </c>
      <c r="AJ265" s="170">
        <v>4046.8423815458082</v>
      </c>
      <c r="AK265" s="170">
        <v>3184.5786631360447</v>
      </c>
      <c r="AL265" s="170">
        <v>2458.0715676472023</v>
      </c>
      <c r="AM265" s="170">
        <v>537.81377360350632</v>
      </c>
      <c r="AN265" s="172">
        <f t="shared" si="120"/>
        <v>3523.23595183721</v>
      </c>
    </row>
    <row r="266" spans="5:40">
      <c r="E266">
        <v>2070</v>
      </c>
      <c r="F266" s="320" t="s">
        <v>240</v>
      </c>
      <c r="G266" s="320" t="s">
        <v>240</v>
      </c>
      <c r="H266" s="63">
        <f t="shared" si="123"/>
        <v>2340.0292292322138</v>
      </c>
      <c r="I266" s="63">
        <f t="shared" si="121"/>
        <v>1841.4374596129153</v>
      </c>
      <c r="J266" s="63">
        <f t="shared" si="121"/>
        <v>1421.345032381018</v>
      </c>
      <c r="K266" s="63">
        <f t="shared" si="121"/>
        <v>310.98318922793368</v>
      </c>
      <c r="L266" s="63">
        <f t="shared" si="116"/>
        <v>2037.2601307813422</v>
      </c>
      <c r="M266" s="63"/>
      <c r="N266">
        <v>2070</v>
      </c>
      <c r="O266" s="320" t="s">
        <v>240</v>
      </c>
      <c r="P266" s="320" t="s">
        <v>240</v>
      </c>
      <c r="Q266" s="63">
        <f t="shared" si="124"/>
        <v>2340.0292292322138</v>
      </c>
      <c r="R266" s="63">
        <f t="shared" si="124"/>
        <v>1841.4374596129153</v>
      </c>
      <c r="S266" s="63">
        <f t="shared" si="124"/>
        <v>1421.345032381018</v>
      </c>
      <c r="T266" s="63">
        <f t="shared" si="124"/>
        <v>310.98318922793368</v>
      </c>
      <c r="U266" s="172">
        <f t="shared" si="118"/>
        <v>2037.2696169825476</v>
      </c>
      <c r="W266">
        <v>2070</v>
      </c>
      <c r="Z266" s="170">
        <v>5850.0730730805353</v>
      </c>
      <c r="AA266" s="170">
        <v>4603.5936490322892</v>
      </c>
      <c r="AB266" s="170">
        <v>3553.3625809525456</v>
      </c>
      <c r="AC266" s="170">
        <v>777.457973069834</v>
      </c>
      <c r="AD266" s="172">
        <f t="shared" si="119"/>
        <v>5093.2018082897039</v>
      </c>
      <c r="AG266">
        <v>2070</v>
      </c>
      <c r="AH266" t="s">
        <v>240</v>
      </c>
      <c r="AI266" t="s">
        <v>240</v>
      </c>
      <c r="AJ266" s="170">
        <v>5850.0730730805353</v>
      </c>
      <c r="AK266" s="170">
        <v>4603.5936490322892</v>
      </c>
      <c r="AL266" s="170">
        <v>3553.3625809525456</v>
      </c>
      <c r="AM266" s="170">
        <v>777.457973069834</v>
      </c>
      <c r="AN266" s="172">
        <f t="shared" si="120"/>
        <v>5093.1530879339789</v>
      </c>
    </row>
    <row r="267" spans="5:40">
      <c r="E267">
        <v>2080</v>
      </c>
      <c r="F267" s="320" t="s">
        <v>240</v>
      </c>
      <c r="G267" s="320" t="s">
        <v>240</v>
      </c>
      <c r="H267" s="63">
        <f t="shared" si="123"/>
        <v>3382.7218096207976</v>
      </c>
      <c r="I267" s="63">
        <f t="shared" si="121"/>
        <v>2661.962755793928</v>
      </c>
      <c r="J267" s="63">
        <f t="shared" si="121"/>
        <v>2054.6815313110446</v>
      </c>
      <c r="K267" s="63">
        <f t="shared" si="121"/>
        <v>449.55404978933711</v>
      </c>
      <c r="L267" s="63">
        <f t="shared" si="116"/>
        <v>2945.0419636536453</v>
      </c>
      <c r="M267" s="63"/>
      <c r="N267">
        <v>2080</v>
      </c>
      <c r="O267" s="320" t="s">
        <v>240</v>
      </c>
      <c r="P267" s="320" t="s">
        <v>240</v>
      </c>
      <c r="Q267" s="63">
        <f t="shared" si="124"/>
        <v>3382.7218096207976</v>
      </c>
      <c r="R267" s="63">
        <f t="shared" si="124"/>
        <v>2661.962755793928</v>
      </c>
      <c r="S267" s="63">
        <f t="shared" si="124"/>
        <v>2054.6815313110446</v>
      </c>
      <c r="T267" s="63">
        <f t="shared" si="124"/>
        <v>449.55404978933711</v>
      </c>
      <c r="U267" s="172">
        <f t="shared" si="118"/>
        <v>2945.0556768070142</v>
      </c>
      <c r="W267">
        <v>2080</v>
      </c>
      <c r="Z267" s="170">
        <v>8456.804524051995</v>
      </c>
      <c r="AA267" s="170">
        <v>6654.9068894848215</v>
      </c>
      <c r="AB267" s="170">
        <v>5136.703828277612</v>
      </c>
      <c r="AC267" s="170">
        <v>1123.8851244733423</v>
      </c>
      <c r="AD267" s="172">
        <f t="shared" si="119"/>
        <v>7362.6793300161598</v>
      </c>
      <c r="AG267">
        <v>2080</v>
      </c>
      <c r="AH267" t="s">
        <v>240</v>
      </c>
      <c r="AI267" t="s">
        <v>240</v>
      </c>
      <c r="AJ267" s="170">
        <v>8456.804524051995</v>
      </c>
      <c r="AK267" s="170">
        <v>6654.9068894848215</v>
      </c>
      <c r="AL267" s="170">
        <v>5136.703828277612</v>
      </c>
      <c r="AM267" s="170">
        <v>1123.8851244733423</v>
      </c>
      <c r="AN267" s="172">
        <f t="shared" si="120"/>
        <v>7362.6089003788611</v>
      </c>
    </row>
    <row r="268" spans="5:40">
      <c r="E268">
        <v>2090</v>
      </c>
      <c r="F268" s="320" t="s">
        <v>240</v>
      </c>
      <c r="G268" s="320" t="s">
        <v>240</v>
      </c>
      <c r="H268" s="63">
        <f t="shared" si="123"/>
        <v>4890.0273117693914</v>
      </c>
      <c r="I268" s="63">
        <f t="shared" si="121"/>
        <v>3848.1055526716318</v>
      </c>
      <c r="J268" s="63">
        <f t="shared" si="121"/>
        <v>2970.2261582738552</v>
      </c>
      <c r="K268" s="63">
        <f t="shared" si="121"/>
        <v>649.87063829314059</v>
      </c>
      <c r="L268" s="63">
        <f t="shared" si="116"/>
        <v>4257.3218984825908</v>
      </c>
      <c r="M268" s="63"/>
      <c r="N268">
        <v>2090</v>
      </c>
      <c r="O268" s="320" t="s">
        <v>240</v>
      </c>
      <c r="P268" s="320" t="s">
        <v>240</v>
      </c>
      <c r="Q268" s="63">
        <f t="shared" si="124"/>
        <v>4890.0273117693914</v>
      </c>
      <c r="R268" s="63">
        <f t="shared" si="124"/>
        <v>3848.1055526716318</v>
      </c>
      <c r="S268" s="63">
        <f t="shared" si="124"/>
        <v>2970.2261582738552</v>
      </c>
      <c r="T268" s="63">
        <f t="shared" si="124"/>
        <v>649.87063829314059</v>
      </c>
      <c r="U268" s="172">
        <f t="shared" si="118"/>
        <v>4257.3417220738538</v>
      </c>
      <c r="W268">
        <v>2090</v>
      </c>
      <c r="Z268" s="170">
        <v>12225.06827942348</v>
      </c>
      <c r="AA268" s="170">
        <v>9620.2638816790823</v>
      </c>
      <c r="AB268" s="170">
        <v>7425.5653956846381</v>
      </c>
      <c r="AC268" s="170">
        <v>1624.6765957328507</v>
      </c>
      <c r="AD268" s="172">
        <f t="shared" si="119"/>
        <v>10643.41232825616</v>
      </c>
      <c r="AG268">
        <v>2090</v>
      </c>
      <c r="AH268" t="s">
        <v>240</v>
      </c>
      <c r="AI268" t="s">
        <v>240</v>
      </c>
      <c r="AJ268" s="170">
        <v>12225.06827942348</v>
      </c>
      <c r="AK268" s="170">
        <v>9620.2638816790823</v>
      </c>
      <c r="AL268" s="170">
        <v>7425.5653956846381</v>
      </c>
      <c r="AM268" s="170">
        <v>1624.6765957328507</v>
      </c>
      <c r="AN268" s="172">
        <f t="shared" si="120"/>
        <v>10643.310515908197</v>
      </c>
    </row>
    <row r="269" spans="5:40">
      <c r="E269">
        <v>2100</v>
      </c>
      <c r="F269" s="320" t="s">
        <v>240</v>
      </c>
      <c r="G269" s="320" t="s">
        <v>240</v>
      </c>
      <c r="H269" s="63">
        <f>H268*(1+$C$6)^10</f>
        <v>7068.9724002255898</v>
      </c>
      <c r="I269" s="63">
        <f t="shared" si="121"/>
        <v>5562.7811892829423</v>
      </c>
      <c r="J269" s="63">
        <f t="shared" si="121"/>
        <v>4293.7279071491894</v>
      </c>
      <c r="K269" s="63">
        <f t="shared" si="121"/>
        <v>939.44620610901052</v>
      </c>
      <c r="L269" s="63">
        <f t="shared" si="116"/>
        <v>6154.3400640762502</v>
      </c>
      <c r="M269" s="63"/>
      <c r="N269">
        <v>2100</v>
      </c>
      <c r="O269" s="320" t="s">
        <v>240</v>
      </c>
      <c r="P269" s="320" t="s">
        <v>240</v>
      </c>
      <c r="Q269" s="63">
        <f>Q268*(1+$C$6)^10</f>
        <v>7068.9724002255898</v>
      </c>
      <c r="R269" s="63">
        <f t="shared" si="124"/>
        <v>5562.7811892829423</v>
      </c>
      <c r="S269" s="63">
        <f t="shared" si="124"/>
        <v>4293.7279071491894</v>
      </c>
      <c r="T269" s="63">
        <f t="shared" si="124"/>
        <v>939.44620610901052</v>
      </c>
      <c r="U269" s="172">
        <f t="shared" si="118"/>
        <v>6154.368720852699</v>
      </c>
      <c r="W269">
        <v>2100</v>
      </c>
      <c r="Z269" s="170">
        <v>17672.431000563978</v>
      </c>
      <c r="AA269" s="170">
        <v>13906.952973207361</v>
      </c>
      <c r="AB269" s="170">
        <v>10734.319767872974</v>
      </c>
      <c r="AC269" s="170">
        <v>2348.615515272525</v>
      </c>
      <c r="AD269" s="172">
        <f t="shared" si="119"/>
        <v>15386.005679677834</v>
      </c>
      <c r="AG269">
        <v>2100</v>
      </c>
      <c r="AH269" t="s">
        <v>240</v>
      </c>
      <c r="AI269" t="s">
        <v>240</v>
      </c>
      <c r="AJ269" s="170">
        <v>17672.431000563978</v>
      </c>
      <c r="AK269" s="170">
        <v>13906.952973207361</v>
      </c>
      <c r="AL269" s="170">
        <v>10734.319767872974</v>
      </c>
      <c r="AM269" s="170">
        <v>2348.615515272525</v>
      </c>
      <c r="AN269" s="172">
        <f t="shared" si="120"/>
        <v>15385.858500811159</v>
      </c>
    </row>
    <row r="270" spans="5:40">
      <c r="F270" s="581" t="s">
        <v>293</v>
      </c>
      <c r="G270" s="581"/>
      <c r="H270" s="581"/>
      <c r="I270" s="581"/>
      <c r="J270" s="581"/>
      <c r="K270" s="581"/>
      <c r="L270" s="63"/>
      <c r="M270" s="63"/>
      <c r="O270" s="581" t="s">
        <v>293</v>
      </c>
      <c r="P270" s="581"/>
      <c r="Q270" s="581"/>
      <c r="R270" s="581"/>
      <c r="S270" s="581"/>
      <c r="T270" s="581"/>
      <c r="X270" s="581" t="s">
        <v>293</v>
      </c>
      <c r="Y270" s="581"/>
      <c r="Z270" s="581"/>
      <c r="AA270" s="581"/>
      <c r="AB270" s="581"/>
      <c r="AC270" s="581"/>
      <c r="AD270" s="172"/>
      <c r="AH270" s="581" t="s">
        <v>293</v>
      </c>
      <c r="AI270" s="581"/>
      <c r="AJ270" s="581"/>
      <c r="AK270" s="581"/>
      <c r="AL270" s="581"/>
      <c r="AM270" s="581"/>
    </row>
    <row r="271" spans="5:40">
      <c r="E271">
        <v>2020</v>
      </c>
      <c r="F271" s="320" t="s">
        <v>240</v>
      </c>
      <c r="G271" s="320" t="s">
        <v>240</v>
      </c>
      <c r="H271" s="63">
        <f>'Demographic-Economic'!E$22*1000*(1-AVERAGE('Demographic-Economic'!$C12:$H12))/H43*(1+'Inflation-Interest'!$C$65)*(1+'Inflation-Interest'!$C$66)*(1+'Inflation-Interest'!$C$67)*$C$9</f>
        <v>0</v>
      </c>
      <c r="I271" s="63">
        <f>'Demographic-Economic'!F$22*1000*(1-AVERAGE('Demographic-Economic'!$C12:$H12))/I43*(1+'Inflation-Interest'!$C$65)*(1+'Inflation-Interest'!$C$66)*(1+'Inflation-Interest'!$C$67)*$C$9</f>
        <v>0</v>
      </c>
      <c r="J271" s="63">
        <f>'Demographic-Economic'!G$22*1000*(1-AVERAGE('Demographic-Economic'!$C12:$H12))/J43*(1+'Inflation-Interest'!$C$65)*(1+'Inflation-Interest'!$C$66)*(1+'Inflation-Interest'!$C$67)*$C$9</f>
        <v>0</v>
      </c>
      <c r="K271" s="63">
        <f>'Demographic-Economic'!H$22*1000*(1-AVERAGE('Demographic-Economic'!$C12:$H12))/K43*(1+'Inflation-Interest'!$C$65)*(1+'Inflation-Interest'!$C$66)*(1+'Inflation-Interest'!$C$67)*$C$9</f>
        <v>0</v>
      </c>
      <c r="L271" s="63">
        <f>SUMPRODUCT(H271:K271, H43:K43)/SUM(H43:K43)</f>
        <v>0</v>
      </c>
      <c r="M271" s="63"/>
      <c r="N271">
        <v>2020</v>
      </c>
      <c r="O271" s="320" t="s">
        <v>240</v>
      </c>
      <c r="P271" s="320" t="s">
        <v>240</v>
      </c>
      <c r="Q271" s="170">
        <f>'Demographic-Economic'!E$22*1000*(1-AVERAGE('Demographic-Economic'!$C12:$H12))/Q43*(1+'Inflation-Interest'!$C$65)*(1+'Inflation-Interest'!$C$66)*(1+'Inflation-Interest'!$C$67)*$C$9</f>
        <v>0</v>
      </c>
      <c r="R271" s="170">
        <f>'Demographic-Economic'!F$22*1000*(1-AVERAGE('Demographic-Economic'!$C12:$H12))/R43*(1+'Inflation-Interest'!$C$65)*(1+'Inflation-Interest'!$C$66)*(1+'Inflation-Interest'!$C$67)*$C$9</f>
        <v>0</v>
      </c>
      <c r="S271" s="170">
        <f>'Demographic-Economic'!G$22*1000*(1-AVERAGE('Demographic-Economic'!$C12:$H12))/S43*(1+'Inflation-Interest'!$C$65)*(1+'Inflation-Interest'!$C$66)*(1+'Inflation-Interest'!$C$67)*$C$9</f>
        <v>0</v>
      </c>
      <c r="T271" s="170">
        <f>'Demographic-Economic'!H$22*1000*(1-AVERAGE('Demographic-Economic'!$C12:$H12))/T43*(1+'Inflation-Interest'!$C$65)*(1+'Inflation-Interest'!$C$66)*(1+'Inflation-Interest'!$C$67)*$C$9</f>
        <v>0</v>
      </c>
      <c r="U271" s="172">
        <f>SUMPRODUCT(Q271:T271, Q43:T43)/SUM(Q43:T43)</f>
        <v>0</v>
      </c>
      <c r="W271">
        <v>2020</v>
      </c>
      <c r="Z271" s="170">
        <v>444.29931027078754</v>
      </c>
      <c r="AA271" s="170">
        <v>341.49712566059407</v>
      </c>
      <c r="AB271" s="170">
        <v>234.05882826692957</v>
      </c>
      <c r="AC271" s="170">
        <v>77.307117355136981</v>
      </c>
      <c r="AD271" s="172">
        <f>SUMPRODUCT(Z271:AC271,Z43:AC43)/SUM(Z43:AC43)</f>
        <v>380.01481777823557</v>
      </c>
      <c r="AG271">
        <v>2020</v>
      </c>
      <c r="AJ271" s="170">
        <v>444.29931027078754</v>
      </c>
      <c r="AK271" s="170">
        <v>341.49712566059407</v>
      </c>
      <c r="AL271" s="170">
        <v>234.05882826692957</v>
      </c>
      <c r="AM271" s="170">
        <v>77.307117355136981</v>
      </c>
      <c r="AN271" s="172">
        <f>SUMPRODUCT(AJ271:AM271, AJ43:AM43)/SUM(AJ43:AM43)</f>
        <v>380.01481777823557</v>
      </c>
    </row>
    <row r="272" spans="5:40">
      <c r="E272">
        <v>2021</v>
      </c>
      <c r="F272" s="320" t="s">
        <v>240</v>
      </c>
      <c r="G272" s="320" t="s">
        <v>240</v>
      </c>
      <c r="H272" s="63">
        <f>H271*(1+$C$6)</f>
        <v>0</v>
      </c>
      <c r="I272" s="63">
        <f t="shared" ref="I272:K281" si="125">I271*(1+$C$6)</f>
        <v>0</v>
      </c>
      <c r="J272" s="63">
        <f t="shared" si="125"/>
        <v>0</v>
      </c>
      <c r="K272" s="63">
        <f t="shared" si="125"/>
        <v>0</v>
      </c>
      <c r="L272" s="63">
        <f t="shared" ref="L272:L287" si="126">SUMPRODUCT(H272:K272, H44:K44)/SUM(H44:K44)</f>
        <v>0</v>
      </c>
      <c r="M272" s="63"/>
      <c r="N272">
        <v>2021</v>
      </c>
      <c r="O272" s="320" t="s">
        <v>240</v>
      </c>
      <c r="P272" s="320" t="s">
        <v>240</v>
      </c>
      <c r="Q272" s="170">
        <f>Q271*(1+$C$6)</f>
        <v>0</v>
      </c>
      <c r="R272" s="170">
        <f t="shared" ref="R272:T281" si="127">R271*(1+$C$6)</f>
        <v>0</v>
      </c>
      <c r="S272" s="170">
        <f t="shared" si="127"/>
        <v>0</v>
      </c>
      <c r="T272" s="170">
        <f t="shared" si="127"/>
        <v>0</v>
      </c>
      <c r="U272" s="172">
        <f t="shared" ref="U272:U288" si="128">SUMPRODUCT(Q272:T272, Q44:T44)/SUM(Q44:T44)</f>
        <v>0</v>
      </c>
      <c r="W272">
        <v>2021</v>
      </c>
      <c r="Z272" s="170">
        <v>460.97793612892769</v>
      </c>
      <c r="AA272" s="170">
        <v>354.3166431769547</v>
      </c>
      <c r="AB272" s="170">
        <v>242.84520163104656</v>
      </c>
      <c r="AC272" s="170">
        <v>80.209162118051026</v>
      </c>
      <c r="AD272" s="172">
        <f t="shared" ref="AD272:AD288" si="129">SUMPRODUCT(Z272:AC272,Z44:AC44)/SUM(Z44:AC44)</f>
        <v>394.27227274407898</v>
      </c>
      <c r="AG272">
        <v>2021</v>
      </c>
      <c r="AJ272" s="170">
        <v>460.97793612892769</v>
      </c>
      <c r="AK272" s="170">
        <v>354.3166431769547</v>
      </c>
      <c r="AL272" s="170">
        <v>242.84520163104656</v>
      </c>
      <c r="AM272" s="170">
        <v>80.209162118051026</v>
      </c>
      <c r="AN272" s="172">
        <f t="shared" ref="AN272:AN288" si="130">SUMPRODUCT(AJ272:AM272, AJ44:AM44)/SUM(AJ44:AM44)</f>
        <v>394.27227274407898</v>
      </c>
    </row>
    <row r="273" spans="5:40">
      <c r="E273">
        <v>2022</v>
      </c>
      <c r="F273" s="320" t="s">
        <v>240</v>
      </c>
      <c r="G273" s="320" t="s">
        <v>240</v>
      </c>
      <c r="H273" s="63">
        <f t="shared" ref="H273:H281" si="131">H272*(1+$C$6)</f>
        <v>0</v>
      </c>
      <c r="I273" s="63">
        <f t="shared" si="125"/>
        <v>0</v>
      </c>
      <c r="J273" s="63">
        <f t="shared" si="125"/>
        <v>0</v>
      </c>
      <c r="K273" s="63">
        <f t="shared" si="125"/>
        <v>0</v>
      </c>
      <c r="L273" s="63">
        <f t="shared" si="126"/>
        <v>0</v>
      </c>
      <c r="M273" s="63"/>
      <c r="N273">
        <v>2022</v>
      </c>
      <c r="O273" s="320" t="s">
        <v>240</v>
      </c>
      <c r="P273" s="320" t="s">
        <v>240</v>
      </c>
      <c r="Q273" s="170">
        <f t="shared" ref="Q273:Q281" si="132">Q272*(1+$C$6)</f>
        <v>0</v>
      </c>
      <c r="R273" s="170">
        <f t="shared" si="127"/>
        <v>0</v>
      </c>
      <c r="S273" s="170">
        <f t="shared" si="127"/>
        <v>0</v>
      </c>
      <c r="T273" s="170">
        <f t="shared" si="127"/>
        <v>0</v>
      </c>
      <c r="U273" s="172">
        <f t="shared" si="128"/>
        <v>0</v>
      </c>
      <c r="W273">
        <v>2022</v>
      </c>
      <c r="Z273" s="170">
        <v>478.28266370292755</v>
      </c>
      <c r="AA273" s="170">
        <v>367.61739469794827</v>
      </c>
      <c r="AB273" s="170">
        <v>251.9614081292747</v>
      </c>
      <c r="AC273" s="170">
        <v>83.220147222994228</v>
      </c>
      <c r="AD273" s="172">
        <f t="shared" si="129"/>
        <v>409.06651111788671</v>
      </c>
      <c r="AG273">
        <v>2022</v>
      </c>
      <c r="AJ273" s="170">
        <v>478.28266370292755</v>
      </c>
      <c r="AK273" s="170">
        <v>367.61739469794827</v>
      </c>
      <c r="AL273" s="170">
        <v>251.9614081292747</v>
      </c>
      <c r="AM273" s="170">
        <v>83.220147222994228</v>
      </c>
      <c r="AN273" s="172">
        <f t="shared" si="130"/>
        <v>409.06672460012771</v>
      </c>
    </row>
    <row r="274" spans="5:40">
      <c r="E274">
        <v>2023</v>
      </c>
      <c r="F274" s="320" t="s">
        <v>240</v>
      </c>
      <c r="G274" s="320" t="s">
        <v>240</v>
      </c>
      <c r="H274" s="63">
        <f t="shared" si="131"/>
        <v>0</v>
      </c>
      <c r="I274" s="63">
        <f t="shared" si="125"/>
        <v>0</v>
      </c>
      <c r="J274" s="63">
        <f t="shared" si="125"/>
        <v>0</v>
      </c>
      <c r="K274" s="63">
        <f t="shared" si="125"/>
        <v>0</v>
      </c>
      <c r="L274" s="63">
        <f t="shared" si="126"/>
        <v>0</v>
      </c>
      <c r="M274" s="63"/>
      <c r="N274">
        <v>2023</v>
      </c>
      <c r="O274" s="320" t="s">
        <v>240</v>
      </c>
      <c r="P274" s="320" t="s">
        <v>240</v>
      </c>
      <c r="Q274" s="170">
        <f t="shared" si="132"/>
        <v>0</v>
      </c>
      <c r="R274" s="170">
        <f t="shared" si="127"/>
        <v>0</v>
      </c>
      <c r="S274" s="170">
        <f t="shared" si="127"/>
        <v>0</v>
      </c>
      <c r="T274" s="170">
        <f t="shared" si="127"/>
        <v>0</v>
      </c>
      <c r="U274" s="172">
        <f t="shared" si="128"/>
        <v>0</v>
      </c>
      <c r="W274">
        <v>2023</v>
      </c>
      <c r="Z274" s="170">
        <v>496.23699632944903</v>
      </c>
      <c r="AA274" s="170">
        <v>381.41744534708033</v>
      </c>
      <c r="AB274" s="170">
        <v>261.41982942260756</v>
      </c>
      <c r="AC274" s="170">
        <v>86.344162199622744</v>
      </c>
      <c r="AD274" s="172">
        <f t="shared" si="129"/>
        <v>424.41771438010903</v>
      </c>
      <c r="AG274">
        <v>2023</v>
      </c>
      <c r="AJ274" s="170">
        <v>496.23699632944903</v>
      </c>
      <c r="AK274" s="170">
        <v>381.41744534708033</v>
      </c>
      <c r="AL274" s="170">
        <v>261.41982942260756</v>
      </c>
      <c r="AM274" s="170">
        <v>86.344162199622744</v>
      </c>
      <c r="AN274" s="172">
        <f t="shared" si="130"/>
        <v>424.4182441965574</v>
      </c>
    </row>
    <row r="275" spans="5:40">
      <c r="E275">
        <v>2024</v>
      </c>
      <c r="F275" s="320" t="s">
        <v>240</v>
      </c>
      <c r="G275" s="320" t="s">
        <v>240</v>
      </c>
      <c r="H275" s="63">
        <f t="shared" si="131"/>
        <v>0</v>
      </c>
      <c r="I275" s="63">
        <f t="shared" si="125"/>
        <v>0</v>
      </c>
      <c r="J275" s="63">
        <f t="shared" si="125"/>
        <v>0</v>
      </c>
      <c r="K275" s="63">
        <f t="shared" si="125"/>
        <v>0</v>
      </c>
      <c r="L275" s="63">
        <f t="shared" si="126"/>
        <v>0</v>
      </c>
      <c r="M275" s="63"/>
      <c r="N275">
        <v>2024</v>
      </c>
      <c r="O275" s="320" t="s">
        <v>240</v>
      </c>
      <c r="P275" s="320" t="s">
        <v>240</v>
      </c>
      <c r="Q275" s="170">
        <f t="shared" si="132"/>
        <v>0</v>
      </c>
      <c r="R275" s="170">
        <f t="shared" si="127"/>
        <v>0</v>
      </c>
      <c r="S275" s="170">
        <f t="shared" si="127"/>
        <v>0</v>
      </c>
      <c r="T275" s="170">
        <f t="shared" si="127"/>
        <v>0</v>
      </c>
      <c r="U275" s="172">
        <f t="shared" si="128"/>
        <v>0</v>
      </c>
      <c r="W275">
        <v>2024</v>
      </c>
      <c r="Z275" s="170">
        <v>514.86531964082633</v>
      </c>
      <c r="AA275" s="170">
        <v>395.73553839753862</v>
      </c>
      <c r="AB275" s="170">
        <v>271.23331196927438</v>
      </c>
      <c r="AC275" s="170">
        <v>89.585450095128081</v>
      </c>
      <c r="AD275" s="172">
        <f t="shared" si="129"/>
        <v>440.34681930036908</v>
      </c>
      <c r="AG275">
        <v>2024</v>
      </c>
      <c r="AJ275" s="170">
        <v>514.86531964082633</v>
      </c>
      <c r="AK275" s="170">
        <v>395.73553839753862</v>
      </c>
      <c r="AL275" s="170">
        <v>271.23331196927438</v>
      </c>
      <c r="AM275" s="170">
        <v>89.585450095128081</v>
      </c>
      <c r="AN275" s="172">
        <f t="shared" si="130"/>
        <v>440.34767226505159</v>
      </c>
    </row>
    <row r="276" spans="5:40">
      <c r="E276">
        <v>2025</v>
      </c>
      <c r="F276" s="320" t="s">
        <v>240</v>
      </c>
      <c r="G276" s="320" t="s">
        <v>240</v>
      </c>
      <c r="H276" s="63">
        <f t="shared" si="131"/>
        <v>0</v>
      </c>
      <c r="I276" s="63">
        <f t="shared" si="125"/>
        <v>0</v>
      </c>
      <c r="J276" s="63">
        <f t="shared" si="125"/>
        <v>0</v>
      </c>
      <c r="K276" s="63">
        <f t="shared" si="125"/>
        <v>0</v>
      </c>
      <c r="L276" s="63">
        <f t="shared" si="126"/>
        <v>0</v>
      </c>
      <c r="M276" s="63"/>
      <c r="N276">
        <v>2025</v>
      </c>
      <c r="O276" s="320" t="s">
        <v>240</v>
      </c>
      <c r="P276" s="320" t="s">
        <v>240</v>
      </c>
      <c r="Q276" s="170">
        <f t="shared" si="132"/>
        <v>0</v>
      </c>
      <c r="R276" s="170">
        <f t="shared" si="127"/>
        <v>0</v>
      </c>
      <c r="S276" s="170">
        <f t="shared" si="127"/>
        <v>0</v>
      </c>
      <c r="T276" s="170">
        <f t="shared" si="127"/>
        <v>0</v>
      </c>
      <c r="U276" s="172">
        <f t="shared" si="128"/>
        <v>0</v>
      </c>
      <c r="W276">
        <v>2025</v>
      </c>
      <c r="Z276" s="170">
        <v>534.19293468570993</v>
      </c>
      <c r="AA276" s="170">
        <v>410.59112072936688</v>
      </c>
      <c r="AB276" s="170">
        <v>281.41518447284096</v>
      </c>
      <c r="AC276" s="170">
        <v>92.948413237157439</v>
      </c>
      <c r="AD276" s="172">
        <f t="shared" si="129"/>
        <v>456.87554674539336</v>
      </c>
      <c r="AG276">
        <v>2025</v>
      </c>
      <c r="AJ276" s="170">
        <v>534.19293468570993</v>
      </c>
      <c r="AK276" s="170">
        <v>410.59112072936688</v>
      </c>
      <c r="AL276" s="170">
        <v>281.41518447284096</v>
      </c>
      <c r="AM276" s="170">
        <v>92.948413237157439</v>
      </c>
      <c r="AN276" s="172">
        <f t="shared" si="130"/>
        <v>456.87664563426489</v>
      </c>
    </row>
    <row r="277" spans="5:40">
      <c r="E277">
        <v>2026</v>
      </c>
      <c r="F277" s="320" t="s">
        <v>240</v>
      </c>
      <c r="G277" s="320" t="s">
        <v>240</v>
      </c>
      <c r="H277" s="63">
        <f t="shared" si="131"/>
        <v>0</v>
      </c>
      <c r="I277" s="63">
        <f t="shared" si="125"/>
        <v>0</v>
      </c>
      <c r="J277" s="63">
        <f t="shared" si="125"/>
        <v>0</v>
      </c>
      <c r="K277" s="63">
        <f t="shared" si="125"/>
        <v>0</v>
      </c>
      <c r="L277" s="63">
        <f t="shared" si="126"/>
        <v>0</v>
      </c>
      <c r="M277" s="63"/>
      <c r="N277">
        <v>2026</v>
      </c>
      <c r="O277" s="320" t="s">
        <v>240</v>
      </c>
      <c r="P277" s="320" t="s">
        <v>240</v>
      </c>
      <c r="Q277" s="170">
        <f t="shared" si="132"/>
        <v>0</v>
      </c>
      <c r="R277" s="170">
        <f t="shared" si="127"/>
        <v>0</v>
      </c>
      <c r="S277" s="170">
        <f t="shared" si="127"/>
        <v>0</v>
      </c>
      <c r="T277" s="170">
        <f t="shared" si="127"/>
        <v>0</v>
      </c>
      <c r="U277" s="172">
        <f t="shared" si="128"/>
        <v>0</v>
      </c>
      <c r="W277">
        <v>2026</v>
      </c>
      <c r="Z277" s="170">
        <v>554.24609229303258</v>
      </c>
      <c r="AA277" s="170">
        <v>426.00436924228006</v>
      </c>
      <c r="AB277" s="170">
        <v>291.9792759852977</v>
      </c>
      <c r="AC277" s="170">
        <v>96.437619213069297</v>
      </c>
      <c r="AD277" s="172">
        <f t="shared" si="129"/>
        <v>474.02643154687291</v>
      </c>
      <c r="AG277">
        <v>2026</v>
      </c>
      <c r="AJ277" s="170">
        <v>554.24609229303258</v>
      </c>
      <c r="AK277" s="170">
        <v>426.00436924228006</v>
      </c>
      <c r="AL277" s="170">
        <v>291.9792759852977</v>
      </c>
      <c r="AM277" s="170">
        <v>96.437619213069297</v>
      </c>
      <c r="AN277" s="172">
        <f t="shared" si="130"/>
        <v>474.02762500015939</v>
      </c>
    </row>
    <row r="278" spans="5:40">
      <c r="E278">
        <v>2027</v>
      </c>
      <c r="F278" s="320" t="s">
        <v>240</v>
      </c>
      <c r="G278" s="320" t="s">
        <v>240</v>
      </c>
      <c r="H278" s="63">
        <f t="shared" si="131"/>
        <v>0</v>
      </c>
      <c r="I278" s="63">
        <f t="shared" si="125"/>
        <v>0</v>
      </c>
      <c r="J278" s="63">
        <f t="shared" si="125"/>
        <v>0</v>
      </c>
      <c r="K278" s="63">
        <f t="shared" si="125"/>
        <v>0</v>
      </c>
      <c r="L278" s="63">
        <f t="shared" si="126"/>
        <v>0</v>
      </c>
      <c r="M278" s="63"/>
      <c r="N278">
        <v>2027</v>
      </c>
      <c r="O278" s="320" t="s">
        <v>240</v>
      </c>
      <c r="P278" s="320" t="s">
        <v>240</v>
      </c>
      <c r="Q278" s="170">
        <f t="shared" si="132"/>
        <v>0</v>
      </c>
      <c r="R278" s="170">
        <f t="shared" si="127"/>
        <v>0</v>
      </c>
      <c r="S278" s="170">
        <f t="shared" si="127"/>
        <v>0</v>
      </c>
      <c r="T278" s="170">
        <f t="shared" si="127"/>
        <v>0</v>
      </c>
      <c r="U278" s="172">
        <f t="shared" si="128"/>
        <v>0</v>
      </c>
      <c r="W278">
        <v>2027</v>
      </c>
      <c r="Z278" s="170">
        <v>575.05202872596942</v>
      </c>
      <c r="AA278" s="170">
        <v>441.99621825999424</v>
      </c>
      <c r="AB278" s="170">
        <v>302.93993468972246</v>
      </c>
      <c r="AC278" s="170">
        <v>100.05780707364524</v>
      </c>
      <c r="AD278" s="172">
        <f t="shared" si="129"/>
        <v>491.8228534653756</v>
      </c>
      <c r="AG278">
        <v>2027</v>
      </c>
      <c r="AJ278" s="170">
        <v>575.05202872596942</v>
      </c>
      <c r="AK278" s="170">
        <v>441.99621825999424</v>
      </c>
      <c r="AL278" s="170">
        <v>302.93993468972246</v>
      </c>
      <c r="AM278" s="170">
        <v>100.05780707364524</v>
      </c>
      <c r="AN278" s="172">
        <f t="shared" si="130"/>
        <v>491.82392417256585</v>
      </c>
    </row>
    <row r="279" spans="5:40">
      <c r="E279">
        <v>2028</v>
      </c>
      <c r="F279" s="320" t="s">
        <v>240</v>
      </c>
      <c r="G279" s="320" t="s">
        <v>240</v>
      </c>
      <c r="H279" s="63">
        <f t="shared" si="131"/>
        <v>0</v>
      </c>
      <c r="I279" s="63">
        <f t="shared" si="125"/>
        <v>0</v>
      </c>
      <c r="J279" s="63">
        <f t="shared" si="125"/>
        <v>0</v>
      </c>
      <c r="K279" s="63">
        <f t="shared" si="125"/>
        <v>0</v>
      </c>
      <c r="L279" s="63">
        <f t="shared" si="126"/>
        <v>0</v>
      </c>
      <c r="M279" s="63"/>
      <c r="N279">
        <v>2028</v>
      </c>
      <c r="O279" s="320" t="s">
        <v>240</v>
      </c>
      <c r="P279" s="320" t="s">
        <v>240</v>
      </c>
      <c r="Q279" s="170">
        <f t="shared" si="132"/>
        <v>0</v>
      </c>
      <c r="R279" s="170">
        <f t="shared" si="127"/>
        <v>0</v>
      </c>
      <c r="S279" s="170">
        <f t="shared" si="127"/>
        <v>0</v>
      </c>
      <c r="T279" s="170">
        <f t="shared" si="127"/>
        <v>0</v>
      </c>
      <c r="U279" s="172">
        <f t="shared" si="128"/>
        <v>0</v>
      </c>
      <c r="W279">
        <v>2028</v>
      </c>
      <c r="Z279" s="170">
        <v>596.63900267431836</v>
      </c>
      <c r="AA279" s="170">
        <v>458.58838796329252</v>
      </c>
      <c r="AB279" s="170">
        <v>314.3120473880291</v>
      </c>
      <c r="AC279" s="170">
        <v>103.81389376968399</v>
      </c>
      <c r="AD279" s="172">
        <f t="shared" si="129"/>
        <v>510.28906928925721</v>
      </c>
      <c r="AG279">
        <v>2028</v>
      </c>
      <c r="AJ279" s="170">
        <v>596.63900267431836</v>
      </c>
      <c r="AK279" s="170">
        <v>458.58838796329252</v>
      </c>
      <c r="AL279" s="170">
        <v>314.3120473880291</v>
      </c>
      <c r="AM279" s="170">
        <v>103.81389376968399</v>
      </c>
      <c r="AN279" s="172">
        <f t="shared" si="130"/>
        <v>510.28974075331985</v>
      </c>
    </row>
    <row r="280" spans="5:40">
      <c r="E280">
        <v>2029</v>
      </c>
      <c r="F280" s="320" t="s">
        <v>240</v>
      </c>
      <c r="G280" s="320" t="s">
        <v>240</v>
      </c>
      <c r="H280" s="63">
        <f t="shared" si="131"/>
        <v>0</v>
      </c>
      <c r="I280" s="63">
        <f t="shared" si="125"/>
        <v>0</v>
      </c>
      <c r="J280" s="63">
        <f t="shared" si="125"/>
        <v>0</v>
      </c>
      <c r="K280" s="63">
        <f t="shared" si="125"/>
        <v>0</v>
      </c>
      <c r="L280" s="63">
        <f t="shared" si="126"/>
        <v>0</v>
      </c>
      <c r="M280" s="63"/>
      <c r="N280">
        <v>2029</v>
      </c>
      <c r="O280" s="320" t="s">
        <v>240</v>
      </c>
      <c r="P280" s="320" t="s">
        <v>240</v>
      </c>
      <c r="Q280" s="170">
        <f t="shared" si="132"/>
        <v>0</v>
      </c>
      <c r="R280" s="170">
        <f t="shared" si="127"/>
        <v>0</v>
      </c>
      <c r="S280" s="170">
        <f t="shared" si="127"/>
        <v>0</v>
      </c>
      <c r="T280" s="170">
        <f t="shared" si="127"/>
        <v>0</v>
      </c>
      <c r="U280" s="172">
        <f t="shared" si="128"/>
        <v>0</v>
      </c>
      <c r="W280">
        <v>2029</v>
      </c>
      <c r="Z280" s="170">
        <v>619.03633363554343</v>
      </c>
      <c r="AA280" s="170">
        <v>475.80341389044457</v>
      </c>
      <c r="AB280" s="170">
        <v>326.11105972026957</v>
      </c>
      <c r="AC280" s="170">
        <v>107.71098083021978</v>
      </c>
      <c r="AD280" s="172">
        <f t="shared" si="129"/>
        <v>529.4502461101838</v>
      </c>
      <c r="AG280">
        <v>2029</v>
      </c>
      <c r="AJ280" s="170">
        <v>619.03633363554343</v>
      </c>
      <c r="AK280" s="170">
        <v>475.80341389044457</v>
      </c>
      <c r="AL280" s="170">
        <v>326.11105972026957</v>
      </c>
      <c r="AM280" s="170">
        <v>107.71098083021978</v>
      </c>
      <c r="AN280" s="172">
        <f t="shared" si="130"/>
        <v>529.45018822566396</v>
      </c>
    </row>
    <row r="281" spans="5:40">
      <c r="E281">
        <v>2030</v>
      </c>
      <c r="F281" s="320" t="s">
        <v>240</v>
      </c>
      <c r="G281" s="320" t="s">
        <v>240</v>
      </c>
      <c r="H281" s="63">
        <f t="shared" si="131"/>
        <v>0</v>
      </c>
      <c r="I281" s="63">
        <f t="shared" si="125"/>
        <v>0</v>
      </c>
      <c r="J281" s="63">
        <f t="shared" si="125"/>
        <v>0</v>
      </c>
      <c r="K281" s="63">
        <f t="shared" si="125"/>
        <v>0</v>
      </c>
      <c r="L281" s="63">
        <f t="shared" si="126"/>
        <v>0</v>
      </c>
      <c r="M281" s="63"/>
      <c r="N281">
        <v>2030</v>
      </c>
      <c r="O281" s="320" t="s">
        <v>240</v>
      </c>
      <c r="P281" s="320" t="s">
        <v>240</v>
      </c>
      <c r="Q281" s="170">
        <f t="shared" si="132"/>
        <v>0</v>
      </c>
      <c r="R281" s="170">
        <f t="shared" si="127"/>
        <v>0</v>
      </c>
      <c r="S281" s="170">
        <f t="shared" si="127"/>
        <v>0</v>
      </c>
      <c r="T281" s="170">
        <f t="shared" si="127"/>
        <v>0</v>
      </c>
      <c r="U281" s="172">
        <f t="shared" si="128"/>
        <v>0</v>
      </c>
      <c r="W281">
        <v>2030</v>
      </c>
      <c r="Z281" s="170">
        <v>642.27444173661036</v>
      </c>
      <c r="AA281" s="170">
        <v>493.66467754504697</v>
      </c>
      <c r="AB281" s="170">
        <v>338.35299714295206</v>
      </c>
      <c r="AC281" s="170">
        <v>111.75436129143554</v>
      </c>
      <c r="AD281" s="172">
        <f t="shared" si="129"/>
        <v>549.33249581939629</v>
      </c>
      <c r="AG281">
        <v>2030</v>
      </c>
      <c r="AJ281" s="170">
        <v>642.27444173661036</v>
      </c>
      <c r="AK281" s="170">
        <v>493.66467754504697</v>
      </c>
      <c r="AL281" s="170">
        <v>338.35299714295206</v>
      </c>
      <c r="AM281" s="170">
        <v>111.75436129143554</v>
      </c>
      <c r="AN281" s="172">
        <f t="shared" si="130"/>
        <v>549.33132945239834</v>
      </c>
    </row>
    <row r="282" spans="5:40">
      <c r="E282">
        <v>2040</v>
      </c>
      <c r="F282" s="320" t="s">
        <v>240</v>
      </c>
      <c r="G282" s="320" t="s">
        <v>240</v>
      </c>
      <c r="H282" s="63">
        <f>H281*(1+$C$6)^10</f>
        <v>0</v>
      </c>
      <c r="I282" s="63">
        <f t="shared" ref="I282:K288" si="133">I281*(1+$C$6)^10</f>
        <v>0</v>
      </c>
      <c r="J282" s="63">
        <f t="shared" si="133"/>
        <v>0</v>
      </c>
      <c r="K282" s="63">
        <f t="shared" si="133"/>
        <v>0</v>
      </c>
      <c r="L282" s="63">
        <f t="shared" si="126"/>
        <v>0</v>
      </c>
      <c r="M282" s="63"/>
      <c r="N282">
        <v>2040</v>
      </c>
      <c r="O282" s="320" t="s">
        <v>240</v>
      </c>
      <c r="P282" s="320" t="s">
        <v>240</v>
      </c>
      <c r="Q282" s="170">
        <f>Q281*(1+$C$6)^10</f>
        <v>0</v>
      </c>
      <c r="R282" s="170">
        <f t="shared" ref="R282:T288" si="134">R281*(1+$C$6)^10</f>
        <v>0</v>
      </c>
      <c r="S282" s="170">
        <f t="shared" si="134"/>
        <v>0</v>
      </c>
      <c r="T282" s="170">
        <f t="shared" si="134"/>
        <v>0</v>
      </c>
      <c r="U282" s="172">
        <f t="shared" si="128"/>
        <v>0</v>
      </c>
      <c r="W282">
        <v>2040</v>
      </c>
      <c r="Z282" s="170">
        <v>928.46522371744766</v>
      </c>
      <c r="AA282" s="170">
        <v>713.63650099318158</v>
      </c>
      <c r="AB282" s="170">
        <v>489.11955820379501</v>
      </c>
      <c r="AC282" s="170">
        <v>161.55093728671835</v>
      </c>
      <c r="AD282" s="172">
        <f t="shared" si="129"/>
        <v>794.23322056154336</v>
      </c>
      <c r="AG282">
        <v>2040</v>
      </c>
      <c r="AJ282" s="170">
        <v>928.46522371744766</v>
      </c>
      <c r="AK282" s="170">
        <v>713.63650099318158</v>
      </c>
      <c r="AL282" s="170">
        <v>489.11955820379501</v>
      </c>
      <c r="AM282" s="170">
        <v>161.55093728671835</v>
      </c>
      <c r="AN282" s="172">
        <f t="shared" si="130"/>
        <v>794.21087416506748</v>
      </c>
    </row>
    <row r="283" spans="5:40">
      <c r="E283">
        <v>2050</v>
      </c>
      <c r="F283" s="320" t="s">
        <v>240</v>
      </c>
      <c r="G283" s="320" t="s">
        <v>240</v>
      </c>
      <c r="H283" s="63">
        <f t="shared" ref="H283:H288" si="135">H282*(1+$C$6)^10</f>
        <v>0</v>
      </c>
      <c r="I283" s="63">
        <f t="shared" si="133"/>
        <v>0</v>
      </c>
      <c r="J283" s="63">
        <f t="shared" si="133"/>
        <v>0</v>
      </c>
      <c r="K283" s="63">
        <f t="shared" si="133"/>
        <v>0</v>
      </c>
      <c r="L283" s="63">
        <f t="shared" si="126"/>
        <v>0</v>
      </c>
      <c r="M283" s="63"/>
      <c r="N283">
        <v>2050</v>
      </c>
      <c r="O283" s="320" t="s">
        <v>240</v>
      </c>
      <c r="P283" s="320" t="s">
        <v>240</v>
      </c>
      <c r="Q283" s="170">
        <f t="shared" ref="Q283:Q288" si="136">Q282*(1+$C$6)^10</f>
        <v>0</v>
      </c>
      <c r="R283" s="170">
        <f t="shared" si="134"/>
        <v>0</v>
      </c>
      <c r="S283" s="170">
        <f t="shared" si="134"/>
        <v>0</v>
      </c>
      <c r="T283" s="170">
        <f t="shared" si="134"/>
        <v>0</v>
      </c>
      <c r="U283" s="172">
        <f t="shared" si="128"/>
        <v>0</v>
      </c>
      <c r="W283">
        <v>2050</v>
      </c>
      <c r="Z283" s="170">
        <v>1342.1796285741141</v>
      </c>
      <c r="AA283" s="170">
        <v>1031.625471124212</v>
      </c>
      <c r="AB283" s="170">
        <v>707.06612395219611</v>
      </c>
      <c r="AC283" s="170">
        <v>233.53634736595572</v>
      </c>
      <c r="AD283" s="172">
        <f t="shared" si="129"/>
        <v>1148.1352470116026</v>
      </c>
      <c r="AG283">
        <v>2050</v>
      </c>
      <c r="AJ283" s="170">
        <v>1342.1796285741141</v>
      </c>
      <c r="AK283" s="170">
        <v>1031.625471124212</v>
      </c>
      <c r="AL283" s="170">
        <v>707.06612395219611</v>
      </c>
      <c r="AM283" s="170">
        <v>233.53634736595572</v>
      </c>
      <c r="AN283" s="172">
        <f t="shared" si="130"/>
        <v>1148.1029432942898</v>
      </c>
    </row>
    <row r="284" spans="5:40">
      <c r="E284">
        <v>2060</v>
      </c>
      <c r="F284" s="320" t="s">
        <v>240</v>
      </c>
      <c r="G284" s="320" t="s">
        <v>240</v>
      </c>
      <c r="H284" s="63">
        <f t="shared" si="135"/>
        <v>0</v>
      </c>
      <c r="I284" s="63">
        <f t="shared" si="133"/>
        <v>0</v>
      </c>
      <c r="J284" s="63">
        <f t="shared" si="133"/>
        <v>0</v>
      </c>
      <c r="K284" s="63">
        <f t="shared" si="133"/>
        <v>0</v>
      </c>
      <c r="L284" s="63">
        <f t="shared" si="126"/>
        <v>0</v>
      </c>
      <c r="M284" s="63"/>
      <c r="N284">
        <v>2060</v>
      </c>
      <c r="O284" s="320" t="s">
        <v>240</v>
      </c>
      <c r="P284" s="320" t="s">
        <v>240</v>
      </c>
      <c r="Q284" s="170">
        <f t="shared" si="136"/>
        <v>0</v>
      </c>
      <c r="R284" s="170">
        <f t="shared" si="134"/>
        <v>0</v>
      </c>
      <c r="S284" s="170">
        <f t="shared" si="134"/>
        <v>0</v>
      </c>
      <c r="T284" s="170">
        <f t="shared" si="134"/>
        <v>0</v>
      </c>
      <c r="U284" s="172">
        <f t="shared" si="128"/>
        <v>0</v>
      </c>
      <c r="W284">
        <v>2060</v>
      </c>
      <c r="Z284" s="170">
        <v>1940.2408505367632</v>
      </c>
      <c r="AA284" s="170">
        <v>1491.3070046040439</v>
      </c>
      <c r="AB284" s="170">
        <v>1022.1274027085171</v>
      </c>
      <c r="AC284" s="170">
        <v>337.59770421038706</v>
      </c>
      <c r="AD284" s="172">
        <f t="shared" si="129"/>
        <v>1659.7323195551833</v>
      </c>
      <c r="AG284">
        <v>2060</v>
      </c>
      <c r="AJ284" s="170">
        <v>1940.2408505367632</v>
      </c>
      <c r="AK284" s="170">
        <v>1491.3070046040439</v>
      </c>
      <c r="AL284" s="170">
        <v>1022.1274027085171</v>
      </c>
      <c r="AM284" s="170">
        <v>337.59770421038706</v>
      </c>
      <c r="AN284" s="172">
        <f t="shared" si="130"/>
        <v>1659.6856216388833</v>
      </c>
    </row>
    <row r="285" spans="5:40">
      <c r="E285">
        <v>2070</v>
      </c>
      <c r="F285" s="320" t="s">
        <v>240</v>
      </c>
      <c r="G285" s="320" t="s">
        <v>240</v>
      </c>
      <c r="H285" s="63">
        <f t="shared" si="135"/>
        <v>0</v>
      </c>
      <c r="I285" s="63">
        <f t="shared" si="133"/>
        <v>0</v>
      </c>
      <c r="J285" s="63">
        <f t="shared" si="133"/>
        <v>0</v>
      </c>
      <c r="K285" s="63">
        <f t="shared" si="133"/>
        <v>0</v>
      </c>
      <c r="L285" s="63">
        <f t="shared" si="126"/>
        <v>0</v>
      </c>
      <c r="M285" s="63"/>
      <c r="N285">
        <v>2070</v>
      </c>
      <c r="O285" s="320" t="s">
        <v>240</v>
      </c>
      <c r="P285" s="320" t="s">
        <v>240</v>
      </c>
      <c r="Q285" s="170">
        <f t="shared" si="136"/>
        <v>0</v>
      </c>
      <c r="R285" s="170">
        <f t="shared" si="134"/>
        <v>0</v>
      </c>
      <c r="S285" s="170">
        <f t="shared" si="134"/>
        <v>0</v>
      </c>
      <c r="T285" s="170">
        <f t="shared" si="134"/>
        <v>0</v>
      </c>
      <c r="U285" s="172">
        <f t="shared" si="128"/>
        <v>0</v>
      </c>
      <c r="W285">
        <v>2070</v>
      </c>
      <c r="Z285" s="170">
        <v>2804.7919056042711</v>
      </c>
      <c r="AA285" s="170">
        <v>2155.8178275275518</v>
      </c>
      <c r="AB285" s="170">
        <v>1477.5766961199984</v>
      </c>
      <c r="AC285" s="170">
        <v>488.02771463033741</v>
      </c>
      <c r="AD285" s="172">
        <f t="shared" si="129"/>
        <v>2399.2917034348225</v>
      </c>
      <c r="AG285">
        <v>2070</v>
      </c>
      <c r="AJ285" s="170">
        <v>2804.7919056042711</v>
      </c>
      <c r="AK285" s="170">
        <v>2155.8178275275518</v>
      </c>
      <c r="AL285" s="170">
        <v>1477.5766961199984</v>
      </c>
      <c r="AM285" s="170">
        <v>488.02771463033741</v>
      </c>
      <c r="AN285" s="172">
        <f t="shared" si="130"/>
        <v>2399.2241974148301</v>
      </c>
    </row>
    <row r="286" spans="5:40">
      <c r="E286">
        <v>2080</v>
      </c>
      <c r="F286" s="320" t="s">
        <v>240</v>
      </c>
      <c r="G286" s="320" t="s">
        <v>240</v>
      </c>
      <c r="H286" s="63">
        <f t="shared" si="135"/>
        <v>0</v>
      </c>
      <c r="I286" s="63">
        <f t="shared" si="133"/>
        <v>0</v>
      </c>
      <c r="J286" s="63">
        <f t="shared" si="133"/>
        <v>0</v>
      </c>
      <c r="K286" s="63">
        <f t="shared" si="133"/>
        <v>0</v>
      </c>
      <c r="L286" s="63">
        <f t="shared" si="126"/>
        <v>0</v>
      </c>
      <c r="M286" s="63"/>
      <c r="N286">
        <v>2080</v>
      </c>
      <c r="O286" s="320" t="s">
        <v>240</v>
      </c>
      <c r="P286" s="320" t="s">
        <v>240</v>
      </c>
      <c r="Q286" s="170">
        <f t="shared" si="136"/>
        <v>0</v>
      </c>
      <c r="R286" s="170">
        <f t="shared" si="134"/>
        <v>0</v>
      </c>
      <c r="S286" s="170">
        <f t="shared" si="134"/>
        <v>0</v>
      </c>
      <c r="T286" s="170">
        <f t="shared" si="134"/>
        <v>0</v>
      </c>
      <c r="U286" s="172">
        <f t="shared" si="128"/>
        <v>0</v>
      </c>
      <c r="W286">
        <v>2080</v>
      </c>
      <c r="Z286" s="170">
        <v>4054.5778796312275</v>
      </c>
      <c r="AA286" s="170">
        <v>3116.4277316055263</v>
      </c>
      <c r="AB286" s="170">
        <v>2135.9694370110615</v>
      </c>
      <c r="AC286" s="170">
        <v>705.48776628790267</v>
      </c>
      <c r="AD286" s="172">
        <f t="shared" si="129"/>
        <v>3468.3910232669159</v>
      </c>
      <c r="AG286">
        <v>2080</v>
      </c>
      <c r="AJ286" s="170">
        <v>4054.5778796312275</v>
      </c>
      <c r="AK286" s="170">
        <v>3116.4277316055263</v>
      </c>
      <c r="AL286" s="170">
        <v>2135.9694370110615</v>
      </c>
      <c r="AM286" s="170">
        <v>705.48776628790267</v>
      </c>
      <c r="AN286" s="172">
        <f t="shared" si="130"/>
        <v>3468.2934372695877</v>
      </c>
    </row>
    <row r="287" spans="5:40">
      <c r="E287">
        <v>2090</v>
      </c>
      <c r="F287" s="320" t="s">
        <v>240</v>
      </c>
      <c r="G287" s="320" t="s">
        <v>240</v>
      </c>
      <c r="H287" s="63">
        <f t="shared" si="135"/>
        <v>0</v>
      </c>
      <c r="I287" s="63">
        <f t="shared" si="133"/>
        <v>0</v>
      </c>
      <c r="J287" s="63">
        <f t="shared" si="133"/>
        <v>0</v>
      </c>
      <c r="K287" s="63">
        <f t="shared" si="133"/>
        <v>0</v>
      </c>
      <c r="L287" s="63">
        <f t="shared" si="126"/>
        <v>0</v>
      </c>
      <c r="M287" s="63"/>
      <c r="N287">
        <v>2090</v>
      </c>
      <c r="O287" s="320" t="s">
        <v>240</v>
      </c>
      <c r="P287" s="320" t="s">
        <v>240</v>
      </c>
      <c r="Q287" s="170">
        <f t="shared" si="136"/>
        <v>0</v>
      </c>
      <c r="R287" s="170">
        <f t="shared" si="134"/>
        <v>0</v>
      </c>
      <c r="S287" s="170">
        <f t="shared" si="134"/>
        <v>0</v>
      </c>
      <c r="T287" s="170">
        <f t="shared" si="134"/>
        <v>0</v>
      </c>
      <c r="U287" s="172">
        <f t="shared" si="128"/>
        <v>0</v>
      </c>
      <c r="W287">
        <v>2090</v>
      </c>
      <c r="Z287" s="170">
        <v>5861.255428307104</v>
      </c>
      <c r="AA287" s="170">
        <v>4505.075374322575</v>
      </c>
      <c r="AB287" s="170">
        <v>3087.7351056129733</v>
      </c>
      <c r="AC287" s="170">
        <v>1019.8457453566817</v>
      </c>
      <c r="AD287" s="172">
        <f t="shared" si="129"/>
        <v>5013.8698321078527</v>
      </c>
      <c r="AG287">
        <v>2090</v>
      </c>
      <c r="AJ287" s="170">
        <v>5861.255428307104</v>
      </c>
      <c r="AK287" s="170">
        <v>4505.075374322575</v>
      </c>
      <c r="AL287" s="170">
        <v>3087.7351056129733</v>
      </c>
      <c r="AM287" s="170">
        <v>1019.8457453566817</v>
      </c>
      <c r="AN287" s="172">
        <f t="shared" si="130"/>
        <v>5013.7287628095091</v>
      </c>
    </row>
    <row r="288" spans="5:40">
      <c r="E288">
        <v>2100</v>
      </c>
      <c r="F288" s="320" t="s">
        <v>240</v>
      </c>
      <c r="G288" s="320" t="s">
        <v>240</v>
      </c>
      <c r="H288" s="63">
        <f t="shared" si="135"/>
        <v>0</v>
      </c>
      <c r="I288" s="63">
        <f t="shared" si="133"/>
        <v>0</v>
      </c>
      <c r="J288" s="63">
        <f t="shared" si="133"/>
        <v>0</v>
      </c>
      <c r="K288" s="63">
        <f t="shared" si="133"/>
        <v>0</v>
      </c>
      <c r="L288" s="63">
        <f>SUMPRODUCT(H288:K288, H60:K60)/SUM(H60:K60)</f>
        <v>0</v>
      </c>
      <c r="M288" s="63"/>
      <c r="N288">
        <v>2100</v>
      </c>
      <c r="O288" s="320" t="s">
        <v>240</v>
      </c>
      <c r="P288" s="320" t="s">
        <v>240</v>
      </c>
      <c r="Q288" s="170">
        <f t="shared" si="136"/>
        <v>0</v>
      </c>
      <c r="R288" s="170">
        <f t="shared" si="134"/>
        <v>0</v>
      </c>
      <c r="S288" s="170">
        <f t="shared" si="134"/>
        <v>0</v>
      </c>
      <c r="T288" s="170">
        <f t="shared" si="134"/>
        <v>0</v>
      </c>
      <c r="U288" s="172">
        <f t="shared" si="128"/>
        <v>0</v>
      </c>
      <c r="W288">
        <v>2100</v>
      </c>
      <c r="Z288" s="170">
        <v>8472.9696199556274</v>
      </c>
      <c r="AA288" s="170">
        <v>6512.4899006952801</v>
      </c>
      <c r="AB288" s="170">
        <v>4463.5976139135109</v>
      </c>
      <c r="AC288" s="170">
        <v>1474.2783560865844</v>
      </c>
      <c r="AD288" s="172">
        <f t="shared" si="129"/>
        <v>7247.9978539566873</v>
      </c>
      <c r="AG288">
        <v>2100</v>
      </c>
      <c r="AJ288" s="170">
        <v>8472.9696199556274</v>
      </c>
      <c r="AK288" s="170">
        <v>6512.4899006952801</v>
      </c>
      <c r="AL288" s="170">
        <v>4463.5976139135109</v>
      </c>
      <c r="AM288" s="170">
        <v>1474.2783560865844</v>
      </c>
      <c r="AN288" s="172">
        <f t="shared" si="130"/>
        <v>7247.7939256526215</v>
      </c>
    </row>
    <row r="289" spans="5:40">
      <c r="F289" s="581" t="s">
        <v>294</v>
      </c>
      <c r="G289" s="581"/>
      <c r="H289" s="581"/>
      <c r="I289" s="581"/>
      <c r="J289" s="581"/>
      <c r="K289" s="581"/>
      <c r="L289" s="63"/>
      <c r="M289" s="63"/>
      <c r="O289" s="581" t="s">
        <v>294</v>
      </c>
      <c r="P289" s="581"/>
      <c r="Q289" s="581"/>
      <c r="R289" s="581"/>
      <c r="S289" s="581"/>
      <c r="T289" s="581"/>
      <c r="X289" s="581" t="s">
        <v>294</v>
      </c>
      <c r="Y289" s="581"/>
      <c r="Z289" s="581"/>
      <c r="AA289" s="581"/>
      <c r="AB289" s="581"/>
      <c r="AC289" s="581"/>
      <c r="AD289" s="172"/>
      <c r="AH289" s="581" t="s">
        <v>294</v>
      </c>
      <c r="AI289" s="581"/>
      <c r="AJ289" s="581"/>
      <c r="AK289" s="581"/>
      <c r="AL289" s="581"/>
      <c r="AM289" s="581"/>
    </row>
    <row r="290" spans="5:40">
      <c r="E290">
        <v>2020</v>
      </c>
      <c r="F290" s="320" t="s">
        <v>240</v>
      </c>
      <c r="G290" s="320" t="s">
        <v>240</v>
      </c>
      <c r="H290" s="63">
        <f>('Demographic-Economic'!E$24*1000*AVERAGE('Demographic-Economic'!$C12:$H12)*(1+'Inflation-Interest'!$C$65)*(1+'Inflation-Interest'!$C$66)*(1+'Inflation-Interest'!$C$67))*$C$5/H24</f>
        <v>83.18790904481834</v>
      </c>
      <c r="I290" s="63">
        <f>('Demographic-Economic'!F$24*1000*AVERAGE('Demographic-Economic'!$C12:$H12)*(1+'Inflation-Interest'!$C$65)*(1+'Inflation-Interest'!$C$66)*(1+'Inflation-Interest'!$C$67))*$C$5/I24</f>
        <v>234.95270235112156</v>
      </c>
      <c r="J290" s="63">
        <f>('Demographic-Economic'!G$24*1000*AVERAGE('Demographic-Economic'!$C12:$H12)*(1+'Inflation-Interest'!$C$65)*(1+'Inflation-Interest'!$C$66)*(1+'Inflation-Interest'!$C$67))*$C$5/J24</f>
        <v>198.96918720175819</v>
      </c>
      <c r="K290" s="63">
        <f>('Demographic-Economic'!H$24*1000*AVERAGE('Demographic-Economic'!$C12:$H12)*(1+'Inflation-Interest'!$C$65)*(1+'Inflation-Interest'!$C$66)*(1+'Inflation-Interest'!$C$67))*$C$5/K24</f>
        <v>64.890201928041208</v>
      </c>
      <c r="L290" s="63">
        <f>SUMPRODUCT(H290:K290, H24:K24)/SUM(H24:K24)</f>
        <v>121.42043549947061</v>
      </c>
      <c r="M290" s="63"/>
      <c r="N290">
        <v>2020</v>
      </c>
      <c r="O290" s="320" t="s">
        <v>240</v>
      </c>
      <c r="P290" s="320" t="s">
        <v>240</v>
      </c>
      <c r="Q290" s="170">
        <f>('Demographic-Economic'!E$24*1000*AVERAGE('Demographic-Economic'!$C12:$H12)*(1+'Inflation-Interest'!$C$65)*(1+'Inflation-Interest'!$C$66)*(1+'Inflation-Interest'!$C$67))*$C$5/Q24</f>
        <v>83.18790904481834</v>
      </c>
      <c r="R290" s="170">
        <f>('Demographic-Economic'!F$24*1000*AVERAGE('Demographic-Economic'!$C12:$H12)*(1+'Inflation-Interest'!$C$65)*(1+'Inflation-Interest'!$C$66)*(1+'Inflation-Interest'!$C$67))*$C$5/R24</f>
        <v>234.95270235112156</v>
      </c>
      <c r="S290" s="170">
        <f>('Demographic-Economic'!G$24*1000*AVERAGE('Demographic-Economic'!$C12:$H12)*(1+'Inflation-Interest'!$C$65)*(1+'Inflation-Interest'!$C$66)*(1+'Inflation-Interest'!$C$67))*$C$5/S24</f>
        <v>198.96918720175819</v>
      </c>
      <c r="T290" s="170">
        <f>('Demographic-Economic'!H$24*1000*AVERAGE('Demographic-Economic'!$C12:$H12)*(1+'Inflation-Interest'!$C$65)*(1+'Inflation-Interest'!$C$66)*(1+'Inflation-Interest'!$C$67))*$C$5/T24</f>
        <v>64.890201928041208</v>
      </c>
      <c r="U290" s="172">
        <f>SUMPRODUCT(Q290:T290, Q24:T24)/SUM(Q24:T24)</f>
        <v>121.42043549947061</v>
      </c>
      <c r="W290">
        <v>2020</v>
      </c>
      <c r="Z290" s="170">
        <v>207.9697726120458</v>
      </c>
      <c r="AA290" s="170">
        <v>587.38175587780381</v>
      </c>
      <c r="AB290" s="170">
        <v>497.42296800439544</v>
      </c>
      <c r="AC290" s="170">
        <v>162.225504820103</v>
      </c>
      <c r="AD290" s="172">
        <f>SUMPRODUCT(Z290:AC290, Z24:AC24)/SUM(Z24:AC24)</f>
        <v>303.55108874867653</v>
      </c>
      <c r="AG290">
        <v>2020</v>
      </c>
      <c r="AH290" t="s">
        <v>240</v>
      </c>
      <c r="AI290" t="s">
        <v>240</v>
      </c>
      <c r="AJ290" s="170">
        <v>207.9697726120458</v>
      </c>
      <c r="AK290" s="170">
        <v>587.38175587780381</v>
      </c>
      <c r="AL290" s="170">
        <v>497.42296800439544</v>
      </c>
      <c r="AM290" s="170">
        <v>162.225504820103</v>
      </c>
      <c r="AN290" s="172">
        <f>SUMPRODUCT(AJ290:AM290, AJ24:AM24)/SUM(AJ24:AM24)</f>
        <v>303.55108874867653</v>
      </c>
    </row>
    <row r="291" spans="5:40">
      <c r="E291">
        <v>2021</v>
      </c>
      <c r="F291" s="320" t="s">
        <v>240</v>
      </c>
      <c r="G291" s="320" t="s">
        <v>240</v>
      </c>
      <c r="H291" s="63">
        <f t="shared" ref="H291:K300" si="137">H290*(1+$C$6)</f>
        <v>86.310713827103285</v>
      </c>
      <c r="I291" s="63">
        <f t="shared" si="137"/>
        <v>243.77263100346403</v>
      </c>
      <c r="J291" s="63">
        <f t="shared" si="137"/>
        <v>206.43832468165618</v>
      </c>
      <c r="K291" s="63">
        <f t="shared" si="137"/>
        <v>67.326126033251597</v>
      </c>
      <c r="L291" s="63">
        <f t="shared" ref="L291:L307" si="138">SUMPRODUCT(H291:K291, H25:K25)/SUM(H25:K25)</f>
        <v>125.98750474226055</v>
      </c>
      <c r="M291" s="63"/>
      <c r="N291">
        <v>2021</v>
      </c>
      <c r="O291" s="320" t="s">
        <v>240</v>
      </c>
      <c r="P291" s="320" t="s">
        <v>240</v>
      </c>
      <c r="Q291" s="63">
        <f t="shared" ref="Q291:T300" si="139">Q290*(1+$C$6)</f>
        <v>86.310713827103285</v>
      </c>
      <c r="R291" s="63">
        <f t="shared" si="139"/>
        <v>243.77263100346403</v>
      </c>
      <c r="S291" s="63">
        <f t="shared" si="139"/>
        <v>206.43832468165618</v>
      </c>
      <c r="T291" s="63">
        <f t="shared" si="139"/>
        <v>67.326126033251597</v>
      </c>
      <c r="U291" s="172">
        <f t="shared" ref="U291:U307" si="140">SUMPRODUCT(Q291:T291, Q25:T25)/SUM(Q25:T25)</f>
        <v>125.98750474226055</v>
      </c>
      <c r="W291">
        <v>2021</v>
      </c>
      <c r="Z291" s="170">
        <v>215.77678456775817</v>
      </c>
      <c r="AA291" s="170">
        <v>609.43157750865998</v>
      </c>
      <c r="AB291" s="170">
        <v>516.09581170414049</v>
      </c>
      <c r="AC291" s="170">
        <v>168.31531508312898</v>
      </c>
      <c r="AD291" s="172">
        <f t="shared" ref="AD291:AD307" si="141">SUMPRODUCT(Z291:AC291, Z25:AC25)/SUM(Z25:AC25)</f>
        <v>314.96876185565139</v>
      </c>
      <c r="AG291">
        <v>2021</v>
      </c>
      <c r="AH291" t="s">
        <v>240</v>
      </c>
      <c r="AI291" t="s">
        <v>240</v>
      </c>
      <c r="AJ291" s="170">
        <v>215.77678456775817</v>
      </c>
      <c r="AK291" s="170">
        <v>609.43157750865998</v>
      </c>
      <c r="AL291" s="170">
        <v>516.09581170414049</v>
      </c>
      <c r="AM291" s="170">
        <v>168.31531508312898</v>
      </c>
      <c r="AN291" s="172">
        <f t="shared" ref="AN291:AN307" si="142">SUMPRODUCT(AJ291:AM291, AJ25:AM25)/SUM(AJ25:AM25)</f>
        <v>314.96876185565139</v>
      </c>
    </row>
    <row r="292" spans="5:40">
      <c r="E292">
        <v>2022</v>
      </c>
      <c r="F292" s="320" t="s">
        <v>240</v>
      </c>
      <c r="G292" s="320" t="s">
        <v>240</v>
      </c>
      <c r="H292" s="63">
        <f t="shared" si="137"/>
        <v>89.550746098577889</v>
      </c>
      <c r="I292" s="63">
        <f t="shared" si="137"/>
        <v>252.92365242747491</v>
      </c>
      <c r="J292" s="63">
        <f t="shared" si="137"/>
        <v>214.18784735826833</v>
      </c>
      <c r="K292" s="63">
        <f t="shared" si="137"/>
        <v>69.853492699434838</v>
      </c>
      <c r="L292" s="63">
        <f t="shared" si="138"/>
        <v>130.72410541211553</v>
      </c>
      <c r="M292" s="63"/>
      <c r="N292">
        <v>2022</v>
      </c>
      <c r="O292" s="320" t="s">
        <v>240</v>
      </c>
      <c r="P292" s="320" t="s">
        <v>240</v>
      </c>
      <c r="Q292" s="63">
        <f t="shared" si="139"/>
        <v>89.550746098577889</v>
      </c>
      <c r="R292" s="63">
        <f t="shared" si="139"/>
        <v>252.92365242747491</v>
      </c>
      <c r="S292" s="63">
        <f t="shared" si="139"/>
        <v>214.18784735826833</v>
      </c>
      <c r="T292" s="63">
        <f t="shared" si="139"/>
        <v>69.853492699434838</v>
      </c>
      <c r="U292" s="172">
        <f t="shared" si="140"/>
        <v>130.72423283071785</v>
      </c>
      <c r="W292">
        <v>2022</v>
      </c>
      <c r="Z292" s="170">
        <v>223.87686524644468</v>
      </c>
      <c r="AA292" s="170">
        <v>632.30913106868718</v>
      </c>
      <c r="AB292" s="170">
        <v>535.46961839567086</v>
      </c>
      <c r="AC292" s="170">
        <v>174.63373174858708</v>
      </c>
      <c r="AD292" s="172">
        <f t="shared" si="141"/>
        <v>326.81087702429642</v>
      </c>
      <c r="AG292">
        <v>2022</v>
      </c>
      <c r="AH292" t="s">
        <v>240</v>
      </c>
      <c r="AI292" t="s">
        <v>240</v>
      </c>
      <c r="AJ292" s="170">
        <v>223.87686524644468</v>
      </c>
      <c r="AK292" s="170">
        <v>632.30913106868718</v>
      </c>
      <c r="AL292" s="170">
        <v>535.46961839567086</v>
      </c>
      <c r="AM292" s="170">
        <v>174.63373174858708</v>
      </c>
      <c r="AN292" s="172">
        <f t="shared" si="142"/>
        <v>326.81030472829173</v>
      </c>
    </row>
    <row r="293" spans="5:40">
      <c r="E293">
        <v>2023</v>
      </c>
      <c r="F293" s="320" t="s">
        <v>240</v>
      </c>
      <c r="G293" s="320" t="s">
        <v>240</v>
      </c>
      <c r="H293" s="63">
        <f t="shared" si="137"/>
        <v>92.91240648149676</v>
      </c>
      <c r="I293" s="63">
        <f t="shared" si="137"/>
        <v>262.41819556989196</v>
      </c>
      <c r="J293" s="63">
        <f t="shared" si="137"/>
        <v>222.22828065822492</v>
      </c>
      <c r="K293" s="63">
        <f t="shared" si="137"/>
        <v>72.475734604127709</v>
      </c>
      <c r="L293" s="63">
        <f t="shared" si="138"/>
        <v>135.63671054638826</v>
      </c>
      <c r="M293" s="63"/>
      <c r="N293">
        <v>2023</v>
      </c>
      <c r="O293" s="320" t="s">
        <v>240</v>
      </c>
      <c r="P293" s="320" t="s">
        <v>240</v>
      </c>
      <c r="Q293" s="63">
        <f t="shared" si="139"/>
        <v>92.91240648149676</v>
      </c>
      <c r="R293" s="63">
        <f t="shared" si="139"/>
        <v>262.41819556989196</v>
      </c>
      <c r="S293" s="63">
        <f t="shared" si="139"/>
        <v>222.22828065822492</v>
      </c>
      <c r="T293" s="63">
        <f t="shared" si="139"/>
        <v>72.475734604127709</v>
      </c>
      <c r="U293" s="172">
        <f t="shared" si="140"/>
        <v>135.63702387673561</v>
      </c>
      <c r="W293">
        <v>2023</v>
      </c>
      <c r="Z293" s="170">
        <v>232.28101620374184</v>
      </c>
      <c r="AA293" s="170">
        <v>656.04548892472985</v>
      </c>
      <c r="AB293" s="170">
        <v>555.57070164556239</v>
      </c>
      <c r="AC293" s="170">
        <v>181.18933651031927</v>
      </c>
      <c r="AD293" s="172">
        <f t="shared" si="141"/>
        <v>339.09329771562051</v>
      </c>
      <c r="AG293">
        <v>2023</v>
      </c>
      <c r="AH293" t="s">
        <v>240</v>
      </c>
      <c r="AI293" t="s">
        <v>240</v>
      </c>
      <c r="AJ293" s="170">
        <v>232.28101620374184</v>
      </c>
      <c r="AK293" s="170">
        <v>656.04548892472985</v>
      </c>
      <c r="AL293" s="170">
        <v>555.57070164556239</v>
      </c>
      <c r="AM293" s="170">
        <v>181.18933651031927</v>
      </c>
      <c r="AN293" s="172">
        <f t="shared" si="142"/>
        <v>339.09187689285068</v>
      </c>
    </row>
    <row r="294" spans="5:40">
      <c r="E294">
        <v>2024</v>
      </c>
      <c r="F294" s="320" t="s">
        <v>240</v>
      </c>
      <c r="G294" s="320" t="s">
        <v>240</v>
      </c>
      <c r="H294" s="63">
        <f t="shared" si="137"/>
        <v>96.400260793806751</v>
      </c>
      <c r="I294" s="63">
        <f t="shared" si="137"/>
        <v>272.26915594975605</v>
      </c>
      <c r="J294" s="63">
        <f t="shared" si="137"/>
        <v>230.57054512390081</v>
      </c>
      <c r="K294" s="63">
        <f t="shared" si="137"/>
        <v>75.19641328472116</v>
      </c>
      <c r="L294" s="63">
        <f t="shared" si="138"/>
        <v>140.73201603332407</v>
      </c>
      <c r="M294" s="63"/>
      <c r="N294">
        <v>2024</v>
      </c>
      <c r="O294" s="320" t="s">
        <v>240</v>
      </c>
      <c r="P294" s="320" t="s">
        <v>240</v>
      </c>
      <c r="Q294" s="63">
        <f t="shared" si="139"/>
        <v>96.400260793806751</v>
      </c>
      <c r="R294" s="63">
        <f t="shared" si="139"/>
        <v>272.26915594975605</v>
      </c>
      <c r="S294" s="63">
        <f t="shared" si="139"/>
        <v>230.57054512390081</v>
      </c>
      <c r="T294" s="63">
        <f t="shared" si="139"/>
        <v>75.19641328472116</v>
      </c>
      <c r="U294" s="172">
        <f t="shared" si="140"/>
        <v>140.73251706961753</v>
      </c>
      <c r="W294">
        <v>2024</v>
      </c>
      <c r="Z294" s="170">
        <v>241.00065198451682</v>
      </c>
      <c r="AA294" s="170">
        <v>680.67288987439008</v>
      </c>
      <c r="AB294" s="170">
        <v>576.42636280975216</v>
      </c>
      <c r="AC294" s="170">
        <v>187.99103321180289</v>
      </c>
      <c r="AD294" s="172">
        <f t="shared" si="141"/>
        <v>351.83248938895315</v>
      </c>
      <c r="AG294">
        <v>2024</v>
      </c>
      <c r="AH294" t="s">
        <v>240</v>
      </c>
      <c r="AI294" t="s">
        <v>240</v>
      </c>
      <c r="AJ294" s="170">
        <v>241.00065198451682</v>
      </c>
      <c r="AK294" s="170">
        <v>680.67288987439008</v>
      </c>
      <c r="AL294" s="170">
        <v>576.42636280975216</v>
      </c>
      <c r="AM294" s="170">
        <v>187.99103321180289</v>
      </c>
      <c r="AN294" s="172">
        <f t="shared" si="142"/>
        <v>351.83019985148979</v>
      </c>
    </row>
    <row r="295" spans="5:40">
      <c r="E295">
        <v>2025</v>
      </c>
      <c r="F295" s="320" t="s">
        <v>240</v>
      </c>
      <c r="G295" s="320" t="s">
        <v>240</v>
      </c>
      <c r="H295" s="63">
        <f t="shared" si="137"/>
        <v>100.0190462504556</v>
      </c>
      <c r="I295" s="63">
        <f t="shared" si="137"/>
        <v>282.48991317314659</v>
      </c>
      <c r="J295" s="63">
        <f t="shared" si="137"/>
        <v>239.22597124573113</v>
      </c>
      <c r="K295" s="63">
        <f t="shared" si="137"/>
        <v>78.019223975751856</v>
      </c>
      <c r="L295" s="63">
        <f t="shared" si="138"/>
        <v>146.01695250114187</v>
      </c>
      <c r="M295" s="63"/>
      <c r="N295">
        <v>2025</v>
      </c>
      <c r="O295" s="320" t="s">
        <v>240</v>
      </c>
      <c r="P295" s="320" t="s">
        <v>240</v>
      </c>
      <c r="Q295" s="63">
        <f t="shared" si="139"/>
        <v>100.0190462504556</v>
      </c>
      <c r="R295" s="63">
        <f t="shared" si="139"/>
        <v>282.48991317314659</v>
      </c>
      <c r="S295" s="63">
        <f t="shared" si="139"/>
        <v>239.22597124573113</v>
      </c>
      <c r="T295" s="63">
        <f t="shared" si="139"/>
        <v>78.019223975751856</v>
      </c>
      <c r="U295" s="172">
        <f t="shared" si="140"/>
        <v>146.01759582129338</v>
      </c>
      <c r="W295">
        <v>2025</v>
      </c>
      <c r="Z295" s="170">
        <v>250.04761562613893</v>
      </c>
      <c r="AA295" s="170">
        <v>706.22478293286645</v>
      </c>
      <c r="AB295" s="170">
        <v>598.06492811432793</v>
      </c>
      <c r="AC295" s="170">
        <v>195.04805993937961</v>
      </c>
      <c r="AD295" s="172">
        <f t="shared" si="141"/>
        <v>365.04554085709321</v>
      </c>
      <c r="AG295">
        <v>2025</v>
      </c>
      <c r="AH295" t="s">
        <v>240</v>
      </c>
      <c r="AI295" t="s">
        <v>240</v>
      </c>
      <c r="AJ295" s="170">
        <v>250.04761562613893</v>
      </c>
      <c r="AK295" s="170">
        <v>706.22478293286645</v>
      </c>
      <c r="AL295" s="170">
        <v>598.06492811432793</v>
      </c>
      <c r="AM295" s="170">
        <v>195.04805993937961</v>
      </c>
      <c r="AN295" s="172">
        <f t="shared" si="142"/>
        <v>365.04258554530873</v>
      </c>
    </row>
    <row r="296" spans="5:40">
      <c r="E296">
        <v>2026</v>
      </c>
      <c r="F296" s="320" t="s">
        <v>240</v>
      </c>
      <c r="G296" s="320" t="s">
        <v>240</v>
      </c>
      <c r="H296" s="63">
        <f t="shared" si="137"/>
        <v>103.7736778974925</v>
      </c>
      <c r="I296" s="63">
        <f t="shared" si="137"/>
        <v>293.09434910540551</v>
      </c>
      <c r="J296" s="63">
        <f t="shared" si="137"/>
        <v>248.20631485131983</v>
      </c>
      <c r="K296" s="63">
        <f t="shared" si="137"/>
        <v>80.948000627781596</v>
      </c>
      <c r="L296" s="63">
        <f t="shared" si="138"/>
        <v>151.49869687112587</v>
      </c>
      <c r="M296" s="63"/>
      <c r="N296">
        <v>2026</v>
      </c>
      <c r="O296" s="320" t="s">
        <v>240</v>
      </c>
      <c r="P296" s="320" t="s">
        <v>240</v>
      </c>
      <c r="Q296" s="63">
        <f t="shared" si="139"/>
        <v>103.7736778974925</v>
      </c>
      <c r="R296" s="63">
        <f t="shared" si="139"/>
        <v>293.09434910540551</v>
      </c>
      <c r="S296" s="63">
        <f t="shared" si="139"/>
        <v>248.20631485131983</v>
      </c>
      <c r="T296" s="63">
        <f t="shared" si="139"/>
        <v>80.948000627781596</v>
      </c>
      <c r="U296" s="172">
        <f t="shared" si="140"/>
        <v>151.49939722618907</v>
      </c>
      <c r="W296">
        <v>2026</v>
      </c>
      <c r="Z296" s="170">
        <v>259.43419474373115</v>
      </c>
      <c r="AA296" s="170">
        <v>732.73587276351384</v>
      </c>
      <c r="AB296" s="170">
        <v>620.51578712829973</v>
      </c>
      <c r="AC296" s="170">
        <v>202.37000156945399</v>
      </c>
      <c r="AD296" s="172">
        <f t="shared" si="141"/>
        <v>378.75018650837046</v>
      </c>
      <c r="AG296">
        <v>2026</v>
      </c>
      <c r="AH296" t="s">
        <v>240</v>
      </c>
      <c r="AI296" t="s">
        <v>240</v>
      </c>
      <c r="AJ296" s="170">
        <v>259.43419474373115</v>
      </c>
      <c r="AK296" s="170">
        <v>732.73587276351384</v>
      </c>
      <c r="AL296" s="170">
        <v>620.51578712829973</v>
      </c>
      <c r="AM296" s="170">
        <v>202.37000156945399</v>
      </c>
      <c r="AN296" s="172">
        <f t="shared" si="142"/>
        <v>378.74696432440953</v>
      </c>
    </row>
    <row r="297" spans="5:40">
      <c r="E297">
        <v>2027</v>
      </c>
      <c r="F297" s="320" t="s">
        <v>240</v>
      </c>
      <c r="G297" s="320" t="s">
        <v>240</v>
      </c>
      <c r="H297" s="63">
        <f t="shared" si="137"/>
        <v>107.66925528769946</v>
      </c>
      <c r="I297" s="63">
        <f t="shared" si="137"/>
        <v>304.09686672553153</v>
      </c>
      <c r="J297" s="63">
        <f t="shared" si="137"/>
        <v>257.52377307224265</v>
      </c>
      <c r="K297" s="63">
        <f t="shared" si="137"/>
        <v>83.98672111468133</v>
      </c>
      <c r="L297" s="63">
        <f t="shared" si="138"/>
        <v>157.18468375906255</v>
      </c>
      <c r="M297" s="63"/>
      <c r="N297">
        <v>2027</v>
      </c>
      <c r="O297" s="320" t="s">
        <v>240</v>
      </c>
      <c r="P297" s="320" t="s">
        <v>240</v>
      </c>
      <c r="Q297" s="63">
        <f t="shared" si="139"/>
        <v>107.66925528769946</v>
      </c>
      <c r="R297" s="63">
        <f t="shared" si="139"/>
        <v>304.09686672553153</v>
      </c>
      <c r="S297" s="63">
        <f t="shared" si="139"/>
        <v>257.52377307224265</v>
      </c>
      <c r="T297" s="63">
        <f t="shared" si="139"/>
        <v>83.98672111468133</v>
      </c>
      <c r="U297" s="172">
        <f t="shared" si="140"/>
        <v>157.18532184891581</v>
      </c>
      <c r="W297">
        <v>2027</v>
      </c>
      <c r="Z297" s="170">
        <v>269.17313821924853</v>
      </c>
      <c r="AA297" s="170">
        <v>760.24216681382882</v>
      </c>
      <c r="AB297" s="170">
        <v>643.80943268060685</v>
      </c>
      <c r="AC297" s="170">
        <v>209.96680278670331</v>
      </c>
      <c r="AD297" s="172">
        <f t="shared" si="141"/>
        <v>392.96482943741171</v>
      </c>
      <c r="AG297">
        <v>2027</v>
      </c>
      <c r="AH297" t="s">
        <v>240</v>
      </c>
      <c r="AI297" t="s">
        <v>240</v>
      </c>
      <c r="AJ297" s="170">
        <v>269.17313821924853</v>
      </c>
      <c r="AK297" s="170">
        <v>760.24216681382882</v>
      </c>
      <c r="AL297" s="170">
        <v>643.80943268060685</v>
      </c>
      <c r="AM297" s="170">
        <v>209.96680278670331</v>
      </c>
      <c r="AN297" s="172">
        <f t="shared" si="142"/>
        <v>392.96191278145005</v>
      </c>
    </row>
    <row r="298" spans="5:40">
      <c r="E298">
        <v>2028</v>
      </c>
      <c r="F298" s="320" t="s">
        <v>240</v>
      </c>
      <c r="G298" s="320" t="s">
        <v>240</v>
      </c>
      <c r="H298" s="63">
        <f t="shared" si="137"/>
        <v>111.71106940682029</v>
      </c>
      <c r="I298" s="63">
        <f t="shared" si="137"/>
        <v>315.51240968835236</v>
      </c>
      <c r="J298" s="63">
        <f t="shared" si="137"/>
        <v>267.1910009102304</v>
      </c>
      <c r="K298" s="63">
        <f t="shared" si="137"/>
        <v>87.139512636392212</v>
      </c>
      <c r="L298" s="63">
        <f t="shared" si="138"/>
        <v>163.08261686071984</v>
      </c>
      <c r="M298" s="63"/>
      <c r="N298">
        <v>2028</v>
      </c>
      <c r="O298" s="320" t="s">
        <v>240</v>
      </c>
      <c r="P298" s="320" t="s">
        <v>240</v>
      </c>
      <c r="Q298" s="63">
        <f t="shared" si="139"/>
        <v>111.71106940682029</v>
      </c>
      <c r="R298" s="63">
        <f t="shared" si="139"/>
        <v>315.51240968835236</v>
      </c>
      <c r="S298" s="63">
        <f t="shared" si="139"/>
        <v>267.1910009102304</v>
      </c>
      <c r="T298" s="63">
        <f t="shared" si="139"/>
        <v>87.139512636392212</v>
      </c>
      <c r="U298" s="172">
        <f t="shared" si="140"/>
        <v>163.08304385360944</v>
      </c>
      <c r="W298">
        <v>2028</v>
      </c>
      <c r="Z298" s="170">
        <v>279.27767351705063</v>
      </c>
      <c r="AA298" s="170">
        <v>788.78102422088091</v>
      </c>
      <c r="AB298" s="170">
        <v>667.97750227557628</v>
      </c>
      <c r="AC298" s="170">
        <v>217.84878159098051</v>
      </c>
      <c r="AD298" s="172">
        <f t="shared" si="141"/>
        <v>407.70856552399812</v>
      </c>
      <c r="AG298">
        <v>2028</v>
      </c>
      <c r="AH298" t="s">
        <v>240</v>
      </c>
      <c r="AI298" t="s">
        <v>240</v>
      </c>
      <c r="AJ298" s="170">
        <v>279.27767351705063</v>
      </c>
      <c r="AK298" s="170">
        <v>788.78102422088091</v>
      </c>
      <c r="AL298" s="170">
        <v>667.97750227557628</v>
      </c>
      <c r="AM298" s="170">
        <v>217.84878159098051</v>
      </c>
      <c r="AN298" s="172">
        <f t="shared" si="142"/>
        <v>407.70668171740965</v>
      </c>
    </row>
    <row r="299" spans="5:40">
      <c r="E299">
        <v>2029</v>
      </c>
      <c r="F299" s="320" t="s">
        <v>240</v>
      </c>
      <c r="G299" s="320" t="s">
        <v>240</v>
      </c>
      <c r="H299" s="63">
        <f t="shared" si="137"/>
        <v>115.90460985979448</v>
      </c>
      <c r="I299" s="63">
        <f t="shared" si="137"/>
        <v>327.35648262104502</v>
      </c>
      <c r="J299" s="63">
        <f t="shared" si="137"/>
        <v>277.22112842523302</v>
      </c>
      <c r="K299" s="63">
        <f t="shared" si="137"/>
        <v>90.410657324501841</v>
      </c>
      <c r="L299" s="63">
        <f t="shared" si="138"/>
        <v>169.20048042380182</v>
      </c>
      <c r="M299" s="63"/>
      <c r="N299">
        <v>2029</v>
      </c>
      <c r="O299" s="320" t="s">
        <v>240</v>
      </c>
      <c r="P299" s="320" t="s">
        <v>240</v>
      </c>
      <c r="Q299" s="63">
        <f t="shared" si="139"/>
        <v>115.90460985979448</v>
      </c>
      <c r="R299" s="63">
        <f t="shared" si="139"/>
        <v>327.35648262104502</v>
      </c>
      <c r="S299" s="63">
        <f t="shared" si="139"/>
        <v>277.22112842523302</v>
      </c>
      <c r="T299" s="63">
        <f t="shared" si="139"/>
        <v>90.410657324501841</v>
      </c>
      <c r="U299" s="172">
        <f t="shared" si="140"/>
        <v>169.20052148934886</v>
      </c>
      <c r="W299">
        <v>2029</v>
      </c>
      <c r="Z299" s="170">
        <v>289.76152464948609</v>
      </c>
      <c r="AA299" s="170">
        <v>818.39120655261263</v>
      </c>
      <c r="AB299" s="170">
        <v>693.05282106308289</v>
      </c>
      <c r="AC299" s="170">
        <v>226.02664331125459</v>
      </c>
      <c r="AD299" s="172">
        <f t="shared" si="141"/>
        <v>423.001208497638</v>
      </c>
      <c r="AG299">
        <v>2029</v>
      </c>
      <c r="AH299" t="s">
        <v>240</v>
      </c>
      <c r="AI299" t="s">
        <v>240</v>
      </c>
      <c r="AJ299" s="170">
        <v>289.76152464948609</v>
      </c>
      <c r="AK299" s="170">
        <v>818.39120655261263</v>
      </c>
      <c r="AL299" s="170">
        <v>693.05282106308289</v>
      </c>
      <c r="AM299" s="170">
        <v>226.02664331125459</v>
      </c>
      <c r="AN299" s="172">
        <f t="shared" si="142"/>
        <v>423.00122444722501</v>
      </c>
    </row>
    <row r="300" spans="5:40">
      <c r="E300">
        <v>2030</v>
      </c>
      <c r="F300" s="320" t="s">
        <v>240</v>
      </c>
      <c r="G300" s="320" t="s">
        <v>240</v>
      </c>
      <c r="H300" s="63">
        <f t="shared" si="137"/>
        <v>120.25557232675628</v>
      </c>
      <c r="I300" s="63">
        <f t="shared" si="137"/>
        <v>339.64517218157022</v>
      </c>
      <c r="J300" s="63">
        <f t="shared" si="137"/>
        <v>287.62777856870923</v>
      </c>
      <c r="K300" s="63">
        <f t="shared" si="137"/>
        <v>93.804598058249198</v>
      </c>
      <c r="L300" s="63">
        <f t="shared" si="138"/>
        <v>175.54655088573367</v>
      </c>
      <c r="M300" s="63"/>
      <c r="N300">
        <v>2030</v>
      </c>
      <c r="O300" s="320" t="s">
        <v>240</v>
      </c>
      <c r="P300" s="320" t="s">
        <v>240</v>
      </c>
      <c r="Q300" s="63">
        <f t="shared" si="139"/>
        <v>120.25557232675628</v>
      </c>
      <c r="R300" s="63">
        <f t="shared" si="139"/>
        <v>339.64517218157022</v>
      </c>
      <c r="S300" s="63">
        <f t="shared" si="139"/>
        <v>287.62777856870923</v>
      </c>
      <c r="T300" s="63">
        <f t="shared" si="139"/>
        <v>93.804598058249198</v>
      </c>
      <c r="U300" s="172">
        <f t="shared" si="140"/>
        <v>175.5460079466373</v>
      </c>
      <c r="W300">
        <v>2030</v>
      </c>
      <c r="Z300" s="170">
        <v>300.63893081689059</v>
      </c>
      <c r="AA300" s="170">
        <v>849.11293045392563</v>
      </c>
      <c r="AB300" s="170">
        <v>719.06944642177348</v>
      </c>
      <c r="AC300" s="170">
        <v>234.511495145623</v>
      </c>
      <c r="AD300" s="172">
        <f t="shared" si="141"/>
        <v>438.86331602432273</v>
      </c>
      <c r="AG300">
        <v>2030</v>
      </c>
      <c r="AH300" t="s">
        <v>240</v>
      </c>
      <c r="AI300" t="s">
        <v>240</v>
      </c>
      <c r="AJ300" s="170">
        <v>300.63893081689059</v>
      </c>
      <c r="AK300" s="170">
        <v>849.11293045392563</v>
      </c>
      <c r="AL300" s="170">
        <v>719.06944642177348</v>
      </c>
      <c r="AM300" s="170">
        <v>234.511495145623</v>
      </c>
      <c r="AN300" s="172">
        <f t="shared" si="142"/>
        <v>438.86622560994709</v>
      </c>
    </row>
    <row r="301" spans="5:40">
      <c r="E301">
        <v>2040</v>
      </c>
      <c r="F301" s="320" t="s">
        <v>240</v>
      </c>
      <c r="G301" s="320" t="s">
        <v>240</v>
      </c>
      <c r="H301" s="63">
        <f t="shared" ref="H301:K307" si="143">H300*(1+$C$6)^10</f>
        <v>173.84019915495747</v>
      </c>
      <c r="I301" s="63">
        <f t="shared" si="143"/>
        <v>490.98751294144392</v>
      </c>
      <c r="J301" s="63">
        <f t="shared" si="143"/>
        <v>415.7917121130975</v>
      </c>
      <c r="K301" s="63">
        <f t="shared" si="143"/>
        <v>135.60294706167682</v>
      </c>
      <c r="L301" s="63">
        <f t="shared" si="138"/>
        <v>253.67096641953265</v>
      </c>
      <c r="M301" s="63"/>
      <c r="N301">
        <v>2040</v>
      </c>
      <c r="O301" s="320" t="s">
        <v>240</v>
      </c>
      <c r="P301" s="320" t="s">
        <v>240</v>
      </c>
      <c r="Q301" s="63">
        <f t="shared" ref="Q301:T307" si="144">Q300*(1+$C$6)^10</f>
        <v>173.84019915495747</v>
      </c>
      <c r="R301" s="63">
        <f t="shared" si="144"/>
        <v>490.98751294144392</v>
      </c>
      <c r="S301" s="63">
        <f t="shared" si="144"/>
        <v>415.7917121130975</v>
      </c>
      <c r="T301" s="63">
        <f t="shared" si="144"/>
        <v>135.60294706167682</v>
      </c>
      <c r="U301" s="172">
        <f t="shared" si="140"/>
        <v>253.65932195596989</v>
      </c>
      <c r="W301">
        <v>2040</v>
      </c>
      <c r="Z301" s="170">
        <v>434.60049788739354</v>
      </c>
      <c r="AA301" s="170">
        <v>1227.4687823536099</v>
      </c>
      <c r="AB301" s="170">
        <v>1039.4792802827444</v>
      </c>
      <c r="AC301" s="170">
        <v>339.00736765419202</v>
      </c>
      <c r="AD301" s="172">
        <f t="shared" si="141"/>
        <v>634.11571315538572</v>
      </c>
      <c r="AG301">
        <v>2040</v>
      </c>
      <c r="AH301" t="s">
        <v>240</v>
      </c>
      <c r="AI301" t="s">
        <v>240</v>
      </c>
      <c r="AJ301" s="170">
        <v>434.60049788739354</v>
      </c>
      <c r="AK301" s="170">
        <v>1227.4687823536099</v>
      </c>
      <c r="AL301" s="170">
        <v>1039.4792802827444</v>
      </c>
      <c r="AM301" s="170">
        <v>339.00736765419202</v>
      </c>
      <c r="AN301" s="172">
        <f t="shared" si="142"/>
        <v>634.17395160046772</v>
      </c>
    </row>
    <row r="302" spans="5:40">
      <c r="E302">
        <v>2050</v>
      </c>
      <c r="F302" s="320" t="s">
        <v>240</v>
      </c>
      <c r="G302" s="320" t="s">
        <v>240</v>
      </c>
      <c r="H302" s="63">
        <f t="shared" si="143"/>
        <v>251.30157594793954</v>
      </c>
      <c r="I302" s="63">
        <f t="shared" si="143"/>
        <v>709.76641980811701</v>
      </c>
      <c r="J302" s="63">
        <f t="shared" si="143"/>
        <v>601.06415563280621</v>
      </c>
      <c r="K302" s="63">
        <f t="shared" si="143"/>
        <v>196.02620375169195</v>
      </c>
      <c r="L302" s="63">
        <f t="shared" si="138"/>
        <v>366.70409918618344</v>
      </c>
      <c r="M302" s="63"/>
      <c r="N302">
        <v>2050</v>
      </c>
      <c r="O302" s="320" t="s">
        <v>240</v>
      </c>
      <c r="P302" s="320" t="s">
        <v>240</v>
      </c>
      <c r="Q302" s="63">
        <f t="shared" si="144"/>
        <v>251.30157594793954</v>
      </c>
      <c r="R302" s="63">
        <f t="shared" si="144"/>
        <v>709.76641980811701</v>
      </c>
      <c r="S302" s="63">
        <f t="shared" si="144"/>
        <v>601.06415563280621</v>
      </c>
      <c r="T302" s="63">
        <f t="shared" si="144"/>
        <v>196.02620375169195</v>
      </c>
      <c r="U302" s="172">
        <f t="shared" si="140"/>
        <v>366.68726607129616</v>
      </c>
      <c r="W302">
        <v>2050</v>
      </c>
      <c r="Z302" s="170">
        <v>628.25393986984864</v>
      </c>
      <c r="AA302" s="170">
        <v>1774.4160495202925</v>
      </c>
      <c r="AB302" s="170">
        <v>1502.6603890820165</v>
      </c>
      <c r="AC302" s="170">
        <v>490.06550937922987</v>
      </c>
      <c r="AD302" s="172">
        <f t="shared" si="141"/>
        <v>916.67105090724692</v>
      </c>
      <c r="AG302">
        <v>2050</v>
      </c>
      <c r="AH302" t="s">
        <v>240</v>
      </c>
      <c r="AI302" t="s">
        <v>240</v>
      </c>
      <c r="AJ302" s="170">
        <v>628.25393986984864</v>
      </c>
      <c r="AK302" s="170">
        <v>1774.4160495202925</v>
      </c>
      <c r="AL302" s="170">
        <v>1502.6603890820165</v>
      </c>
      <c r="AM302" s="170">
        <v>490.06550937922987</v>
      </c>
      <c r="AN302" s="172">
        <f t="shared" si="142"/>
        <v>916.7552397950933</v>
      </c>
    </row>
    <row r="303" spans="5:40">
      <c r="E303">
        <v>2060</v>
      </c>
      <c r="F303" s="320" t="s">
        <v>240</v>
      </c>
      <c r="G303" s="320" t="s">
        <v>240</v>
      </c>
      <c r="H303" s="63">
        <f t="shared" si="143"/>
        <v>363.27893307131592</v>
      </c>
      <c r="I303" s="63">
        <f t="shared" si="143"/>
        <v>1026.0309221903012</v>
      </c>
      <c r="J303" s="63">
        <f t="shared" si="143"/>
        <v>868.89206461216997</v>
      </c>
      <c r="K303" s="63">
        <f t="shared" si="143"/>
        <v>283.37343243596524</v>
      </c>
      <c r="L303" s="63">
        <f t="shared" si="138"/>
        <v>530.10361515931027</v>
      </c>
      <c r="M303" s="63"/>
      <c r="N303">
        <v>2060</v>
      </c>
      <c r="O303" s="320" t="s">
        <v>240</v>
      </c>
      <c r="P303" s="320" t="s">
        <v>240</v>
      </c>
      <c r="Q303" s="63">
        <f t="shared" si="144"/>
        <v>363.27893307131592</v>
      </c>
      <c r="R303" s="63">
        <f t="shared" si="144"/>
        <v>1026.0309221903012</v>
      </c>
      <c r="S303" s="63">
        <f t="shared" si="144"/>
        <v>868.89206461216997</v>
      </c>
      <c r="T303" s="63">
        <f t="shared" si="144"/>
        <v>283.37343243596524</v>
      </c>
      <c r="U303" s="172">
        <f t="shared" si="140"/>
        <v>530.07928138426962</v>
      </c>
      <c r="W303">
        <v>2060</v>
      </c>
      <c r="Z303" s="170">
        <v>908.1973326782894</v>
      </c>
      <c r="AA303" s="170">
        <v>2565.0773054757533</v>
      </c>
      <c r="AB303" s="170">
        <v>2172.2301615304264</v>
      </c>
      <c r="AC303" s="170">
        <v>708.4335810899131</v>
      </c>
      <c r="AD303" s="172">
        <f t="shared" si="141"/>
        <v>1325.1300955626853</v>
      </c>
      <c r="AG303">
        <v>2060</v>
      </c>
      <c r="AH303" t="s">
        <v>240</v>
      </c>
      <c r="AI303" t="s">
        <v>240</v>
      </c>
      <c r="AJ303" s="170">
        <v>908.1973326782894</v>
      </c>
      <c r="AK303" s="170">
        <v>2565.0773054757533</v>
      </c>
      <c r="AL303" s="170">
        <v>2172.2301615304264</v>
      </c>
      <c r="AM303" s="170">
        <v>708.4335810899131</v>
      </c>
      <c r="AN303" s="172">
        <f t="shared" si="142"/>
        <v>1325.2517981395119</v>
      </c>
    </row>
    <row r="304" spans="5:40">
      <c r="E304">
        <v>2070</v>
      </c>
      <c r="F304" s="320" t="s">
        <v>240</v>
      </c>
      <c r="G304" s="320" t="s">
        <v>240</v>
      </c>
      <c r="H304" s="63">
        <f t="shared" si="143"/>
        <v>525.15223080325325</v>
      </c>
      <c r="I304" s="63">
        <f t="shared" si="143"/>
        <v>1483.2195831063473</v>
      </c>
      <c r="J304" s="63">
        <f t="shared" si="143"/>
        <v>1256.0612920781409</v>
      </c>
      <c r="K304" s="63">
        <f t="shared" si="143"/>
        <v>409.64167378488787</v>
      </c>
      <c r="L304" s="63">
        <f t="shared" si="138"/>
        <v>766.31224856391748</v>
      </c>
      <c r="M304" s="63"/>
      <c r="N304">
        <v>2070</v>
      </c>
      <c r="O304" s="320" t="s">
        <v>240</v>
      </c>
      <c r="P304" s="320" t="s">
        <v>240</v>
      </c>
      <c r="Q304" s="63">
        <f t="shared" si="144"/>
        <v>525.15223080325325</v>
      </c>
      <c r="R304" s="63">
        <f t="shared" si="144"/>
        <v>1483.2195831063473</v>
      </c>
      <c r="S304" s="63">
        <f t="shared" si="144"/>
        <v>1256.0612920781409</v>
      </c>
      <c r="T304" s="63">
        <f t="shared" si="144"/>
        <v>409.64167378488787</v>
      </c>
      <c r="U304" s="172">
        <f t="shared" si="140"/>
        <v>766.27707191291154</v>
      </c>
      <c r="W304">
        <v>2070</v>
      </c>
      <c r="Z304" s="170">
        <v>1312.8805770081326</v>
      </c>
      <c r="AA304" s="170">
        <v>3708.0489577658686</v>
      </c>
      <c r="AB304" s="170">
        <v>3140.1532301953544</v>
      </c>
      <c r="AC304" s="170">
        <v>1024.1041844622198</v>
      </c>
      <c r="AD304" s="172">
        <f t="shared" si="141"/>
        <v>1915.5942237164084</v>
      </c>
      <c r="AG304">
        <v>2070</v>
      </c>
      <c r="AH304" t="s">
        <v>240</v>
      </c>
      <c r="AI304" t="s">
        <v>240</v>
      </c>
      <c r="AJ304" s="170">
        <v>1312.8805770081326</v>
      </c>
      <c r="AK304" s="170">
        <v>3708.0489577658686</v>
      </c>
      <c r="AL304" s="170">
        <v>3140.1532301953544</v>
      </c>
      <c r="AM304" s="170">
        <v>1024.1041844622198</v>
      </c>
      <c r="AN304" s="172">
        <f t="shared" si="142"/>
        <v>1915.770155690152</v>
      </c>
    </row>
    <row r="305" spans="5:40">
      <c r="E305">
        <v>2080</v>
      </c>
      <c r="F305" s="320" t="s">
        <v>240</v>
      </c>
      <c r="G305" s="320" t="s">
        <v>240</v>
      </c>
      <c r="H305" s="63">
        <f t="shared" si="143"/>
        <v>759.15457906141114</v>
      </c>
      <c r="I305" s="63">
        <f t="shared" si="143"/>
        <v>2144.1267354924189</v>
      </c>
      <c r="J305" s="63">
        <f t="shared" si="143"/>
        <v>1815.7490828981281</v>
      </c>
      <c r="K305" s="63">
        <f t="shared" si="143"/>
        <v>592.17372446940385</v>
      </c>
      <c r="L305" s="63">
        <f t="shared" si="138"/>
        <v>1107.7729815568373</v>
      </c>
      <c r="M305" s="63"/>
      <c r="N305">
        <v>2080</v>
      </c>
      <c r="O305" s="320" t="s">
        <v>240</v>
      </c>
      <c r="P305" s="320" t="s">
        <v>240</v>
      </c>
      <c r="Q305" s="63">
        <f t="shared" si="144"/>
        <v>759.15457906141114</v>
      </c>
      <c r="R305" s="63">
        <f t="shared" si="144"/>
        <v>2144.1267354924189</v>
      </c>
      <c r="S305" s="63">
        <f t="shared" si="144"/>
        <v>1815.7490828981281</v>
      </c>
      <c r="T305" s="63">
        <f t="shared" si="144"/>
        <v>592.17372446940385</v>
      </c>
      <c r="U305" s="172">
        <f t="shared" si="140"/>
        <v>1107.7221305576015</v>
      </c>
      <c r="W305">
        <v>2080</v>
      </c>
      <c r="Z305" s="170">
        <v>1897.8864476535271</v>
      </c>
      <c r="AA305" s="170">
        <v>5360.3168387310479</v>
      </c>
      <c r="AB305" s="170">
        <v>4539.372707245323</v>
      </c>
      <c r="AC305" s="170">
        <v>1480.4343111735097</v>
      </c>
      <c r="AD305" s="172">
        <f t="shared" si="141"/>
        <v>2769.1629993336628</v>
      </c>
      <c r="AG305">
        <v>2080</v>
      </c>
      <c r="AH305" t="s">
        <v>240</v>
      </c>
      <c r="AI305" t="s">
        <v>240</v>
      </c>
      <c r="AJ305" s="170">
        <v>1897.8864476535271</v>
      </c>
      <c r="AK305" s="170">
        <v>5360.3168387310479</v>
      </c>
      <c r="AL305" s="170">
        <v>4539.372707245323</v>
      </c>
      <c r="AM305" s="170">
        <v>1480.4343111735097</v>
      </c>
      <c r="AN305" s="172">
        <f t="shared" si="142"/>
        <v>2769.4173247571052</v>
      </c>
    </row>
    <row r="306" spans="5:40">
      <c r="E306">
        <v>2090</v>
      </c>
      <c r="F306" s="320" t="s">
        <v>240</v>
      </c>
      <c r="G306" s="320" t="s">
        <v>240</v>
      </c>
      <c r="H306" s="63">
        <f t="shared" si="143"/>
        <v>1097.4259292936781</v>
      </c>
      <c r="I306" s="63">
        <f t="shared" si="143"/>
        <v>3099.5272110857445</v>
      </c>
      <c r="J306" s="63">
        <f t="shared" si="143"/>
        <v>2624.8279067581416</v>
      </c>
      <c r="K306" s="63">
        <f t="shared" si="143"/>
        <v>856.04015019260476</v>
      </c>
      <c r="L306" s="63">
        <f t="shared" si="138"/>
        <v>1601.3850502416558</v>
      </c>
      <c r="M306" s="63"/>
      <c r="N306">
        <v>2090</v>
      </c>
      <c r="O306" s="320" t="s">
        <v>240</v>
      </c>
      <c r="P306" s="320" t="s">
        <v>240</v>
      </c>
      <c r="Q306" s="63">
        <f t="shared" si="144"/>
        <v>1097.4259292936781</v>
      </c>
      <c r="R306" s="63">
        <f t="shared" si="144"/>
        <v>3099.5272110857445</v>
      </c>
      <c r="S306" s="63">
        <f t="shared" si="144"/>
        <v>2624.8279067581416</v>
      </c>
      <c r="T306" s="63">
        <f t="shared" si="144"/>
        <v>856.04015019260476</v>
      </c>
      <c r="U306" s="172">
        <f t="shared" si="140"/>
        <v>1601.3115405683548</v>
      </c>
      <c r="W306">
        <v>2090</v>
      </c>
      <c r="Z306" s="170">
        <v>2743.5648232341941</v>
      </c>
      <c r="AA306" s="170">
        <v>7748.8180277143629</v>
      </c>
      <c r="AB306" s="170">
        <v>6562.069766895358</v>
      </c>
      <c r="AC306" s="170">
        <v>2140.1003754815119</v>
      </c>
      <c r="AD306" s="172">
        <f t="shared" si="141"/>
        <v>4003.0731049092183</v>
      </c>
      <c r="AG306">
        <v>2090</v>
      </c>
      <c r="AH306" t="s">
        <v>240</v>
      </c>
      <c r="AI306" t="s">
        <v>240</v>
      </c>
      <c r="AJ306" s="170">
        <v>2743.5648232341941</v>
      </c>
      <c r="AK306" s="170">
        <v>7748.8180277143629</v>
      </c>
      <c r="AL306" s="170">
        <v>6562.069766895358</v>
      </c>
      <c r="AM306" s="170">
        <v>2140.1003754815119</v>
      </c>
      <c r="AN306" s="172">
        <f t="shared" si="142"/>
        <v>4003.4407550846404</v>
      </c>
    </row>
    <row r="307" spans="5:40">
      <c r="E307">
        <v>2100</v>
      </c>
      <c r="F307" s="320" t="s">
        <v>240</v>
      </c>
      <c r="G307" s="320" t="s">
        <v>240</v>
      </c>
      <c r="H307" s="63">
        <f t="shared" si="143"/>
        <v>1586.4274595762777</v>
      </c>
      <c r="I307" s="63">
        <f t="shared" si="143"/>
        <v>4480.6441584035474</v>
      </c>
      <c r="J307" s="63">
        <f t="shared" si="143"/>
        <v>3794.4238028194959</v>
      </c>
      <c r="K307" s="63">
        <f t="shared" si="143"/>
        <v>1237.4826988454795</v>
      </c>
      <c r="L307" s="63">
        <f t="shared" si="138"/>
        <v>2314.9455004160473</v>
      </c>
      <c r="M307" s="63"/>
      <c r="N307">
        <v>2100</v>
      </c>
      <c r="O307" s="320" t="s">
        <v>240</v>
      </c>
      <c r="P307" s="320" t="s">
        <v>240</v>
      </c>
      <c r="Q307" s="63">
        <f t="shared" si="144"/>
        <v>1586.4274595762777</v>
      </c>
      <c r="R307" s="63">
        <f t="shared" si="144"/>
        <v>4480.6441584035474</v>
      </c>
      <c r="S307" s="63">
        <f t="shared" si="144"/>
        <v>3794.4238028194959</v>
      </c>
      <c r="T307" s="63">
        <f t="shared" si="144"/>
        <v>1237.4826988454795</v>
      </c>
      <c r="U307" s="172">
        <f t="shared" si="140"/>
        <v>2314.8392356002123</v>
      </c>
      <c r="W307">
        <v>2100</v>
      </c>
      <c r="Z307" s="170">
        <v>3966.0686489406926</v>
      </c>
      <c r="AA307" s="170">
        <v>11201.610396008869</v>
      </c>
      <c r="AB307" s="170">
        <v>9486.0595070487452</v>
      </c>
      <c r="AC307" s="170">
        <v>3093.7067471136988</v>
      </c>
      <c r="AD307" s="172">
        <f t="shared" si="141"/>
        <v>5786.8006639925097</v>
      </c>
      <c r="AG307">
        <v>2100</v>
      </c>
      <c r="AH307" t="s">
        <v>240</v>
      </c>
      <c r="AI307" t="s">
        <v>240</v>
      </c>
      <c r="AJ307" s="170">
        <v>3966.0686489406926</v>
      </c>
      <c r="AK307" s="170">
        <v>11201.610396008869</v>
      </c>
      <c r="AL307" s="170">
        <v>9486.0595070487452</v>
      </c>
      <c r="AM307" s="170">
        <v>3093.7067471136988</v>
      </c>
      <c r="AN307" s="172">
        <f t="shared" si="142"/>
        <v>5787.3321352455932</v>
      </c>
    </row>
    <row r="308" spans="5:40">
      <c r="F308" s="581" t="s">
        <v>295</v>
      </c>
      <c r="G308" s="581"/>
      <c r="H308" s="581"/>
      <c r="I308" s="581"/>
      <c r="J308" s="581"/>
      <c r="K308" s="581"/>
      <c r="L308" s="426"/>
      <c r="M308" s="63"/>
      <c r="O308" s="581" t="s">
        <v>295</v>
      </c>
      <c r="P308" s="581"/>
      <c r="Q308" s="581"/>
      <c r="R308" s="581"/>
      <c r="S308" s="581"/>
      <c r="T308" s="581"/>
      <c r="X308" s="581" t="s">
        <v>295</v>
      </c>
      <c r="Y308" s="581"/>
      <c r="Z308" s="581"/>
      <c r="AA308" s="581"/>
      <c r="AB308" s="581"/>
      <c r="AC308" s="581"/>
      <c r="AD308" s="172"/>
      <c r="AH308" s="581" t="s">
        <v>295</v>
      </c>
      <c r="AI308" s="581"/>
      <c r="AJ308" s="581"/>
      <c r="AK308" s="581"/>
      <c r="AL308" s="581"/>
      <c r="AM308" s="581"/>
    </row>
    <row r="309" spans="5:40">
      <c r="E309">
        <v>2020</v>
      </c>
      <c r="F309" s="320" t="s">
        <v>240</v>
      </c>
      <c r="G309" s="320" t="s">
        <v>240</v>
      </c>
      <c r="H309" s="63">
        <f>('Demographic-Economic'!E$24*1000*(1-AVERAGE('Demographic-Economic'!$C12:$H12))*(1+'Inflation-Interest'!$C$65)*(1+'Inflation-Interest'!$C$66)*(1+'Inflation-Interest'!$C$67))*$C$9/H43</f>
        <v>0</v>
      </c>
      <c r="I309" s="63">
        <f>('Demographic-Economic'!F$24*1000*(1-AVERAGE('Demographic-Economic'!$C12:$H12))*(1+'Inflation-Interest'!$C$65)*(1+'Inflation-Interest'!$C$66)*(1+'Inflation-Interest'!$C$67))*$C$9/I43</f>
        <v>0</v>
      </c>
      <c r="J309" s="63">
        <f>('Demographic-Economic'!G$24*1000*(1-AVERAGE('Demographic-Economic'!$C12:$H12))*(1+'Inflation-Interest'!$C$65)*(1+'Inflation-Interest'!$C$66)*(1+'Inflation-Interest'!$C$67))*$C$9/J43</f>
        <v>0</v>
      </c>
      <c r="K309" s="63">
        <f>('Demographic-Economic'!H$24*1000*(1-AVERAGE('Demographic-Economic'!$C12:$H12))*(1+'Inflation-Interest'!$C$65)*(1+'Inflation-Interest'!$C$66)*(1+'Inflation-Interest'!$C$67))*$C$9/K43</f>
        <v>0</v>
      </c>
      <c r="L309" s="63">
        <f>SUMPRODUCT(H309:K309, H43:K43)/SUM(H43:K43)</f>
        <v>0</v>
      </c>
      <c r="M309" s="63"/>
      <c r="N309">
        <v>2020</v>
      </c>
      <c r="O309" s="320" t="s">
        <v>240</v>
      </c>
      <c r="P309" s="320" t="s">
        <v>240</v>
      </c>
      <c r="Q309" s="170">
        <f>('Demographic-Economic'!E$24*1000*(1-AVERAGE('Demographic-Economic'!$C12:$H12))*(1+'Inflation-Interest'!$C$65)*(1+'Inflation-Interest'!$C$66)*(1+'Inflation-Interest'!$C$67))*$C$9/Q43</f>
        <v>0</v>
      </c>
      <c r="R309" s="170">
        <f>('Demographic-Economic'!F$24*1000*(1-AVERAGE('Demographic-Economic'!$C12:$H12))*(1+'Inflation-Interest'!$C$65)*(1+'Inflation-Interest'!$C$66)*(1+'Inflation-Interest'!$C$67))*$C$9/R43</f>
        <v>0</v>
      </c>
      <c r="S309" s="170">
        <f>('Demographic-Economic'!G$24*1000*(1-AVERAGE('Demographic-Economic'!$C12:$H12))*(1+'Inflation-Interest'!$C$65)*(1+'Inflation-Interest'!$C$66)*(1+'Inflation-Interest'!$C$67))*$C$9/S43</f>
        <v>0</v>
      </c>
      <c r="T309" s="170">
        <f>('Demographic-Economic'!H$24*1000*(1-AVERAGE('Demographic-Economic'!$C12:$H12))*(1+'Inflation-Interest'!$C$65)*(1+'Inflation-Interest'!$C$66)*(1+'Inflation-Interest'!$C$67))*$C$9/T43</f>
        <v>0</v>
      </c>
      <c r="U309" s="172">
        <f>SUMPRODUCT(Q309:T309, Q43:T43)/SUM(Q43:T43)</f>
        <v>0</v>
      </c>
      <c r="W309">
        <v>2020</v>
      </c>
      <c r="Z309" s="170">
        <v>99.710196359216766</v>
      </c>
      <c r="AA309" s="170">
        <v>275.06512464495847</v>
      </c>
      <c r="AB309" s="170">
        <v>206.84086379980764</v>
      </c>
      <c r="AC309" s="170">
        <v>101.83256859467089</v>
      </c>
      <c r="AD309" s="172">
        <f>SUMPRODUCT(Z309:AC309, Z43:AC43)/SUM(Z43:AC43)</f>
        <v>142.98033174014205</v>
      </c>
      <c r="AG309">
        <v>2020</v>
      </c>
      <c r="AJ309" s="170">
        <v>99.710196359216766</v>
      </c>
      <c r="AK309" s="170">
        <v>275.06512464495847</v>
      </c>
      <c r="AL309" s="170">
        <v>206.84086379980764</v>
      </c>
      <c r="AM309" s="170">
        <v>101.83256859467089</v>
      </c>
      <c r="AN309" s="172">
        <f>SUMPRODUCT(AJ309:AM309, AJ43:AM43)/SUM(AJ43:AM43)</f>
        <v>142.98033174014205</v>
      </c>
    </row>
    <row r="310" spans="5:40">
      <c r="E310">
        <v>2021</v>
      </c>
      <c r="F310" s="320" t="s">
        <v>240</v>
      </c>
      <c r="G310" s="320" t="s">
        <v>240</v>
      </c>
      <c r="H310" s="63">
        <f>H309*(1+$C$6)</f>
        <v>0</v>
      </c>
      <c r="I310" s="63">
        <f t="shared" ref="I310:K319" si="145">I309*(1+$C$6)</f>
        <v>0</v>
      </c>
      <c r="J310" s="63">
        <f t="shared" si="145"/>
        <v>0</v>
      </c>
      <c r="K310" s="63">
        <f t="shared" si="145"/>
        <v>0</v>
      </c>
      <c r="L310" s="63">
        <f t="shared" ref="L310:L326" si="146">SUMPRODUCT(H310:K310, H44:K44)/SUM(H44:K44)</f>
        <v>0</v>
      </c>
      <c r="M310" s="63"/>
      <c r="N310">
        <v>2021</v>
      </c>
      <c r="O310" s="320" t="s">
        <v>240</v>
      </c>
      <c r="P310" s="320" t="s">
        <v>240</v>
      </c>
      <c r="Q310" s="63">
        <f>Q309*(1+$C$6)</f>
        <v>0</v>
      </c>
      <c r="R310" s="63">
        <f t="shared" ref="R310:T319" si="147">R309*(1+$C$6)</f>
        <v>0</v>
      </c>
      <c r="S310" s="63">
        <f t="shared" si="147"/>
        <v>0</v>
      </c>
      <c r="T310" s="63">
        <f t="shared" si="147"/>
        <v>0</v>
      </c>
      <c r="U310" s="172">
        <f t="shared" ref="U310:U326" si="148">SUMPRODUCT(Q310:T310, Q44:T44)/SUM(Q44:T44)</f>
        <v>0</v>
      </c>
      <c r="W310">
        <v>2021</v>
      </c>
      <c r="Z310" s="170">
        <v>103.45323403871147</v>
      </c>
      <c r="AA310" s="170">
        <v>285.39084020319302</v>
      </c>
      <c r="AB310" s="170">
        <v>214.60549745946591</v>
      </c>
      <c r="AC310" s="170">
        <v>105.65527835924101</v>
      </c>
      <c r="AD310" s="172">
        <f t="shared" ref="AD310:AD326" si="149">SUMPRODUCT(Z310:AC310, Z44:AC44)/SUM(Z44:AC44)</f>
        <v>148.35838541897215</v>
      </c>
      <c r="AG310">
        <v>2021</v>
      </c>
      <c r="AJ310" s="170">
        <v>103.45323403871147</v>
      </c>
      <c r="AK310" s="170">
        <v>285.39084020319302</v>
      </c>
      <c r="AL310" s="170">
        <v>214.60549745946591</v>
      </c>
      <c r="AM310" s="170">
        <v>105.65527835924101</v>
      </c>
      <c r="AN310" s="172">
        <f t="shared" ref="AN310:AN326" si="150">SUMPRODUCT(AJ310:AM310, AJ44:AM44)/SUM(AJ44:AM44)</f>
        <v>148.35838541897212</v>
      </c>
    </row>
    <row r="311" spans="5:40">
      <c r="E311">
        <v>2022</v>
      </c>
      <c r="F311" s="320" t="s">
        <v>240</v>
      </c>
      <c r="G311" s="320" t="s">
        <v>240</v>
      </c>
      <c r="H311" s="63">
        <f t="shared" ref="H311:H319" si="151">H310*(1+$C$6)</f>
        <v>0</v>
      </c>
      <c r="I311" s="63">
        <f t="shared" si="145"/>
        <v>0</v>
      </c>
      <c r="J311" s="63">
        <f t="shared" si="145"/>
        <v>0</v>
      </c>
      <c r="K311" s="63">
        <f t="shared" si="145"/>
        <v>0</v>
      </c>
      <c r="L311" s="63">
        <f t="shared" si="146"/>
        <v>0</v>
      </c>
      <c r="M311" s="63"/>
      <c r="N311">
        <v>2022</v>
      </c>
      <c r="O311" s="320" t="s">
        <v>240</v>
      </c>
      <c r="P311" s="320" t="s">
        <v>240</v>
      </c>
      <c r="Q311" s="63">
        <f t="shared" ref="Q311:Q319" si="152">Q310*(1+$C$6)</f>
        <v>0</v>
      </c>
      <c r="R311" s="63">
        <f t="shared" si="147"/>
        <v>0</v>
      </c>
      <c r="S311" s="63">
        <f t="shared" si="147"/>
        <v>0</v>
      </c>
      <c r="T311" s="63">
        <f t="shared" si="147"/>
        <v>0</v>
      </c>
      <c r="U311" s="172">
        <f t="shared" si="148"/>
        <v>0</v>
      </c>
      <c r="W311">
        <v>2022</v>
      </c>
      <c r="Z311" s="170">
        <v>107.33678223349634</v>
      </c>
      <c r="AA311" s="170">
        <v>296.1041745187207</v>
      </c>
      <c r="AB311" s="170">
        <v>222.66160899617972</v>
      </c>
      <c r="AC311" s="170">
        <v>109.62148946278162</v>
      </c>
      <c r="AD311" s="172">
        <f t="shared" si="149"/>
        <v>153.93650519970072</v>
      </c>
      <c r="AG311">
        <v>2022</v>
      </c>
      <c r="AJ311" s="170">
        <v>107.33678223349634</v>
      </c>
      <c r="AK311" s="170">
        <v>296.1041745187207</v>
      </c>
      <c r="AL311" s="170">
        <v>222.66160899617972</v>
      </c>
      <c r="AM311" s="170">
        <v>109.62148946278162</v>
      </c>
      <c r="AN311" s="172">
        <f t="shared" si="150"/>
        <v>153.93622908398004</v>
      </c>
    </row>
    <row r="312" spans="5:40">
      <c r="E312">
        <v>2023</v>
      </c>
      <c r="F312" s="320" t="s">
        <v>240</v>
      </c>
      <c r="G312" s="320" t="s">
        <v>240</v>
      </c>
      <c r="H312" s="63">
        <f t="shared" si="151"/>
        <v>0</v>
      </c>
      <c r="I312" s="63">
        <f t="shared" si="145"/>
        <v>0</v>
      </c>
      <c r="J312" s="63">
        <f t="shared" si="145"/>
        <v>0</v>
      </c>
      <c r="K312" s="63">
        <f t="shared" si="145"/>
        <v>0</v>
      </c>
      <c r="L312" s="63">
        <f t="shared" si="146"/>
        <v>0</v>
      </c>
      <c r="M312" s="63"/>
      <c r="N312">
        <v>2023</v>
      </c>
      <c r="O312" s="320" t="s">
        <v>240</v>
      </c>
      <c r="P312" s="320" t="s">
        <v>240</v>
      </c>
      <c r="Q312" s="63">
        <f t="shared" si="152"/>
        <v>0</v>
      </c>
      <c r="R312" s="63">
        <f t="shared" si="147"/>
        <v>0</v>
      </c>
      <c r="S312" s="63">
        <f t="shared" si="147"/>
        <v>0</v>
      </c>
      <c r="T312" s="63">
        <f t="shared" si="147"/>
        <v>0</v>
      </c>
      <c r="U312" s="172">
        <f t="shared" si="148"/>
        <v>0</v>
      </c>
      <c r="W312">
        <v>2023</v>
      </c>
      <c r="Z312" s="170">
        <v>111.36611559122326</v>
      </c>
      <c r="AA312" s="170">
        <v>307.21967847667469</v>
      </c>
      <c r="AB312" s="170">
        <v>231.02014024655548</v>
      </c>
      <c r="AC312" s="170">
        <v>113.73658882597323</v>
      </c>
      <c r="AD312" s="172">
        <f t="shared" si="149"/>
        <v>159.72217099566808</v>
      </c>
      <c r="AG312">
        <v>2023</v>
      </c>
      <c r="AJ312" s="170">
        <v>111.36611559122326</v>
      </c>
      <c r="AK312" s="170">
        <v>307.21967847667469</v>
      </c>
      <c r="AL312" s="170">
        <v>231.02014024655548</v>
      </c>
      <c r="AM312" s="170">
        <v>113.73658882597323</v>
      </c>
      <c r="AN312" s="172">
        <f t="shared" si="150"/>
        <v>159.72147435857417</v>
      </c>
    </row>
    <row r="313" spans="5:40">
      <c r="E313">
        <v>2024</v>
      </c>
      <c r="F313" s="320" t="s">
        <v>240</v>
      </c>
      <c r="G313" s="320" t="s">
        <v>240</v>
      </c>
      <c r="H313" s="63">
        <f t="shared" si="151"/>
        <v>0</v>
      </c>
      <c r="I313" s="63">
        <f t="shared" si="145"/>
        <v>0</v>
      </c>
      <c r="J313" s="63">
        <f t="shared" si="145"/>
        <v>0</v>
      </c>
      <c r="K313" s="63">
        <f t="shared" si="145"/>
        <v>0</v>
      </c>
      <c r="L313" s="63">
        <f t="shared" si="146"/>
        <v>0</v>
      </c>
      <c r="M313" s="63"/>
      <c r="N313">
        <v>2024</v>
      </c>
      <c r="O313" s="320" t="s">
        <v>240</v>
      </c>
      <c r="P313" s="320" t="s">
        <v>240</v>
      </c>
      <c r="Q313" s="63">
        <f t="shared" si="152"/>
        <v>0</v>
      </c>
      <c r="R313" s="63">
        <f t="shared" si="147"/>
        <v>0</v>
      </c>
      <c r="S313" s="63">
        <f t="shared" si="147"/>
        <v>0</v>
      </c>
      <c r="T313" s="63">
        <f t="shared" si="147"/>
        <v>0</v>
      </c>
      <c r="U313" s="172">
        <f t="shared" si="148"/>
        <v>0</v>
      </c>
      <c r="W313">
        <v>2024</v>
      </c>
      <c r="Z313" s="170">
        <v>115.54670676542146</v>
      </c>
      <c r="AA313" s="170">
        <v>318.75244919029035</v>
      </c>
      <c r="AB313" s="170">
        <v>239.69244379462765</v>
      </c>
      <c r="AC313" s="170">
        <v>118.00616559000957</v>
      </c>
      <c r="AD313" s="172">
        <f t="shared" si="149"/>
        <v>165.72314641148861</v>
      </c>
      <c r="AG313">
        <v>2024</v>
      </c>
      <c r="AJ313" s="170">
        <v>115.54670676542146</v>
      </c>
      <c r="AK313" s="170">
        <v>318.75244919029035</v>
      </c>
      <c r="AL313" s="170">
        <v>239.69244379462765</v>
      </c>
      <c r="AM313" s="170">
        <v>118.00616559000957</v>
      </c>
      <c r="AN313" s="172">
        <f t="shared" si="150"/>
        <v>165.72199866093291</v>
      </c>
    </row>
    <row r="314" spans="5:40">
      <c r="E314">
        <v>2025</v>
      </c>
      <c r="F314" s="320" t="s">
        <v>240</v>
      </c>
      <c r="G314" s="320" t="s">
        <v>240</v>
      </c>
      <c r="H314" s="63">
        <f t="shared" si="151"/>
        <v>0</v>
      </c>
      <c r="I314" s="63">
        <f t="shared" si="145"/>
        <v>0</v>
      </c>
      <c r="J314" s="63">
        <f t="shared" si="145"/>
        <v>0</v>
      </c>
      <c r="K314" s="63">
        <f t="shared" si="145"/>
        <v>0</v>
      </c>
      <c r="L314" s="63">
        <f t="shared" si="146"/>
        <v>0</v>
      </c>
      <c r="M314" s="63"/>
      <c r="N314">
        <v>2025</v>
      </c>
      <c r="O314" s="320" t="s">
        <v>240</v>
      </c>
      <c r="P314" s="320" t="s">
        <v>240</v>
      </c>
      <c r="Q314" s="63">
        <f t="shared" si="152"/>
        <v>0</v>
      </c>
      <c r="R314" s="63">
        <f t="shared" si="147"/>
        <v>0</v>
      </c>
      <c r="S314" s="63">
        <f t="shared" si="147"/>
        <v>0</v>
      </c>
      <c r="T314" s="63">
        <f t="shared" si="147"/>
        <v>0</v>
      </c>
      <c r="U314" s="172">
        <f t="shared" si="148"/>
        <v>0</v>
      </c>
      <c r="W314">
        <v>2025</v>
      </c>
      <c r="Z314" s="170">
        <v>119.88423384847307</v>
      </c>
      <c r="AA314" s="170">
        <v>330.71815050585286</v>
      </c>
      <c r="AB314" s="170">
        <v>248.69029839097482</v>
      </c>
      <c r="AC314" s="170">
        <v>122.43601870778721</v>
      </c>
      <c r="AD314" s="172">
        <f t="shared" si="149"/>
        <v>171.94748884450334</v>
      </c>
      <c r="AG314">
        <v>2025</v>
      </c>
      <c r="AJ314" s="170">
        <v>119.88423384847307</v>
      </c>
      <c r="AK314" s="170">
        <v>330.71815050585286</v>
      </c>
      <c r="AL314" s="170">
        <v>248.69029839097482</v>
      </c>
      <c r="AM314" s="170">
        <v>122.43601870778721</v>
      </c>
      <c r="AN314" s="172">
        <f t="shared" si="150"/>
        <v>171.94595847944331</v>
      </c>
    </row>
    <row r="315" spans="5:40">
      <c r="E315">
        <v>2026</v>
      </c>
      <c r="F315" s="320" t="s">
        <v>240</v>
      </c>
      <c r="G315" s="320" t="s">
        <v>240</v>
      </c>
      <c r="H315" s="63">
        <f t="shared" si="151"/>
        <v>0</v>
      </c>
      <c r="I315" s="63">
        <f t="shared" si="145"/>
        <v>0</v>
      </c>
      <c r="J315" s="63">
        <f t="shared" si="145"/>
        <v>0</v>
      </c>
      <c r="K315" s="63">
        <f t="shared" si="145"/>
        <v>0</v>
      </c>
      <c r="L315" s="63">
        <f t="shared" si="146"/>
        <v>0</v>
      </c>
      <c r="M315" s="63"/>
      <c r="N315">
        <v>2026</v>
      </c>
      <c r="O315" s="320" t="s">
        <v>240</v>
      </c>
      <c r="P315" s="320" t="s">
        <v>240</v>
      </c>
      <c r="Q315" s="63">
        <f t="shared" si="152"/>
        <v>0</v>
      </c>
      <c r="R315" s="63">
        <f t="shared" si="147"/>
        <v>0</v>
      </c>
      <c r="S315" s="63">
        <f t="shared" si="147"/>
        <v>0</v>
      </c>
      <c r="T315" s="63">
        <f t="shared" si="147"/>
        <v>0</v>
      </c>
      <c r="U315" s="172">
        <f t="shared" si="148"/>
        <v>0</v>
      </c>
      <c r="W315">
        <v>2026</v>
      </c>
      <c r="Z315" s="170">
        <v>124.38458808361655</v>
      </c>
      <c r="AA315" s="170">
        <v>343.13303427738384</v>
      </c>
      <c r="AB315" s="170">
        <v>258.0259249506567</v>
      </c>
      <c r="AC315" s="170">
        <v>127.03216482006195</v>
      </c>
      <c r="AD315" s="172">
        <f t="shared" si="149"/>
        <v>178.40355999412367</v>
      </c>
      <c r="AG315">
        <v>2026</v>
      </c>
      <c r="AJ315" s="170">
        <v>124.38458808361655</v>
      </c>
      <c r="AK315" s="170">
        <v>343.13303427738384</v>
      </c>
      <c r="AL315" s="170">
        <v>258.0259249506567</v>
      </c>
      <c r="AM315" s="170">
        <v>127.03216482006195</v>
      </c>
      <c r="AN315" s="172">
        <f t="shared" si="150"/>
        <v>178.40180244771926</v>
      </c>
    </row>
    <row r="316" spans="5:40">
      <c r="E316">
        <v>2027</v>
      </c>
      <c r="F316" s="320" t="s">
        <v>240</v>
      </c>
      <c r="G316" s="320" t="s">
        <v>240</v>
      </c>
      <c r="H316" s="63">
        <f t="shared" si="151"/>
        <v>0</v>
      </c>
      <c r="I316" s="63">
        <f t="shared" si="145"/>
        <v>0</v>
      </c>
      <c r="J316" s="63">
        <f t="shared" si="145"/>
        <v>0</v>
      </c>
      <c r="K316" s="63">
        <f t="shared" si="145"/>
        <v>0</v>
      </c>
      <c r="L316" s="63">
        <f t="shared" si="146"/>
        <v>0</v>
      </c>
      <c r="M316" s="63"/>
      <c r="N316">
        <v>2027</v>
      </c>
      <c r="O316" s="320" t="s">
        <v>240</v>
      </c>
      <c r="P316" s="320" t="s">
        <v>240</v>
      </c>
      <c r="Q316" s="63">
        <f t="shared" si="152"/>
        <v>0</v>
      </c>
      <c r="R316" s="63">
        <f t="shared" si="147"/>
        <v>0</v>
      </c>
      <c r="S316" s="63">
        <f t="shared" si="147"/>
        <v>0</v>
      </c>
      <c r="T316" s="63">
        <f t="shared" si="147"/>
        <v>0</v>
      </c>
      <c r="U316" s="172">
        <f t="shared" si="148"/>
        <v>0</v>
      </c>
      <c r="W316">
        <v>2027</v>
      </c>
      <c r="Z316" s="170">
        <v>129.05388186645212</v>
      </c>
      <c r="AA316" s="170">
        <v>356.01396243996163</v>
      </c>
      <c r="AB316" s="170">
        <v>267.71200315170023</v>
      </c>
      <c r="AC316" s="170">
        <v>131.80084642726973</v>
      </c>
      <c r="AD316" s="172">
        <f t="shared" si="149"/>
        <v>185.10003679848549</v>
      </c>
      <c r="AG316">
        <v>2027</v>
      </c>
      <c r="AJ316" s="170">
        <v>129.05388186645212</v>
      </c>
      <c r="AK316" s="170">
        <v>356.01396243996163</v>
      </c>
      <c r="AL316" s="170">
        <v>267.71200315170023</v>
      </c>
      <c r="AM316" s="170">
        <v>131.80084642726973</v>
      </c>
      <c r="AN316" s="172">
        <f t="shared" si="150"/>
        <v>185.09828437951046</v>
      </c>
    </row>
    <row r="317" spans="5:40">
      <c r="E317">
        <v>2028</v>
      </c>
      <c r="F317" s="320" t="s">
        <v>240</v>
      </c>
      <c r="G317" s="320" t="s">
        <v>240</v>
      </c>
      <c r="H317" s="63">
        <f t="shared" si="151"/>
        <v>0</v>
      </c>
      <c r="I317" s="63">
        <f t="shared" si="145"/>
        <v>0</v>
      </c>
      <c r="J317" s="63">
        <f t="shared" si="145"/>
        <v>0</v>
      </c>
      <c r="K317" s="63">
        <f t="shared" si="145"/>
        <v>0</v>
      </c>
      <c r="L317" s="63">
        <f t="shared" si="146"/>
        <v>0</v>
      </c>
      <c r="M317" s="63"/>
      <c r="N317">
        <v>2028</v>
      </c>
      <c r="O317" s="320" t="s">
        <v>240</v>
      </c>
      <c r="P317" s="320" t="s">
        <v>240</v>
      </c>
      <c r="Q317" s="63">
        <f t="shared" si="152"/>
        <v>0</v>
      </c>
      <c r="R317" s="63">
        <f t="shared" si="147"/>
        <v>0</v>
      </c>
      <c r="S317" s="63">
        <f t="shared" si="147"/>
        <v>0</v>
      </c>
      <c r="T317" s="63">
        <f t="shared" si="147"/>
        <v>0</v>
      </c>
      <c r="U317" s="172">
        <f t="shared" si="148"/>
        <v>0</v>
      </c>
      <c r="W317">
        <v>2028</v>
      </c>
      <c r="Z317" s="170">
        <v>133.89845704681719</v>
      </c>
      <c r="AA317" s="170">
        <v>369.37842991165576</v>
      </c>
      <c r="AB317" s="170">
        <v>277.7616886566791</v>
      </c>
      <c r="AC317" s="170">
        <v>136.74854036811075</v>
      </c>
      <c r="AD317" s="172">
        <f t="shared" si="149"/>
        <v>192.04592281680951</v>
      </c>
      <c r="AG317">
        <v>2028</v>
      </c>
      <c r="AJ317" s="170">
        <v>133.89845704681719</v>
      </c>
      <c r="AK317" s="170">
        <v>369.37842991165576</v>
      </c>
      <c r="AL317" s="170">
        <v>277.7616886566791</v>
      </c>
      <c r="AM317" s="170">
        <v>136.74854036811075</v>
      </c>
      <c r="AN317" s="172">
        <f t="shared" si="150"/>
        <v>192.04447638456776</v>
      </c>
    </row>
    <row r="318" spans="5:40">
      <c r="E318">
        <v>2029</v>
      </c>
      <c r="F318" s="320" t="s">
        <v>240</v>
      </c>
      <c r="G318" s="320" t="s">
        <v>240</v>
      </c>
      <c r="H318" s="63">
        <f t="shared" si="151"/>
        <v>0</v>
      </c>
      <c r="I318" s="63">
        <f t="shared" si="145"/>
        <v>0</v>
      </c>
      <c r="J318" s="63">
        <f t="shared" si="145"/>
        <v>0</v>
      </c>
      <c r="K318" s="63">
        <f t="shared" si="145"/>
        <v>0</v>
      </c>
      <c r="L318" s="63">
        <f t="shared" si="146"/>
        <v>0</v>
      </c>
      <c r="M318" s="63"/>
      <c r="N318">
        <v>2029</v>
      </c>
      <c r="O318" s="320" t="s">
        <v>240</v>
      </c>
      <c r="P318" s="320" t="s">
        <v>240</v>
      </c>
      <c r="Q318" s="63">
        <f t="shared" si="152"/>
        <v>0</v>
      </c>
      <c r="R318" s="63">
        <f t="shared" si="147"/>
        <v>0</v>
      </c>
      <c r="S318" s="63">
        <f t="shared" si="147"/>
        <v>0</v>
      </c>
      <c r="T318" s="63">
        <f t="shared" si="147"/>
        <v>0</v>
      </c>
      <c r="U318" s="172">
        <f t="shared" si="148"/>
        <v>0</v>
      </c>
      <c r="W318">
        <v>2029</v>
      </c>
      <c r="Z318" s="170">
        <v>138.92489354230716</v>
      </c>
      <c r="AA318" s="170">
        <v>383.24458835518107</v>
      </c>
      <c r="AB318" s="170">
        <v>288.18863098077696</v>
      </c>
      <c r="AC318" s="170">
        <v>141.88196661641265</v>
      </c>
      <c r="AD318" s="172">
        <f t="shared" si="149"/>
        <v>199.25056007511836</v>
      </c>
      <c r="AG318">
        <v>2029</v>
      </c>
      <c r="AJ318" s="170">
        <v>138.92489354230716</v>
      </c>
      <c r="AK318" s="170">
        <v>383.24458835518107</v>
      </c>
      <c r="AL318" s="170">
        <v>288.18863098077696</v>
      </c>
      <c r="AM318" s="170">
        <v>141.88196661641265</v>
      </c>
      <c r="AN318" s="172">
        <f t="shared" si="150"/>
        <v>199.24978215922638</v>
      </c>
    </row>
    <row r="319" spans="5:40">
      <c r="E319">
        <v>2030</v>
      </c>
      <c r="F319" s="320" t="s">
        <v>240</v>
      </c>
      <c r="G319" s="320" t="s">
        <v>240</v>
      </c>
      <c r="H319" s="63">
        <f t="shared" si="151"/>
        <v>0</v>
      </c>
      <c r="I319" s="63">
        <f t="shared" si="145"/>
        <v>0</v>
      </c>
      <c r="J319" s="63">
        <f t="shared" si="145"/>
        <v>0</v>
      </c>
      <c r="K319" s="63">
        <f t="shared" si="145"/>
        <v>0</v>
      </c>
      <c r="L319" s="63">
        <f t="shared" si="146"/>
        <v>0</v>
      </c>
      <c r="M319" s="63"/>
      <c r="N319">
        <v>2030</v>
      </c>
      <c r="O319" s="320" t="s">
        <v>240</v>
      </c>
      <c r="P319" s="320" t="s">
        <v>240</v>
      </c>
      <c r="Q319" s="63">
        <f t="shared" si="152"/>
        <v>0</v>
      </c>
      <c r="R319" s="63">
        <f t="shared" si="147"/>
        <v>0</v>
      </c>
      <c r="S319" s="63">
        <f t="shared" si="147"/>
        <v>0</v>
      </c>
      <c r="T319" s="63">
        <f t="shared" si="147"/>
        <v>0</v>
      </c>
      <c r="U319" s="172">
        <f t="shared" si="148"/>
        <v>0</v>
      </c>
      <c r="W319">
        <v>2030</v>
      </c>
      <c r="Z319" s="170">
        <v>144.14001827514076</v>
      </c>
      <c r="AA319" s="170">
        <v>397.63127083154427</v>
      </c>
      <c r="AB319" s="170">
        <v>299.00699203060287</v>
      </c>
      <c r="AC319" s="170">
        <v>147.2080974082206</v>
      </c>
      <c r="AD319" s="172">
        <f t="shared" si="149"/>
        <v>206.72364139248958</v>
      </c>
      <c r="AG319">
        <v>2030</v>
      </c>
      <c r="AJ319" s="170">
        <v>144.14001827514076</v>
      </c>
      <c r="AK319" s="170">
        <v>397.63127083154427</v>
      </c>
      <c r="AL319" s="170">
        <v>299.00699203060287</v>
      </c>
      <c r="AM319" s="170">
        <v>147.2080974082206</v>
      </c>
      <c r="AN319" s="172">
        <f t="shared" si="150"/>
        <v>206.72395052624498</v>
      </c>
    </row>
    <row r="320" spans="5:40">
      <c r="E320">
        <v>2040</v>
      </c>
      <c r="F320" s="320" t="s">
        <v>240</v>
      </c>
      <c r="G320" s="320" t="s">
        <v>240</v>
      </c>
      <c r="H320" s="63">
        <f>H319*(1+$C$6)^10</f>
        <v>0</v>
      </c>
      <c r="I320" s="63">
        <f t="shared" ref="I320:K326" si="153">I319*(1+$C$6)^10</f>
        <v>0</v>
      </c>
      <c r="J320" s="63">
        <f t="shared" si="153"/>
        <v>0</v>
      </c>
      <c r="K320" s="63">
        <f t="shared" si="153"/>
        <v>0</v>
      </c>
      <c r="L320" s="63">
        <f t="shared" si="146"/>
        <v>0</v>
      </c>
      <c r="M320" s="63"/>
      <c r="N320">
        <v>2040</v>
      </c>
      <c r="O320" s="320" t="s">
        <v>240</v>
      </c>
      <c r="P320" s="320" t="s">
        <v>240</v>
      </c>
      <c r="Q320" s="63">
        <f>Q319*(1+$C$6)^10</f>
        <v>0</v>
      </c>
      <c r="R320" s="63">
        <f t="shared" ref="R320:T326" si="154">R319*(1+$C$6)^10</f>
        <v>0</v>
      </c>
      <c r="S320" s="63">
        <f t="shared" si="154"/>
        <v>0</v>
      </c>
      <c r="T320" s="63">
        <f t="shared" si="154"/>
        <v>0</v>
      </c>
      <c r="U320" s="172">
        <f t="shared" si="148"/>
        <v>0</v>
      </c>
      <c r="W320">
        <v>2040</v>
      </c>
      <c r="Z320" s="170">
        <v>208.36730471885625</v>
      </c>
      <c r="AA320" s="170">
        <v>574.81161142180747</v>
      </c>
      <c r="AB320" s="170">
        <v>432.24138422531644</v>
      </c>
      <c r="AC320" s="170">
        <v>212.80248786420393</v>
      </c>
      <c r="AD320" s="172">
        <f t="shared" si="149"/>
        <v>298.71751147089685</v>
      </c>
      <c r="AG320">
        <v>2040</v>
      </c>
      <c r="AJ320" s="170">
        <v>208.36730471885625</v>
      </c>
      <c r="AK320" s="170">
        <v>574.81161142180747</v>
      </c>
      <c r="AL320" s="170">
        <v>432.24138422531644</v>
      </c>
      <c r="AM320" s="170">
        <v>212.80248786420393</v>
      </c>
      <c r="AN320" s="172">
        <f t="shared" si="150"/>
        <v>298.73939851810451</v>
      </c>
    </row>
    <row r="321" spans="5:40">
      <c r="E321">
        <v>2050</v>
      </c>
      <c r="F321" s="320" t="s">
        <v>240</v>
      </c>
      <c r="G321" s="320" t="s">
        <v>240</v>
      </c>
      <c r="H321" s="63">
        <f t="shared" ref="H321:H326" si="155">H320*(1+$C$6)^10</f>
        <v>0</v>
      </c>
      <c r="I321" s="63">
        <f t="shared" si="153"/>
        <v>0</v>
      </c>
      <c r="J321" s="63">
        <f t="shared" si="153"/>
        <v>0</v>
      </c>
      <c r="K321" s="63">
        <f t="shared" si="153"/>
        <v>0</v>
      </c>
      <c r="L321" s="63">
        <f t="shared" si="146"/>
        <v>0</v>
      </c>
      <c r="M321" s="63"/>
      <c r="N321">
        <v>2050</v>
      </c>
      <c r="O321" s="320" t="s">
        <v>240</v>
      </c>
      <c r="P321" s="320" t="s">
        <v>240</v>
      </c>
      <c r="Q321" s="63">
        <f t="shared" ref="Q321:Q326" si="156">Q320*(1+$C$6)^10</f>
        <v>0</v>
      </c>
      <c r="R321" s="63">
        <f t="shared" si="154"/>
        <v>0</v>
      </c>
      <c r="S321" s="63">
        <f t="shared" si="154"/>
        <v>0</v>
      </c>
      <c r="T321" s="63">
        <f t="shared" si="154"/>
        <v>0</v>
      </c>
      <c r="U321" s="172">
        <f t="shared" si="148"/>
        <v>0</v>
      </c>
      <c r="W321">
        <v>2050</v>
      </c>
      <c r="Z321" s="170">
        <v>301.21359907783938</v>
      </c>
      <c r="AA321" s="170">
        <v>830.94166093720492</v>
      </c>
      <c r="AB321" s="170">
        <v>624.84362980346498</v>
      </c>
      <c r="AC321" s="170">
        <v>307.62505350242913</v>
      </c>
      <c r="AD321" s="172">
        <f t="shared" si="149"/>
        <v>431.82291415214559</v>
      </c>
      <c r="AG321">
        <v>2050</v>
      </c>
      <c r="AJ321" s="170">
        <v>301.21359907783938</v>
      </c>
      <c r="AK321" s="170">
        <v>830.94166093720492</v>
      </c>
      <c r="AL321" s="170">
        <v>624.84362980346498</v>
      </c>
      <c r="AM321" s="170">
        <v>307.62505350242913</v>
      </c>
      <c r="AN321" s="172">
        <f t="shared" si="150"/>
        <v>431.8545538389547</v>
      </c>
    </row>
    <row r="322" spans="5:40">
      <c r="E322">
        <v>2060</v>
      </c>
      <c r="F322" s="320" t="s">
        <v>240</v>
      </c>
      <c r="G322" s="320" t="s">
        <v>240</v>
      </c>
      <c r="H322" s="63">
        <f t="shared" si="155"/>
        <v>0</v>
      </c>
      <c r="I322" s="63">
        <f t="shared" si="153"/>
        <v>0</v>
      </c>
      <c r="J322" s="63">
        <f t="shared" si="153"/>
        <v>0</v>
      </c>
      <c r="K322" s="63">
        <f t="shared" si="153"/>
        <v>0</v>
      </c>
      <c r="L322" s="63">
        <f t="shared" si="146"/>
        <v>0</v>
      </c>
      <c r="M322" s="63"/>
      <c r="N322">
        <v>2060</v>
      </c>
      <c r="O322" s="320" t="s">
        <v>240</v>
      </c>
      <c r="P322" s="320" t="s">
        <v>240</v>
      </c>
      <c r="Q322" s="63">
        <f t="shared" si="156"/>
        <v>0</v>
      </c>
      <c r="R322" s="63">
        <f t="shared" si="154"/>
        <v>0</v>
      </c>
      <c r="S322" s="63">
        <f t="shared" si="154"/>
        <v>0</v>
      </c>
      <c r="T322" s="63">
        <f t="shared" si="154"/>
        <v>0</v>
      </c>
      <c r="U322" s="172">
        <f t="shared" si="148"/>
        <v>0</v>
      </c>
      <c r="W322">
        <v>2060</v>
      </c>
      <c r="Z322" s="170">
        <v>435.4312323223844</v>
      </c>
      <c r="AA322" s="170">
        <v>1201.2005849589657</v>
      </c>
      <c r="AB322" s="170">
        <v>903.26742407073311</v>
      </c>
      <c r="AC322" s="170">
        <v>444.69956386393767</v>
      </c>
      <c r="AD322" s="172">
        <f t="shared" si="149"/>
        <v>624.23869383706551</v>
      </c>
      <c r="AG322">
        <v>2060</v>
      </c>
      <c r="AJ322" s="170">
        <v>435.4312323223844</v>
      </c>
      <c r="AK322" s="170">
        <v>1201.2005849589657</v>
      </c>
      <c r="AL322" s="170">
        <v>903.26742407073311</v>
      </c>
      <c r="AM322" s="170">
        <v>444.69956386393767</v>
      </c>
      <c r="AN322" s="172">
        <f t="shared" si="150"/>
        <v>624.28443183780576</v>
      </c>
    </row>
    <row r="323" spans="5:40">
      <c r="E323">
        <v>2070</v>
      </c>
      <c r="F323" s="320" t="s">
        <v>240</v>
      </c>
      <c r="G323" s="320" t="s">
        <v>240</v>
      </c>
      <c r="H323" s="63">
        <f t="shared" si="155"/>
        <v>0</v>
      </c>
      <c r="I323" s="63">
        <f t="shared" si="153"/>
        <v>0</v>
      </c>
      <c r="J323" s="63">
        <f t="shared" si="153"/>
        <v>0</v>
      </c>
      <c r="K323" s="63">
        <f t="shared" si="153"/>
        <v>0</v>
      </c>
      <c r="L323" s="63">
        <f t="shared" si="146"/>
        <v>0</v>
      </c>
      <c r="M323" s="63"/>
      <c r="N323">
        <v>2070</v>
      </c>
      <c r="O323" s="320" t="s">
        <v>240</v>
      </c>
      <c r="P323" s="320" t="s">
        <v>240</v>
      </c>
      <c r="Q323" s="63">
        <f t="shared" si="156"/>
        <v>0</v>
      </c>
      <c r="R323" s="63">
        <f t="shared" si="154"/>
        <v>0</v>
      </c>
      <c r="S323" s="63">
        <f t="shared" si="154"/>
        <v>0</v>
      </c>
      <c r="T323" s="63">
        <f t="shared" si="154"/>
        <v>0</v>
      </c>
      <c r="U323" s="172">
        <f t="shared" si="148"/>
        <v>0</v>
      </c>
      <c r="W323">
        <v>2070</v>
      </c>
      <c r="Z323" s="170">
        <v>629.45484089114427</v>
      </c>
      <c r="AA323" s="170">
        <v>1736.4430177665645</v>
      </c>
      <c r="AB323" s="170">
        <v>1305.7539526233211</v>
      </c>
      <c r="AC323" s="170">
        <v>642.85304414978282</v>
      </c>
      <c r="AD323" s="172">
        <f t="shared" si="149"/>
        <v>902.39293495692198</v>
      </c>
      <c r="AG323">
        <v>2070</v>
      </c>
      <c r="AJ323" s="170">
        <v>629.45484089114427</v>
      </c>
      <c r="AK323" s="170">
        <v>1736.4430177665645</v>
      </c>
      <c r="AL323" s="170">
        <v>1305.7539526233211</v>
      </c>
      <c r="AM323" s="170">
        <v>642.85304414978282</v>
      </c>
      <c r="AN323" s="172">
        <f t="shared" si="150"/>
        <v>902.45905333300891</v>
      </c>
    </row>
    <row r="324" spans="5:40">
      <c r="E324">
        <v>2080</v>
      </c>
      <c r="F324" s="320" t="s">
        <v>240</v>
      </c>
      <c r="G324" s="320" t="s">
        <v>240</v>
      </c>
      <c r="H324" s="63">
        <f t="shared" si="155"/>
        <v>0</v>
      </c>
      <c r="I324" s="63">
        <f t="shared" si="153"/>
        <v>0</v>
      </c>
      <c r="J324" s="63">
        <f t="shared" si="153"/>
        <v>0</v>
      </c>
      <c r="K324" s="63">
        <f t="shared" si="153"/>
        <v>0</v>
      </c>
      <c r="L324" s="63">
        <f t="shared" si="146"/>
        <v>0</v>
      </c>
      <c r="M324" s="63"/>
      <c r="N324">
        <v>2080</v>
      </c>
      <c r="O324" s="320" t="s">
        <v>240</v>
      </c>
      <c r="P324" s="320" t="s">
        <v>240</v>
      </c>
      <c r="Q324" s="63">
        <f t="shared" si="156"/>
        <v>0</v>
      </c>
      <c r="R324" s="63">
        <f t="shared" si="154"/>
        <v>0</v>
      </c>
      <c r="S324" s="63">
        <f t="shared" si="154"/>
        <v>0</v>
      </c>
      <c r="T324" s="63">
        <f t="shared" si="154"/>
        <v>0</v>
      </c>
      <c r="U324" s="172">
        <f t="shared" si="148"/>
        <v>0</v>
      </c>
      <c r="W324">
        <v>2080</v>
      </c>
      <c r="Z324" s="170">
        <v>909.9333426499536</v>
      </c>
      <c r="AA324" s="170">
        <v>2510.1838874422933</v>
      </c>
      <c r="AB324" s="170">
        <v>1887.5842738882075</v>
      </c>
      <c r="AC324" s="170">
        <v>929.30164532179663</v>
      </c>
      <c r="AD324" s="172">
        <f t="shared" si="149"/>
        <v>1304.489800295388</v>
      </c>
      <c r="AG324">
        <v>2080</v>
      </c>
      <c r="AJ324" s="170">
        <v>909.9333426499536</v>
      </c>
      <c r="AK324" s="170">
        <v>2510.1838874422933</v>
      </c>
      <c r="AL324" s="170">
        <v>1887.5842738882075</v>
      </c>
      <c r="AM324" s="170">
        <v>929.30164532179663</v>
      </c>
      <c r="AN324" s="172">
        <f t="shared" si="150"/>
        <v>1304.5853803291807</v>
      </c>
    </row>
    <row r="325" spans="5:40">
      <c r="E325">
        <v>2090</v>
      </c>
      <c r="F325" s="320" t="s">
        <v>240</v>
      </c>
      <c r="G325" s="320" t="s">
        <v>240</v>
      </c>
      <c r="H325" s="63">
        <f t="shared" si="155"/>
        <v>0</v>
      </c>
      <c r="I325" s="63">
        <f t="shared" si="153"/>
        <v>0</v>
      </c>
      <c r="J325" s="63">
        <f t="shared" si="153"/>
        <v>0</v>
      </c>
      <c r="K325" s="63">
        <f t="shared" si="153"/>
        <v>0</v>
      </c>
      <c r="L325" s="63">
        <f t="shared" si="146"/>
        <v>0</v>
      </c>
      <c r="M325" s="63"/>
      <c r="N325">
        <v>2090</v>
      </c>
      <c r="O325" s="320" t="s">
        <v>240</v>
      </c>
      <c r="P325" s="320" t="s">
        <v>240</v>
      </c>
      <c r="Q325" s="63">
        <f t="shared" si="156"/>
        <v>0</v>
      </c>
      <c r="R325" s="63">
        <f t="shared" si="154"/>
        <v>0</v>
      </c>
      <c r="S325" s="63">
        <f t="shared" si="154"/>
        <v>0</v>
      </c>
      <c r="T325" s="63">
        <f t="shared" si="154"/>
        <v>0</v>
      </c>
      <c r="U325" s="172">
        <f t="shared" si="148"/>
        <v>0</v>
      </c>
      <c r="W325">
        <v>2090</v>
      </c>
      <c r="Z325" s="170">
        <v>1315.3901348886529</v>
      </c>
      <c r="AA325" s="170">
        <v>3628.6956060783159</v>
      </c>
      <c r="AB325" s="170">
        <v>2728.6721084564883</v>
      </c>
      <c r="AC325" s="170">
        <v>1343.388750908025</v>
      </c>
      <c r="AD325" s="172">
        <f t="shared" si="149"/>
        <v>1885.7568284883969</v>
      </c>
      <c r="AG325">
        <v>2090</v>
      </c>
      <c r="AJ325" s="170">
        <v>1315.3901348886529</v>
      </c>
      <c r="AK325" s="170">
        <v>3628.6956060783159</v>
      </c>
      <c r="AL325" s="170">
        <v>2728.6721084564883</v>
      </c>
      <c r="AM325" s="170">
        <v>1343.388750908025</v>
      </c>
      <c r="AN325" s="172">
        <f t="shared" si="150"/>
        <v>1885.8949979868098</v>
      </c>
    </row>
    <row r="326" spans="5:40">
      <c r="E326">
        <v>2100</v>
      </c>
      <c r="F326" s="320" t="s">
        <v>240</v>
      </c>
      <c r="G326" s="320" t="s">
        <v>240</v>
      </c>
      <c r="H326" s="63">
        <f t="shared" si="155"/>
        <v>0</v>
      </c>
      <c r="I326" s="63">
        <f t="shared" si="153"/>
        <v>0</v>
      </c>
      <c r="J326" s="63">
        <f t="shared" si="153"/>
        <v>0</v>
      </c>
      <c r="K326" s="63">
        <f t="shared" si="153"/>
        <v>0</v>
      </c>
      <c r="L326" s="63">
        <f t="shared" si="146"/>
        <v>0</v>
      </c>
      <c r="M326" s="63"/>
      <c r="N326">
        <v>2100</v>
      </c>
      <c r="O326" s="320" t="s">
        <v>240</v>
      </c>
      <c r="P326" s="320" t="s">
        <v>240</v>
      </c>
      <c r="Q326" s="63">
        <f t="shared" si="156"/>
        <v>0</v>
      </c>
      <c r="R326" s="63">
        <f t="shared" si="154"/>
        <v>0</v>
      </c>
      <c r="S326" s="63">
        <f t="shared" si="154"/>
        <v>0</v>
      </c>
      <c r="T326" s="63">
        <f t="shared" si="154"/>
        <v>0</v>
      </c>
      <c r="U326" s="172">
        <f t="shared" si="148"/>
        <v>0</v>
      </c>
      <c r="W326">
        <v>2100</v>
      </c>
      <c r="Z326" s="170">
        <v>1901.5142383105383</v>
      </c>
      <c r="AA326" s="170">
        <v>5245.6044624638216</v>
      </c>
      <c r="AB326" s="170">
        <v>3944.5398960286889</v>
      </c>
      <c r="AC326" s="170">
        <v>1941.9887451520635</v>
      </c>
      <c r="AD326" s="172">
        <f t="shared" si="149"/>
        <v>2726.0303724761829</v>
      </c>
      <c r="AG326">
        <v>2100</v>
      </c>
      <c r="AJ326" s="170">
        <v>1901.5142383105383</v>
      </c>
      <c r="AK326" s="170">
        <v>5245.6044624638216</v>
      </c>
      <c r="AL326" s="170">
        <v>3944.5398960286889</v>
      </c>
      <c r="AM326" s="170">
        <v>1941.9887451520635</v>
      </c>
      <c r="AN326" s="172">
        <f t="shared" si="150"/>
        <v>2726.2301088597569</v>
      </c>
    </row>
    <row r="327" spans="5:40">
      <c r="F327" s="581" t="s">
        <v>296</v>
      </c>
      <c r="G327" s="581"/>
      <c r="H327" s="581"/>
      <c r="I327" s="581"/>
      <c r="J327" s="581"/>
      <c r="K327" s="581"/>
      <c r="O327" s="581" t="s">
        <v>297</v>
      </c>
      <c r="P327" s="581"/>
      <c r="Q327" s="581"/>
      <c r="R327" s="581"/>
      <c r="S327" s="581"/>
      <c r="T327" s="581"/>
      <c r="X327" s="581" t="s">
        <v>297</v>
      </c>
      <c r="Y327" s="581"/>
      <c r="Z327" s="581"/>
      <c r="AA327" s="581"/>
      <c r="AB327" s="581"/>
      <c r="AC327" s="581"/>
      <c r="AD327" s="172"/>
      <c r="AH327" s="581" t="s">
        <v>297</v>
      </c>
      <c r="AI327" s="581"/>
      <c r="AJ327" s="581"/>
      <c r="AK327" s="581"/>
      <c r="AL327" s="581"/>
      <c r="AM327" s="581"/>
    </row>
    <row r="328" spans="5:40">
      <c r="E328">
        <v>2020</v>
      </c>
      <c r="F328" s="320" t="s">
        <v>240</v>
      </c>
      <c r="G328" s="320" t="s">
        <v>240</v>
      </c>
      <c r="H328" s="179">
        <f>'Demographic-Economic'!E30*$C$5</f>
        <v>7191.6</v>
      </c>
      <c r="I328" s="179">
        <f>'Demographic-Economic'!F30*$C$5</f>
        <v>4861.5</v>
      </c>
      <c r="J328" s="179">
        <f>'Demographic-Economic'!G30*$C$5</f>
        <v>6151.8</v>
      </c>
      <c r="K328" s="179">
        <f>'Demographic-Economic'!H30*$C$5</f>
        <v>6934</v>
      </c>
      <c r="L328" s="330">
        <f>SUMPRODUCT(H328:K328, H24:K24)/SUM(H24:K24)</f>
        <v>6701.3111210934276</v>
      </c>
      <c r="M328" s="330"/>
      <c r="N328">
        <v>2020</v>
      </c>
      <c r="O328" s="320" t="s">
        <v>240</v>
      </c>
      <c r="P328" s="320" t="s">
        <v>240</v>
      </c>
      <c r="Q328" s="179">
        <f>'Demographic-Economic'!E30*$C$5</f>
        <v>7191.6</v>
      </c>
      <c r="R328" s="179">
        <f>'Demographic-Economic'!F30*$C$5</f>
        <v>4861.5</v>
      </c>
      <c r="S328" s="179">
        <f>'Demographic-Economic'!G30*$C$5</f>
        <v>6151.8</v>
      </c>
      <c r="T328" s="179">
        <f>'Demographic-Economic'!H30*$C$5</f>
        <v>6934</v>
      </c>
      <c r="U328" s="172">
        <f>SUMPRODUCT(Q328:T328, Q24:T24)/SUM(Q24:T24)</f>
        <v>6701.3111210934276</v>
      </c>
      <c r="W328">
        <v>2020</v>
      </c>
      <c r="Z328" s="170">
        <v>17979</v>
      </c>
      <c r="AA328" s="170">
        <v>12153.75</v>
      </c>
      <c r="AB328" s="170">
        <v>15379.5</v>
      </c>
      <c r="AC328" s="170">
        <v>17335</v>
      </c>
      <c r="AD328" s="172">
        <f>SUMPRODUCT(Z328:AC328, Z24:AC24)/SUM(Z24:AC24)</f>
        <v>16753.277802733573</v>
      </c>
      <c r="AG328">
        <v>2020</v>
      </c>
      <c r="AH328" t="s">
        <v>240</v>
      </c>
      <c r="AI328" t="s">
        <v>240</v>
      </c>
      <c r="AJ328" s="170">
        <v>17979</v>
      </c>
      <c r="AK328" s="170">
        <v>12153.75</v>
      </c>
      <c r="AL328" s="170">
        <v>15379.5</v>
      </c>
      <c r="AM328" s="170">
        <v>17335</v>
      </c>
      <c r="AN328" s="172">
        <f>SUMPRODUCT(AJ328:AM328, AJ24:AM24)/SUM(AJ24:AM24)</f>
        <v>16753.277802733573</v>
      </c>
    </row>
    <row r="329" spans="5:40">
      <c r="E329">
        <v>2021</v>
      </c>
      <c r="F329" s="320" t="s">
        <v>240</v>
      </c>
      <c r="G329" s="320" t="s">
        <v>240</v>
      </c>
      <c r="H329" s="179">
        <f t="shared" ref="H329:K338" si="157">H328*(1+$C$6)</f>
        <v>7461.5666710000005</v>
      </c>
      <c r="I329" s="179">
        <f t="shared" si="157"/>
        <v>5043.9966587500003</v>
      </c>
      <c r="J329" s="179">
        <f t="shared" si="157"/>
        <v>6382.7334455</v>
      </c>
      <c r="K329" s="179">
        <f t="shared" si="157"/>
        <v>7194.2965816666665</v>
      </c>
      <c r="L329" s="330">
        <f t="shared" ref="L329:L345" si="158">SUMPRODUCT(H329:K329, H25:K25)/SUM(H25:K25)</f>
        <v>6952.7295947951015</v>
      </c>
      <c r="M329" s="330"/>
      <c r="N329">
        <v>2021</v>
      </c>
      <c r="O329" s="320" t="s">
        <v>240</v>
      </c>
      <c r="P329" s="320" t="s">
        <v>240</v>
      </c>
      <c r="Q329" s="179">
        <f t="shared" ref="Q329:T333" si="159">Q328*(1+$C$6)</f>
        <v>7461.5666710000005</v>
      </c>
      <c r="R329" s="179">
        <f t="shared" si="159"/>
        <v>5043.9966587500003</v>
      </c>
      <c r="S329" s="179">
        <f t="shared" si="159"/>
        <v>6382.7334455</v>
      </c>
      <c r="T329" s="179">
        <f t="shared" si="159"/>
        <v>7194.2965816666665</v>
      </c>
      <c r="U329" s="172">
        <f t="shared" ref="U329:U345" si="160">SUMPRODUCT(Q329:T329, Q25:T25)/SUM(Q25:T25)</f>
        <v>6952.7295947951015</v>
      </c>
      <c r="W329">
        <v>2021</v>
      </c>
      <c r="Z329" s="170">
        <v>18653.916677500001</v>
      </c>
      <c r="AA329" s="170">
        <v>12609.991646875</v>
      </c>
      <c r="AB329" s="170">
        <v>15956.833613750001</v>
      </c>
      <c r="AC329" s="170">
        <v>17985.741454166666</v>
      </c>
      <c r="AD329" s="172">
        <f t="shared" ref="AD329:AD345" si="161">SUMPRODUCT(Z329:AC329, Z25:AC25)/SUM(Z25:AC25)</f>
        <v>17381.823986987747</v>
      </c>
      <c r="AG329">
        <v>2021</v>
      </c>
      <c r="AH329" t="s">
        <v>240</v>
      </c>
      <c r="AI329" t="s">
        <v>240</v>
      </c>
      <c r="AJ329" s="170">
        <v>18653.916677500001</v>
      </c>
      <c r="AK329" s="170">
        <v>12609.991646875</v>
      </c>
      <c r="AL329" s="170">
        <v>15956.833613750001</v>
      </c>
      <c r="AM329" s="170">
        <v>17985.741454166666</v>
      </c>
      <c r="AN329" s="172">
        <f t="shared" ref="AN329:AN345" si="162">SUMPRODUCT(AJ329:AM329, AJ25:AM25)/SUM(AJ25:AM25)</f>
        <v>17381.823986987754</v>
      </c>
    </row>
    <row r="330" spans="5:40">
      <c r="E330">
        <v>2022</v>
      </c>
      <c r="F330" s="320" t="s">
        <v>240</v>
      </c>
      <c r="G330" s="320" t="s">
        <v>240</v>
      </c>
      <c r="H330" s="179">
        <f t="shared" si="157"/>
        <v>7741.667665857115</v>
      </c>
      <c r="I330" s="179">
        <f t="shared" si="157"/>
        <v>5233.3440899889265</v>
      </c>
      <c r="J330" s="179">
        <f t="shared" si="157"/>
        <v>6622.3359400995323</v>
      </c>
      <c r="K330" s="179">
        <f t="shared" si="157"/>
        <v>7464.3644800952816</v>
      </c>
      <c r="L330" s="330">
        <f t="shared" si="158"/>
        <v>7213.612161111133</v>
      </c>
      <c r="M330" s="330"/>
      <c r="N330">
        <v>2022</v>
      </c>
      <c r="O330" s="320" t="s">
        <v>240</v>
      </c>
      <c r="P330" s="320" t="s">
        <v>240</v>
      </c>
      <c r="Q330" s="179">
        <f t="shared" si="159"/>
        <v>7741.667665857115</v>
      </c>
      <c r="R330" s="179">
        <f t="shared" si="159"/>
        <v>5233.3440899889265</v>
      </c>
      <c r="S330" s="179">
        <f t="shared" si="159"/>
        <v>6622.3359400995323</v>
      </c>
      <c r="T330" s="179">
        <f t="shared" si="159"/>
        <v>7464.3644800952816</v>
      </c>
      <c r="U330" s="172">
        <f t="shared" si="160"/>
        <v>7213.6100642856481</v>
      </c>
      <c r="W330">
        <v>2022</v>
      </c>
      <c r="Z330" s="170">
        <v>19354.169164642786</v>
      </c>
      <c r="AA330" s="170">
        <v>13083.360224972315</v>
      </c>
      <c r="AB330" s="170">
        <v>16555.839850248831</v>
      </c>
      <c r="AC330" s="170">
        <v>18660.911200238203</v>
      </c>
      <c r="AD330" s="172">
        <f t="shared" si="161"/>
        <v>18034.020307000235</v>
      </c>
      <c r="AG330">
        <v>2022</v>
      </c>
      <c r="AH330" t="s">
        <v>240</v>
      </c>
      <c r="AI330" t="s">
        <v>240</v>
      </c>
      <c r="AJ330" s="170">
        <v>19354.169164642786</v>
      </c>
      <c r="AK330" s="170">
        <v>13083.360224972315</v>
      </c>
      <c r="AL330" s="170">
        <v>16555.839850248831</v>
      </c>
      <c r="AM330" s="170">
        <v>18660.911200238203</v>
      </c>
      <c r="AN330" s="172">
        <f t="shared" si="162"/>
        <v>18034.029724815427</v>
      </c>
    </row>
    <row r="331" spans="5:40">
      <c r="E331">
        <v>2023</v>
      </c>
      <c r="F331" s="320" t="s">
        <v>240</v>
      </c>
      <c r="G331" s="320" t="s">
        <v>240</v>
      </c>
      <c r="H331" s="179">
        <f t="shared" si="157"/>
        <v>8032.2834186436694</v>
      </c>
      <c r="I331" s="179">
        <f t="shared" si="157"/>
        <v>5429.7994660070362</v>
      </c>
      <c r="J331" s="179">
        <f t="shared" si="157"/>
        <v>6870.9329126775856</v>
      </c>
      <c r="K331" s="179">
        <f t="shared" si="157"/>
        <v>7744.5705023743249</v>
      </c>
      <c r="L331" s="330">
        <f t="shared" si="158"/>
        <v>7484.3125421534442</v>
      </c>
      <c r="M331" s="330"/>
      <c r="N331">
        <v>2023</v>
      </c>
      <c r="O331" s="320" t="s">
        <v>240</v>
      </c>
      <c r="P331" s="320" t="s">
        <v>240</v>
      </c>
      <c r="Q331" s="179">
        <f t="shared" si="159"/>
        <v>8032.2834186436694</v>
      </c>
      <c r="R331" s="179">
        <f t="shared" si="159"/>
        <v>5429.7994660070362</v>
      </c>
      <c r="S331" s="179">
        <f t="shared" si="159"/>
        <v>6870.9329126775856</v>
      </c>
      <c r="T331" s="179">
        <f t="shared" si="159"/>
        <v>7744.5705023743249</v>
      </c>
      <c r="U331" s="172">
        <f t="shared" si="160"/>
        <v>7484.3072119782964</v>
      </c>
      <c r="W331">
        <v>2023</v>
      </c>
      <c r="Z331" s="170">
        <v>20080.708546609174</v>
      </c>
      <c r="AA331" s="170">
        <v>13574.498665017589</v>
      </c>
      <c r="AB331" s="170">
        <v>17177.332281693965</v>
      </c>
      <c r="AC331" s="170">
        <v>19361.42625593581</v>
      </c>
      <c r="AD331" s="172">
        <f t="shared" si="161"/>
        <v>18710.755469954995</v>
      </c>
      <c r="AG331">
        <v>2023</v>
      </c>
      <c r="AH331" t="s">
        <v>240</v>
      </c>
      <c r="AI331" t="s">
        <v>240</v>
      </c>
      <c r="AJ331" s="170">
        <v>20080.708546609174</v>
      </c>
      <c r="AK331" s="170">
        <v>13574.498665017589</v>
      </c>
      <c r="AL331" s="170">
        <v>17177.332281693965</v>
      </c>
      <c r="AM331" s="170">
        <v>19361.42625593581</v>
      </c>
      <c r="AN331" s="172">
        <f t="shared" si="162"/>
        <v>18710.779645604187</v>
      </c>
    </row>
    <row r="332" spans="5:40">
      <c r="E332">
        <v>2024</v>
      </c>
      <c r="F332" s="320" t="s">
        <v>240</v>
      </c>
      <c r="G332" s="320" t="s">
        <v>240</v>
      </c>
      <c r="H332" s="179">
        <f t="shared" si="157"/>
        <v>8333.8086446100369</v>
      </c>
      <c r="I332" s="179">
        <f t="shared" si="157"/>
        <v>5633.6296131280524</v>
      </c>
      <c r="J332" s="179">
        <f t="shared" si="157"/>
        <v>7128.8620084420754</v>
      </c>
      <c r="K332" s="179">
        <f t="shared" si="157"/>
        <v>8035.2952252247051</v>
      </c>
      <c r="L332" s="330">
        <f t="shared" si="158"/>
        <v>7765.198019037156</v>
      </c>
      <c r="M332" s="330"/>
      <c r="N332">
        <v>2024</v>
      </c>
      <c r="O332" s="320" t="s">
        <v>240</v>
      </c>
      <c r="P332" s="320" t="s">
        <v>240</v>
      </c>
      <c r="Q332" s="179">
        <f t="shared" si="159"/>
        <v>8333.8086446100369</v>
      </c>
      <c r="R332" s="179">
        <f t="shared" si="159"/>
        <v>5633.6296131280524</v>
      </c>
      <c r="S332" s="179">
        <f t="shared" si="159"/>
        <v>7128.8620084420754</v>
      </c>
      <c r="T332" s="179">
        <f t="shared" si="159"/>
        <v>8035.2952252247051</v>
      </c>
      <c r="U332" s="172">
        <f t="shared" si="160"/>
        <v>7765.189107235693</v>
      </c>
      <c r="W332">
        <v>2024</v>
      </c>
      <c r="Z332" s="170">
        <v>20834.521611525095</v>
      </c>
      <c r="AA332" s="170">
        <v>14084.074032820128</v>
      </c>
      <c r="AB332" s="170">
        <v>17822.155021105187</v>
      </c>
      <c r="AC332" s="170">
        <v>20088.238063061763</v>
      </c>
      <c r="AD332" s="172">
        <f t="shared" si="161"/>
        <v>19412.951452955644</v>
      </c>
      <c r="AG332">
        <v>2024</v>
      </c>
      <c r="AH332" t="s">
        <v>240</v>
      </c>
      <c r="AI332" t="s">
        <v>240</v>
      </c>
      <c r="AJ332" s="170">
        <v>20834.521611525095</v>
      </c>
      <c r="AK332" s="170">
        <v>14084.074032820128</v>
      </c>
      <c r="AL332" s="170">
        <v>17822.155021105187</v>
      </c>
      <c r="AM332" s="170">
        <v>20088.238063061763</v>
      </c>
      <c r="AN332" s="172">
        <f t="shared" si="162"/>
        <v>19412.992207595533</v>
      </c>
    </row>
    <row r="333" spans="5:40">
      <c r="E333">
        <v>2025</v>
      </c>
      <c r="F333" s="320" t="s">
        <v>240</v>
      </c>
      <c r="G333" s="320" t="s">
        <v>240</v>
      </c>
      <c r="H333" s="179">
        <f>H332*(1+$C$6)</f>
        <v>8646.6528762881608</v>
      </c>
      <c r="I333" s="179">
        <f t="shared" si="157"/>
        <v>5845.111374113535</v>
      </c>
      <c r="J333" s="179">
        <f t="shared" si="157"/>
        <v>7396.4735475206508</v>
      </c>
      <c r="K333" s="179">
        <f t="shared" si="157"/>
        <v>8336.9335119002862</v>
      </c>
      <c r="L333" s="330">
        <f t="shared" si="158"/>
        <v>8056.6498915533512</v>
      </c>
      <c r="M333" s="330"/>
      <c r="N333">
        <v>2025</v>
      </c>
      <c r="O333" s="320" t="s">
        <v>240</v>
      </c>
      <c r="P333" s="320" t="s">
        <v>240</v>
      </c>
      <c r="Q333" s="179">
        <f>Q332*(1+$C$6)</f>
        <v>8646.6528762881608</v>
      </c>
      <c r="R333" s="179">
        <f t="shared" si="159"/>
        <v>5845.111374113535</v>
      </c>
      <c r="S333" s="179">
        <f t="shared" si="159"/>
        <v>7396.4735475206508</v>
      </c>
      <c r="T333" s="179">
        <f t="shared" si="159"/>
        <v>8336.9335119002862</v>
      </c>
      <c r="U333" s="172">
        <f t="shared" si="160"/>
        <v>8056.6377044441415</v>
      </c>
      <c r="W333">
        <v>2025</v>
      </c>
      <c r="Z333" s="170">
        <v>21616.632190720404</v>
      </c>
      <c r="AA333" s="170">
        <v>14612.778435283835</v>
      </c>
      <c r="AB333" s="170">
        <v>18491.183868801625</v>
      </c>
      <c r="AC333" s="170">
        <v>20842.333779750716</v>
      </c>
      <c r="AD333" s="172">
        <f t="shared" si="161"/>
        <v>20141.564768779506</v>
      </c>
      <c r="AG333">
        <v>2025</v>
      </c>
      <c r="AH333" t="s">
        <v>240</v>
      </c>
      <c r="AI333" t="s">
        <v>240</v>
      </c>
      <c r="AJ333" s="170">
        <v>21616.632190720404</v>
      </c>
      <c r="AK333" s="170">
        <v>14612.778435283835</v>
      </c>
      <c r="AL333" s="170">
        <v>18491.183868801625</v>
      </c>
      <c r="AM333" s="170">
        <v>20842.333779750716</v>
      </c>
      <c r="AN333" s="172">
        <f t="shared" si="162"/>
        <v>20141.620864804434</v>
      </c>
    </row>
    <row r="334" spans="5:40">
      <c r="E334">
        <v>2026</v>
      </c>
      <c r="F334" s="320" t="s">
        <v>240</v>
      </c>
      <c r="G334" s="320" t="s">
        <v>240</v>
      </c>
      <c r="H334" s="179">
        <f t="shared" si="157"/>
        <v>8971.2410197199551</v>
      </c>
      <c r="I334" s="179">
        <f t="shared" si="157"/>
        <v>6064.5319841716118</v>
      </c>
      <c r="J334" s="179">
        <f t="shared" si="157"/>
        <v>7674.1310007666198</v>
      </c>
      <c r="K334" s="179">
        <f t="shared" si="157"/>
        <v>8649.8950484924299</v>
      </c>
      <c r="L334" s="330">
        <f t="shared" si="158"/>
        <v>8359.0639660366087</v>
      </c>
      <c r="M334" s="330"/>
      <c r="N334">
        <v>2026</v>
      </c>
      <c r="O334" s="320" t="s">
        <v>240</v>
      </c>
      <c r="P334" s="320" t="s">
        <v>240</v>
      </c>
      <c r="Q334" s="179">
        <f t="shared" ref="Q334:T338" si="163">Q333*(1+$C$6)</f>
        <v>8971.2410197199551</v>
      </c>
      <c r="R334" s="179">
        <f t="shared" si="163"/>
        <v>6064.5319841716118</v>
      </c>
      <c r="S334" s="179">
        <f t="shared" si="163"/>
        <v>7674.1310007666198</v>
      </c>
      <c r="T334" s="179">
        <f t="shared" si="163"/>
        <v>8649.8950484924299</v>
      </c>
      <c r="U334" s="172">
        <f t="shared" si="160"/>
        <v>8359.0493601784983</v>
      </c>
      <c r="W334">
        <v>2026</v>
      </c>
      <c r="Z334" s="170">
        <v>22428.102549299889</v>
      </c>
      <c r="AA334" s="170">
        <v>15161.329960429028</v>
      </c>
      <c r="AB334" s="170">
        <v>19185.327501916548</v>
      </c>
      <c r="AC334" s="170">
        <v>21624.737621231074</v>
      </c>
      <c r="AD334" s="172">
        <f t="shared" si="161"/>
        <v>20897.587778265919</v>
      </c>
      <c r="AG334">
        <v>2026</v>
      </c>
      <c r="AH334" t="s">
        <v>240</v>
      </c>
      <c r="AI334" t="s">
        <v>240</v>
      </c>
      <c r="AJ334" s="170">
        <v>22428.102549299889</v>
      </c>
      <c r="AK334" s="170">
        <v>15161.329960429028</v>
      </c>
      <c r="AL334" s="170">
        <v>19185.327501916548</v>
      </c>
      <c r="AM334" s="170">
        <v>21624.737621231074</v>
      </c>
      <c r="AN334" s="172">
        <f t="shared" si="162"/>
        <v>20897.655299545459</v>
      </c>
    </row>
    <row r="335" spans="5:40">
      <c r="E335">
        <v>2027</v>
      </c>
      <c r="F335" s="320" t="s">
        <v>240</v>
      </c>
      <c r="G335" s="320" t="s">
        <v>240</v>
      </c>
      <c r="H335" s="179">
        <f t="shared" si="157"/>
        <v>9308.0139315660599</v>
      </c>
      <c r="I335" s="179">
        <f t="shared" si="157"/>
        <v>6292.1894610807603</v>
      </c>
      <c r="J335" s="179">
        <f t="shared" si="157"/>
        <v>7962.2114834262311</v>
      </c>
      <c r="K335" s="179">
        <f t="shared" si="157"/>
        <v>8974.6049003669614</v>
      </c>
      <c r="L335" s="330">
        <f t="shared" si="158"/>
        <v>8672.8510697312886</v>
      </c>
      <c r="M335" s="330"/>
      <c r="N335">
        <v>2027</v>
      </c>
      <c r="O335" s="320" t="s">
        <v>240</v>
      </c>
      <c r="P335" s="320" t="s">
        <v>240</v>
      </c>
      <c r="Q335" s="179">
        <f t="shared" si="163"/>
        <v>9308.0139315660599</v>
      </c>
      <c r="R335" s="179">
        <f t="shared" si="163"/>
        <v>6292.1894610807603</v>
      </c>
      <c r="S335" s="179">
        <f t="shared" si="163"/>
        <v>7962.2114834262311</v>
      </c>
      <c r="T335" s="179">
        <f t="shared" si="163"/>
        <v>8974.6049003669614</v>
      </c>
      <c r="U335" s="172">
        <f t="shared" si="160"/>
        <v>8672.8353701555989</v>
      </c>
      <c r="W335">
        <v>2027</v>
      </c>
      <c r="Z335" s="170">
        <v>23270.034828915148</v>
      </c>
      <c r="AA335" s="170">
        <v>15730.473652701899</v>
      </c>
      <c r="AB335" s="170">
        <v>19905.528708565576</v>
      </c>
      <c r="AC335" s="170">
        <v>22436.512250917403</v>
      </c>
      <c r="AD335" s="172">
        <f t="shared" si="161"/>
        <v>21682.050050961247</v>
      </c>
      <c r="AG335">
        <v>2027</v>
      </c>
      <c r="AH335" t="s">
        <v>240</v>
      </c>
      <c r="AI335" t="s">
        <v>240</v>
      </c>
      <c r="AJ335" s="170">
        <v>23270.034828915148</v>
      </c>
      <c r="AK335" s="170">
        <v>15730.473652701899</v>
      </c>
      <c r="AL335" s="170">
        <v>19905.528708565576</v>
      </c>
      <c r="AM335" s="170">
        <v>22436.512250917403</v>
      </c>
      <c r="AN335" s="172">
        <f t="shared" si="162"/>
        <v>21682.122717791583</v>
      </c>
    </row>
    <row r="336" spans="5:40">
      <c r="E336">
        <v>2028</v>
      </c>
      <c r="F336" s="320" t="s">
        <v>240</v>
      </c>
      <c r="G336" s="320" t="s">
        <v>240</v>
      </c>
      <c r="H336" s="179">
        <f t="shared" si="157"/>
        <v>9657.4290178787742</v>
      </c>
      <c r="I336" s="179">
        <f t="shared" si="157"/>
        <v>6528.393009958515</v>
      </c>
      <c r="J336" s="179">
        <f t="shared" si="157"/>
        <v>8261.1062673378165</v>
      </c>
      <c r="K336" s="179">
        <f t="shared" si="157"/>
        <v>9311.5040894893209</v>
      </c>
      <c r="L336" s="330">
        <f t="shared" si="158"/>
        <v>8998.4375906738369</v>
      </c>
      <c r="M336" s="330"/>
      <c r="N336">
        <v>2028</v>
      </c>
      <c r="O336" s="320" t="s">
        <v>240</v>
      </c>
      <c r="P336" s="320" t="s">
        <v>240</v>
      </c>
      <c r="Q336" s="179">
        <f t="shared" si="163"/>
        <v>9657.4290178787742</v>
      </c>
      <c r="R336" s="179">
        <f t="shared" si="163"/>
        <v>6528.393009958515</v>
      </c>
      <c r="S336" s="179">
        <f t="shared" si="163"/>
        <v>8261.1062673378165</v>
      </c>
      <c r="T336" s="179">
        <f t="shared" si="163"/>
        <v>9311.5040894893209</v>
      </c>
      <c r="U336" s="172">
        <f t="shared" si="160"/>
        <v>8998.4225266981484</v>
      </c>
      <c r="W336">
        <v>2028</v>
      </c>
      <c r="Z336" s="170">
        <v>24143.572544696934</v>
      </c>
      <c r="AA336" s="170">
        <v>16320.982524896284</v>
      </c>
      <c r="AB336" s="170">
        <v>20652.765668344538</v>
      </c>
      <c r="AC336" s="170">
        <v>23278.7602237233</v>
      </c>
      <c r="AD336" s="172">
        <f t="shared" si="161"/>
        <v>22496.019775758537</v>
      </c>
      <c r="AG336">
        <v>2028</v>
      </c>
      <c r="AH336" t="s">
        <v>240</v>
      </c>
      <c r="AI336" t="s">
        <v>240</v>
      </c>
      <c r="AJ336" s="170">
        <v>24143.572544696934</v>
      </c>
      <c r="AK336" s="170">
        <v>16320.982524896284</v>
      </c>
      <c r="AL336" s="170">
        <v>20652.765668344538</v>
      </c>
      <c r="AM336" s="170">
        <v>23278.7602237233</v>
      </c>
      <c r="AN336" s="172">
        <f t="shared" si="162"/>
        <v>22496.089205900105</v>
      </c>
    </row>
    <row r="337" spans="5:40">
      <c r="E337">
        <v>2029</v>
      </c>
      <c r="F337" s="320" t="s">
        <v>240</v>
      </c>
      <c r="G337" s="320" t="s">
        <v>240</v>
      </c>
      <c r="H337" s="179">
        <f t="shared" si="157"/>
        <v>10019.960855352429</v>
      </c>
      <c r="I337" s="179">
        <f t="shared" si="157"/>
        <v>6773.4634432248495</v>
      </c>
      <c r="J337" s="179">
        <f t="shared" si="157"/>
        <v>8571.2213123584552</v>
      </c>
      <c r="K337" s="179">
        <f t="shared" si="157"/>
        <v>9661.0501934220083</v>
      </c>
      <c r="L337" s="330">
        <f t="shared" si="158"/>
        <v>9336.2660426078655</v>
      </c>
      <c r="M337" s="330"/>
      <c r="N337">
        <v>2029</v>
      </c>
      <c r="O337" s="320" t="s">
        <v>240</v>
      </c>
      <c r="P337" s="320" t="s">
        <v>240</v>
      </c>
      <c r="Q337" s="179">
        <f t="shared" si="163"/>
        <v>10019.960855352429</v>
      </c>
      <c r="R337" s="179">
        <f t="shared" si="163"/>
        <v>6773.4634432248495</v>
      </c>
      <c r="S337" s="179">
        <f t="shared" si="163"/>
        <v>8571.2213123584552</v>
      </c>
      <c r="T337" s="179">
        <f t="shared" si="163"/>
        <v>9661.0501934220083</v>
      </c>
      <c r="U337" s="172">
        <f t="shared" si="160"/>
        <v>9336.2536974567338</v>
      </c>
      <c r="W337">
        <v>2029</v>
      </c>
      <c r="Z337" s="170">
        <v>25049.902138381069</v>
      </c>
      <c r="AA337" s="170">
        <v>16933.65860806212</v>
      </c>
      <c r="AB337" s="170">
        <v>21428.053280896136</v>
      </c>
      <c r="AC337" s="170">
        <v>24152.625483555021</v>
      </c>
      <c r="AD337" s="172">
        <f t="shared" si="161"/>
        <v>23340.605223379342</v>
      </c>
      <c r="AG337">
        <v>2029</v>
      </c>
      <c r="AH337" t="s">
        <v>240</v>
      </c>
      <c r="AI337" t="s">
        <v>240</v>
      </c>
      <c r="AJ337" s="170">
        <v>25049.902138381069</v>
      </c>
      <c r="AK337" s="170">
        <v>16933.65860806212</v>
      </c>
      <c r="AL337" s="170">
        <v>21428.053280896136</v>
      </c>
      <c r="AM337" s="170">
        <v>24152.625483555021</v>
      </c>
      <c r="AN337" s="172">
        <f t="shared" si="162"/>
        <v>23340.661148178428</v>
      </c>
    </row>
    <row r="338" spans="5:40">
      <c r="E338">
        <v>2030</v>
      </c>
      <c r="F338" s="320" t="s">
        <v>240</v>
      </c>
      <c r="G338" s="320" t="s">
        <v>240</v>
      </c>
      <c r="H338" s="179">
        <f t="shared" si="157"/>
        <v>10396.101835894979</v>
      </c>
      <c r="I338" s="179">
        <f t="shared" si="157"/>
        <v>7027.7336163306409</v>
      </c>
      <c r="J338" s="179">
        <f t="shared" si="157"/>
        <v>8892.9778177399639</v>
      </c>
      <c r="K338" s="179">
        <f t="shared" si="157"/>
        <v>10023.71796680791</v>
      </c>
      <c r="L338" s="330">
        <f t="shared" si="158"/>
        <v>9686.7956548073216</v>
      </c>
      <c r="M338" s="330"/>
      <c r="N338">
        <v>2030</v>
      </c>
      <c r="O338" s="320" t="s">
        <v>240</v>
      </c>
      <c r="P338" s="320" t="s">
        <v>240</v>
      </c>
      <c r="Q338" s="179">
        <f t="shared" si="163"/>
        <v>10396.101835894979</v>
      </c>
      <c r="R338" s="179">
        <f t="shared" si="163"/>
        <v>7027.7336163306409</v>
      </c>
      <c r="S338" s="179">
        <f t="shared" si="163"/>
        <v>8892.9778177399639</v>
      </c>
      <c r="T338" s="179">
        <f t="shared" si="163"/>
        <v>10023.71796680791</v>
      </c>
      <c r="U338" s="172">
        <f t="shared" si="160"/>
        <v>9686.7884261658037</v>
      </c>
      <c r="W338">
        <v>2030</v>
      </c>
      <c r="Z338" s="170">
        <v>25990.254589737444</v>
      </c>
      <c r="AA338" s="170">
        <v>17569.334040826598</v>
      </c>
      <c r="AB338" s="170">
        <v>22232.44454434991</v>
      </c>
      <c r="AC338" s="170">
        <v>25059.294917019775</v>
      </c>
      <c r="AD338" s="172">
        <f t="shared" si="161"/>
        <v>24216.956262649317</v>
      </c>
      <c r="AG338">
        <v>2030</v>
      </c>
      <c r="AH338" t="s">
        <v>240</v>
      </c>
      <c r="AI338" t="s">
        <v>240</v>
      </c>
      <c r="AJ338" s="170">
        <v>25990.254589737444</v>
      </c>
      <c r="AK338" s="170">
        <v>17569.334040826598</v>
      </c>
      <c r="AL338" s="170">
        <v>22232.44454434991</v>
      </c>
      <c r="AM338" s="170">
        <v>25059.294917019775</v>
      </c>
      <c r="AN338" s="172">
        <f t="shared" si="162"/>
        <v>24216.986705452196</v>
      </c>
    </row>
    <row r="339" spans="5:40">
      <c r="E339">
        <v>2040</v>
      </c>
      <c r="F339" s="320" t="s">
        <v>240</v>
      </c>
      <c r="G339" s="320" t="s">
        <v>240</v>
      </c>
      <c r="H339" s="330">
        <f>H338*($C$6+1)^10</f>
        <v>15028.496215348314</v>
      </c>
      <c r="I339" s="330">
        <f t="shared" ref="I339:K345" si="164">I338*($C$6+1)^10</f>
        <v>10159.21830342564</v>
      </c>
      <c r="J339" s="330">
        <f t="shared" si="164"/>
        <v>12855.595836473072</v>
      </c>
      <c r="K339" s="330">
        <f t="shared" si="164"/>
        <v>14490.181984151675</v>
      </c>
      <c r="L339" s="330">
        <f t="shared" si="158"/>
        <v>14004.144635240831</v>
      </c>
      <c r="M339" s="330"/>
      <c r="N339">
        <v>2040</v>
      </c>
      <c r="O339" s="320" t="s">
        <v>240</v>
      </c>
      <c r="P339" s="320" t="s">
        <v>240</v>
      </c>
      <c r="Q339" s="330">
        <f>Q338*($C$6+1)^10</f>
        <v>15028.496215348314</v>
      </c>
      <c r="R339" s="330">
        <f t="shared" ref="R339:T339" si="165">R338*($C$6+1)^10</f>
        <v>10159.21830342564</v>
      </c>
      <c r="S339" s="330">
        <f t="shared" si="165"/>
        <v>12855.595836473072</v>
      </c>
      <c r="T339" s="330">
        <f t="shared" si="165"/>
        <v>14490.181984151675</v>
      </c>
      <c r="U339" s="172">
        <f t="shared" si="160"/>
        <v>14004.246126139957</v>
      </c>
      <c r="W339">
        <v>2040</v>
      </c>
      <c r="Z339" s="170">
        <v>37571.240538370781</v>
      </c>
      <c r="AA339" s="170">
        <v>25398.045758564091</v>
      </c>
      <c r="AB339" s="170">
        <v>32138.989591182682</v>
      </c>
      <c r="AC339" s="170">
        <v>36225.454960379189</v>
      </c>
      <c r="AD339" s="172">
        <f t="shared" si="161"/>
        <v>35010.904664394046</v>
      </c>
      <c r="AG339">
        <v>2040</v>
      </c>
      <c r="AH339" t="s">
        <v>240</v>
      </c>
      <c r="AI339" t="s">
        <v>240</v>
      </c>
      <c r="AJ339" s="170">
        <v>37571.240538370781</v>
      </c>
      <c r="AK339" s="170">
        <v>25398.045758564091</v>
      </c>
      <c r="AL339" s="170">
        <v>32138.989591182682</v>
      </c>
      <c r="AM339" s="170">
        <v>36225.454960379189</v>
      </c>
      <c r="AN339" s="172">
        <f t="shared" si="162"/>
        <v>35010.391516670679</v>
      </c>
    </row>
    <row r="340" spans="5:40">
      <c r="E340">
        <v>2050</v>
      </c>
      <c r="F340" s="320" t="s">
        <v>240</v>
      </c>
      <c r="G340" s="320" t="s">
        <v>240</v>
      </c>
      <c r="H340" s="330">
        <f t="shared" ref="H340:H344" si="166">H339*($C$6+1)^10</f>
        <v>21725.037139874759</v>
      </c>
      <c r="I340" s="330">
        <f t="shared" si="164"/>
        <v>14686.059855317475</v>
      </c>
      <c r="J340" s="330">
        <f t="shared" si="164"/>
        <v>18583.915050486892</v>
      </c>
      <c r="K340" s="330">
        <f t="shared" si="164"/>
        <v>20946.855710536121</v>
      </c>
      <c r="L340" s="330">
        <f t="shared" si="158"/>
        <v>20244.245196140779</v>
      </c>
      <c r="M340" s="330"/>
      <c r="N340">
        <v>2050</v>
      </c>
      <c r="O340" s="320" t="s">
        <v>240</v>
      </c>
      <c r="P340" s="320" t="s">
        <v>240</v>
      </c>
      <c r="Q340" s="330">
        <f t="shared" ref="Q340:T345" si="167">Q339*($C$6+1)^10</f>
        <v>21725.037139874759</v>
      </c>
      <c r="R340" s="330">
        <f t="shared" si="167"/>
        <v>14686.059855317475</v>
      </c>
      <c r="S340" s="330">
        <f t="shared" si="167"/>
        <v>18583.915050486892</v>
      </c>
      <c r="T340" s="330">
        <f t="shared" si="167"/>
        <v>20946.855710536121</v>
      </c>
      <c r="U340" s="172">
        <f t="shared" si="160"/>
        <v>20244.391910324364</v>
      </c>
      <c r="W340">
        <v>2050</v>
      </c>
      <c r="Z340" s="170">
        <v>54312.592849686895</v>
      </c>
      <c r="AA340" s="170">
        <v>36715.149638293675</v>
      </c>
      <c r="AB340" s="170">
        <v>46459.787626217236</v>
      </c>
      <c r="AC340" s="170">
        <v>52367.139276340306</v>
      </c>
      <c r="AD340" s="172">
        <f t="shared" si="161"/>
        <v>50611.398055766585</v>
      </c>
      <c r="AG340">
        <v>2050</v>
      </c>
      <c r="AH340" t="s">
        <v>240</v>
      </c>
      <c r="AI340" t="s">
        <v>240</v>
      </c>
      <c r="AJ340" s="170">
        <v>54312.592849686895</v>
      </c>
      <c r="AK340" s="170">
        <v>36715.149638293675</v>
      </c>
      <c r="AL340" s="170">
        <v>46459.787626217236</v>
      </c>
      <c r="AM340" s="170">
        <v>52367.139276340306</v>
      </c>
      <c r="AN340" s="172">
        <f t="shared" si="162"/>
        <v>50610.656254778063</v>
      </c>
    </row>
    <row r="341" spans="5:40">
      <c r="E341">
        <v>2060</v>
      </c>
      <c r="F341" s="320" t="s">
        <v>240</v>
      </c>
      <c r="G341" s="320" t="s">
        <v>240</v>
      </c>
      <c r="H341" s="330">
        <f t="shared" si="166"/>
        <v>31405.486747697112</v>
      </c>
      <c r="I341" s="330">
        <f t="shared" si="164"/>
        <v>21230.014714935416</v>
      </c>
      <c r="J341" s="330">
        <f t="shared" si="164"/>
        <v>26864.713467723883</v>
      </c>
      <c r="K341" s="330">
        <f t="shared" si="164"/>
        <v>30280.555802398878</v>
      </c>
      <c r="L341" s="330">
        <f t="shared" si="158"/>
        <v>29264.869382322053</v>
      </c>
      <c r="M341" s="330"/>
      <c r="N341">
        <v>2060</v>
      </c>
      <c r="O341" s="320" t="s">
        <v>240</v>
      </c>
      <c r="P341" s="320" t="s">
        <v>240</v>
      </c>
      <c r="Q341" s="330">
        <f t="shared" si="167"/>
        <v>31405.486747697112</v>
      </c>
      <c r="R341" s="330">
        <f t="shared" si="167"/>
        <v>21230.014714935416</v>
      </c>
      <c r="S341" s="330">
        <f t="shared" si="167"/>
        <v>26864.713467723883</v>
      </c>
      <c r="T341" s="330">
        <f t="shared" si="167"/>
        <v>30280.555802398878</v>
      </c>
      <c r="U341" s="172">
        <f t="shared" si="160"/>
        <v>29265.081470813253</v>
      </c>
      <c r="W341">
        <v>2060</v>
      </c>
      <c r="Z341" s="170">
        <v>78513.71686924278</v>
      </c>
      <c r="AA341" s="170">
        <v>53075.036787338518</v>
      </c>
      <c r="AB341" s="170">
        <v>67161.78366930972</v>
      </c>
      <c r="AC341" s="170">
        <v>75701.389505997198</v>
      </c>
      <c r="AD341" s="172">
        <f t="shared" si="161"/>
        <v>73163.308338167641</v>
      </c>
      <c r="AG341">
        <v>2060</v>
      </c>
      <c r="AH341" t="s">
        <v>240</v>
      </c>
      <c r="AI341" t="s">
        <v>240</v>
      </c>
      <c r="AJ341" s="170">
        <v>78513.71686924278</v>
      </c>
      <c r="AK341" s="170">
        <v>53075.036787338518</v>
      </c>
      <c r="AL341" s="170">
        <v>67161.78366930972</v>
      </c>
      <c r="AM341" s="170">
        <v>75701.389505997198</v>
      </c>
      <c r="AN341" s="172">
        <f t="shared" si="162"/>
        <v>73162.235998407588</v>
      </c>
    </row>
    <row r="342" spans="5:40">
      <c r="E342">
        <v>2070</v>
      </c>
      <c r="F342" s="320" t="s">
        <v>240</v>
      </c>
      <c r="G342" s="320" t="s">
        <v>240</v>
      </c>
      <c r="H342" s="330">
        <f t="shared" si="166"/>
        <v>45399.443577911639</v>
      </c>
      <c r="I342" s="330">
        <f t="shared" si="164"/>
        <v>30689.887501253888</v>
      </c>
      <c r="J342" s="330">
        <f t="shared" si="164"/>
        <v>38835.349157711331</v>
      </c>
      <c r="K342" s="330">
        <f t="shared" si="164"/>
        <v>43773.255154519065</v>
      </c>
      <c r="L342" s="330">
        <f t="shared" si="158"/>
        <v>42304.989475608338</v>
      </c>
      <c r="M342" s="330"/>
      <c r="N342">
        <v>2070</v>
      </c>
      <c r="O342" s="320" t="s">
        <v>240</v>
      </c>
      <c r="P342" s="320" t="s">
        <v>240</v>
      </c>
      <c r="Q342" s="330">
        <f t="shared" si="167"/>
        <v>45399.443577911639</v>
      </c>
      <c r="R342" s="330">
        <f t="shared" si="167"/>
        <v>30689.887501253888</v>
      </c>
      <c r="S342" s="330">
        <f t="shared" si="167"/>
        <v>38835.349157711331</v>
      </c>
      <c r="T342" s="330">
        <f t="shared" si="167"/>
        <v>43773.255154519065</v>
      </c>
      <c r="U342" s="172">
        <f t="shared" si="160"/>
        <v>42305.29606851573</v>
      </c>
      <c r="W342">
        <v>2070</v>
      </c>
      <c r="Z342" s="170">
        <v>113498.6089447791</v>
      </c>
      <c r="AA342" s="170">
        <v>76724.718753134686</v>
      </c>
      <c r="AB342" s="170">
        <v>97088.372894278335</v>
      </c>
      <c r="AC342" s="170">
        <v>109433.13788629767</v>
      </c>
      <c r="AD342" s="172">
        <f t="shared" si="161"/>
        <v>105764.11426310905</v>
      </c>
      <c r="AG342">
        <v>2070</v>
      </c>
      <c r="AH342" t="s">
        <v>240</v>
      </c>
      <c r="AI342" t="s">
        <v>240</v>
      </c>
      <c r="AJ342" s="170">
        <v>113498.6089447791</v>
      </c>
      <c r="AK342" s="170">
        <v>76724.718753134686</v>
      </c>
      <c r="AL342" s="170">
        <v>97088.372894278335</v>
      </c>
      <c r="AM342" s="170">
        <v>109433.13788629767</v>
      </c>
      <c r="AN342" s="172">
        <f t="shared" si="162"/>
        <v>105762.56409995366</v>
      </c>
    </row>
    <row r="343" spans="5:40">
      <c r="E343">
        <v>2080</v>
      </c>
      <c r="F343" s="320" t="s">
        <v>240</v>
      </c>
      <c r="G343" s="320" t="s">
        <v>240</v>
      </c>
      <c r="H343" s="330">
        <f t="shared" si="166"/>
        <v>65628.961389529126</v>
      </c>
      <c r="I343" s="330">
        <f t="shared" si="164"/>
        <v>44364.980782467865</v>
      </c>
      <c r="J343" s="330">
        <f t="shared" si="164"/>
        <v>56139.975064812454</v>
      </c>
      <c r="K343" s="330">
        <f t="shared" si="164"/>
        <v>63278.160391984391</v>
      </c>
      <c r="L343" s="330">
        <f t="shared" si="158"/>
        <v>61155.650864187315</v>
      </c>
      <c r="M343" s="330"/>
      <c r="N343">
        <v>2080</v>
      </c>
      <c r="O343" s="320" t="s">
        <v>240</v>
      </c>
      <c r="P343" s="320" t="s">
        <v>240</v>
      </c>
      <c r="Q343" s="330">
        <f t="shared" si="167"/>
        <v>65628.961389529126</v>
      </c>
      <c r="R343" s="330">
        <f t="shared" si="167"/>
        <v>44364.980782467865</v>
      </c>
      <c r="S343" s="330">
        <f t="shared" si="167"/>
        <v>56139.975064812454</v>
      </c>
      <c r="T343" s="330">
        <f t="shared" si="167"/>
        <v>63278.160391984391</v>
      </c>
      <c r="U343" s="172">
        <f t="shared" si="160"/>
        <v>61156.094071691557</v>
      </c>
      <c r="W343">
        <v>2080</v>
      </c>
      <c r="Z343" s="170">
        <v>164072.40347382281</v>
      </c>
      <c r="AA343" s="170">
        <v>110912.45195616961</v>
      </c>
      <c r="AB343" s="170">
        <v>140349.93766203115</v>
      </c>
      <c r="AC343" s="170">
        <v>158195.40097996098</v>
      </c>
      <c r="AD343" s="172">
        <f t="shared" si="161"/>
        <v>152891.49875723268</v>
      </c>
      <c r="AG343">
        <v>2080</v>
      </c>
      <c r="AH343" t="s">
        <v>240</v>
      </c>
      <c r="AI343" t="s">
        <v>240</v>
      </c>
      <c r="AJ343" s="170">
        <v>164072.40347382281</v>
      </c>
      <c r="AK343" s="170">
        <v>110912.45195616961</v>
      </c>
      <c r="AL343" s="170">
        <v>140349.93766203115</v>
      </c>
      <c r="AM343" s="170">
        <v>158195.40097996098</v>
      </c>
      <c r="AN343" s="172">
        <f t="shared" si="162"/>
        <v>152889.2578575683</v>
      </c>
    </row>
    <row r="344" spans="5:40">
      <c r="E344">
        <v>2090</v>
      </c>
      <c r="F344" s="320" t="s">
        <v>240</v>
      </c>
      <c r="G344" s="320" t="s">
        <v>240</v>
      </c>
      <c r="H344" s="330">
        <f t="shared" si="166"/>
        <v>94872.54101862789</v>
      </c>
      <c r="I344" s="330">
        <f t="shared" si="164"/>
        <v>64133.552778527664</v>
      </c>
      <c r="J344" s="330">
        <f t="shared" si="164"/>
        <v>81155.361510428134</v>
      </c>
      <c r="K344" s="330">
        <f t="shared" si="164"/>
        <v>91474.247653257378</v>
      </c>
      <c r="L344" s="330">
        <f t="shared" si="158"/>
        <v>88405.970051800716</v>
      </c>
      <c r="M344" s="330"/>
      <c r="N344">
        <v>2090</v>
      </c>
      <c r="O344" s="320" t="s">
        <v>240</v>
      </c>
      <c r="P344" s="320" t="s">
        <v>240</v>
      </c>
      <c r="Q344" s="330">
        <f t="shared" si="167"/>
        <v>94872.54101862789</v>
      </c>
      <c r="R344" s="330">
        <f t="shared" si="167"/>
        <v>64133.552778527664</v>
      </c>
      <c r="S344" s="330">
        <f t="shared" si="167"/>
        <v>81155.361510428134</v>
      </c>
      <c r="T344" s="330">
        <f t="shared" si="167"/>
        <v>91474.247653257378</v>
      </c>
      <c r="U344" s="172">
        <f t="shared" si="160"/>
        <v>88406.610747939078</v>
      </c>
      <c r="W344">
        <v>2090</v>
      </c>
      <c r="Z344" s="170">
        <v>237181.35254656972</v>
      </c>
      <c r="AA344" s="170">
        <v>160333.8819463191</v>
      </c>
      <c r="AB344" s="170">
        <v>202888.40377607039</v>
      </c>
      <c r="AC344" s="170">
        <v>228685.61913314345</v>
      </c>
      <c r="AD344" s="172">
        <f t="shared" si="161"/>
        <v>221018.35348501039</v>
      </c>
      <c r="AG344">
        <v>2090</v>
      </c>
      <c r="AH344" t="s">
        <v>240</v>
      </c>
      <c r="AI344" t="s">
        <v>240</v>
      </c>
      <c r="AJ344" s="170">
        <v>237181.35254656972</v>
      </c>
      <c r="AK344" s="170">
        <v>160333.8819463191</v>
      </c>
      <c r="AL344" s="170">
        <v>202888.40377607039</v>
      </c>
      <c r="AM344" s="170">
        <v>228685.61913314345</v>
      </c>
      <c r="AN344" s="172">
        <f t="shared" si="162"/>
        <v>221015.11406386434</v>
      </c>
    </row>
    <row r="345" spans="5:40">
      <c r="E345">
        <v>2100</v>
      </c>
      <c r="F345" s="320" t="s">
        <v>240</v>
      </c>
      <c r="G345" s="320" t="s">
        <v>240</v>
      </c>
      <c r="H345" s="330">
        <f>H344*($C$6+1)^10</f>
        <v>137146.75424937136</v>
      </c>
      <c r="I345" s="330">
        <f t="shared" si="164"/>
        <v>92710.793951737985</v>
      </c>
      <c r="J345" s="330">
        <f t="shared" si="164"/>
        <v>117317.34284321744</v>
      </c>
      <c r="K345" s="330">
        <f t="shared" si="164"/>
        <v>132234.21685927204</v>
      </c>
      <c r="L345" s="330">
        <f t="shared" si="158"/>
        <v>127798.74681011208</v>
      </c>
      <c r="M345" s="330"/>
      <c r="N345">
        <v>2100</v>
      </c>
      <c r="O345" s="320" t="s">
        <v>240</v>
      </c>
      <c r="P345" s="320" t="s">
        <v>240</v>
      </c>
      <c r="Q345" s="330">
        <f>Q344*($C$6+1)^10</f>
        <v>137146.75424937136</v>
      </c>
      <c r="R345" s="330">
        <f t="shared" si="167"/>
        <v>92710.793951737985</v>
      </c>
      <c r="S345" s="330">
        <f t="shared" si="167"/>
        <v>117317.34284321744</v>
      </c>
      <c r="T345" s="330">
        <f t="shared" si="167"/>
        <v>132234.21685927204</v>
      </c>
      <c r="U345" s="172">
        <f t="shared" si="160"/>
        <v>127799.67299375687</v>
      </c>
      <c r="W345">
        <v>2100</v>
      </c>
      <c r="Z345" s="170">
        <v>342866.88562342839</v>
      </c>
      <c r="AA345" s="170">
        <v>231776.98487934488</v>
      </c>
      <c r="AB345" s="170">
        <v>293293.35710804368</v>
      </c>
      <c r="AC345" s="170">
        <v>330585.54214818013</v>
      </c>
      <c r="AD345" s="172">
        <f t="shared" si="161"/>
        <v>319501.82302019052</v>
      </c>
      <c r="AG345">
        <v>2100</v>
      </c>
      <c r="AH345" t="s">
        <v>240</v>
      </c>
      <c r="AI345" t="s">
        <v>240</v>
      </c>
      <c r="AJ345" s="170">
        <v>342866.88562342839</v>
      </c>
      <c r="AK345" s="170">
        <v>231776.98487934488</v>
      </c>
      <c r="AL345" s="170">
        <v>293293.35710804368</v>
      </c>
      <c r="AM345" s="170">
        <v>330585.54214818013</v>
      </c>
      <c r="AN345" s="172">
        <f t="shared" si="162"/>
        <v>319497.14014682104</v>
      </c>
    </row>
    <row r="346" spans="5:40">
      <c r="F346" s="581" t="s">
        <v>298</v>
      </c>
      <c r="G346" s="581"/>
      <c r="H346" s="581"/>
      <c r="I346" s="581"/>
      <c r="J346" s="581"/>
      <c r="K346" s="581"/>
      <c r="L346" s="330"/>
      <c r="M346" s="330"/>
      <c r="O346" s="581" t="s">
        <v>299</v>
      </c>
      <c r="P346" s="581"/>
      <c r="Q346" s="581"/>
      <c r="R346" s="581"/>
      <c r="S346" s="581"/>
      <c r="T346" s="581"/>
      <c r="X346" s="581" t="s">
        <v>299</v>
      </c>
      <c r="Y346" s="581"/>
      <c r="Z346" s="581"/>
      <c r="AA346" s="581"/>
      <c r="AB346" s="581"/>
      <c r="AC346" s="581"/>
      <c r="AD346" s="172"/>
      <c r="AH346" s="581" t="s">
        <v>299</v>
      </c>
      <c r="AI346" s="581"/>
      <c r="AJ346" s="581"/>
      <c r="AK346" s="581"/>
      <c r="AL346" s="581"/>
      <c r="AM346" s="581"/>
    </row>
    <row r="347" spans="5:40">
      <c r="E347">
        <v>2020</v>
      </c>
      <c r="F347" s="320"/>
      <c r="G347" s="320"/>
      <c r="H347" s="330">
        <f>'Demographic-Economic'!E30*$C$9</f>
        <v>0</v>
      </c>
      <c r="I347" s="330">
        <f>'Demographic-Economic'!F30*$C$9</f>
        <v>0</v>
      </c>
      <c r="J347" s="330">
        <f>'Demographic-Economic'!G30*$C$9</f>
        <v>0</v>
      </c>
      <c r="K347" s="330">
        <f>'Demographic-Economic'!H30*$C$9</f>
        <v>0</v>
      </c>
      <c r="L347" s="330">
        <f>SUMPRODUCT(H347:K347, H43:K43)/SUM(H43:K43)</f>
        <v>0</v>
      </c>
      <c r="M347" s="330"/>
      <c r="N347">
        <v>2020</v>
      </c>
      <c r="O347" s="320" t="s">
        <v>240</v>
      </c>
      <c r="P347" s="320" t="s">
        <v>240</v>
      </c>
      <c r="Q347" s="179">
        <f>'Demographic-Economic'!E30*$C$9</f>
        <v>0</v>
      </c>
      <c r="R347" s="179">
        <f>'Demographic-Economic'!F30*$C$9</f>
        <v>0</v>
      </c>
      <c r="S347" s="179">
        <f>'Demographic-Economic'!G30*$C$9</f>
        <v>0</v>
      </c>
      <c r="T347" s="179">
        <f>'Demographic-Economic'!H30*$C$9</f>
        <v>0</v>
      </c>
      <c r="U347" s="330">
        <f>SUMPRODUCT(Q347:T347, Q43:T43)/SUM(Q43:T43)</f>
        <v>0</v>
      </c>
      <c r="W347">
        <v>2020</v>
      </c>
      <c r="Z347" s="170">
        <v>8989.5</v>
      </c>
      <c r="AA347" s="170">
        <v>6076.875</v>
      </c>
      <c r="AB347" s="170">
        <v>7689.75</v>
      </c>
      <c r="AC347" s="170">
        <v>8667.5</v>
      </c>
      <c r="AD347" s="172">
        <f>SUMPRODUCT(Z347:AC347, Z43:AC43)/SUM(Z43:AC43)</f>
        <v>8349.8005818056699</v>
      </c>
      <c r="AG347">
        <v>2020</v>
      </c>
      <c r="AJ347" s="170">
        <v>8989.5</v>
      </c>
      <c r="AK347" s="170">
        <v>6076.875</v>
      </c>
      <c r="AL347" s="170">
        <v>7689.75</v>
      </c>
      <c r="AM347" s="170">
        <v>8667.5</v>
      </c>
      <c r="AN347" s="172">
        <f>SUMPRODUCT(AJ347:AM347, AJ43:AM43)/SUM(AJ43:AM43)</f>
        <v>8349.8005818056699</v>
      </c>
    </row>
    <row r="348" spans="5:40">
      <c r="E348">
        <v>2021</v>
      </c>
      <c r="F348" s="320"/>
      <c r="G348" s="320"/>
      <c r="H348" s="330">
        <f>H347*(1+$C$6)</f>
        <v>0</v>
      </c>
      <c r="I348" s="330">
        <f t="shared" ref="I348:K357" si="168">I347*(1+$C$6)</f>
        <v>0</v>
      </c>
      <c r="J348" s="330">
        <f t="shared" si="168"/>
        <v>0</v>
      </c>
      <c r="K348" s="330">
        <f t="shared" si="168"/>
        <v>0</v>
      </c>
      <c r="L348" s="330">
        <f t="shared" ref="L348:L364" si="169">SUMPRODUCT(H348:K348, H44:K44)/SUM(H44:K44)</f>
        <v>0</v>
      </c>
      <c r="M348" s="330"/>
      <c r="N348">
        <v>2021</v>
      </c>
      <c r="O348" s="320" t="s">
        <v>240</v>
      </c>
      <c r="P348" s="320" t="s">
        <v>240</v>
      </c>
      <c r="Q348" s="330">
        <f>Q347*(1+$C$6)</f>
        <v>0</v>
      </c>
      <c r="R348" s="330">
        <f t="shared" ref="R348:T357" si="170">R347*(1+$C$6)</f>
        <v>0</v>
      </c>
      <c r="S348" s="330">
        <f t="shared" si="170"/>
        <v>0</v>
      </c>
      <c r="T348" s="330">
        <f t="shared" si="170"/>
        <v>0</v>
      </c>
      <c r="U348" s="330">
        <f t="shared" ref="U348:U364" si="171">SUMPRODUCT(Q348:T348, Q44:T44)/SUM(Q44:T44)</f>
        <v>0</v>
      </c>
      <c r="W348">
        <v>2021</v>
      </c>
      <c r="Z348" s="170">
        <v>9326.9583387500006</v>
      </c>
      <c r="AA348" s="170">
        <v>6304.9958234374999</v>
      </c>
      <c r="AB348" s="170">
        <v>7978.4168068750005</v>
      </c>
      <c r="AC348" s="170">
        <v>8992.8707270833329</v>
      </c>
      <c r="AD348" s="172">
        <f t="shared" ref="AD348:AD364" si="172">SUMPRODUCT(Z348:AC348, Z44:AC44)/SUM(Z44:AC44)</f>
        <v>8663.0656674236343</v>
      </c>
      <c r="AG348">
        <v>2021</v>
      </c>
      <c r="AJ348" s="170">
        <v>9326.9583387500006</v>
      </c>
      <c r="AK348" s="170">
        <v>6304.9958234374999</v>
      </c>
      <c r="AL348" s="170">
        <v>7978.4168068750005</v>
      </c>
      <c r="AM348" s="170">
        <v>8992.8707270833329</v>
      </c>
      <c r="AN348" s="172">
        <f t="shared" ref="AN348:AN364" si="173">SUMPRODUCT(AJ348:AM348, AJ44:AM44)/SUM(AJ44:AM44)</f>
        <v>8663.0656674236325</v>
      </c>
    </row>
    <row r="349" spans="5:40">
      <c r="E349">
        <v>2022</v>
      </c>
      <c r="F349" s="320"/>
      <c r="G349" s="320"/>
      <c r="H349" s="330">
        <f t="shared" ref="H349:H357" si="174">H348*(1+$C$6)</f>
        <v>0</v>
      </c>
      <c r="I349" s="330">
        <f t="shared" si="168"/>
        <v>0</v>
      </c>
      <c r="J349" s="330">
        <f t="shared" si="168"/>
        <v>0</v>
      </c>
      <c r="K349" s="330">
        <f t="shared" si="168"/>
        <v>0</v>
      </c>
      <c r="L349" s="330">
        <f t="shared" si="169"/>
        <v>0</v>
      </c>
      <c r="M349" s="330"/>
      <c r="N349">
        <v>2022</v>
      </c>
      <c r="O349" s="320" t="s">
        <v>240</v>
      </c>
      <c r="P349" s="320" t="s">
        <v>240</v>
      </c>
      <c r="Q349" s="330">
        <f t="shared" ref="Q349:Q357" si="175">Q348*(1+$C$6)</f>
        <v>0</v>
      </c>
      <c r="R349" s="330">
        <f t="shared" si="170"/>
        <v>0</v>
      </c>
      <c r="S349" s="330">
        <f t="shared" si="170"/>
        <v>0</v>
      </c>
      <c r="T349" s="330">
        <f t="shared" si="170"/>
        <v>0</v>
      </c>
      <c r="U349" s="330">
        <f t="shared" si="171"/>
        <v>0</v>
      </c>
      <c r="W349">
        <v>2022</v>
      </c>
      <c r="Z349" s="170">
        <v>9677.0845823213931</v>
      </c>
      <c r="AA349" s="170">
        <v>6541.6801124861577</v>
      </c>
      <c r="AB349" s="170">
        <v>8277.9199251244154</v>
      </c>
      <c r="AC349" s="170">
        <v>9330.4556001191013</v>
      </c>
      <c r="AD349" s="172">
        <f t="shared" si="172"/>
        <v>8988.1182828720521</v>
      </c>
      <c r="AG349">
        <v>2022</v>
      </c>
      <c r="AJ349" s="170">
        <v>9677.0845823213931</v>
      </c>
      <c r="AK349" s="170">
        <v>6541.6801124861577</v>
      </c>
      <c r="AL349" s="170">
        <v>8277.9199251244154</v>
      </c>
      <c r="AM349" s="170">
        <v>9330.4556001191013</v>
      </c>
      <c r="AN349" s="172">
        <f t="shared" si="173"/>
        <v>8988.1230024563847</v>
      </c>
    </row>
    <row r="350" spans="5:40">
      <c r="E350">
        <v>2023</v>
      </c>
      <c r="F350" s="320"/>
      <c r="G350" s="320"/>
      <c r="H350" s="330">
        <f t="shared" si="174"/>
        <v>0</v>
      </c>
      <c r="I350" s="330">
        <f t="shared" si="168"/>
        <v>0</v>
      </c>
      <c r="J350" s="330">
        <f t="shared" si="168"/>
        <v>0</v>
      </c>
      <c r="K350" s="330">
        <f t="shared" si="168"/>
        <v>0</v>
      </c>
      <c r="L350" s="330">
        <f t="shared" si="169"/>
        <v>0</v>
      </c>
      <c r="M350" s="330"/>
      <c r="N350">
        <v>2023</v>
      </c>
      <c r="O350" s="320" t="s">
        <v>240</v>
      </c>
      <c r="P350" s="320" t="s">
        <v>240</v>
      </c>
      <c r="Q350" s="330">
        <f t="shared" si="175"/>
        <v>0</v>
      </c>
      <c r="R350" s="330">
        <f t="shared" si="170"/>
        <v>0</v>
      </c>
      <c r="S350" s="330">
        <f t="shared" si="170"/>
        <v>0</v>
      </c>
      <c r="T350" s="330">
        <f t="shared" si="170"/>
        <v>0</v>
      </c>
      <c r="U350" s="330">
        <f t="shared" si="171"/>
        <v>0</v>
      </c>
      <c r="W350">
        <v>2023</v>
      </c>
      <c r="Z350" s="170">
        <v>10040.354273304587</v>
      </c>
      <c r="AA350" s="170">
        <v>6787.2493325087944</v>
      </c>
      <c r="AB350" s="170">
        <v>8588.6661408469827</v>
      </c>
      <c r="AC350" s="170">
        <v>9680.7131279679052</v>
      </c>
      <c r="AD350" s="172">
        <f t="shared" si="172"/>
        <v>9325.4013790940389</v>
      </c>
      <c r="AG350">
        <v>2023</v>
      </c>
      <c r="AJ350" s="170">
        <v>10040.354273304587</v>
      </c>
      <c r="AK350" s="170">
        <v>6787.2493325087944</v>
      </c>
      <c r="AL350" s="170">
        <v>8588.6661408469827</v>
      </c>
      <c r="AM350" s="170">
        <v>9680.7131279679052</v>
      </c>
      <c r="AN350" s="172">
        <f t="shared" si="173"/>
        <v>9325.413480555253</v>
      </c>
    </row>
    <row r="351" spans="5:40">
      <c r="E351">
        <v>2024</v>
      </c>
      <c r="F351" s="320"/>
      <c r="G351" s="320"/>
      <c r="H351" s="330">
        <f t="shared" si="174"/>
        <v>0</v>
      </c>
      <c r="I351" s="330">
        <f t="shared" si="168"/>
        <v>0</v>
      </c>
      <c r="J351" s="330">
        <f t="shared" si="168"/>
        <v>0</v>
      </c>
      <c r="K351" s="330">
        <f t="shared" si="168"/>
        <v>0</v>
      </c>
      <c r="L351" s="330">
        <f t="shared" si="169"/>
        <v>0</v>
      </c>
      <c r="M351" s="330"/>
      <c r="N351">
        <v>2024</v>
      </c>
      <c r="O351" s="320" t="s">
        <v>240</v>
      </c>
      <c r="P351" s="320" t="s">
        <v>240</v>
      </c>
      <c r="Q351" s="330">
        <f t="shared" si="175"/>
        <v>0</v>
      </c>
      <c r="R351" s="330">
        <f t="shared" si="170"/>
        <v>0</v>
      </c>
      <c r="S351" s="330">
        <f t="shared" si="170"/>
        <v>0</v>
      </c>
      <c r="T351" s="330">
        <f t="shared" si="170"/>
        <v>0</v>
      </c>
      <c r="U351" s="330">
        <f t="shared" si="171"/>
        <v>0</v>
      </c>
      <c r="W351">
        <v>2024</v>
      </c>
      <c r="Z351" s="170">
        <v>10417.260805762548</v>
      </c>
      <c r="AA351" s="170">
        <v>7042.0370164100641</v>
      </c>
      <c r="AB351" s="170">
        <v>8911.0775105525936</v>
      </c>
      <c r="AC351" s="170">
        <v>10044.119031530881</v>
      </c>
      <c r="AD351" s="172">
        <f t="shared" si="172"/>
        <v>9675.3744891626557</v>
      </c>
      <c r="AG351">
        <v>2024</v>
      </c>
      <c r="AJ351" s="170">
        <v>10417.260805762548</v>
      </c>
      <c r="AK351" s="170">
        <v>7042.0370164100641</v>
      </c>
      <c r="AL351" s="170">
        <v>8911.0775105525936</v>
      </c>
      <c r="AM351" s="170">
        <v>10044.119031530881</v>
      </c>
      <c r="AN351" s="172">
        <f t="shared" si="173"/>
        <v>9675.394859236465</v>
      </c>
    </row>
    <row r="352" spans="5:40">
      <c r="E352">
        <v>2025</v>
      </c>
      <c r="F352" s="320"/>
      <c r="G352" s="320"/>
      <c r="H352" s="330">
        <f t="shared" si="174"/>
        <v>0</v>
      </c>
      <c r="I352" s="330">
        <f t="shared" si="168"/>
        <v>0</v>
      </c>
      <c r="J352" s="330">
        <f t="shared" si="168"/>
        <v>0</v>
      </c>
      <c r="K352" s="330">
        <f t="shared" si="168"/>
        <v>0</v>
      </c>
      <c r="L352" s="330">
        <f t="shared" si="169"/>
        <v>0</v>
      </c>
      <c r="M352" s="330"/>
      <c r="N352">
        <v>2025</v>
      </c>
      <c r="O352" s="320" t="s">
        <v>240</v>
      </c>
      <c r="P352" s="320" t="s">
        <v>240</v>
      </c>
      <c r="Q352" s="330">
        <f t="shared" si="175"/>
        <v>0</v>
      </c>
      <c r="R352" s="330">
        <f t="shared" si="170"/>
        <v>0</v>
      </c>
      <c r="S352" s="330">
        <f t="shared" si="170"/>
        <v>0</v>
      </c>
      <c r="T352" s="330">
        <f t="shared" si="170"/>
        <v>0</v>
      </c>
      <c r="U352" s="330">
        <f t="shared" si="171"/>
        <v>0</v>
      </c>
      <c r="W352">
        <v>2025</v>
      </c>
      <c r="Z352" s="170">
        <v>10808.316095360202</v>
      </c>
      <c r="AA352" s="170">
        <v>7306.3892176419176</v>
      </c>
      <c r="AB352" s="170">
        <v>9245.5919344008125</v>
      </c>
      <c r="AC352" s="170">
        <v>10421.166889875358</v>
      </c>
      <c r="AD352" s="172">
        <f t="shared" si="172"/>
        <v>10038.514359246788</v>
      </c>
      <c r="AG352">
        <v>2025</v>
      </c>
      <c r="AJ352" s="170">
        <v>10808.316095360202</v>
      </c>
      <c r="AK352" s="170">
        <v>7306.3892176419176</v>
      </c>
      <c r="AL352" s="170">
        <v>9245.5919344008125</v>
      </c>
      <c r="AM352" s="170">
        <v>10421.166889875358</v>
      </c>
      <c r="AN352" s="172">
        <f t="shared" si="173"/>
        <v>10038.54234099416</v>
      </c>
    </row>
    <row r="353" spans="5:40">
      <c r="E353">
        <v>2026</v>
      </c>
      <c r="F353" s="320"/>
      <c r="G353" s="320"/>
      <c r="H353" s="330">
        <f t="shared" si="174"/>
        <v>0</v>
      </c>
      <c r="I353" s="330">
        <f t="shared" si="168"/>
        <v>0</v>
      </c>
      <c r="J353" s="330">
        <f t="shared" si="168"/>
        <v>0</v>
      </c>
      <c r="K353" s="330">
        <f t="shared" si="168"/>
        <v>0</v>
      </c>
      <c r="L353" s="330">
        <f t="shared" si="169"/>
        <v>0</v>
      </c>
      <c r="M353" s="330"/>
      <c r="N353">
        <v>2026</v>
      </c>
      <c r="O353" s="320" t="s">
        <v>240</v>
      </c>
      <c r="P353" s="320" t="s">
        <v>240</v>
      </c>
      <c r="Q353" s="330">
        <f t="shared" si="175"/>
        <v>0</v>
      </c>
      <c r="R353" s="330">
        <f t="shared" si="170"/>
        <v>0</v>
      </c>
      <c r="S353" s="330">
        <f t="shared" si="170"/>
        <v>0</v>
      </c>
      <c r="T353" s="330">
        <f t="shared" si="170"/>
        <v>0</v>
      </c>
      <c r="U353" s="330">
        <f t="shared" si="171"/>
        <v>0</v>
      </c>
      <c r="W353">
        <v>2026</v>
      </c>
      <c r="Z353" s="170">
        <v>11214.051274649944</v>
      </c>
      <c r="AA353" s="170">
        <v>7580.6649802145139</v>
      </c>
      <c r="AB353" s="170">
        <v>9592.6637509582742</v>
      </c>
      <c r="AC353" s="170">
        <v>10812.368810615537</v>
      </c>
      <c r="AD353" s="172">
        <f t="shared" si="172"/>
        <v>10415.315602818166</v>
      </c>
      <c r="AG353">
        <v>2026</v>
      </c>
      <c r="AJ353" s="170">
        <v>11214.051274649944</v>
      </c>
      <c r="AK353" s="170">
        <v>7580.6649802145139</v>
      </c>
      <c r="AL353" s="170">
        <v>9592.6637509582742</v>
      </c>
      <c r="AM353" s="170">
        <v>10812.368810615537</v>
      </c>
      <c r="AN353" s="172">
        <f t="shared" si="173"/>
        <v>10415.349187226395</v>
      </c>
    </row>
    <row r="354" spans="5:40">
      <c r="E354">
        <v>2027</v>
      </c>
      <c r="F354" s="320"/>
      <c r="G354" s="320"/>
      <c r="H354" s="330">
        <f t="shared" si="174"/>
        <v>0</v>
      </c>
      <c r="I354" s="330">
        <f t="shared" si="168"/>
        <v>0</v>
      </c>
      <c r="J354" s="330">
        <f t="shared" si="168"/>
        <v>0</v>
      </c>
      <c r="K354" s="330">
        <f t="shared" si="168"/>
        <v>0</v>
      </c>
      <c r="L354" s="330">
        <f t="shared" si="169"/>
        <v>0</v>
      </c>
      <c r="M354" s="330"/>
      <c r="N354">
        <v>2027</v>
      </c>
      <c r="O354" s="320" t="s">
        <v>240</v>
      </c>
      <c r="P354" s="320" t="s">
        <v>240</v>
      </c>
      <c r="Q354" s="330">
        <f t="shared" si="175"/>
        <v>0</v>
      </c>
      <c r="R354" s="330">
        <f t="shared" si="170"/>
        <v>0</v>
      </c>
      <c r="S354" s="330">
        <f t="shared" si="170"/>
        <v>0</v>
      </c>
      <c r="T354" s="330">
        <f t="shared" si="170"/>
        <v>0</v>
      </c>
      <c r="U354" s="330">
        <f t="shared" si="171"/>
        <v>0</v>
      </c>
      <c r="W354">
        <v>2027</v>
      </c>
      <c r="Z354" s="170">
        <v>11635.017414457574</v>
      </c>
      <c r="AA354" s="170">
        <v>7865.2368263509497</v>
      </c>
      <c r="AB354" s="170">
        <v>9952.7643542827882</v>
      </c>
      <c r="AC354" s="170">
        <v>11218.256125458702</v>
      </c>
      <c r="AD354" s="172">
        <f t="shared" si="172"/>
        <v>10806.291378907847</v>
      </c>
      <c r="AG354">
        <v>2027</v>
      </c>
      <c r="AJ354" s="170">
        <v>11635.017414457574</v>
      </c>
      <c r="AK354" s="170">
        <v>7865.2368263509497</v>
      </c>
      <c r="AL354" s="170">
        <v>9952.7643542827882</v>
      </c>
      <c r="AM354" s="170">
        <v>11218.256125458702</v>
      </c>
      <c r="AN354" s="172">
        <f t="shared" si="173"/>
        <v>10806.327363563849</v>
      </c>
    </row>
    <row r="355" spans="5:40">
      <c r="E355">
        <v>2028</v>
      </c>
      <c r="F355" s="320"/>
      <c r="G355" s="320"/>
      <c r="H355" s="330">
        <f t="shared" si="174"/>
        <v>0</v>
      </c>
      <c r="I355" s="330">
        <f t="shared" si="168"/>
        <v>0</v>
      </c>
      <c r="J355" s="330">
        <f t="shared" si="168"/>
        <v>0</v>
      </c>
      <c r="K355" s="330">
        <f t="shared" si="168"/>
        <v>0</v>
      </c>
      <c r="L355" s="330">
        <f t="shared" si="169"/>
        <v>0</v>
      </c>
      <c r="M355" s="330"/>
      <c r="N355">
        <v>2028</v>
      </c>
      <c r="O355" s="320" t="s">
        <v>240</v>
      </c>
      <c r="P355" s="320" t="s">
        <v>240</v>
      </c>
      <c r="Q355" s="330">
        <f t="shared" si="175"/>
        <v>0</v>
      </c>
      <c r="R355" s="330">
        <f t="shared" si="170"/>
        <v>0</v>
      </c>
      <c r="S355" s="330">
        <f t="shared" si="170"/>
        <v>0</v>
      </c>
      <c r="T355" s="330">
        <f t="shared" si="170"/>
        <v>0</v>
      </c>
      <c r="U355" s="330">
        <f t="shared" si="171"/>
        <v>0</v>
      </c>
      <c r="W355">
        <v>2028</v>
      </c>
      <c r="Z355" s="170">
        <v>12071.786272348467</v>
      </c>
      <c r="AA355" s="170">
        <v>8160.4912624481422</v>
      </c>
      <c r="AB355" s="170">
        <v>10326.382834172269</v>
      </c>
      <c r="AC355" s="170">
        <v>11639.38011186165</v>
      </c>
      <c r="AD355" s="172">
        <f t="shared" si="172"/>
        <v>11211.974095277985</v>
      </c>
      <c r="AG355">
        <v>2028</v>
      </c>
      <c r="AJ355" s="170">
        <v>12071.786272348467</v>
      </c>
      <c r="AK355" s="170">
        <v>8160.4912624481422</v>
      </c>
      <c r="AL355" s="170">
        <v>10326.382834172269</v>
      </c>
      <c r="AM355" s="170">
        <v>11639.38011186165</v>
      </c>
      <c r="AN355" s="172">
        <f t="shared" si="173"/>
        <v>11212.008215850563</v>
      </c>
    </row>
    <row r="356" spans="5:40">
      <c r="E356">
        <v>2029</v>
      </c>
      <c r="F356" s="320"/>
      <c r="G356" s="320"/>
      <c r="H356" s="330">
        <f t="shared" si="174"/>
        <v>0</v>
      </c>
      <c r="I356" s="330">
        <f t="shared" si="168"/>
        <v>0</v>
      </c>
      <c r="J356" s="330">
        <f t="shared" si="168"/>
        <v>0</v>
      </c>
      <c r="K356" s="330">
        <f t="shared" si="168"/>
        <v>0</v>
      </c>
      <c r="L356" s="330">
        <f t="shared" si="169"/>
        <v>0</v>
      </c>
      <c r="M356" s="330"/>
      <c r="N356">
        <v>2029</v>
      </c>
      <c r="O356" s="320" t="s">
        <v>240</v>
      </c>
      <c r="P356" s="320" t="s">
        <v>240</v>
      </c>
      <c r="Q356" s="330">
        <f t="shared" si="175"/>
        <v>0</v>
      </c>
      <c r="R356" s="330">
        <f t="shared" si="170"/>
        <v>0</v>
      </c>
      <c r="S356" s="330">
        <f t="shared" si="170"/>
        <v>0</v>
      </c>
      <c r="T356" s="330">
        <f t="shared" si="170"/>
        <v>0</v>
      </c>
      <c r="U356" s="330">
        <f t="shared" si="171"/>
        <v>0</v>
      </c>
      <c r="W356">
        <v>2029</v>
      </c>
      <c r="Z356" s="170">
        <v>12524.951069190534</v>
      </c>
      <c r="AA356" s="170">
        <v>8466.82930403106</v>
      </c>
      <c r="AB356" s="170">
        <v>10714.026640448068</v>
      </c>
      <c r="AC356" s="170">
        <v>12076.31274177751</v>
      </c>
      <c r="AD356" s="172">
        <f t="shared" si="172"/>
        <v>11632.916137429584</v>
      </c>
      <c r="AG356">
        <v>2029</v>
      </c>
      <c r="AJ356" s="170">
        <v>12524.951069190534</v>
      </c>
      <c r="AK356" s="170">
        <v>8466.82930403106</v>
      </c>
      <c r="AL356" s="170">
        <v>10714.026640448068</v>
      </c>
      <c r="AM356" s="170">
        <v>12076.31274177751</v>
      </c>
      <c r="AN356" s="172">
        <f t="shared" si="173"/>
        <v>11632.943176499268</v>
      </c>
    </row>
    <row r="357" spans="5:40">
      <c r="E357">
        <v>2030</v>
      </c>
      <c r="F357" s="320"/>
      <c r="G357" s="320"/>
      <c r="H357" s="330">
        <f t="shared" si="174"/>
        <v>0</v>
      </c>
      <c r="I357" s="330">
        <f t="shared" si="168"/>
        <v>0</v>
      </c>
      <c r="J357" s="330">
        <f t="shared" si="168"/>
        <v>0</v>
      </c>
      <c r="K357" s="330">
        <f t="shared" si="168"/>
        <v>0</v>
      </c>
      <c r="L357" s="330">
        <f t="shared" si="169"/>
        <v>0</v>
      </c>
      <c r="M357" s="330"/>
      <c r="N357">
        <v>2030</v>
      </c>
      <c r="O357" s="320" t="s">
        <v>240</v>
      </c>
      <c r="P357" s="320" t="s">
        <v>240</v>
      </c>
      <c r="Q357" s="330">
        <f t="shared" si="175"/>
        <v>0</v>
      </c>
      <c r="R357" s="330">
        <f t="shared" si="170"/>
        <v>0</v>
      </c>
      <c r="S357" s="330">
        <f t="shared" si="170"/>
        <v>0</v>
      </c>
      <c r="T357" s="330">
        <f t="shared" si="170"/>
        <v>0</v>
      </c>
      <c r="U357" s="330">
        <f t="shared" si="171"/>
        <v>0</v>
      </c>
      <c r="W357">
        <v>2030</v>
      </c>
      <c r="Z357" s="170">
        <v>12995.127294868722</v>
      </c>
      <c r="AA357" s="170">
        <v>8784.6670204132988</v>
      </c>
      <c r="AB357" s="170">
        <v>11116.222272174955</v>
      </c>
      <c r="AC357" s="170">
        <v>12529.647458509888</v>
      </c>
      <c r="AD357" s="172">
        <f t="shared" si="172"/>
        <v>12069.690624419094</v>
      </c>
      <c r="AG357">
        <v>2030</v>
      </c>
      <c r="AJ357" s="170">
        <v>12995.127294868722</v>
      </c>
      <c r="AK357" s="170">
        <v>8784.6670204132988</v>
      </c>
      <c r="AL357" s="170">
        <v>11116.222272174955</v>
      </c>
      <c r="AM357" s="170">
        <v>12529.647458509888</v>
      </c>
      <c r="AN357" s="172">
        <f t="shared" si="173"/>
        <v>12069.70450129126</v>
      </c>
    </row>
    <row r="358" spans="5:40">
      <c r="E358">
        <v>2040</v>
      </c>
      <c r="F358" s="320"/>
      <c r="G358" s="320"/>
      <c r="H358" s="330">
        <f>H357*(1+$C$6)^10</f>
        <v>0</v>
      </c>
      <c r="I358" s="330">
        <f t="shared" ref="I358:K364" si="176">I357*(1+$C$6)^10</f>
        <v>0</v>
      </c>
      <c r="J358" s="330">
        <f t="shared" si="176"/>
        <v>0</v>
      </c>
      <c r="K358" s="330">
        <f t="shared" si="176"/>
        <v>0</v>
      </c>
      <c r="L358" s="330">
        <f t="shared" si="169"/>
        <v>0</v>
      </c>
      <c r="M358" s="330"/>
      <c r="N358">
        <v>2040</v>
      </c>
      <c r="O358" s="320" t="s">
        <v>240</v>
      </c>
      <c r="P358" s="320" t="s">
        <v>240</v>
      </c>
      <c r="Q358" s="330">
        <f>Q357*(1+$C$6)^10</f>
        <v>0</v>
      </c>
      <c r="R358" s="330">
        <f t="shared" ref="R358:T364" si="177">R357*(1+$C$6)^10</f>
        <v>0</v>
      </c>
      <c r="S358" s="330">
        <f t="shared" si="177"/>
        <v>0</v>
      </c>
      <c r="T358" s="330">
        <f t="shared" si="177"/>
        <v>0</v>
      </c>
      <c r="U358" s="330">
        <f t="shared" si="171"/>
        <v>0</v>
      </c>
      <c r="W358">
        <v>2040</v>
      </c>
      <c r="Z358" s="170">
        <v>18785.62026918539</v>
      </c>
      <c r="AA358" s="170">
        <v>12699.022879282045</v>
      </c>
      <c r="AB358" s="170">
        <v>16069.494795591341</v>
      </c>
      <c r="AC358" s="170">
        <v>18112.727480189595</v>
      </c>
      <c r="AD358" s="172">
        <f t="shared" si="172"/>
        <v>17449.4202395059</v>
      </c>
      <c r="AG358">
        <v>2040</v>
      </c>
      <c r="AJ358" s="170">
        <v>18785.62026918539</v>
      </c>
      <c r="AK358" s="170">
        <v>12699.022879282045</v>
      </c>
      <c r="AL358" s="170">
        <v>16069.494795591341</v>
      </c>
      <c r="AM358" s="170">
        <v>18112.727480189595</v>
      </c>
      <c r="AN358" s="172">
        <f t="shared" si="173"/>
        <v>17449.155141211548</v>
      </c>
    </row>
    <row r="359" spans="5:40">
      <c r="E359">
        <v>2050</v>
      </c>
      <c r="F359" s="320"/>
      <c r="G359" s="320"/>
      <c r="H359" s="330">
        <f t="shared" ref="H359:H364" si="178">H358*(1+$C$6)^10</f>
        <v>0</v>
      </c>
      <c r="I359" s="330">
        <f t="shared" si="176"/>
        <v>0</v>
      </c>
      <c r="J359" s="330">
        <f t="shared" si="176"/>
        <v>0</v>
      </c>
      <c r="K359" s="330">
        <f t="shared" si="176"/>
        <v>0</v>
      </c>
      <c r="L359" s="330">
        <f t="shared" si="169"/>
        <v>0</v>
      </c>
      <c r="M359" s="330"/>
      <c r="N359">
        <v>2050</v>
      </c>
      <c r="O359" s="320" t="s">
        <v>240</v>
      </c>
      <c r="P359" s="320" t="s">
        <v>240</v>
      </c>
      <c r="Q359" s="330">
        <f t="shared" ref="Q359:Q364" si="179">Q358*(1+$C$6)^10</f>
        <v>0</v>
      </c>
      <c r="R359" s="330">
        <f t="shared" si="177"/>
        <v>0</v>
      </c>
      <c r="S359" s="330">
        <f t="shared" si="177"/>
        <v>0</v>
      </c>
      <c r="T359" s="330">
        <f t="shared" si="177"/>
        <v>0</v>
      </c>
      <c r="U359" s="330">
        <f t="shared" si="171"/>
        <v>0</v>
      </c>
      <c r="W359">
        <v>2050</v>
      </c>
      <c r="Z359" s="170">
        <v>27156.296424843447</v>
      </c>
      <c r="AA359" s="170">
        <v>18357.574819146837</v>
      </c>
      <c r="AB359" s="170">
        <v>23229.893813108618</v>
      </c>
      <c r="AC359" s="170">
        <v>26183.569638170153</v>
      </c>
      <c r="AD359" s="172">
        <f t="shared" si="172"/>
        <v>25224.699620005322</v>
      </c>
      <c r="AG359">
        <v>2050</v>
      </c>
      <c r="AJ359" s="170">
        <v>27156.296424843447</v>
      </c>
      <c r="AK359" s="170">
        <v>18357.574819146837</v>
      </c>
      <c r="AL359" s="170">
        <v>23229.893813108618</v>
      </c>
      <c r="AM359" s="170">
        <v>26183.569638170153</v>
      </c>
      <c r="AN359" s="172">
        <f t="shared" si="173"/>
        <v>25224.316396680249</v>
      </c>
    </row>
    <row r="360" spans="5:40">
      <c r="E360">
        <v>2060</v>
      </c>
      <c r="F360" s="320"/>
      <c r="G360" s="320"/>
      <c r="H360" s="330">
        <f t="shared" si="178"/>
        <v>0</v>
      </c>
      <c r="I360" s="330">
        <f t="shared" si="176"/>
        <v>0</v>
      </c>
      <c r="J360" s="330">
        <f t="shared" si="176"/>
        <v>0</v>
      </c>
      <c r="K360" s="330">
        <f t="shared" si="176"/>
        <v>0</v>
      </c>
      <c r="L360" s="330">
        <f t="shared" si="169"/>
        <v>0</v>
      </c>
      <c r="M360" s="330"/>
      <c r="N360">
        <v>2060</v>
      </c>
      <c r="O360" s="320" t="s">
        <v>240</v>
      </c>
      <c r="P360" s="320" t="s">
        <v>240</v>
      </c>
      <c r="Q360" s="330">
        <f t="shared" si="179"/>
        <v>0</v>
      </c>
      <c r="R360" s="330">
        <f t="shared" si="177"/>
        <v>0</v>
      </c>
      <c r="S360" s="330">
        <f t="shared" si="177"/>
        <v>0</v>
      </c>
      <c r="T360" s="330">
        <f t="shared" si="177"/>
        <v>0</v>
      </c>
      <c r="U360" s="330">
        <f t="shared" si="171"/>
        <v>0</v>
      </c>
      <c r="W360">
        <v>2060</v>
      </c>
      <c r="Z360" s="170">
        <v>39256.85843462139</v>
      </c>
      <c r="AA360" s="170">
        <v>26537.518393669259</v>
      </c>
      <c r="AB360" s="170">
        <v>33580.89183465486</v>
      </c>
      <c r="AC360" s="170">
        <v>37850.694752998599</v>
      </c>
      <c r="AD360" s="172">
        <f t="shared" si="172"/>
        <v>36464.562271182578</v>
      </c>
      <c r="AG360">
        <v>2060</v>
      </c>
      <c r="AJ360" s="170">
        <v>39256.85843462139</v>
      </c>
      <c r="AK360" s="170">
        <v>26537.518393669259</v>
      </c>
      <c r="AL360" s="170">
        <v>33580.89183465486</v>
      </c>
      <c r="AM360" s="170">
        <v>37850.694752998599</v>
      </c>
      <c r="AN360" s="172">
        <f t="shared" si="173"/>
        <v>36464.008287547047</v>
      </c>
    </row>
    <row r="361" spans="5:40">
      <c r="E361">
        <v>2070</v>
      </c>
      <c r="F361" s="320"/>
      <c r="G361" s="320"/>
      <c r="H361" s="330">
        <f t="shared" si="178"/>
        <v>0</v>
      </c>
      <c r="I361" s="330">
        <f t="shared" si="176"/>
        <v>0</v>
      </c>
      <c r="J361" s="330">
        <f t="shared" si="176"/>
        <v>0</v>
      </c>
      <c r="K361" s="330">
        <f t="shared" si="176"/>
        <v>0</v>
      </c>
      <c r="L361" s="330">
        <f t="shared" si="169"/>
        <v>0</v>
      </c>
      <c r="M361" s="330"/>
      <c r="N361">
        <v>2070</v>
      </c>
      <c r="O361" s="320" t="s">
        <v>240</v>
      </c>
      <c r="P361" s="320" t="s">
        <v>240</v>
      </c>
      <c r="Q361" s="330">
        <f t="shared" si="179"/>
        <v>0</v>
      </c>
      <c r="R361" s="330">
        <f t="shared" si="177"/>
        <v>0</v>
      </c>
      <c r="S361" s="330">
        <f t="shared" si="177"/>
        <v>0</v>
      </c>
      <c r="T361" s="330">
        <f t="shared" si="177"/>
        <v>0</v>
      </c>
      <c r="U361" s="330">
        <f t="shared" si="171"/>
        <v>0</v>
      </c>
      <c r="W361">
        <v>2070</v>
      </c>
      <c r="Z361" s="170">
        <v>56749.304472389551</v>
      </c>
      <c r="AA361" s="170">
        <v>38362.359376567343</v>
      </c>
      <c r="AB361" s="170">
        <v>48544.186447139167</v>
      </c>
      <c r="AC361" s="170">
        <v>54716.568943148835</v>
      </c>
      <c r="AD361" s="172">
        <f t="shared" si="172"/>
        <v>52712.790307101066</v>
      </c>
      <c r="AG361">
        <v>2070</v>
      </c>
      <c r="AJ361" s="170">
        <v>56749.304472389551</v>
      </c>
      <c r="AK361" s="170">
        <v>38362.359376567343</v>
      </c>
      <c r="AL361" s="170">
        <v>48544.186447139167</v>
      </c>
      <c r="AM361" s="170">
        <v>54716.568943148835</v>
      </c>
      <c r="AN361" s="172">
        <f t="shared" si="173"/>
        <v>52711.989474144488</v>
      </c>
    </row>
    <row r="362" spans="5:40">
      <c r="E362">
        <v>2080</v>
      </c>
      <c r="F362" s="320"/>
      <c r="G362" s="320"/>
      <c r="H362" s="330">
        <f t="shared" si="178"/>
        <v>0</v>
      </c>
      <c r="I362" s="330">
        <f t="shared" si="176"/>
        <v>0</v>
      </c>
      <c r="J362" s="330">
        <f t="shared" si="176"/>
        <v>0</v>
      </c>
      <c r="K362" s="330">
        <f t="shared" si="176"/>
        <v>0</v>
      </c>
      <c r="L362" s="330">
        <f t="shared" si="169"/>
        <v>0</v>
      </c>
      <c r="M362" s="330"/>
      <c r="N362">
        <v>2080</v>
      </c>
      <c r="O362" s="320" t="s">
        <v>240</v>
      </c>
      <c r="P362" s="320" t="s">
        <v>240</v>
      </c>
      <c r="Q362" s="330">
        <f t="shared" si="179"/>
        <v>0</v>
      </c>
      <c r="R362" s="330">
        <f t="shared" si="177"/>
        <v>0</v>
      </c>
      <c r="S362" s="330">
        <f t="shared" si="177"/>
        <v>0</v>
      </c>
      <c r="T362" s="330">
        <f t="shared" si="177"/>
        <v>0</v>
      </c>
      <c r="U362" s="330">
        <f t="shared" si="171"/>
        <v>0</v>
      </c>
      <c r="W362">
        <v>2080</v>
      </c>
      <c r="Z362" s="170">
        <v>82036.201736911404</v>
      </c>
      <c r="AA362" s="170">
        <v>55456.225978084804</v>
      </c>
      <c r="AB362" s="170">
        <v>70174.968831015576</v>
      </c>
      <c r="AC362" s="170">
        <v>79097.700489980489</v>
      </c>
      <c r="AD362" s="172">
        <f t="shared" si="172"/>
        <v>76201.059025362978</v>
      </c>
      <c r="AG362">
        <v>2080</v>
      </c>
      <c r="AJ362" s="170">
        <v>82036.201736911404</v>
      </c>
      <c r="AK362" s="170">
        <v>55456.225978084804</v>
      </c>
      <c r="AL362" s="170">
        <v>70174.968831015576</v>
      </c>
      <c r="AM362" s="170">
        <v>79097.700489980489</v>
      </c>
      <c r="AN362" s="172">
        <f t="shared" si="173"/>
        <v>76199.901349606531</v>
      </c>
    </row>
    <row r="363" spans="5:40">
      <c r="E363">
        <v>2090</v>
      </c>
      <c r="F363" s="320"/>
      <c r="G363" s="320"/>
      <c r="H363" s="330">
        <f t="shared" si="178"/>
        <v>0</v>
      </c>
      <c r="I363" s="330">
        <f t="shared" si="176"/>
        <v>0</v>
      </c>
      <c r="J363" s="330">
        <f t="shared" si="176"/>
        <v>0</v>
      </c>
      <c r="K363" s="330">
        <f t="shared" si="176"/>
        <v>0</v>
      </c>
      <c r="L363" s="330">
        <f t="shared" si="169"/>
        <v>0</v>
      </c>
      <c r="M363" s="330"/>
      <c r="N363">
        <v>2090</v>
      </c>
      <c r="O363" s="320" t="s">
        <v>240</v>
      </c>
      <c r="P363" s="320" t="s">
        <v>240</v>
      </c>
      <c r="Q363" s="330">
        <f t="shared" si="179"/>
        <v>0</v>
      </c>
      <c r="R363" s="330">
        <f t="shared" si="177"/>
        <v>0</v>
      </c>
      <c r="S363" s="330">
        <f t="shared" si="177"/>
        <v>0</v>
      </c>
      <c r="T363" s="330">
        <f t="shared" si="177"/>
        <v>0</v>
      </c>
      <c r="U363" s="330">
        <f t="shared" si="171"/>
        <v>0</v>
      </c>
      <c r="W363">
        <v>2090</v>
      </c>
      <c r="Z363" s="170">
        <v>118590.67627328486</v>
      </c>
      <c r="AA363" s="170">
        <v>80166.940973159552</v>
      </c>
      <c r="AB363" s="170">
        <v>101444.2018880352</v>
      </c>
      <c r="AC363" s="170">
        <v>114342.80956657173</v>
      </c>
      <c r="AD363" s="172">
        <f t="shared" si="172"/>
        <v>110155.45492389974</v>
      </c>
      <c r="AG363">
        <v>2090</v>
      </c>
      <c r="AJ363" s="170">
        <v>118590.67627328486</v>
      </c>
      <c r="AK363" s="170">
        <v>80166.940973159552</v>
      </c>
      <c r="AL363" s="170">
        <v>101444.2018880352</v>
      </c>
      <c r="AM363" s="170">
        <v>114342.80956657173</v>
      </c>
      <c r="AN363" s="172">
        <f t="shared" si="173"/>
        <v>110153.78139991943</v>
      </c>
    </row>
    <row r="364" spans="5:40">
      <c r="E364">
        <v>2100</v>
      </c>
      <c r="F364" s="320"/>
      <c r="G364" s="320"/>
      <c r="H364" s="330">
        <f t="shared" si="178"/>
        <v>0</v>
      </c>
      <c r="I364" s="330">
        <f t="shared" si="176"/>
        <v>0</v>
      </c>
      <c r="J364" s="330">
        <f t="shared" si="176"/>
        <v>0</v>
      </c>
      <c r="K364" s="330">
        <f t="shared" si="176"/>
        <v>0</v>
      </c>
      <c r="L364" s="330">
        <f t="shared" si="169"/>
        <v>0</v>
      </c>
      <c r="M364" s="330"/>
      <c r="N364">
        <v>2100</v>
      </c>
      <c r="O364" s="320" t="s">
        <v>240</v>
      </c>
      <c r="P364" s="320" t="s">
        <v>240</v>
      </c>
      <c r="Q364" s="330">
        <f t="shared" si="179"/>
        <v>0</v>
      </c>
      <c r="R364" s="330">
        <f t="shared" si="177"/>
        <v>0</v>
      </c>
      <c r="S364" s="330">
        <f t="shared" si="177"/>
        <v>0</v>
      </c>
      <c r="T364" s="330">
        <f t="shared" si="177"/>
        <v>0</v>
      </c>
      <c r="U364" s="330">
        <f t="shared" si="171"/>
        <v>0</v>
      </c>
      <c r="W364">
        <v>2100</v>
      </c>
      <c r="Z364" s="170">
        <v>171433.44281171419</v>
      </c>
      <c r="AA364" s="170">
        <v>115888.49243967244</v>
      </c>
      <c r="AB364" s="170">
        <v>146646.67855402184</v>
      </c>
      <c r="AC364" s="170">
        <v>165292.77107409007</v>
      </c>
      <c r="AD364" s="172">
        <f t="shared" si="172"/>
        <v>159239.57494412939</v>
      </c>
      <c r="AG364">
        <v>2100</v>
      </c>
      <c r="AJ364" s="170">
        <v>171433.44281171419</v>
      </c>
      <c r="AK364" s="170">
        <v>115888.49243967244</v>
      </c>
      <c r="AL364" s="170">
        <v>146646.67855402184</v>
      </c>
      <c r="AM364" s="170">
        <v>165292.77107409007</v>
      </c>
      <c r="AN364" s="172">
        <f t="shared" si="173"/>
        <v>159237.1557153452</v>
      </c>
    </row>
    <row r="365" spans="5:40">
      <c r="F365" s="581" t="s">
        <v>249</v>
      </c>
      <c r="G365" s="581"/>
      <c r="H365" s="581"/>
      <c r="I365" s="581"/>
      <c r="J365" s="581"/>
      <c r="K365" s="581"/>
      <c r="O365" s="581" t="s">
        <v>249</v>
      </c>
      <c r="P365" s="581"/>
      <c r="Q365" s="581"/>
      <c r="R365" s="581"/>
      <c r="S365" s="581"/>
      <c r="T365" s="581"/>
      <c r="X365" s="581" t="s">
        <v>249</v>
      </c>
      <c r="Y365" s="581"/>
      <c r="Z365" s="581"/>
      <c r="AA365" s="581"/>
      <c r="AB365" s="581"/>
      <c r="AC365" s="581"/>
      <c r="AH365" s="581" t="s">
        <v>249</v>
      </c>
      <c r="AI365" s="581"/>
      <c r="AJ365" s="581"/>
      <c r="AK365" s="581"/>
      <c r="AL365" s="581"/>
      <c r="AM365" s="581"/>
    </row>
    <row r="366" spans="5:40">
      <c r="E366">
        <v>2020</v>
      </c>
      <c r="F366" s="320" t="s">
        <v>240</v>
      </c>
      <c r="G366" s="320" t="s">
        <v>240</v>
      </c>
      <c r="H366" s="179">
        <f>SUM($L214,$L252,$L290,$L328)*H138 + SUM($L233,$L271,$L309,$L347)*H157</f>
        <v>25467475.112372294</v>
      </c>
      <c r="I366" s="179">
        <f>SUM($L214,$L252,$L290,$L328)*I138 + SUM($L233,$L271,$L309,$L347)*I157</f>
        <v>12256184.877719732</v>
      </c>
      <c r="J366" s="179">
        <f t="shared" ref="J366:K366" si="180">SUM($L214,$L252,$L290,$L328)*J138 + SUM($L233,$L271,$L309,$L347)*J157</f>
        <v>7744913.4445635574</v>
      </c>
      <c r="K366" s="179">
        <f t="shared" si="180"/>
        <v>2714009.4364077253</v>
      </c>
      <c r="L366" s="433">
        <f>SUM(H366:K366)/(SUM(F404:K404)*1000)</f>
        <v>3.7151003839688378E-5</v>
      </c>
      <c r="M366" s="194"/>
      <c r="N366">
        <v>2020</v>
      </c>
      <c r="O366" s="320" t="s">
        <v>240</v>
      </c>
      <c r="P366" s="320" t="s">
        <v>240</v>
      </c>
      <c r="Q366" s="179">
        <f>SUM($U214,$U252,$U290,$U328)*Q138 + SUM($U233,$U271,$U309,$U347)*Q157</f>
        <v>25467475.112372294</v>
      </c>
      <c r="R366" s="179">
        <f t="shared" ref="R366:T366" si="181">SUM($U214,$U252,$U290,$U328)*R138 + SUM($U233,$U271,$U309,$U347)*R157</f>
        <v>12256184.877719732</v>
      </c>
      <c r="S366" s="179">
        <f t="shared" si="181"/>
        <v>7744913.4445635574</v>
      </c>
      <c r="T366" s="179">
        <f t="shared" si="181"/>
        <v>2714009.4364077253</v>
      </c>
      <c r="U366" s="433">
        <f>SUM(Q366:T366)/(SUM(O404:T404)*1000)</f>
        <v>3.7151003839688378E-5</v>
      </c>
      <c r="W366">
        <v>2020</v>
      </c>
      <c r="X366" t="s">
        <v>240</v>
      </c>
      <c r="Y366" t="s">
        <v>240</v>
      </c>
      <c r="Z366" s="179">
        <f>SUM($AD214,$AD252,$AD290,$AD328)*Z138 + SUM($AD233,$AD271,$AD309,$AD347)*Z157</f>
        <v>72264810.746892065</v>
      </c>
      <c r="AA366" s="179">
        <f t="shared" ref="AA366:AC366" si="182">SUM($AD214,$AD252,$AD290,$AD328)*AA138 + SUM($AD233,$AD271,$AD309,$AD347)*AA157</f>
        <v>34875880.508154944</v>
      </c>
      <c r="AB366" s="179">
        <f t="shared" si="182"/>
        <v>22376414.750729103</v>
      </c>
      <c r="AC366" s="179">
        <f t="shared" si="182"/>
        <v>7484704.2558825593</v>
      </c>
      <c r="AD366" s="433">
        <f>SUM(Z366:AC366)/(SUM(X404:AC404)*1000)</f>
        <v>1.0563474342368351E-4</v>
      </c>
      <c r="AG366">
        <v>2020</v>
      </c>
      <c r="AH366" t="s">
        <v>240</v>
      </c>
      <c r="AI366" t="s">
        <v>240</v>
      </c>
      <c r="AJ366" s="179">
        <f>SUM($AN214,$AN252,$AN290,$AN328)*AJ138 + SUM($AN233,$AN271,$AN309,$AN347)*AJ157</f>
        <v>73023742.004850447</v>
      </c>
      <c r="AK366" s="179">
        <f t="shared" ref="AK366:AM366" si="183">SUM($AN214,$AN252,$AN290,$AN328)*AK138 + SUM($AN233,$AN271,$AN309,$AN347)*AK157</f>
        <v>35322555.802662604</v>
      </c>
      <c r="AL366" s="179">
        <f t="shared" si="183"/>
        <v>22937750.612002403</v>
      </c>
      <c r="AM366" s="179">
        <f t="shared" si="183"/>
        <v>7386754.988502129</v>
      </c>
      <c r="AN366" s="433">
        <f>SUM(AJ366:AM366)/(SUM(AH404:AM404)*1000)</f>
        <v>1.0692161446907179E-4</v>
      </c>
    </row>
    <row r="367" spans="5:40">
      <c r="E367">
        <v>2021</v>
      </c>
      <c r="F367" s="320" t="s">
        <v>240</v>
      </c>
      <c r="G367" s="320" t="s">
        <v>240</v>
      </c>
      <c r="H367" s="179">
        <f t="shared" ref="H367:K379" si="184">SUM($L215,$L253,$L291,$L329)*H139 + SUM($L234,$L272,$L310,$L348)*H158</f>
        <v>28092281.097055294</v>
      </c>
      <c r="I367" s="179">
        <f t="shared" si="184"/>
        <v>11681841.477108244</v>
      </c>
      <c r="J367" s="179">
        <f t="shared" si="184"/>
        <v>7684792.9423162164</v>
      </c>
      <c r="K367" s="179">
        <f t="shared" si="184"/>
        <v>2847611.7999729067</v>
      </c>
      <c r="L367" s="433">
        <f t="shared" ref="L367:L383" si="185">SUM(H367:K367)/(SUM(F405:K405)*1000)</f>
        <v>3.6834090717551967E-5</v>
      </c>
      <c r="M367" s="194"/>
      <c r="N367">
        <v>2021</v>
      </c>
      <c r="O367" s="320" t="s">
        <v>240</v>
      </c>
      <c r="P367" s="320" t="s">
        <v>240</v>
      </c>
      <c r="Q367" s="179">
        <f t="shared" ref="Q367:T382" si="186">SUM($U215,$U253,$U291,$U329)*Q139 + SUM($U234,$U272,$U310,$U348)*Q158</f>
        <v>28058916.854747102</v>
      </c>
      <c r="R367" s="179">
        <f t="shared" si="186"/>
        <v>11796240.731152754</v>
      </c>
      <c r="S367" s="179">
        <f t="shared" si="186"/>
        <v>7693953.4302115534</v>
      </c>
      <c r="T367" s="179">
        <f t="shared" si="186"/>
        <v>2868377.2106497865</v>
      </c>
      <c r="U367" s="433">
        <f t="shared" ref="U367:U383" si="187">SUM(Q367:T367)/(SUM(O405:T405)*1000)</f>
        <v>3.7334131149949257E-5</v>
      </c>
      <c r="W367">
        <v>2021</v>
      </c>
      <c r="X367" t="s">
        <v>240</v>
      </c>
      <c r="Y367" t="s">
        <v>240</v>
      </c>
      <c r="Z367" s="179">
        <f t="shared" ref="Z367:AC382" si="188">SUM($AD215,$AD253,$AD291,$AD329)*Z139 + SUM($AD234,$AD272,$AD310,$AD348)*Z158</f>
        <v>79524113.044947624</v>
      </c>
      <c r="AA367" s="179">
        <f t="shared" si="188"/>
        <v>33867224.709450752</v>
      </c>
      <c r="AB367" s="179">
        <f t="shared" si="188"/>
        <v>22252121.104524918</v>
      </c>
      <c r="AC367" s="179">
        <f t="shared" si="188"/>
        <v>7963071.3859959487</v>
      </c>
      <c r="AD367" s="433">
        <f t="shared" ref="AD367:AD383" si="189">SUM(Z367:AC367)/(SUM(X405:AC405)*1000)</f>
        <v>1.0711677149605332E-4</v>
      </c>
      <c r="AG367">
        <v>2021</v>
      </c>
      <c r="AH367" t="s">
        <v>240</v>
      </c>
      <c r="AI367" t="s">
        <v>240</v>
      </c>
      <c r="AJ367" s="179">
        <f t="shared" ref="AJ367:AM382" si="190">SUM($AN215,$AN253,$AN291,$AN329)*AJ139 + SUM($AN234,$AN272,$AN310,$AN348)*AJ158</f>
        <v>80537828.285142422</v>
      </c>
      <c r="AK367" s="179">
        <f t="shared" si="190"/>
        <v>33709947.628910601</v>
      </c>
      <c r="AL367" s="179">
        <f t="shared" si="190"/>
        <v>22763264.84577924</v>
      </c>
      <c r="AM367" s="179">
        <f t="shared" si="190"/>
        <v>7757701.0798490467</v>
      </c>
      <c r="AN367" s="433">
        <f t="shared" ref="AN367:AN383" si="191">SUM(AJ367:AM367)/(SUM(AH405:AM405)*1000)</f>
        <v>1.0503670909517422E-4</v>
      </c>
    </row>
    <row r="368" spans="5:40">
      <c r="E368">
        <v>2022</v>
      </c>
      <c r="F368" s="320" t="s">
        <v>240</v>
      </c>
      <c r="G368" s="320" t="s">
        <v>240</v>
      </c>
      <c r="H368" s="179">
        <f t="shared" si="184"/>
        <v>30720843.507285126</v>
      </c>
      <c r="I368" s="179">
        <f t="shared" si="184"/>
        <v>11164576.24208503</v>
      </c>
      <c r="J368" s="179">
        <f t="shared" si="184"/>
        <v>7649231.9972791569</v>
      </c>
      <c r="K368" s="179">
        <f t="shared" si="184"/>
        <v>2985345.2663425612</v>
      </c>
      <c r="L368" s="433">
        <f t="shared" si="185"/>
        <v>3.6609989255525188E-5</v>
      </c>
      <c r="M368" s="194"/>
      <c r="N368">
        <v>2022</v>
      </c>
      <c r="O368" s="320" t="s">
        <v>240</v>
      </c>
      <c r="P368" s="320" t="s">
        <v>240</v>
      </c>
      <c r="Q368" s="179">
        <f t="shared" si="186"/>
        <v>30713742.311660357</v>
      </c>
      <c r="R368" s="179">
        <f t="shared" si="186"/>
        <v>11354602.645598369</v>
      </c>
      <c r="S368" s="179">
        <f t="shared" si="186"/>
        <v>7654842.7593951086</v>
      </c>
      <c r="T368" s="179">
        <f t="shared" si="186"/>
        <v>3027590.5490828049</v>
      </c>
      <c r="U368" s="433">
        <f t="shared" si="187"/>
        <v>3.7573378955969978E-5</v>
      </c>
      <c r="W368">
        <v>2022</v>
      </c>
      <c r="X368" t="s">
        <v>240</v>
      </c>
      <c r="Y368" t="s">
        <v>240</v>
      </c>
      <c r="Z368" s="179">
        <f t="shared" si="188"/>
        <v>87106747.049256802</v>
      </c>
      <c r="AA368" s="179">
        <f t="shared" si="188"/>
        <v>32821182.136109725</v>
      </c>
      <c r="AB368" s="179">
        <f t="shared" si="188"/>
        <v>22125393.262150414</v>
      </c>
      <c r="AC368" s="179">
        <f t="shared" si="188"/>
        <v>8459159.8658885434</v>
      </c>
      <c r="AD368" s="433">
        <f t="shared" si="189"/>
        <v>1.087227969042988E-4</v>
      </c>
      <c r="AG368">
        <v>2022</v>
      </c>
      <c r="AH368" t="s">
        <v>240</v>
      </c>
      <c r="AI368" t="s">
        <v>240</v>
      </c>
      <c r="AJ368" s="179">
        <f t="shared" si="190"/>
        <v>88085590.431118354</v>
      </c>
      <c r="AK368" s="179">
        <f t="shared" si="190"/>
        <v>32246606.315443989</v>
      </c>
      <c r="AL368" s="179">
        <f t="shared" si="190"/>
        <v>22656816.778474431</v>
      </c>
      <c r="AM368" s="179">
        <f t="shared" si="190"/>
        <v>8139987.6253301213</v>
      </c>
      <c r="AN368" s="433">
        <f t="shared" si="191"/>
        <v>1.0354157999274687E-4</v>
      </c>
    </row>
    <row r="369" spans="5:40">
      <c r="E369">
        <v>2023</v>
      </c>
      <c r="F369" s="320" t="s">
        <v>240</v>
      </c>
      <c r="G369" s="320" t="s">
        <v>240</v>
      </c>
      <c r="H369" s="179">
        <f t="shared" si="184"/>
        <v>33367916.024003476</v>
      </c>
      <c r="I369" s="179">
        <f t="shared" si="184"/>
        <v>10695912.923216</v>
      </c>
      <c r="J369" s="179">
        <f t="shared" si="184"/>
        <v>7635525.4462661026</v>
      </c>
      <c r="K369" s="179">
        <f t="shared" si="184"/>
        <v>3127574.9695667624</v>
      </c>
      <c r="L369" s="433">
        <f t="shared" si="185"/>
        <v>3.6468572562260011E-5</v>
      </c>
      <c r="M369" s="194"/>
      <c r="N369">
        <v>2023</v>
      </c>
      <c r="O369" s="320" t="s">
        <v>240</v>
      </c>
      <c r="P369" s="320" t="s">
        <v>240</v>
      </c>
      <c r="Q369" s="179">
        <f t="shared" si="186"/>
        <v>33437799.12559909</v>
      </c>
      <c r="R369" s="179">
        <f t="shared" si="186"/>
        <v>10929771.891795885</v>
      </c>
      <c r="S369" s="179">
        <f t="shared" si="186"/>
        <v>7627204.1479585348</v>
      </c>
      <c r="T369" s="179">
        <f t="shared" si="186"/>
        <v>3191967.0637722989</v>
      </c>
      <c r="U369" s="433">
        <f t="shared" si="187"/>
        <v>3.7865509933660555E-5</v>
      </c>
      <c r="W369">
        <v>2023</v>
      </c>
      <c r="X369" t="s">
        <v>240</v>
      </c>
      <c r="Y369" t="s">
        <v>240</v>
      </c>
      <c r="Z369" s="179">
        <f t="shared" si="188"/>
        <v>95018467.731567204</v>
      </c>
      <c r="AA369" s="179">
        <f t="shared" si="188"/>
        <v>31742198.285349846</v>
      </c>
      <c r="AB369" s="179">
        <f t="shared" si="188"/>
        <v>21998723.537232071</v>
      </c>
      <c r="AC369" s="179">
        <f t="shared" si="188"/>
        <v>8973495.1904134192</v>
      </c>
      <c r="AD369" s="433">
        <f t="shared" si="189"/>
        <v>1.1045068854904344E-4</v>
      </c>
      <c r="AG369">
        <v>2023</v>
      </c>
      <c r="AH369" t="s">
        <v>240</v>
      </c>
      <c r="AI369" t="s">
        <v>240</v>
      </c>
      <c r="AJ369" s="179">
        <f t="shared" si="190"/>
        <v>95705210.832140222</v>
      </c>
      <c r="AK369" s="179">
        <f t="shared" si="190"/>
        <v>30911348.786487833</v>
      </c>
      <c r="AL369" s="179">
        <f t="shared" si="190"/>
        <v>22611436.325287614</v>
      </c>
      <c r="AM369" s="179">
        <f t="shared" si="190"/>
        <v>8534616.7224319316</v>
      </c>
      <c r="AN369" s="433">
        <f t="shared" si="191"/>
        <v>1.0238166960008204E-4</v>
      </c>
    </row>
    <row r="370" spans="5:40">
      <c r="E370">
        <v>2024</v>
      </c>
      <c r="F370" s="320" t="s">
        <v>240</v>
      </c>
      <c r="G370" s="320" t="s">
        <v>240</v>
      </c>
      <c r="H370" s="179">
        <f t="shared" si="184"/>
        <v>36046310.792164825</v>
      </c>
      <c r="I370" s="179">
        <f t="shared" si="184"/>
        <v>10268930.844845166</v>
      </c>
      <c r="J370" s="179">
        <f t="shared" si="184"/>
        <v>7641505.3915768089</v>
      </c>
      <c r="K370" s="179">
        <f t="shared" si="184"/>
        <v>3274646.968882747</v>
      </c>
      <c r="L370" s="433">
        <f t="shared" si="185"/>
        <v>3.6401570990557671E-5</v>
      </c>
      <c r="M370" s="194"/>
      <c r="N370">
        <v>2024</v>
      </c>
      <c r="O370" s="320" t="s">
        <v>240</v>
      </c>
      <c r="P370" s="320" t="s">
        <v>240</v>
      </c>
      <c r="Q370" s="179">
        <f t="shared" si="186"/>
        <v>36236964.540877849</v>
      </c>
      <c r="R370" s="179">
        <f t="shared" si="186"/>
        <v>10520349.898215076</v>
      </c>
      <c r="S370" s="179">
        <f t="shared" si="186"/>
        <v>7610704.7578840358</v>
      </c>
      <c r="T370" s="179">
        <f t="shared" si="186"/>
        <v>3361828.758674161</v>
      </c>
      <c r="U370" s="433">
        <f t="shared" si="187"/>
        <v>3.8207863481050701E-5</v>
      </c>
      <c r="W370">
        <v>2024</v>
      </c>
      <c r="X370" t="s">
        <v>240</v>
      </c>
      <c r="Y370" t="s">
        <v>240</v>
      </c>
      <c r="Z370" s="179">
        <f t="shared" si="188"/>
        <v>103266160.63916849</v>
      </c>
      <c r="AA370" s="179">
        <f t="shared" si="188"/>
        <v>30634274.081522021</v>
      </c>
      <c r="AB370" s="179">
        <f t="shared" si="188"/>
        <v>21874427.988761526</v>
      </c>
      <c r="AC370" s="179">
        <f t="shared" si="188"/>
        <v>9506666.5202239547</v>
      </c>
      <c r="AD370" s="433">
        <f t="shared" si="189"/>
        <v>1.1229895812147327E-4</v>
      </c>
      <c r="AG370">
        <v>2024</v>
      </c>
      <c r="AH370" t="s">
        <v>240</v>
      </c>
      <c r="AI370" t="s">
        <v>240</v>
      </c>
      <c r="AJ370" s="179">
        <f t="shared" si="190"/>
        <v>103430362.54788044</v>
      </c>
      <c r="AK370" s="179">
        <f t="shared" si="190"/>
        <v>29686681.725681815</v>
      </c>
      <c r="AL370" s="179">
        <f t="shared" si="190"/>
        <v>22621483.565483376</v>
      </c>
      <c r="AM370" s="179">
        <f t="shared" si="190"/>
        <v>8942543.224738149</v>
      </c>
      <c r="AN370" s="433">
        <f t="shared" si="191"/>
        <v>1.0151364659509585E-4</v>
      </c>
    </row>
    <row r="371" spans="5:40">
      <c r="E371">
        <v>2025</v>
      </c>
      <c r="F371" s="320" t="s">
        <v>240</v>
      </c>
      <c r="G371" s="320" t="s">
        <v>240</v>
      </c>
      <c r="H371" s="179">
        <f t="shared" si="184"/>
        <v>38767362.678911187</v>
      </c>
      <c r="I371" s="179">
        <f t="shared" si="184"/>
        <v>9877922.7491629086</v>
      </c>
      <c r="J371" s="179">
        <f t="shared" si="184"/>
        <v>7665424.7162213018</v>
      </c>
      <c r="K371" s="179">
        <f t="shared" si="184"/>
        <v>3426894.716113226</v>
      </c>
      <c r="L371" s="433">
        <f t="shared" si="185"/>
        <v>3.6402190061901325E-5</v>
      </c>
      <c r="M371" s="194"/>
      <c r="N371">
        <v>2025</v>
      </c>
      <c r="O371" s="320" t="s">
        <v>240</v>
      </c>
      <c r="P371" s="320" t="s">
        <v>240</v>
      </c>
      <c r="Q371" s="179">
        <f t="shared" si="186"/>
        <v>39117161.013353415</v>
      </c>
      <c r="R371" s="179">
        <f t="shared" si="186"/>
        <v>10125031.61580454</v>
      </c>
      <c r="S371" s="179">
        <f t="shared" si="186"/>
        <v>7605054.0044934265</v>
      </c>
      <c r="T371" s="179">
        <f t="shared" si="186"/>
        <v>3537502.8977428693</v>
      </c>
      <c r="U371" s="433">
        <f t="shared" si="187"/>
        <v>3.8598261994609925E-5</v>
      </c>
      <c r="W371">
        <v>2025</v>
      </c>
      <c r="X371" t="s">
        <v>240</v>
      </c>
      <c r="Y371" t="s">
        <v>240</v>
      </c>
      <c r="Z371" s="179">
        <f t="shared" si="188"/>
        <v>111857859.50040728</v>
      </c>
      <c r="AA371" s="179">
        <f t="shared" si="188"/>
        <v>29500970.036085617</v>
      </c>
      <c r="AB371" s="179">
        <f t="shared" si="188"/>
        <v>21754649.400258012</v>
      </c>
      <c r="AC371" s="179">
        <f t="shared" si="188"/>
        <v>10059325.941427382</v>
      </c>
      <c r="AD371" s="433">
        <f t="shared" si="189"/>
        <v>1.1426668323573793E-4</v>
      </c>
      <c r="AG371">
        <v>2025</v>
      </c>
      <c r="AH371" t="s">
        <v>240</v>
      </c>
      <c r="AI371" t="s">
        <v>240</v>
      </c>
      <c r="AJ371" s="179">
        <f t="shared" si="190"/>
        <v>111291258.82212672</v>
      </c>
      <c r="AK371" s="179">
        <f t="shared" si="190"/>
        <v>28558028.276319608</v>
      </c>
      <c r="AL371" s="179">
        <f t="shared" si="190"/>
        <v>22682374.806377139</v>
      </c>
      <c r="AM371" s="179">
        <f t="shared" si="190"/>
        <v>9364690.702579217</v>
      </c>
      <c r="AN371" s="433">
        <f t="shared" si="191"/>
        <v>1.0090273689757049E-4</v>
      </c>
    </row>
    <row r="372" spans="5:40">
      <c r="E372">
        <v>2026</v>
      </c>
      <c r="F372" s="320" t="s">
        <v>240</v>
      </c>
      <c r="G372" s="320" t="s">
        <v>240</v>
      </c>
      <c r="H372" s="179">
        <f t="shared" si="184"/>
        <v>41541278.153273031</v>
      </c>
      <c r="I372" s="179">
        <f t="shared" si="184"/>
        <v>9518138.9362758044</v>
      </c>
      <c r="J372" s="179">
        <f t="shared" si="184"/>
        <v>7705870.0450557228</v>
      </c>
      <c r="K372" s="179">
        <f t="shared" si="184"/>
        <v>3584643.9977195533</v>
      </c>
      <c r="L372" s="433">
        <f t="shared" si="185"/>
        <v>3.6464819981326019E-5</v>
      </c>
      <c r="M372" s="194"/>
      <c r="N372">
        <v>2026</v>
      </c>
      <c r="O372" s="320" t="s">
        <v>240</v>
      </c>
      <c r="P372" s="320" t="s">
        <v>240</v>
      </c>
      <c r="Q372" s="179">
        <f t="shared" si="186"/>
        <v>42084372.074439399</v>
      </c>
      <c r="R372" s="179">
        <f t="shared" si="186"/>
        <v>9742598.9279707149</v>
      </c>
      <c r="S372" s="179">
        <f t="shared" si="186"/>
        <v>7610001.3790230202</v>
      </c>
      <c r="T372" s="179">
        <f t="shared" si="186"/>
        <v>3719322.8674751483</v>
      </c>
      <c r="U372" s="433">
        <f t="shared" si="187"/>
        <v>3.9034935931774179E-5</v>
      </c>
      <c r="W372">
        <v>2026</v>
      </c>
      <c r="X372" t="s">
        <v>240</v>
      </c>
      <c r="Y372" t="s">
        <v>240</v>
      </c>
      <c r="Z372" s="179">
        <f t="shared" si="188"/>
        <v>120802753.98281893</v>
      </c>
      <c r="AA372" s="179">
        <f t="shared" si="188"/>
        <v>28345418.024350323</v>
      </c>
      <c r="AB372" s="179">
        <f t="shared" si="188"/>
        <v>21641363.592705291</v>
      </c>
      <c r="AC372" s="179">
        <f t="shared" si="188"/>
        <v>10632187.553292191</v>
      </c>
      <c r="AD372" s="433">
        <f t="shared" si="189"/>
        <v>1.1635344408909674E-4</v>
      </c>
      <c r="AG372">
        <v>2026</v>
      </c>
      <c r="AH372" t="s">
        <v>240</v>
      </c>
      <c r="AI372" t="s">
        <v>240</v>
      </c>
      <c r="AJ372" s="179">
        <f t="shared" si="190"/>
        <v>119315454.84051359</v>
      </c>
      <c r="AK372" s="179">
        <f t="shared" si="190"/>
        <v>27513140.849510152</v>
      </c>
      <c r="AL372" s="179">
        <f t="shared" si="190"/>
        <v>22790374.7671002</v>
      </c>
      <c r="AM372" s="179">
        <f t="shared" si="190"/>
        <v>9801963.8448827453</v>
      </c>
      <c r="AN372" s="433">
        <f t="shared" si="191"/>
        <v>1.0052078485604236E-4</v>
      </c>
    </row>
    <row r="373" spans="5:40">
      <c r="E373">
        <v>2027</v>
      </c>
      <c r="F373" s="320" t="s">
        <v>240</v>
      </c>
      <c r="G373" s="320" t="s">
        <v>240</v>
      </c>
      <c r="H373" s="179">
        <f t="shared" si="184"/>
        <v>44377401.413632199</v>
      </c>
      <c r="I373" s="179">
        <f t="shared" si="184"/>
        <v>9185593.3576219603</v>
      </c>
      <c r="J373" s="179">
        <f t="shared" si="184"/>
        <v>7761695.8478861749</v>
      </c>
      <c r="K373" s="179">
        <f t="shared" si="184"/>
        <v>3748216.7859481121</v>
      </c>
      <c r="L373" s="433">
        <f t="shared" si="185"/>
        <v>3.6584812168682365E-5</v>
      </c>
      <c r="M373" s="194"/>
      <c r="N373">
        <v>2027</v>
      </c>
      <c r="O373" s="320" t="s">
        <v>240</v>
      </c>
      <c r="P373" s="320" t="s">
        <v>240</v>
      </c>
      <c r="Q373" s="179">
        <f t="shared" si="186"/>
        <v>45144658.288880482</v>
      </c>
      <c r="R373" s="179">
        <f t="shared" si="186"/>
        <v>9371914.2299760301</v>
      </c>
      <c r="S373" s="179">
        <f t="shared" si="186"/>
        <v>7625334.3354681889</v>
      </c>
      <c r="T373" s="179">
        <f t="shared" si="186"/>
        <v>3907629.0316582858</v>
      </c>
      <c r="U373" s="433">
        <f t="shared" si="187"/>
        <v>3.9516463456601085E-5</v>
      </c>
      <c r="W373">
        <v>2027</v>
      </c>
      <c r="X373" t="s">
        <v>240</v>
      </c>
      <c r="Y373" t="s">
        <v>240</v>
      </c>
      <c r="Z373" s="179">
        <f t="shared" si="188"/>
        <v>130111190.2533866</v>
      </c>
      <c r="AA373" s="179">
        <f t="shared" si="188"/>
        <v>27170338.803088281</v>
      </c>
      <c r="AB373" s="179">
        <f t="shared" si="188"/>
        <v>21536388.247098621</v>
      </c>
      <c r="AC373" s="179">
        <f t="shared" si="188"/>
        <v>11226026.492624987</v>
      </c>
      <c r="AD373" s="433">
        <f t="shared" si="189"/>
        <v>1.1855927110355714E-4</v>
      </c>
      <c r="AG373">
        <v>2027</v>
      </c>
      <c r="AH373" t="s">
        <v>240</v>
      </c>
      <c r="AI373" t="s">
        <v>240</v>
      </c>
      <c r="AJ373" s="179">
        <f t="shared" si="190"/>
        <v>127528468.7633623</v>
      </c>
      <c r="AK373" s="179">
        <f t="shared" si="190"/>
        <v>26541649.856571749</v>
      </c>
      <c r="AL373" s="179">
        <f t="shared" si="190"/>
        <v>22942437.059703223</v>
      </c>
      <c r="AM373" s="179">
        <f t="shared" si="190"/>
        <v>10255258.273161009</v>
      </c>
      <c r="AN373" s="433">
        <f t="shared" si="191"/>
        <v>1.0034482187177666E-4</v>
      </c>
    </row>
    <row r="374" spans="5:40">
      <c r="E374">
        <v>2028</v>
      </c>
      <c r="F374" s="320" t="s">
        <v>240</v>
      </c>
      <c r="G374" s="320" t="s">
        <v>240</v>
      </c>
      <c r="H374" s="179">
        <f t="shared" si="184"/>
        <v>47284420.290023074</v>
      </c>
      <c r="I374" s="179">
        <f t="shared" si="184"/>
        <v>8876914.8572520465</v>
      </c>
      <c r="J374" s="179">
        <f t="shared" si="184"/>
        <v>7831973.9518874688</v>
      </c>
      <c r="K374" s="179">
        <f t="shared" si="184"/>
        <v>3917934.2993228305</v>
      </c>
      <c r="L374" s="433">
        <f t="shared" si="185"/>
        <v>3.6758305487943647E-5</v>
      </c>
      <c r="M374" s="194"/>
      <c r="N374">
        <v>2028</v>
      </c>
      <c r="O374" s="320" t="s">
        <v>240</v>
      </c>
      <c r="P374" s="320" t="s">
        <v>240</v>
      </c>
      <c r="Q374" s="179">
        <f t="shared" si="186"/>
        <v>48304173.20286601</v>
      </c>
      <c r="R374" s="179">
        <f t="shared" si="186"/>
        <v>9011914.2604711801</v>
      </c>
      <c r="S374" s="179">
        <f t="shared" si="186"/>
        <v>7650876.2746710917</v>
      </c>
      <c r="T374" s="179">
        <f t="shared" si="186"/>
        <v>4102769.5776704689</v>
      </c>
      <c r="U374" s="433">
        <f t="shared" si="187"/>
        <v>4.0041721509128605E-5</v>
      </c>
      <c r="W374">
        <v>2028</v>
      </c>
      <c r="X374" t="s">
        <v>240</v>
      </c>
      <c r="Y374" t="s">
        <v>240</v>
      </c>
      <c r="Z374" s="179">
        <f t="shared" si="188"/>
        <v>139794666.6717985</v>
      </c>
      <c r="AA374" s="179">
        <f t="shared" si="188"/>
        <v>25978063.627092492</v>
      </c>
      <c r="AB374" s="179">
        <f t="shared" si="188"/>
        <v>21441393.51688401</v>
      </c>
      <c r="AC374" s="179">
        <f t="shared" si="188"/>
        <v>11841677.983172018</v>
      </c>
      <c r="AD374" s="433">
        <f t="shared" si="189"/>
        <v>1.208846015432398E-4</v>
      </c>
      <c r="AG374">
        <v>2028</v>
      </c>
      <c r="AH374" t="s">
        <v>240</v>
      </c>
      <c r="AI374" t="s">
        <v>240</v>
      </c>
      <c r="AJ374" s="179">
        <f t="shared" si="190"/>
        <v>135954269.20142698</v>
      </c>
      <c r="AK374" s="179">
        <f t="shared" si="190"/>
        <v>25634713.059257947</v>
      </c>
      <c r="AL374" s="179">
        <f t="shared" si="190"/>
        <v>23136080.429140721</v>
      </c>
      <c r="AM374" s="179">
        <f t="shared" si="190"/>
        <v>10725468.451557741</v>
      </c>
      <c r="AN374" s="433">
        <f t="shared" si="191"/>
        <v>1.003559941320177E-4</v>
      </c>
    </row>
    <row r="375" spans="5:40">
      <c r="E375">
        <v>2029</v>
      </c>
      <c r="F375" s="320" t="s">
        <v>240</v>
      </c>
      <c r="G375" s="320" t="s">
        <v>240</v>
      </c>
      <c r="H375" s="179">
        <f t="shared" si="184"/>
        <v>50270527.734104842</v>
      </c>
      <c r="I375" s="179">
        <f t="shared" si="184"/>
        <v>8589231.7666826155</v>
      </c>
      <c r="J375" s="179">
        <f t="shared" si="184"/>
        <v>7915954.4402208691</v>
      </c>
      <c r="K375" s="179">
        <f t="shared" si="184"/>
        <v>4094119.4834910366</v>
      </c>
      <c r="L375" s="433">
        <f t="shared" si="185"/>
        <v>3.6982089788644713E-5</v>
      </c>
      <c r="M375" s="194"/>
      <c r="N375">
        <v>2029</v>
      </c>
      <c r="O375" s="320" t="s">
        <v>240</v>
      </c>
      <c r="P375" s="320" t="s">
        <v>240</v>
      </c>
      <c r="Q375" s="179">
        <f t="shared" si="186"/>
        <v>51569179.221640542</v>
      </c>
      <c r="R375" s="179">
        <f t="shared" si="186"/>
        <v>8661604.2371230014</v>
      </c>
      <c r="S375" s="179">
        <f t="shared" si="186"/>
        <v>7686484.6467928011</v>
      </c>
      <c r="T375" s="179">
        <f t="shared" si="186"/>
        <v>4305101.3548018094</v>
      </c>
      <c r="U375" s="433">
        <f t="shared" si="187"/>
        <v>4.0609845899992851E-5</v>
      </c>
      <c r="W375">
        <v>2029</v>
      </c>
      <c r="X375" t="s">
        <v>240</v>
      </c>
      <c r="Y375" t="s">
        <v>240</v>
      </c>
      <c r="Z375" s="179">
        <f t="shared" si="188"/>
        <v>149865826.61314195</v>
      </c>
      <c r="AA375" s="179">
        <f t="shared" si="188"/>
        <v>24770558.566930145</v>
      </c>
      <c r="AB375" s="179">
        <f t="shared" si="188"/>
        <v>21357913.819066081</v>
      </c>
      <c r="AC375" s="179">
        <f t="shared" si="188"/>
        <v>12480036.479665769</v>
      </c>
      <c r="AD375" s="433">
        <f t="shared" si="189"/>
        <v>1.2333024351637913E-4</v>
      </c>
      <c r="AG375">
        <v>2029</v>
      </c>
      <c r="AH375" t="s">
        <v>240</v>
      </c>
      <c r="AI375" t="s">
        <v>240</v>
      </c>
      <c r="AJ375" s="179">
        <f t="shared" si="190"/>
        <v>144615662.8231616</v>
      </c>
      <c r="AK375" s="179">
        <f t="shared" si="190"/>
        <v>24784740.327622436</v>
      </c>
      <c r="AL375" s="179">
        <f t="shared" si="190"/>
        <v>23369291.799527638</v>
      </c>
      <c r="AM375" s="179">
        <f t="shared" si="190"/>
        <v>11213494.182038389</v>
      </c>
      <c r="AN375" s="433">
        <f t="shared" si="191"/>
        <v>1.0053874869479899E-4</v>
      </c>
    </row>
    <row r="376" spans="5:40">
      <c r="E376">
        <v>2030</v>
      </c>
      <c r="F376" s="320" t="s">
        <v>240</v>
      </c>
      <c r="G376" s="320" t="s">
        <v>240</v>
      </c>
      <c r="H376" s="179">
        <f t="shared" si="184"/>
        <v>53343550.165669881</v>
      </c>
      <c r="I376" s="179">
        <f t="shared" si="184"/>
        <v>8320081.4506170209</v>
      </c>
      <c r="J376" s="179">
        <f t="shared" si="184"/>
        <v>8013035.0707465587</v>
      </c>
      <c r="K376" s="179">
        <f t="shared" si="184"/>
        <v>4277099.0630119918</v>
      </c>
      <c r="L376" s="433">
        <f t="shared" si="185"/>
        <v>3.7253497780592859E-5</v>
      </c>
      <c r="M376" s="194"/>
      <c r="N376">
        <v>2030</v>
      </c>
      <c r="O376" s="320" t="s">
        <v>240</v>
      </c>
      <c r="P376" s="320" t="s">
        <v>240</v>
      </c>
      <c r="Q376" s="179">
        <f t="shared" si="186"/>
        <v>54946063.387248531</v>
      </c>
      <c r="R376" s="179">
        <f t="shared" si="186"/>
        <v>8320052.3257294772</v>
      </c>
      <c r="S376" s="179">
        <f t="shared" si="186"/>
        <v>7732049.1846032673</v>
      </c>
      <c r="T376" s="179">
        <f t="shared" si="186"/>
        <v>4514990.7058472326</v>
      </c>
      <c r="U376" s="433">
        <f t="shared" si="187"/>
        <v>4.1220198592757224E-5</v>
      </c>
      <c r="W376">
        <v>2030</v>
      </c>
      <c r="X376" t="s">
        <v>240</v>
      </c>
      <c r="Y376" t="s">
        <v>240</v>
      </c>
      <c r="Z376" s="179">
        <f t="shared" si="188"/>
        <v>160338450.08796859</v>
      </c>
      <c r="AA376" s="179">
        <f t="shared" si="188"/>
        <v>23549450.369114764</v>
      </c>
      <c r="AB376" s="179">
        <f t="shared" si="188"/>
        <v>21287360.298585318</v>
      </c>
      <c r="AC376" s="179">
        <f t="shared" si="188"/>
        <v>13142054.959470958</v>
      </c>
      <c r="AD376" s="433">
        <f t="shared" si="189"/>
        <v>1.2589734609153667E-4</v>
      </c>
      <c r="AG376">
        <v>2030</v>
      </c>
      <c r="AH376" t="s">
        <v>240</v>
      </c>
      <c r="AI376" t="s">
        <v>240</v>
      </c>
      <c r="AJ376" s="179">
        <f t="shared" si="190"/>
        <v>153534606.48723516</v>
      </c>
      <c r="AK376" s="179">
        <f t="shared" si="190"/>
        <v>23985175.557890441</v>
      </c>
      <c r="AL376" s="179">
        <f t="shared" si="190"/>
        <v>23640449.646915797</v>
      </c>
      <c r="AM376" s="179">
        <f t="shared" si="190"/>
        <v>11720246.039411522</v>
      </c>
      <c r="AN376" s="433">
        <f t="shared" si="191"/>
        <v>1.0088020823645324E-4</v>
      </c>
    </row>
    <row r="377" spans="5:40">
      <c r="E377">
        <v>2040</v>
      </c>
      <c r="F377" s="320" t="s">
        <v>240</v>
      </c>
      <c r="G377" s="320" t="s">
        <v>240</v>
      </c>
      <c r="H377" s="179">
        <f t="shared" si="184"/>
        <v>0</v>
      </c>
      <c r="I377" s="179">
        <f t="shared" si="184"/>
        <v>0</v>
      </c>
      <c r="J377" s="179">
        <f t="shared" si="184"/>
        <v>0</v>
      </c>
      <c r="K377" s="179">
        <f t="shared" si="184"/>
        <v>0</v>
      </c>
      <c r="L377" s="433">
        <f t="shared" si="185"/>
        <v>0</v>
      </c>
      <c r="M377" s="194"/>
      <c r="N377">
        <v>2040</v>
      </c>
      <c r="O377" s="320" t="s">
        <v>240</v>
      </c>
      <c r="P377" s="320" t="s">
        <v>240</v>
      </c>
      <c r="Q377" s="179">
        <f t="shared" si="186"/>
        <v>0</v>
      </c>
      <c r="R377" s="179">
        <f t="shared" si="186"/>
        <v>0</v>
      </c>
      <c r="S377" s="179">
        <f t="shared" si="186"/>
        <v>0</v>
      </c>
      <c r="T377" s="179">
        <f t="shared" si="186"/>
        <v>0</v>
      </c>
      <c r="U377" s="433">
        <f t="shared" si="187"/>
        <v>0</v>
      </c>
      <c r="W377">
        <v>2040</v>
      </c>
      <c r="X377" t="s">
        <v>240</v>
      </c>
      <c r="Y377" t="s">
        <v>240</v>
      </c>
      <c r="Z377" s="179">
        <f t="shared" si="188"/>
        <v>0</v>
      </c>
      <c r="AA377" s="179">
        <f t="shared" si="188"/>
        <v>0</v>
      </c>
      <c r="AB377" s="179">
        <f t="shared" si="188"/>
        <v>0</v>
      </c>
      <c r="AC377" s="179">
        <f t="shared" si="188"/>
        <v>0</v>
      </c>
      <c r="AD377" s="433">
        <f t="shared" si="189"/>
        <v>0</v>
      </c>
      <c r="AG377">
        <v>2040</v>
      </c>
      <c r="AH377" t="s">
        <v>240</v>
      </c>
      <c r="AI377" t="s">
        <v>240</v>
      </c>
      <c r="AJ377" s="179">
        <f t="shared" si="190"/>
        <v>0</v>
      </c>
      <c r="AK377" s="179">
        <f t="shared" si="190"/>
        <v>0</v>
      </c>
      <c r="AL377" s="179">
        <f t="shared" si="190"/>
        <v>0</v>
      </c>
      <c r="AM377" s="179">
        <f t="shared" si="190"/>
        <v>0</v>
      </c>
      <c r="AN377" s="433">
        <f t="shared" si="191"/>
        <v>0</v>
      </c>
    </row>
    <row r="378" spans="5:40">
      <c r="E378">
        <v>2050</v>
      </c>
      <c r="F378" s="320" t="s">
        <v>240</v>
      </c>
      <c r="G378" s="320" t="s">
        <v>240</v>
      </c>
      <c r="H378" s="179">
        <f t="shared" si="184"/>
        <v>0</v>
      </c>
      <c r="I378" s="179">
        <f t="shared" si="184"/>
        <v>0</v>
      </c>
      <c r="J378" s="179">
        <f t="shared" si="184"/>
        <v>0</v>
      </c>
      <c r="K378" s="179">
        <f t="shared" si="184"/>
        <v>0</v>
      </c>
      <c r="L378" s="433">
        <f t="shared" si="185"/>
        <v>0</v>
      </c>
      <c r="M378" s="194"/>
      <c r="N378">
        <v>2050</v>
      </c>
      <c r="O378" s="320" t="s">
        <v>240</v>
      </c>
      <c r="P378" s="320" t="s">
        <v>240</v>
      </c>
      <c r="Q378" s="179">
        <f t="shared" si="186"/>
        <v>0</v>
      </c>
      <c r="R378" s="179">
        <f t="shared" si="186"/>
        <v>0</v>
      </c>
      <c r="S378" s="179">
        <f t="shared" si="186"/>
        <v>0</v>
      </c>
      <c r="T378" s="179">
        <f t="shared" si="186"/>
        <v>0</v>
      </c>
      <c r="U378" s="433">
        <f t="shared" si="187"/>
        <v>0</v>
      </c>
      <c r="W378">
        <v>2050</v>
      </c>
      <c r="X378" t="s">
        <v>240</v>
      </c>
      <c r="Y378" t="s">
        <v>240</v>
      </c>
      <c r="Z378" s="179">
        <f t="shared" si="188"/>
        <v>0</v>
      </c>
      <c r="AA378" s="179">
        <f t="shared" si="188"/>
        <v>0</v>
      </c>
      <c r="AB378" s="179">
        <f t="shared" si="188"/>
        <v>0</v>
      </c>
      <c r="AC378" s="179">
        <f t="shared" si="188"/>
        <v>0</v>
      </c>
      <c r="AD378" s="433">
        <f t="shared" si="189"/>
        <v>0</v>
      </c>
      <c r="AG378">
        <v>2050</v>
      </c>
      <c r="AH378" t="s">
        <v>240</v>
      </c>
      <c r="AI378" t="s">
        <v>240</v>
      </c>
      <c r="AJ378" s="179">
        <f t="shared" si="190"/>
        <v>0</v>
      </c>
      <c r="AK378" s="179">
        <f t="shared" si="190"/>
        <v>0</v>
      </c>
      <c r="AL378" s="179">
        <f t="shared" si="190"/>
        <v>0</v>
      </c>
      <c r="AM378" s="179">
        <f t="shared" si="190"/>
        <v>0</v>
      </c>
      <c r="AN378" s="433">
        <f t="shared" si="191"/>
        <v>0</v>
      </c>
    </row>
    <row r="379" spans="5:40">
      <c r="E379">
        <v>2060</v>
      </c>
      <c r="F379" s="320" t="s">
        <v>240</v>
      </c>
      <c r="G379" s="320" t="s">
        <v>240</v>
      </c>
      <c r="H379" s="179">
        <f>SUM($L227,$L265,$L303,$L341)*H151 + SUM($L246,$L284,$L322,$L360)*H170</f>
        <v>0</v>
      </c>
      <c r="I379" s="179">
        <f t="shared" si="184"/>
        <v>0</v>
      </c>
      <c r="J379" s="179">
        <f t="shared" si="184"/>
        <v>0</v>
      </c>
      <c r="K379" s="179">
        <f t="shared" si="184"/>
        <v>0</v>
      </c>
      <c r="L379" s="433">
        <f t="shared" si="185"/>
        <v>0</v>
      </c>
      <c r="M379" s="194"/>
      <c r="N379">
        <v>2060</v>
      </c>
      <c r="O379" s="320" t="s">
        <v>240</v>
      </c>
      <c r="P379" s="320" t="s">
        <v>240</v>
      </c>
      <c r="Q379" s="179">
        <f t="shared" si="186"/>
        <v>0</v>
      </c>
      <c r="R379" s="179">
        <f t="shared" si="186"/>
        <v>0</v>
      </c>
      <c r="S379" s="179">
        <f t="shared" si="186"/>
        <v>0</v>
      </c>
      <c r="T379" s="179">
        <f t="shared" si="186"/>
        <v>0</v>
      </c>
      <c r="U379" s="433">
        <f t="shared" si="187"/>
        <v>0</v>
      </c>
      <c r="W379">
        <v>2060</v>
      </c>
      <c r="X379" t="s">
        <v>240</v>
      </c>
      <c r="Y379" t="s">
        <v>240</v>
      </c>
      <c r="Z379" s="179">
        <f t="shared" si="188"/>
        <v>0</v>
      </c>
      <c r="AA379" s="179">
        <f t="shared" si="188"/>
        <v>0</v>
      </c>
      <c r="AB379" s="179">
        <f t="shared" si="188"/>
        <v>0</v>
      </c>
      <c r="AC379" s="179">
        <f t="shared" si="188"/>
        <v>0</v>
      </c>
      <c r="AD379" s="433">
        <f t="shared" si="189"/>
        <v>0</v>
      </c>
      <c r="AG379">
        <v>2060</v>
      </c>
      <c r="AH379" t="s">
        <v>240</v>
      </c>
      <c r="AI379" t="s">
        <v>240</v>
      </c>
      <c r="AJ379" s="179">
        <f t="shared" si="190"/>
        <v>0</v>
      </c>
      <c r="AK379" s="179">
        <f t="shared" si="190"/>
        <v>0</v>
      </c>
      <c r="AL379" s="179">
        <f t="shared" si="190"/>
        <v>0</v>
      </c>
      <c r="AM379" s="179">
        <f t="shared" si="190"/>
        <v>0</v>
      </c>
      <c r="AN379" s="433">
        <f t="shared" si="191"/>
        <v>0</v>
      </c>
    </row>
    <row r="380" spans="5:40">
      <c r="E380">
        <v>2070</v>
      </c>
      <c r="F380" s="320" t="s">
        <v>240</v>
      </c>
      <c r="G380" s="320" t="s">
        <v>240</v>
      </c>
      <c r="H380" s="179">
        <f t="shared" ref="H380:K383" si="192">SUM($L228,$L266,$L304,$L342)*H152 + SUM($L247,$L285,$L323,$L361)*H171</f>
        <v>0</v>
      </c>
      <c r="I380" s="179">
        <f t="shared" si="192"/>
        <v>0</v>
      </c>
      <c r="J380" s="179">
        <f t="shared" si="192"/>
        <v>0</v>
      </c>
      <c r="K380" s="179">
        <f t="shared" si="192"/>
        <v>0</v>
      </c>
      <c r="L380" s="433">
        <f t="shared" si="185"/>
        <v>0</v>
      </c>
      <c r="M380" s="194"/>
      <c r="N380">
        <v>2070</v>
      </c>
      <c r="O380" s="320" t="s">
        <v>240</v>
      </c>
      <c r="P380" s="320" t="s">
        <v>240</v>
      </c>
      <c r="Q380" s="179">
        <f t="shared" si="186"/>
        <v>0</v>
      </c>
      <c r="R380" s="179">
        <f t="shared" si="186"/>
        <v>0</v>
      </c>
      <c r="S380" s="179">
        <f t="shared" si="186"/>
        <v>0</v>
      </c>
      <c r="T380" s="179">
        <f t="shared" si="186"/>
        <v>0</v>
      </c>
      <c r="U380" s="433">
        <f t="shared" si="187"/>
        <v>0</v>
      </c>
      <c r="W380">
        <v>2070</v>
      </c>
      <c r="X380" t="s">
        <v>240</v>
      </c>
      <c r="Y380" t="s">
        <v>240</v>
      </c>
      <c r="Z380" s="179">
        <f t="shared" si="188"/>
        <v>0</v>
      </c>
      <c r="AA380" s="179">
        <f t="shared" si="188"/>
        <v>0</v>
      </c>
      <c r="AB380" s="179">
        <f t="shared" si="188"/>
        <v>0</v>
      </c>
      <c r="AC380" s="179">
        <f t="shared" si="188"/>
        <v>0</v>
      </c>
      <c r="AD380" s="433">
        <f t="shared" si="189"/>
        <v>0</v>
      </c>
      <c r="AG380">
        <v>2070</v>
      </c>
      <c r="AH380" t="s">
        <v>240</v>
      </c>
      <c r="AI380" t="s">
        <v>240</v>
      </c>
      <c r="AJ380" s="179">
        <f t="shared" si="190"/>
        <v>0</v>
      </c>
      <c r="AK380" s="179">
        <f t="shared" si="190"/>
        <v>0</v>
      </c>
      <c r="AL380" s="179">
        <f t="shared" si="190"/>
        <v>0</v>
      </c>
      <c r="AM380" s="179">
        <f t="shared" si="190"/>
        <v>0</v>
      </c>
      <c r="AN380" s="433">
        <f t="shared" si="191"/>
        <v>0</v>
      </c>
    </row>
    <row r="381" spans="5:40">
      <c r="E381">
        <v>2080</v>
      </c>
      <c r="F381" s="320" t="s">
        <v>240</v>
      </c>
      <c r="G381" s="320" t="s">
        <v>240</v>
      </c>
      <c r="H381" s="179">
        <f t="shared" si="192"/>
        <v>0</v>
      </c>
      <c r="I381" s="179">
        <f t="shared" si="192"/>
        <v>0</v>
      </c>
      <c r="J381" s="179">
        <f t="shared" si="192"/>
        <v>0</v>
      </c>
      <c r="K381" s="179">
        <f t="shared" si="192"/>
        <v>0</v>
      </c>
      <c r="L381" s="433">
        <f t="shared" si="185"/>
        <v>0</v>
      </c>
      <c r="M381" s="194"/>
      <c r="N381">
        <v>2080</v>
      </c>
      <c r="O381" s="320" t="s">
        <v>240</v>
      </c>
      <c r="P381" s="320" t="s">
        <v>240</v>
      </c>
      <c r="Q381" s="179">
        <f t="shared" si="186"/>
        <v>0</v>
      </c>
      <c r="R381" s="179">
        <f t="shared" si="186"/>
        <v>0</v>
      </c>
      <c r="S381" s="179">
        <f t="shared" si="186"/>
        <v>0</v>
      </c>
      <c r="T381" s="179">
        <f t="shared" si="186"/>
        <v>0</v>
      </c>
      <c r="U381" s="433">
        <f t="shared" si="187"/>
        <v>0</v>
      </c>
      <c r="W381">
        <v>2080</v>
      </c>
      <c r="X381" t="s">
        <v>240</v>
      </c>
      <c r="Y381" t="s">
        <v>240</v>
      </c>
      <c r="Z381" s="179">
        <f t="shared" si="188"/>
        <v>0</v>
      </c>
      <c r="AA381" s="179">
        <f t="shared" si="188"/>
        <v>0</v>
      </c>
      <c r="AB381" s="179">
        <f t="shared" si="188"/>
        <v>0</v>
      </c>
      <c r="AC381" s="179">
        <f t="shared" si="188"/>
        <v>0</v>
      </c>
      <c r="AD381" s="433">
        <f t="shared" si="189"/>
        <v>0</v>
      </c>
      <c r="AG381">
        <v>2080</v>
      </c>
      <c r="AH381" t="s">
        <v>240</v>
      </c>
      <c r="AI381" t="s">
        <v>240</v>
      </c>
      <c r="AJ381" s="179">
        <f t="shared" si="190"/>
        <v>0</v>
      </c>
      <c r="AK381" s="179">
        <f t="shared" si="190"/>
        <v>0</v>
      </c>
      <c r="AL381" s="179">
        <f t="shared" si="190"/>
        <v>0</v>
      </c>
      <c r="AM381" s="179">
        <f t="shared" si="190"/>
        <v>0</v>
      </c>
      <c r="AN381" s="433">
        <f t="shared" si="191"/>
        <v>0</v>
      </c>
    </row>
    <row r="382" spans="5:40">
      <c r="E382">
        <v>2090</v>
      </c>
      <c r="F382" s="320" t="s">
        <v>240</v>
      </c>
      <c r="G382" s="320" t="s">
        <v>240</v>
      </c>
      <c r="H382" s="179">
        <f t="shared" si="192"/>
        <v>0</v>
      </c>
      <c r="I382" s="179">
        <f t="shared" si="192"/>
        <v>0</v>
      </c>
      <c r="J382" s="179">
        <f t="shared" si="192"/>
        <v>0</v>
      </c>
      <c r="K382" s="179">
        <f t="shared" si="192"/>
        <v>0</v>
      </c>
      <c r="L382" s="433">
        <f t="shared" si="185"/>
        <v>0</v>
      </c>
      <c r="M382" s="194"/>
      <c r="N382">
        <v>2090</v>
      </c>
      <c r="O382" s="320" t="s">
        <v>240</v>
      </c>
      <c r="P382" s="320" t="s">
        <v>240</v>
      </c>
      <c r="Q382" s="179">
        <f t="shared" si="186"/>
        <v>0</v>
      </c>
      <c r="R382" s="179">
        <f t="shared" si="186"/>
        <v>0</v>
      </c>
      <c r="S382" s="179">
        <f t="shared" si="186"/>
        <v>0</v>
      </c>
      <c r="T382" s="179">
        <f t="shared" si="186"/>
        <v>0</v>
      </c>
      <c r="U382" s="433">
        <f t="shared" si="187"/>
        <v>0</v>
      </c>
      <c r="W382">
        <v>2090</v>
      </c>
      <c r="X382" t="s">
        <v>240</v>
      </c>
      <c r="Y382" t="s">
        <v>240</v>
      </c>
      <c r="Z382" s="179">
        <f t="shared" si="188"/>
        <v>0</v>
      </c>
      <c r="AA382" s="179">
        <f t="shared" si="188"/>
        <v>0</v>
      </c>
      <c r="AB382" s="179">
        <f t="shared" si="188"/>
        <v>0</v>
      </c>
      <c r="AC382" s="179">
        <f t="shared" si="188"/>
        <v>0</v>
      </c>
      <c r="AD382" s="433">
        <f t="shared" si="189"/>
        <v>0</v>
      </c>
      <c r="AG382">
        <v>2090</v>
      </c>
      <c r="AH382" t="s">
        <v>240</v>
      </c>
      <c r="AI382" t="s">
        <v>240</v>
      </c>
      <c r="AJ382" s="179">
        <f t="shared" si="190"/>
        <v>0</v>
      </c>
      <c r="AK382" s="179">
        <f t="shared" si="190"/>
        <v>0</v>
      </c>
      <c r="AL382" s="179">
        <f t="shared" si="190"/>
        <v>0</v>
      </c>
      <c r="AM382" s="179">
        <f t="shared" si="190"/>
        <v>0</v>
      </c>
      <c r="AN382" s="433">
        <f t="shared" si="191"/>
        <v>0</v>
      </c>
    </row>
    <row r="383" spans="5:40">
      <c r="E383">
        <v>2100</v>
      </c>
      <c r="F383" s="320" t="s">
        <v>240</v>
      </c>
      <c r="G383" s="320" t="s">
        <v>240</v>
      </c>
      <c r="H383" s="179">
        <f t="shared" si="192"/>
        <v>0</v>
      </c>
      <c r="I383" s="179">
        <f t="shared" si="192"/>
        <v>0</v>
      </c>
      <c r="J383" s="179">
        <f t="shared" si="192"/>
        <v>0</v>
      </c>
      <c r="K383" s="179">
        <f t="shared" si="192"/>
        <v>0</v>
      </c>
      <c r="L383" s="433">
        <f t="shared" si="185"/>
        <v>0</v>
      </c>
      <c r="M383" s="194"/>
      <c r="N383">
        <v>2100</v>
      </c>
      <c r="O383" s="320" t="s">
        <v>240</v>
      </c>
      <c r="P383" s="320" t="s">
        <v>240</v>
      </c>
      <c r="Q383" s="179">
        <f t="shared" ref="Q383:T383" si="193">SUM($U231,$U269,$U307,$U345)*Q155 + SUM($U250,$U288,$U326,$U364)*Q174</f>
        <v>0</v>
      </c>
      <c r="R383" s="179">
        <f t="shared" si="193"/>
        <v>0</v>
      </c>
      <c r="S383" s="179">
        <f t="shared" si="193"/>
        <v>0</v>
      </c>
      <c r="T383" s="179">
        <f t="shared" si="193"/>
        <v>0</v>
      </c>
      <c r="U383" s="433">
        <f t="shared" si="187"/>
        <v>0</v>
      </c>
      <c r="W383">
        <v>2100</v>
      </c>
      <c r="X383" t="s">
        <v>240</v>
      </c>
      <c r="Y383" t="s">
        <v>240</v>
      </c>
      <c r="Z383" s="179">
        <f t="shared" ref="Z383:AC383" si="194">SUM($AD231,$AD269,$AD307,$AD345)*Z155 + SUM($AD250,$AD288,$AD326,$AD364)*Z174</f>
        <v>0</v>
      </c>
      <c r="AA383" s="179">
        <f t="shared" si="194"/>
        <v>0</v>
      </c>
      <c r="AB383" s="179">
        <f t="shared" si="194"/>
        <v>0</v>
      </c>
      <c r="AC383" s="179">
        <f t="shared" si="194"/>
        <v>0</v>
      </c>
      <c r="AD383" s="433">
        <f t="shared" si="189"/>
        <v>0</v>
      </c>
      <c r="AG383">
        <v>2100</v>
      </c>
      <c r="AH383" t="s">
        <v>240</v>
      </c>
      <c r="AI383" t="s">
        <v>240</v>
      </c>
      <c r="AJ383" s="179">
        <f t="shared" ref="AJ383:AM383" si="195">SUM($AN231,$AN269,$AN307,$AN345)*AJ155 + SUM($AN250,$AN288,$AN326,$AN364)*AJ174</f>
        <v>0</v>
      </c>
      <c r="AK383" s="179">
        <f t="shared" si="195"/>
        <v>0</v>
      </c>
      <c r="AL383" s="179">
        <f t="shared" si="195"/>
        <v>0</v>
      </c>
      <c r="AM383" s="179">
        <f t="shared" si="195"/>
        <v>0</v>
      </c>
      <c r="AN383" s="433">
        <f t="shared" si="191"/>
        <v>0</v>
      </c>
    </row>
    <row r="384" spans="5:40">
      <c r="F384" s="581" t="s">
        <v>250</v>
      </c>
      <c r="G384" s="581"/>
      <c r="H384" s="581"/>
      <c r="I384" s="581"/>
      <c r="J384" s="581"/>
      <c r="K384" s="581"/>
      <c r="L384" s="181"/>
      <c r="O384" s="581" t="s">
        <v>250</v>
      </c>
      <c r="P384" s="581"/>
      <c r="Q384" s="581"/>
      <c r="R384" s="581"/>
      <c r="S384" s="581"/>
      <c r="T384" s="581"/>
      <c r="U384" s="181"/>
      <c r="X384" s="581" t="s">
        <v>250</v>
      </c>
      <c r="Y384" s="581"/>
      <c r="Z384" s="581"/>
      <c r="AA384" s="581"/>
      <c r="AB384" s="581"/>
      <c r="AC384" s="581"/>
      <c r="AD384" s="181"/>
      <c r="AH384" s="581" t="s">
        <v>250</v>
      </c>
      <c r="AI384" s="581"/>
      <c r="AJ384" s="581"/>
      <c r="AK384" s="581"/>
      <c r="AL384" s="581"/>
      <c r="AM384" s="581"/>
      <c r="AN384" s="181"/>
    </row>
    <row r="385" spans="5:40">
      <c r="E385">
        <v>2020</v>
      </c>
      <c r="H385" s="330">
        <f>H366+H195</f>
        <v>33319061.317904081</v>
      </c>
      <c r="I385" s="330">
        <f t="shared" ref="H385:K400" si="196">I366+I195</f>
        <v>16008526.612870749</v>
      </c>
      <c r="J385" s="330">
        <f t="shared" si="196"/>
        <v>10181607.986508748</v>
      </c>
      <c r="K385" s="330">
        <f t="shared" si="196"/>
        <v>3454292.9758779001</v>
      </c>
      <c r="L385" s="433">
        <f>SUM(H385:K385)/(SUM(F404:K404)*1000)</f>
        <v>4.8547767227207548E-5</v>
      </c>
      <c r="M385" s="194"/>
      <c r="N385">
        <v>2020</v>
      </c>
      <c r="O385" s="320" t="s">
        <v>240</v>
      </c>
      <c r="P385" s="320" t="s">
        <v>240</v>
      </c>
      <c r="Q385" s="170">
        <f t="shared" ref="Q385:T400" si="197">Q366+Q195</f>
        <v>2381066093819.8599</v>
      </c>
      <c r="R385" s="170">
        <f t="shared" si="197"/>
        <v>719087386556.28711</v>
      </c>
      <c r="S385" s="170">
        <f t="shared" si="197"/>
        <v>509041519487.23755</v>
      </c>
      <c r="T385" s="170">
        <f t="shared" si="197"/>
        <v>184359188247.21445</v>
      </c>
      <c r="U385" s="433">
        <f>SUM(Q385:T385)/(SUM(O404:T404)*1000)</f>
        <v>2.9250060459752314</v>
      </c>
      <c r="W385">
        <v>2020</v>
      </c>
      <c r="X385" t="s">
        <v>240</v>
      </c>
      <c r="Y385" t="s">
        <v>240</v>
      </c>
      <c r="Z385" s="170">
        <f t="shared" ref="Z385:AC400" si="198">Z366+Z195</f>
        <v>2381112891155.4946</v>
      </c>
      <c r="AA385" s="170">
        <f t="shared" si="198"/>
        <v>719110006251.9176</v>
      </c>
      <c r="AB385" s="170">
        <f t="shared" si="198"/>
        <v>509056150988.5437</v>
      </c>
      <c r="AC385" s="170">
        <f t="shared" si="198"/>
        <v>184363958942.03394</v>
      </c>
      <c r="AD385" s="433">
        <f>SUM(Z385:AC385)/(SUM(X404:AC404)*1000)</f>
        <v>2.925074529714816</v>
      </c>
      <c r="AG385">
        <v>2020</v>
      </c>
      <c r="AH385" t="s">
        <v>240</v>
      </c>
      <c r="AI385" t="s">
        <v>240</v>
      </c>
      <c r="AJ385">
        <f t="shared" ref="AJ385:AM400" si="199">AJ366+AJ195</f>
        <v>2381113650086.7524</v>
      </c>
      <c r="AK385">
        <f t="shared" si="199"/>
        <v>719110452927.21204</v>
      </c>
      <c r="AL385">
        <f t="shared" si="199"/>
        <v>509056712324.40497</v>
      </c>
      <c r="AM385">
        <f t="shared" si="199"/>
        <v>184363860992.76654</v>
      </c>
      <c r="AN385" s="433">
        <f>SUM(AJ385:AM385)/(SUM(AH404:AM404)*1000)</f>
        <v>2.9250758165858608</v>
      </c>
    </row>
    <row r="386" spans="5:40">
      <c r="E386">
        <v>2021</v>
      </c>
      <c r="H386" s="330">
        <f t="shared" si="196"/>
        <v>36753287.678877935</v>
      </c>
      <c r="I386" s="330">
        <f t="shared" si="196"/>
        <v>15258423.911245883</v>
      </c>
      <c r="J386" s="330">
        <f t="shared" si="196"/>
        <v>10102627.289227203</v>
      </c>
      <c r="K386" s="330">
        <f t="shared" si="196"/>
        <v>3624354.845696453</v>
      </c>
      <c r="L386" s="433">
        <f t="shared" ref="L386:L402" si="200">SUM(H386:K386)/(SUM(F405:K405)*1000)</f>
        <v>4.8133416029490861E-5</v>
      </c>
      <c r="M386" s="194"/>
      <c r="N386">
        <v>2021</v>
      </c>
      <c r="O386" s="320" t="s">
        <v>240</v>
      </c>
      <c r="P386" s="320" t="s">
        <v>240</v>
      </c>
      <c r="Q386" s="170">
        <f t="shared" si="197"/>
        <v>2623410863967.9878</v>
      </c>
      <c r="R386" s="170">
        <f t="shared" si="197"/>
        <v>692117522382.29089</v>
      </c>
      <c r="S386" s="170">
        <f t="shared" si="197"/>
        <v>505703595600.22839</v>
      </c>
      <c r="T386" s="170">
        <f t="shared" si="197"/>
        <v>194849612936.14413</v>
      </c>
      <c r="U386" s="433">
        <f t="shared" ref="U386:U402" si="201">SUM(Q386:T386)/(SUM(O405:T405)*1000)</f>
        <v>2.9739069169417749</v>
      </c>
      <c r="W386">
        <v>2021</v>
      </c>
      <c r="X386" t="s">
        <v>240</v>
      </c>
      <c r="Y386" t="s">
        <v>240</v>
      </c>
      <c r="Z386" s="170">
        <f t="shared" si="198"/>
        <v>2620365052300.1133</v>
      </c>
      <c r="AA386" s="170">
        <f t="shared" si="198"/>
        <v>698328244799.7533</v>
      </c>
      <c r="AB386" s="170">
        <f t="shared" si="198"/>
        <v>506239989850.23102</v>
      </c>
      <c r="AC386" s="170">
        <f t="shared" si="198"/>
        <v>196151592356.54532</v>
      </c>
      <c r="AD386" s="433">
        <f t="shared" ref="AD386:AD402" si="202">SUM(Z386:AC386)/(SUM(X405:AC405)*1000)</f>
        <v>2.9993457083624775</v>
      </c>
      <c r="AG386">
        <v>2021</v>
      </c>
      <c r="AH386" t="s">
        <v>240</v>
      </c>
      <c r="AI386" t="s">
        <v>240</v>
      </c>
      <c r="AJ386">
        <f t="shared" si="199"/>
        <v>2626192925822.667</v>
      </c>
      <c r="AK386">
        <f t="shared" si="199"/>
        <v>686297206658.06189</v>
      </c>
      <c r="AL386">
        <f t="shared" si="199"/>
        <v>505196769509.39673</v>
      </c>
      <c r="AM386">
        <f t="shared" si="199"/>
        <v>193626954047.43347</v>
      </c>
      <c r="AN386" s="433">
        <f t="shared" ref="AN386:AN402" si="203">SUM(AJ386:AM386)/(SUM(AH405:AM405)*1000)</f>
        <v>2.9104017982877171</v>
      </c>
    </row>
    <row r="387" spans="5:40">
      <c r="E387">
        <v>2022</v>
      </c>
      <c r="H387" s="330">
        <f t="shared" si="196"/>
        <v>40192420.750262983</v>
      </c>
      <c r="I387" s="330">
        <f t="shared" si="196"/>
        <v>14582851.099604424</v>
      </c>
      <c r="J387" s="330">
        <f t="shared" si="196"/>
        <v>10055921.210556908</v>
      </c>
      <c r="K387" s="330">
        <f t="shared" si="196"/>
        <v>3799672.5053108837</v>
      </c>
      <c r="L387" s="433">
        <f t="shared" si="200"/>
        <v>4.7840354033863006E-5</v>
      </c>
      <c r="M387" s="194"/>
      <c r="N387">
        <v>2022</v>
      </c>
      <c r="O387" s="320" t="s">
        <v>240</v>
      </c>
      <c r="P387" s="320" t="s">
        <v>240</v>
      </c>
      <c r="Q387" s="170">
        <f t="shared" si="197"/>
        <v>2871680336575.6274</v>
      </c>
      <c r="R387" s="170">
        <f t="shared" si="197"/>
        <v>666217606606.49805</v>
      </c>
      <c r="S387" s="170">
        <f t="shared" si="197"/>
        <v>503142160138.90216</v>
      </c>
      <c r="T387" s="170">
        <f t="shared" si="197"/>
        <v>205668780311.28259</v>
      </c>
      <c r="U387" s="433">
        <f t="shared" si="201"/>
        <v>3.0248502002489421</v>
      </c>
      <c r="W387">
        <v>2022</v>
      </c>
      <c r="X387" t="s">
        <v>240</v>
      </c>
      <c r="Y387" t="s">
        <v>240</v>
      </c>
      <c r="Z387" s="170">
        <f t="shared" si="198"/>
        <v>2870270493826.8018</v>
      </c>
      <c r="AA387" s="170">
        <f t="shared" si="198"/>
        <v>676771846319.86316</v>
      </c>
      <c r="AB387" s="170">
        <f t="shared" si="198"/>
        <v>503366254413.45715</v>
      </c>
      <c r="AC387" s="170">
        <f t="shared" si="198"/>
        <v>208375440283.79709</v>
      </c>
      <c r="AD387" s="433">
        <f t="shared" si="202"/>
        <v>3.076335627203763</v>
      </c>
      <c r="AG387">
        <v>2022</v>
      </c>
      <c r="AH387" t="s">
        <v>240</v>
      </c>
      <c r="AI387" t="s">
        <v>240</v>
      </c>
      <c r="AJ387">
        <f t="shared" si="199"/>
        <v>2872368923721.6924</v>
      </c>
      <c r="AK387">
        <f t="shared" si="199"/>
        <v>656518254229.85535</v>
      </c>
      <c r="AL387">
        <f t="shared" si="199"/>
        <v>502844313393.3158</v>
      </c>
      <c r="AM387">
        <f t="shared" si="199"/>
        <v>203172607361.52405</v>
      </c>
      <c r="AN387" s="433">
        <f t="shared" si="203"/>
        <v>2.9014197021096004</v>
      </c>
    </row>
    <row r="388" spans="5:40">
      <c r="E388">
        <v>2023</v>
      </c>
      <c r="H388" s="330">
        <f t="shared" si="196"/>
        <v>43655757.104742959</v>
      </c>
      <c r="I388" s="330">
        <f t="shared" si="196"/>
        <v>13970741.633481622</v>
      </c>
      <c r="J388" s="330">
        <f t="shared" si="196"/>
        <v>10037935.30263304</v>
      </c>
      <c r="K388" s="330">
        <f t="shared" si="196"/>
        <v>3980710.6748694964</v>
      </c>
      <c r="L388" s="433">
        <f t="shared" si="200"/>
        <v>4.7655343626810271E-5</v>
      </c>
      <c r="M388" s="194"/>
      <c r="N388">
        <v>2023</v>
      </c>
      <c r="O388" s="320" t="s">
        <v>240</v>
      </c>
      <c r="P388" s="320" t="s">
        <v>240</v>
      </c>
      <c r="Q388" s="170">
        <f t="shared" si="197"/>
        <v>3126419450536.3945</v>
      </c>
      <c r="R388" s="170">
        <f t="shared" si="197"/>
        <v>641300331830.67993</v>
      </c>
      <c r="S388" s="170">
        <f t="shared" si="197"/>
        <v>501332671108.70447</v>
      </c>
      <c r="T388" s="170">
        <f t="shared" si="197"/>
        <v>216838220412.52844</v>
      </c>
      <c r="U388" s="433">
        <f t="shared" si="201"/>
        <v>3.0779229034430298</v>
      </c>
      <c r="W388">
        <v>2023</v>
      </c>
      <c r="X388" t="s">
        <v>240</v>
      </c>
      <c r="Y388" t="s">
        <v>240</v>
      </c>
      <c r="Z388" s="170">
        <f t="shared" si="198"/>
        <v>3131017037484.0791</v>
      </c>
      <c r="AA388" s="170">
        <f t="shared" si="198"/>
        <v>654532840124.54932</v>
      </c>
      <c r="AB388" s="170">
        <f t="shared" si="198"/>
        <v>500491786287.21478</v>
      </c>
      <c r="AC388" s="170">
        <f t="shared" si="198"/>
        <v>221048368646.95895</v>
      </c>
      <c r="AD388" s="433">
        <f t="shared" si="202"/>
        <v>3.1560393906004682</v>
      </c>
      <c r="AG388">
        <v>2023</v>
      </c>
      <c r="AH388" t="s">
        <v>240</v>
      </c>
      <c r="AI388" t="s">
        <v>240</v>
      </c>
      <c r="AJ388">
        <f t="shared" si="199"/>
        <v>3120884951548.3003</v>
      </c>
      <c r="AK388">
        <f t="shared" si="199"/>
        <v>629343238923.62622</v>
      </c>
      <c r="AL388">
        <f t="shared" si="199"/>
        <v>501845028266.00403</v>
      </c>
      <c r="AM388">
        <f t="shared" si="199"/>
        <v>213025825407.81308</v>
      </c>
      <c r="AN388" s="433">
        <f t="shared" si="203"/>
        <v>2.8976719347072866</v>
      </c>
    </row>
    <row r="389" spans="5:40">
      <c r="E389">
        <v>2024</v>
      </c>
      <c r="H389" s="330">
        <f t="shared" si="196"/>
        <v>47160054.172665574</v>
      </c>
      <c r="I389" s="330">
        <f t="shared" si="196"/>
        <v>13413059.714328408</v>
      </c>
      <c r="J389" s="330">
        <f t="shared" si="196"/>
        <v>10045820.993432272</v>
      </c>
      <c r="K389" s="330">
        <f t="shared" si="196"/>
        <v>4167909.7828267752</v>
      </c>
      <c r="L389" s="433">
        <f t="shared" si="200"/>
        <v>4.7567575154461235E-5</v>
      </c>
      <c r="M389" s="194"/>
      <c r="N389">
        <v>2024</v>
      </c>
      <c r="O389" s="320" t="s">
        <v>240</v>
      </c>
      <c r="P389" s="320" t="s">
        <v>240</v>
      </c>
      <c r="Q389" s="170">
        <f t="shared" si="197"/>
        <v>3388176042832.6968</v>
      </c>
      <c r="R389" s="170">
        <f t="shared" si="197"/>
        <v>617284181079.48804</v>
      </c>
      <c r="S389" s="170">
        <f t="shared" si="197"/>
        <v>500253468596.57526</v>
      </c>
      <c r="T389" s="170">
        <f t="shared" si="197"/>
        <v>228379762909.98651</v>
      </c>
      <c r="U389" s="433">
        <f t="shared" si="201"/>
        <v>3.1332075669093964</v>
      </c>
      <c r="W389">
        <v>2024</v>
      </c>
      <c r="X389" t="s">
        <v>240</v>
      </c>
      <c r="Y389" t="s">
        <v>240</v>
      </c>
      <c r="Z389" s="170">
        <f t="shared" si="198"/>
        <v>3402829726962.4321</v>
      </c>
      <c r="AA389" s="170">
        <f t="shared" si="198"/>
        <v>631694089667.58423</v>
      </c>
      <c r="AB389" s="170">
        <f t="shared" si="198"/>
        <v>497669416915.87775</v>
      </c>
      <c r="AC389" s="170">
        <f t="shared" si="198"/>
        <v>234184811991.0806</v>
      </c>
      <c r="AD389" s="433">
        <f t="shared" si="202"/>
        <v>3.2384700881068667</v>
      </c>
      <c r="AG389">
        <v>2024</v>
      </c>
      <c r="AH389" t="s">
        <v>240</v>
      </c>
      <c r="AI389" t="s">
        <v>240</v>
      </c>
      <c r="AJ389">
        <f t="shared" si="199"/>
        <v>3372837561672.2002</v>
      </c>
      <c r="AK389">
        <f t="shared" si="199"/>
        <v>604416728251.43628</v>
      </c>
      <c r="AL389">
        <f t="shared" si="199"/>
        <v>502074035764.3363</v>
      </c>
      <c r="AM389">
        <f t="shared" si="199"/>
        <v>223210431155.09372</v>
      </c>
      <c r="AN389" s="433">
        <f t="shared" si="203"/>
        <v>2.898765804583662</v>
      </c>
    </row>
    <row r="390" spans="5:40">
      <c r="E390">
        <v>2025</v>
      </c>
      <c r="H390" s="330">
        <f t="shared" si="196"/>
        <v>50720137.327515438</v>
      </c>
      <c r="I390" s="330">
        <f t="shared" si="196"/>
        <v>12902353.654499371</v>
      </c>
      <c r="J390" s="330">
        <f t="shared" si="196"/>
        <v>10077282.557177395</v>
      </c>
      <c r="K390" s="330">
        <f t="shared" si="196"/>
        <v>4361694.1975531401</v>
      </c>
      <c r="L390" s="433">
        <f t="shared" si="200"/>
        <v>4.7568167349596436E-5</v>
      </c>
      <c r="M390" s="194"/>
      <c r="N390">
        <v>2025</v>
      </c>
      <c r="O390" s="320" t="s">
        <v>240</v>
      </c>
      <c r="P390" s="320" t="s">
        <v>240</v>
      </c>
      <c r="Q390" s="170">
        <f t="shared" si="197"/>
        <v>3657502279298.3423</v>
      </c>
      <c r="R390" s="170">
        <f t="shared" si="197"/>
        <v>594093051204.74878</v>
      </c>
      <c r="S390" s="170">
        <f t="shared" si="197"/>
        <v>499885636065.16156</v>
      </c>
      <c r="T390" s="170">
        <f t="shared" si="197"/>
        <v>240315595393.31882</v>
      </c>
      <c r="U390" s="433">
        <f t="shared" si="201"/>
        <v>3.19078365013692</v>
      </c>
      <c r="W390">
        <v>2025</v>
      </c>
      <c r="X390" t="s">
        <v>240</v>
      </c>
      <c r="Y390" t="s">
        <v>240</v>
      </c>
      <c r="Z390" s="170">
        <f t="shared" si="198"/>
        <v>3685971416211.4404</v>
      </c>
      <c r="AA390" s="170">
        <f t="shared" si="198"/>
        <v>608329372649.12561</v>
      </c>
      <c r="AB390" s="170">
        <f t="shared" si="198"/>
        <v>494948032467.1911</v>
      </c>
      <c r="AC390" s="170">
        <f t="shared" si="198"/>
        <v>247800755237.03238</v>
      </c>
      <c r="AD390" s="433">
        <f t="shared" si="202"/>
        <v>3.3236566723795358</v>
      </c>
      <c r="AG390">
        <v>2025</v>
      </c>
      <c r="AH390" t="s">
        <v>240</v>
      </c>
      <c r="AI390" t="s">
        <v>240</v>
      </c>
      <c r="AJ390">
        <f t="shared" si="199"/>
        <v>3629210689053.3374</v>
      </c>
      <c r="AK390">
        <f t="shared" si="199"/>
        <v>581442517855.95923</v>
      </c>
      <c r="AL390">
        <f t="shared" si="199"/>
        <v>503429834823.94342</v>
      </c>
      <c r="AM390">
        <f t="shared" si="199"/>
        <v>233749464239.91614</v>
      </c>
      <c r="AN390" s="433">
        <f t="shared" si="203"/>
        <v>2.904365531848732</v>
      </c>
    </row>
    <row r="391" spans="5:40">
      <c r="E391">
        <v>2026</v>
      </c>
      <c r="H391" s="330">
        <f t="shared" si="196"/>
        <v>54349356.10925138</v>
      </c>
      <c r="I391" s="330">
        <f t="shared" si="196"/>
        <v>12432421.881147116</v>
      </c>
      <c r="J391" s="330">
        <f t="shared" si="196"/>
        <v>10130462.766091641</v>
      </c>
      <c r="K391" s="330">
        <f t="shared" si="196"/>
        <v>4562478.5176646328</v>
      </c>
      <c r="L391" s="433">
        <f t="shared" si="200"/>
        <v>4.7649787536347249E-5</v>
      </c>
      <c r="M391" s="194"/>
      <c r="N391">
        <v>2026</v>
      </c>
      <c r="O391" s="320" t="s">
        <v>240</v>
      </c>
      <c r="P391" s="320" t="s">
        <v>240</v>
      </c>
      <c r="Q391" s="170">
        <f t="shared" si="197"/>
        <v>3934956113107.7222</v>
      </c>
      <c r="R391" s="170">
        <f t="shared" si="197"/>
        <v>571655877029.2085</v>
      </c>
      <c r="S391" s="170">
        <f t="shared" si="197"/>
        <v>500212861836.64124</v>
      </c>
      <c r="T391" s="170">
        <f t="shared" si="197"/>
        <v>252668321377.01193</v>
      </c>
      <c r="U391" s="433">
        <f t="shared" si="201"/>
        <v>3.2507286604796946</v>
      </c>
      <c r="W391">
        <v>2026</v>
      </c>
      <c r="X391" t="s">
        <v>240</v>
      </c>
      <c r="Y391" t="s">
        <v>240</v>
      </c>
      <c r="Z391" s="170">
        <f t="shared" si="198"/>
        <v>3980743030337.7881</v>
      </c>
      <c r="AA391" s="170">
        <f t="shared" si="198"/>
        <v>584503619403.46411</v>
      </c>
      <c r="AB391" s="170">
        <f t="shared" si="198"/>
        <v>492372715156.05676</v>
      </c>
      <c r="AC391" s="170">
        <f t="shared" si="198"/>
        <v>261913711107.51224</v>
      </c>
      <c r="AD391" s="433">
        <f t="shared" si="202"/>
        <v>3.4116421318326791</v>
      </c>
      <c r="AG391">
        <v>2026</v>
      </c>
      <c r="AH391" t="s">
        <v>240</v>
      </c>
      <c r="AI391" t="s">
        <v>240</v>
      </c>
      <c r="AJ391">
        <f t="shared" si="199"/>
        <v>3890901733567.6143</v>
      </c>
      <c r="AK391">
        <f t="shared" si="199"/>
        <v>560171711606.38538</v>
      </c>
      <c r="AL391">
        <f t="shared" si="199"/>
        <v>505829703851.82745</v>
      </c>
      <c r="AM391">
        <f t="shared" si="199"/>
        <v>244665490394.94705</v>
      </c>
      <c r="AN391" s="433">
        <f t="shared" si="203"/>
        <v>2.9141848143374918</v>
      </c>
    </row>
    <row r="392" spans="5:40">
      <c r="E392">
        <v>2027</v>
      </c>
      <c r="H392" s="330">
        <f t="shared" si="196"/>
        <v>58059932.242534637</v>
      </c>
      <c r="I392" s="330">
        <f t="shared" si="196"/>
        <v>11998059.807455882</v>
      </c>
      <c r="J392" s="330">
        <f t="shared" si="196"/>
        <v>10203856.315754436</v>
      </c>
      <c r="K392" s="330">
        <f t="shared" si="196"/>
        <v>4770672.4739106968</v>
      </c>
      <c r="L392" s="433">
        <f t="shared" si="200"/>
        <v>4.7806359469733944E-5</v>
      </c>
      <c r="M392" s="194"/>
      <c r="N392">
        <v>2027</v>
      </c>
      <c r="O392" s="320" t="s">
        <v>240</v>
      </c>
      <c r="P392" s="320" t="s">
        <v>240</v>
      </c>
      <c r="Q392" s="170">
        <f t="shared" si="197"/>
        <v>4221102755344.1685</v>
      </c>
      <c r="R392" s="170">
        <f t="shared" si="197"/>
        <v>549906263808.6875</v>
      </c>
      <c r="S392" s="170">
        <f t="shared" si="197"/>
        <v>501221304103.61829</v>
      </c>
      <c r="T392" s="170">
        <f t="shared" si="197"/>
        <v>265461017852.9549</v>
      </c>
      <c r="U392" s="433">
        <f t="shared" si="201"/>
        <v>3.3131190791807978</v>
      </c>
      <c r="W392">
        <v>2027</v>
      </c>
      <c r="X392" t="s">
        <v>240</v>
      </c>
      <c r="Y392" t="s">
        <v>240</v>
      </c>
      <c r="Z392" s="170">
        <f t="shared" si="198"/>
        <v>4287483586710.8809</v>
      </c>
      <c r="AA392" s="170">
        <f t="shared" si="198"/>
        <v>560273270760.73572</v>
      </c>
      <c r="AB392" s="170">
        <f t="shared" si="198"/>
        <v>489984942192.65497</v>
      </c>
      <c r="AC392" s="170">
        <f t="shared" si="198"/>
        <v>276542695916.90314</v>
      </c>
      <c r="AD392" s="433">
        <f t="shared" si="202"/>
        <v>3.502481922170154</v>
      </c>
      <c r="AG392">
        <v>2027</v>
      </c>
      <c r="AH392" t="s">
        <v>240</v>
      </c>
      <c r="AI392" t="s">
        <v>240</v>
      </c>
      <c r="AJ392">
        <f t="shared" si="199"/>
        <v>4158741765377.5684</v>
      </c>
      <c r="AK392">
        <f t="shared" si="199"/>
        <v>540393559962.42725</v>
      </c>
      <c r="AL392">
        <f t="shared" si="199"/>
        <v>509206171097.25708</v>
      </c>
      <c r="AM392">
        <f t="shared" si="199"/>
        <v>255980846331.77911</v>
      </c>
      <c r="AN392" s="433">
        <f t="shared" si="203"/>
        <v>2.9279802041867886</v>
      </c>
    </row>
    <row r="393" spans="5:40">
      <c r="E393">
        <v>2028</v>
      </c>
      <c r="H393" s="330">
        <f t="shared" si="196"/>
        <v>61863228.90360713</v>
      </c>
      <c r="I393" s="330">
        <f t="shared" si="196"/>
        <v>11594865.636479953</v>
      </c>
      <c r="J393" s="330">
        <f t="shared" si="196"/>
        <v>10296243.493680017</v>
      </c>
      <c r="K393" s="330">
        <f t="shared" si="196"/>
        <v>4986684.8247175477</v>
      </c>
      <c r="L393" s="433">
        <f t="shared" si="200"/>
        <v>4.8032836159461613E-5</v>
      </c>
      <c r="M393" s="194"/>
      <c r="N393">
        <v>2028</v>
      </c>
      <c r="O393" s="320" t="s">
        <v>240</v>
      </c>
      <c r="P393" s="320" t="s">
        <v>240</v>
      </c>
      <c r="Q393" s="170">
        <f t="shared" si="197"/>
        <v>4516516147435.7529</v>
      </c>
      <c r="R393" s="170">
        <f t="shared" si="197"/>
        <v>528782133114.66345</v>
      </c>
      <c r="S393" s="170">
        <f t="shared" si="197"/>
        <v>502899461739.72974</v>
      </c>
      <c r="T393" s="170">
        <f t="shared" si="197"/>
        <v>278717292331.70709</v>
      </c>
      <c r="U393" s="433">
        <f t="shared" si="201"/>
        <v>3.3780311269961047</v>
      </c>
      <c r="W393">
        <v>2028</v>
      </c>
      <c r="X393" t="s">
        <v>240</v>
      </c>
      <c r="Y393" t="s">
        <v>240</v>
      </c>
      <c r="Z393" s="170">
        <f t="shared" si="198"/>
        <v>4606570053418.9697</v>
      </c>
      <c r="AA393" s="170">
        <f t="shared" si="198"/>
        <v>535686721387.00708</v>
      </c>
      <c r="AB393" s="170">
        <f t="shared" si="198"/>
        <v>487822825914.0119</v>
      </c>
      <c r="AC393" s="170">
        <f t="shared" si="198"/>
        <v>291708205916.41705</v>
      </c>
      <c r="AD393" s="433">
        <f t="shared" si="202"/>
        <v>3.5962426262354974</v>
      </c>
      <c r="AG393">
        <v>2028</v>
      </c>
      <c r="AH393" t="s">
        <v>240</v>
      </c>
      <c r="AI393" t="s">
        <v>240</v>
      </c>
      <c r="AJ393">
        <f t="shared" si="199"/>
        <v>4433511386635.7451</v>
      </c>
      <c r="AK393">
        <f t="shared" si="199"/>
        <v>521928340366.26385</v>
      </c>
      <c r="AL393">
        <f t="shared" si="199"/>
        <v>513504275987.02191</v>
      </c>
      <c r="AM393">
        <f t="shared" si="199"/>
        <v>267717837126.15817</v>
      </c>
      <c r="AN393" s="433">
        <f t="shared" si="203"/>
        <v>2.9455453438881598</v>
      </c>
    </row>
    <row r="394" spans="5:40">
      <c r="E394">
        <v>2029</v>
      </c>
      <c r="H394" s="330">
        <f t="shared" si="196"/>
        <v>65769961.911376394</v>
      </c>
      <c r="I394" s="330">
        <f t="shared" si="196"/>
        <v>11219089.703158759</v>
      </c>
      <c r="J394" s="330">
        <f t="shared" si="196"/>
        <v>10406638.806258813</v>
      </c>
      <c r="K394" s="330">
        <f t="shared" si="196"/>
        <v>5210926.5139219649</v>
      </c>
      <c r="L394" s="433">
        <f t="shared" si="200"/>
        <v>4.8325021479708429E-5</v>
      </c>
      <c r="M394" s="194"/>
      <c r="N394">
        <v>2029</v>
      </c>
      <c r="O394" s="320" t="s">
        <v>240</v>
      </c>
      <c r="P394" s="320" t="s">
        <v>240</v>
      </c>
      <c r="Q394" s="170">
        <f t="shared" si="197"/>
        <v>4821780429310.0371</v>
      </c>
      <c r="R394" s="170">
        <f t="shared" si="197"/>
        <v>508225385397.2016</v>
      </c>
      <c r="S394" s="170">
        <f t="shared" si="197"/>
        <v>505238052389.07977</v>
      </c>
      <c r="T394" s="170">
        <f t="shared" si="197"/>
        <v>292461339392.36877</v>
      </c>
      <c r="U394" s="433">
        <f t="shared" si="201"/>
        <v>3.4455414024137929</v>
      </c>
      <c r="W394">
        <v>2029</v>
      </c>
      <c r="X394" t="s">
        <v>240</v>
      </c>
      <c r="Y394" t="s">
        <v>240</v>
      </c>
      <c r="Z394" s="170">
        <f t="shared" si="198"/>
        <v>4938417111194.085</v>
      </c>
      <c r="AA394" s="170">
        <f t="shared" si="198"/>
        <v>510784819640.29968</v>
      </c>
      <c r="AB394" s="170">
        <f t="shared" si="198"/>
        <v>485921381125.44525</v>
      </c>
      <c r="AC394" s="170">
        <f t="shared" si="198"/>
        <v>307432195922.81433</v>
      </c>
      <c r="AD394" s="433">
        <f t="shared" si="202"/>
        <v>3.6930008155845995</v>
      </c>
      <c r="AG394">
        <v>2029</v>
      </c>
      <c r="AH394" t="s">
        <v>240</v>
      </c>
      <c r="AI394" t="s">
        <v>240</v>
      </c>
      <c r="AJ394">
        <f t="shared" si="199"/>
        <v>4715953344775.0898</v>
      </c>
      <c r="AK394">
        <f t="shared" si="199"/>
        <v>504621768181.72247</v>
      </c>
      <c r="AL394">
        <f t="shared" si="199"/>
        <v>518679423455.96356</v>
      </c>
      <c r="AM394">
        <f t="shared" si="199"/>
        <v>279898898299.07745</v>
      </c>
      <c r="AN394" s="433">
        <f t="shared" si="203"/>
        <v>2.9667060168143928</v>
      </c>
    </row>
    <row r="395" spans="5:40">
      <c r="E395">
        <v>2030</v>
      </c>
      <c r="H395" s="330">
        <f t="shared" si="196"/>
        <v>69790367.57731989</v>
      </c>
      <c r="I395" s="330">
        <f t="shared" si="196"/>
        <v>10867516.386687905</v>
      </c>
      <c r="J395" s="330">
        <f t="shared" si="196"/>
        <v>10534250.798999036</v>
      </c>
      <c r="K395" s="330">
        <f t="shared" si="196"/>
        <v>5443813.2823473727</v>
      </c>
      <c r="L395" s="433">
        <f t="shared" si="200"/>
        <v>4.8679428823147889E-5</v>
      </c>
      <c r="M395" s="194"/>
      <c r="N395">
        <v>2030</v>
      </c>
      <c r="O395" s="320" t="s">
        <v>240</v>
      </c>
      <c r="P395" s="320" t="s">
        <v>240</v>
      </c>
      <c r="Q395" s="170">
        <f t="shared" si="197"/>
        <v>5137491400132.667</v>
      </c>
      <c r="R395" s="170">
        <f t="shared" si="197"/>
        <v>488181581131.46722</v>
      </c>
      <c r="S395" s="170">
        <f t="shared" si="197"/>
        <v>508229898727.61493</v>
      </c>
      <c r="T395" s="170">
        <f t="shared" si="197"/>
        <v>306717996816.07788</v>
      </c>
      <c r="U395" s="433">
        <f t="shared" si="201"/>
        <v>3.515727418370834</v>
      </c>
      <c r="W395">
        <v>2030</v>
      </c>
      <c r="X395" t="s">
        <v>240</v>
      </c>
      <c r="Y395" t="s">
        <v>240</v>
      </c>
      <c r="Z395" s="170">
        <f t="shared" si="198"/>
        <v>5283476874080.5615</v>
      </c>
      <c r="AA395" s="170">
        <f t="shared" si="198"/>
        <v>485601399912.95911</v>
      </c>
      <c r="AB395" s="170">
        <f t="shared" si="198"/>
        <v>484312808088.24603</v>
      </c>
      <c r="AC395" s="170">
        <f t="shared" si="198"/>
        <v>323738061546.61676</v>
      </c>
      <c r="AD395" s="433">
        <f t="shared" si="202"/>
        <v>3.7928420902927606</v>
      </c>
      <c r="AG395">
        <v>2030</v>
      </c>
      <c r="AH395" t="s">
        <v>240</v>
      </c>
      <c r="AI395" t="s">
        <v>240</v>
      </c>
      <c r="AJ395">
        <f t="shared" si="199"/>
        <v>5006782690546.8086</v>
      </c>
      <c r="AK395">
        <f t="shared" si="199"/>
        <v>488340567922.23279</v>
      </c>
      <c r="AL395">
        <f t="shared" si="199"/>
        <v>524695687971.77759</v>
      </c>
      <c r="AM395">
        <f t="shared" si="199"/>
        <v>292546731438.008</v>
      </c>
      <c r="AN395" s="433">
        <f t="shared" si="203"/>
        <v>2.9913159291777118</v>
      </c>
    </row>
    <row r="396" spans="5:40">
      <c r="E396">
        <v>2040</v>
      </c>
      <c r="H396" s="330">
        <f t="shared" si="196"/>
        <v>0</v>
      </c>
      <c r="I396" s="330">
        <f t="shared" si="196"/>
        <v>0</v>
      </c>
      <c r="J396" s="330">
        <f t="shared" si="196"/>
        <v>0</v>
      </c>
      <c r="K396" s="330">
        <f t="shared" si="196"/>
        <v>0</v>
      </c>
      <c r="L396" s="433">
        <f t="shared" si="200"/>
        <v>0</v>
      </c>
      <c r="M396" s="194"/>
      <c r="N396">
        <v>2040</v>
      </c>
      <c r="O396" s="320" t="s">
        <v>240</v>
      </c>
      <c r="P396" s="320" t="s">
        <v>240</v>
      </c>
      <c r="Q396" s="170">
        <f t="shared" si="197"/>
        <v>0</v>
      </c>
      <c r="R396" s="170">
        <f t="shared" si="197"/>
        <v>0</v>
      </c>
      <c r="S396" s="170">
        <f t="shared" si="197"/>
        <v>0</v>
      </c>
      <c r="T396" s="170">
        <f t="shared" si="197"/>
        <v>0</v>
      </c>
      <c r="U396" s="433">
        <f t="shared" si="201"/>
        <v>0</v>
      </c>
      <c r="W396">
        <v>2040</v>
      </c>
      <c r="X396" t="s">
        <v>240</v>
      </c>
      <c r="Y396" t="s">
        <v>240</v>
      </c>
      <c r="Z396" s="170">
        <f t="shared" si="198"/>
        <v>0</v>
      </c>
      <c r="AA396" s="170">
        <f t="shared" si="198"/>
        <v>0</v>
      </c>
      <c r="AB396" s="170">
        <f t="shared" si="198"/>
        <v>0</v>
      </c>
      <c r="AC396" s="170">
        <f t="shared" si="198"/>
        <v>0</v>
      </c>
      <c r="AD396" s="433">
        <f t="shared" si="202"/>
        <v>0</v>
      </c>
      <c r="AG396">
        <v>2040</v>
      </c>
      <c r="AH396" t="s">
        <v>240</v>
      </c>
      <c r="AI396" t="s">
        <v>240</v>
      </c>
      <c r="AJ396">
        <f t="shared" si="199"/>
        <v>0</v>
      </c>
      <c r="AK396">
        <f t="shared" si="199"/>
        <v>0</v>
      </c>
      <c r="AL396">
        <f t="shared" si="199"/>
        <v>0</v>
      </c>
      <c r="AM396">
        <f t="shared" si="199"/>
        <v>0</v>
      </c>
      <c r="AN396" s="433">
        <f t="shared" si="203"/>
        <v>0</v>
      </c>
    </row>
    <row r="397" spans="5:40">
      <c r="E397">
        <v>2050</v>
      </c>
      <c r="H397" s="330">
        <f t="shared" si="196"/>
        <v>0</v>
      </c>
      <c r="I397" s="330">
        <f t="shared" si="196"/>
        <v>0</v>
      </c>
      <c r="J397" s="330">
        <f t="shared" si="196"/>
        <v>0</v>
      </c>
      <c r="K397" s="330">
        <f t="shared" si="196"/>
        <v>0</v>
      </c>
      <c r="L397" s="433">
        <f t="shared" si="200"/>
        <v>0</v>
      </c>
      <c r="M397" s="194"/>
      <c r="N397">
        <v>2050</v>
      </c>
      <c r="O397" s="320" t="s">
        <v>240</v>
      </c>
      <c r="P397" s="320" t="s">
        <v>240</v>
      </c>
      <c r="Q397" s="170">
        <f t="shared" si="197"/>
        <v>0</v>
      </c>
      <c r="R397" s="170">
        <f t="shared" si="197"/>
        <v>0</v>
      </c>
      <c r="S397" s="170">
        <f t="shared" si="197"/>
        <v>0</v>
      </c>
      <c r="T397" s="170">
        <f t="shared" si="197"/>
        <v>0</v>
      </c>
      <c r="U397" s="433">
        <f t="shared" si="201"/>
        <v>0</v>
      </c>
      <c r="W397">
        <v>2050</v>
      </c>
      <c r="X397" t="s">
        <v>240</v>
      </c>
      <c r="Y397" t="s">
        <v>240</v>
      </c>
      <c r="Z397" s="170">
        <f t="shared" si="198"/>
        <v>0</v>
      </c>
      <c r="AA397" s="170">
        <f t="shared" si="198"/>
        <v>0</v>
      </c>
      <c r="AB397" s="170">
        <f t="shared" si="198"/>
        <v>0</v>
      </c>
      <c r="AC397" s="170">
        <f t="shared" si="198"/>
        <v>0</v>
      </c>
      <c r="AD397" s="433">
        <f t="shared" si="202"/>
        <v>0</v>
      </c>
      <c r="AG397">
        <v>2050</v>
      </c>
      <c r="AH397" t="s">
        <v>240</v>
      </c>
      <c r="AI397" t="s">
        <v>240</v>
      </c>
      <c r="AJ397">
        <f t="shared" si="199"/>
        <v>0</v>
      </c>
      <c r="AK397">
        <f t="shared" si="199"/>
        <v>0</v>
      </c>
      <c r="AL397">
        <f t="shared" si="199"/>
        <v>0</v>
      </c>
      <c r="AM397">
        <f t="shared" si="199"/>
        <v>0</v>
      </c>
      <c r="AN397" s="433">
        <f t="shared" si="203"/>
        <v>0</v>
      </c>
    </row>
    <row r="398" spans="5:40">
      <c r="E398">
        <v>2060</v>
      </c>
      <c r="H398" s="330">
        <f t="shared" si="196"/>
        <v>0</v>
      </c>
      <c r="I398" s="330">
        <f t="shared" si="196"/>
        <v>0</v>
      </c>
      <c r="J398" s="330">
        <f t="shared" si="196"/>
        <v>0</v>
      </c>
      <c r="K398" s="330">
        <f t="shared" si="196"/>
        <v>0</v>
      </c>
      <c r="L398" s="433">
        <f t="shared" si="200"/>
        <v>0</v>
      </c>
      <c r="M398" s="194"/>
      <c r="N398">
        <v>2060</v>
      </c>
      <c r="O398" s="320" t="s">
        <v>240</v>
      </c>
      <c r="P398" s="320" t="s">
        <v>240</v>
      </c>
      <c r="Q398" s="170">
        <f t="shared" si="197"/>
        <v>0</v>
      </c>
      <c r="R398" s="170">
        <f t="shared" si="197"/>
        <v>0</v>
      </c>
      <c r="S398" s="170">
        <f t="shared" si="197"/>
        <v>0</v>
      </c>
      <c r="T398" s="170">
        <f t="shared" si="197"/>
        <v>0</v>
      </c>
      <c r="U398" s="433">
        <f t="shared" si="201"/>
        <v>0</v>
      </c>
      <c r="W398">
        <v>2060</v>
      </c>
      <c r="X398" t="s">
        <v>240</v>
      </c>
      <c r="Y398" t="s">
        <v>240</v>
      </c>
      <c r="Z398" s="170">
        <f t="shared" si="198"/>
        <v>0</v>
      </c>
      <c r="AA398" s="170">
        <f t="shared" si="198"/>
        <v>0</v>
      </c>
      <c r="AB398" s="170">
        <f t="shared" si="198"/>
        <v>0</v>
      </c>
      <c r="AC398" s="170">
        <f t="shared" si="198"/>
        <v>0</v>
      </c>
      <c r="AD398" s="433">
        <f t="shared" si="202"/>
        <v>0</v>
      </c>
      <c r="AG398">
        <v>2060</v>
      </c>
      <c r="AH398" t="s">
        <v>240</v>
      </c>
      <c r="AI398" t="s">
        <v>240</v>
      </c>
      <c r="AJ398">
        <f t="shared" si="199"/>
        <v>0</v>
      </c>
      <c r="AK398">
        <f t="shared" si="199"/>
        <v>0</v>
      </c>
      <c r="AL398">
        <f t="shared" si="199"/>
        <v>0</v>
      </c>
      <c r="AM398">
        <f t="shared" si="199"/>
        <v>0</v>
      </c>
      <c r="AN398" s="433">
        <f t="shared" si="203"/>
        <v>0</v>
      </c>
    </row>
    <row r="399" spans="5:40">
      <c r="E399">
        <v>2070</v>
      </c>
      <c r="H399" s="330">
        <f t="shared" si="196"/>
        <v>0</v>
      </c>
      <c r="I399" s="330">
        <f t="shared" si="196"/>
        <v>0</v>
      </c>
      <c r="J399" s="330">
        <f t="shared" si="196"/>
        <v>0</v>
      </c>
      <c r="K399" s="330">
        <f t="shared" si="196"/>
        <v>0</v>
      </c>
      <c r="L399" s="433">
        <f t="shared" si="200"/>
        <v>0</v>
      </c>
      <c r="M399" s="194"/>
      <c r="N399">
        <v>2070</v>
      </c>
      <c r="O399" s="320" t="s">
        <v>240</v>
      </c>
      <c r="P399" s="320" t="s">
        <v>240</v>
      </c>
      <c r="Q399" s="170">
        <f t="shared" si="197"/>
        <v>0</v>
      </c>
      <c r="R399" s="170">
        <f t="shared" si="197"/>
        <v>0</v>
      </c>
      <c r="S399" s="170">
        <f t="shared" si="197"/>
        <v>0</v>
      </c>
      <c r="T399" s="170">
        <f t="shared" si="197"/>
        <v>0</v>
      </c>
      <c r="U399" s="433">
        <f t="shared" si="201"/>
        <v>0</v>
      </c>
      <c r="W399">
        <v>2070</v>
      </c>
      <c r="X399" t="s">
        <v>240</v>
      </c>
      <c r="Y399" t="s">
        <v>240</v>
      </c>
      <c r="Z399" s="170">
        <f t="shared" si="198"/>
        <v>0</v>
      </c>
      <c r="AA399" s="170">
        <f t="shared" si="198"/>
        <v>0</v>
      </c>
      <c r="AB399" s="170">
        <f t="shared" si="198"/>
        <v>0</v>
      </c>
      <c r="AC399" s="170">
        <f t="shared" si="198"/>
        <v>0</v>
      </c>
      <c r="AD399" s="433">
        <f t="shared" si="202"/>
        <v>0</v>
      </c>
      <c r="AG399">
        <v>2070</v>
      </c>
      <c r="AH399" t="s">
        <v>240</v>
      </c>
      <c r="AI399" t="s">
        <v>240</v>
      </c>
      <c r="AJ399">
        <f t="shared" si="199"/>
        <v>0</v>
      </c>
      <c r="AK399">
        <f t="shared" si="199"/>
        <v>0</v>
      </c>
      <c r="AL399">
        <f t="shared" si="199"/>
        <v>0</v>
      </c>
      <c r="AM399">
        <f t="shared" si="199"/>
        <v>0</v>
      </c>
      <c r="AN399" s="433">
        <f t="shared" si="203"/>
        <v>0</v>
      </c>
    </row>
    <row r="400" spans="5:40">
      <c r="E400">
        <v>2080</v>
      </c>
      <c r="H400" s="330">
        <f t="shared" si="196"/>
        <v>0</v>
      </c>
      <c r="I400" s="330">
        <f t="shared" si="196"/>
        <v>0</v>
      </c>
      <c r="J400" s="330">
        <f t="shared" si="196"/>
        <v>0</v>
      </c>
      <c r="K400" s="330">
        <f t="shared" si="196"/>
        <v>0</v>
      </c>
      <c r="L400" s="433">
        <f t="shared" si="200"/>
        <v>0</v>
      </c>
      <c r="M400" s="194"/>
      <c r="N400">
        <v>2080</v>
      </c>
      <c r="O400" s="320" t="s">
        <v>240</v>
      </c>
      <c r="P400" s="320" t="s">
        <v>240</v>
      </c>
      <c r="Q400" s="170">
        <f t="shared" si="197"/>
        <v>0</v>
      </c>
      <c r="R400" s="170">
        <f t="shared" si="197"/>
        <v>0</v>
      </c>
      <c r="S400" s="170">
        <f t="shared" si="197"/>
        <v>0</v>
      </c>
      <c r="T400" s="170">
        <f t="shared" si="197"/>
        <v>0</v>
      </c>
      <c r="U400" s="433">
        <f t="shared" si="201"/>
        <v>0</v>
      </c>
      <c r="W400">
        <v>2080</v>
      </c>
      <c r="X400" t="s">
        <v>240</v>
      </c>
      <c r="Y400" t="s">
        <v>240</v>
      </c>
      <c r="Z400" s="170">
        <f t="shared" si="198"/>
        <v>0</v>
      </c>
      <c r="AA400" s="170">
        <f t="shared" si="198"/>
        <v>0</v>
      </c>
      <c r="AB400" s="170">
        <f t="shared" si="198"/>
        <v>0</v>
      </c>
      <c r="AC400" s="170">
        <f t="shared" si="198"/>
        <v>0</v>
      </c>
      <c r="AD400" s="433">
        <f t="shared" si="202"/>
        <v>0</v>
      </c>
      <c r="AG400">
        <v>2080</v>
      </c>
      <c r="AH400" t="s">
        <v>240</v>
      </c>
      <c r="AI400" t="s">
        <v>240</v>
      </c>
      <c r="AJ400">
        <f t="shared" si="199"/>
        <v>0</v>
      </c>
      <c r="AK400">
        <f t="shared" si="199"/>
        <v>0</v>
      </c>
      <c r="AL400">
        <f t="shared" si="199"/>
        <v>0</v>
      </c>
      <c r="AM400">
        <f t="shared" si="199"/>
        <v>0</v>
      </c>
      <c r="AN400" s="433">
        <f t="shared" si="203"/>
        <v>0</v>
      </c>
    </row>
    <row r="401" spans="5:40">
      <c r="E401">
        <v>2090</v>
      </c>
      <c r="H401" s="330">
        <f t="shared" ref="H401:K402" si="204">H382+H211</f>
        <v>0</v>
      </c>
      <c r="I401" s="330">
        <f t="shared" si="204"/>
        <v>0</v>
      </c>
      <c r="J401" s="330">
        <f t="shared" si="204"/>
        <v>0</v>
      </c>
      <c r="K401" s="330">
        <f t="shared" si="204"/>
        <v>0</v>
      </c>
      <c r="L401" s="433">
        <f t="shared" si="200"/>
        <v>0</v>
      </c>
      <c r="M401" s="194"/>
      <c r="N401">
        <v>2090</v>
      </c>
      <c r="O401" s="320" t="s">
        <v>240</v>
      </c>
      <c r="P401" s="320" t="s">
        <v>240</v>
      </c>
      <c r="Q401" s="170">
        <f t="shared" ref="Q401:T402" si="205">Q382+Q211</f>
        <v>0</v>
      </c>
      <c r="R401" s="170">
        <f t="shared" si="205"/>
        <v>0</v>
      </c>
      <c r="S401" s="170">
        <f t="shared" si="205"/>
        <v>0</v>
      </c>
      <c r="T401" s="170">
        <f t="shared" si="205"/>
        <v>0</v>
      </c>
      <c r="U401" s="433">
        <f t="shared" si="201"/>
        <v>0</v>
      </c>
      <c r="W401">
        <v>2090</v>
      </c>
      <c r="X401" t="s">
        <v>240</v>
      </c>
      <c r="Y401" t="s">
        <v>240</v>
      </c>
      <c r="Z401" s="170">
        <f t="shared" ref="Z401:AC402" si="206">Z382+Z211</f>
        <v>0</v>
      </c>
      <c r="AA401" s="170">
        <f t="shared" si="206"/>
        <v>0</v>
      </c>
      <c r="AB401" s="170">
        <f t="shared" si="206"/>
        <v>0</v>
      </c>
      <c r="AC401" s="170">
        <f t="shared" si="206"/>
        <v>0</v>
      </c>
      <c r="AD401" s="433">
        <f t="shared" si="202"/>
        <v>0</v>
      </c>
      <c r="AG401">
        <v>2090</v>
      </c>
      <c r="AH401" t="s">
        <v>240</v>
      </c>
      <c r="AI401" t="s">
        <v>240</v>
      </c>
      <c r="AJ401">
        <f t="shared" ref="AJ401:AM402" si="207">AJ382+AJ211</f>
        <v>0</v>
      </c>
      <c r="AK401">
        <f t="shared" si="207"/>
        <v>0</v>
      </c>
      <c r="AL401">
        <f t="shared" si="207"/>
        <v>0</v>
      </c>
      <c r="AM401">
        <f t="shared" si="207"/>
        <v>0</v>
      </c>
      <c r="AN401" s="433">
        <f t="shared" si="203"/>
        <v>0</v>
      </c>
    </row>
    <row r="402" spans="5:40">
      <c r="E402">
        <v>2100</v>
      </c>
      <c r="H402" s="330">
        <f t="shared" si="204"/>
        <v>0</v>
      </c>
      <c r="I402" s="330">
        <f t="shared" si="204"/>
        <v>0</v>
      </c>
      <c r="J402" s="330">
        <f t="shared" si="204"/>
        <v>0</v>
      </c>
      <c r="K402" s="330">
        <f t="shared" si="204"/>
        <v>0</v>
      </c>
      <c r="L402" s="433">
        <f t="shared" si="200"/>
        <v>0</v>
      </c>
      <c r="M402" s="194"/>
      <c r="N402">
        <v>2100</v>
      </c>
      <c r="O402" s="320" t="s">
        <v>240</v>
      </c>
      <c r="P402" s="320" t="s">
        <v>240</v>
      </c>
      <c r="Q402" s="170">
        <f t="shared" si="205"/>
        <v>0</v>
      </c>
      <c r="R402" s="170">
        <f t="shared" si="205"/>
        <v>0</v>
      </c>
      <c r="S402" s="170">
        <f t="shared" si="205"/>
        <v>0</v>
      </c>
      <c r="T402" s="170">
        <f t="shared" si="205"/>
        <v>0</v>
      </c>
      <c r="U402" s="433">
        <f t="shared" si="201"/>
        <v>0</v>
      </c>
      <c r="W402">
        <v>2100</v>
      </c>
      <c r="X402" t="s">
        <v>240</v>
      </c>
      <c r="Y402" t="s">
        <v>240</v>
      </c>
      <c r="Z402" s="170">
        <f t="shared" si="206"/>
        <v>0</v>
      </c>
      <c r="AA402" s="170">
        <f t="shared" si="206"/>
        <v>0</v>
      </c>
      <c r="AB402" s="170">
        <f t="shared" si="206"/>
        <v>0</v>
      </c>
      <c r="AC402" s="170">
        <f t="shared" si="206"/>
        <v>0</v>
      </c>
      <c r="AD402" s="433">
        <f t="shared" si="202"/>
        <v>0</v>
      </c>
      <c r="AG402">
        <v>2100</v>
      </c>
      <c r="AH402" t="s">
        <v>240</v>
      </c>
      <c r="AI402" t="s">
        <v>240</v>
      </c>
      <c r="AJ402">
        <f t="shared" si="207"/>
        <v>0</v>
      </c>
      <c r="AK402">
        <f t="shared" si="207"/>
        <v>0</v>
      </c>
      <c r="AL402">
        <f t="shared" si="207"/>
        <v>0</v>
      </c>
      <c r="AM402">
        <f t="shared" si="207"/>
        <v>0</v>
      </c>
      <c r="AN402" s="433">
        <f t="shared" si="203"/>
        <v>0</v>
      </c>
    </row>
    <row r="403" spans="5:40">
      <c r="F403" s="581" t="s">
        <v>251</v>
      </c>
      <c r="G403" s="581"/>
      <c r="H403" s="581"/>
      <c r="I403" s="581"/>
      <c r="J403" s="581"/>
      <c r="K403" s="581"/>
      <c r="O403" s="581" t="s">
        <v>251</v>
      </c>
      <c r="P403" s="581"/>
      <c r="Q403" s="581"/>
      <c r="R403" s="581"/>
      <c r="S403" s="581"/>
      <c r="T403" s="581"/>
      <c r="X403" s="581" t="s">
        <v>251</v>
      </c>
      <c r="Y403" s="581"/>
      <c r="Z403" s="581"/>
      <c r="AA403" s="581"/>
      <c r="AB403" s="581"/>
      <c r="AC403" s="581"/>
      <c r="AH403" s="581" t="s">
        <v>251</v>
      </c>
      <c r="AI403" s="581"/>
      <c r="AJ403" s="581"/>
      <c r="AK403" s="581"/>
      <c r="AL403" s="581"/>
      <c r="AM403" s="581"/>
    </row>
    <row r="404" spans="5:40">
      <c r="E404">
        <v>2020</v>
      </c>
      <c r="F404" s="61">
        <f>'Demographic-Economic'!C$38</f>
        <v>531771287</v>
      </c>
      <c r="G404" s="61">
        <f>'Demographic-Economic'!D$38</f>
        <v>222153795</v>
      </c>
      <c r="H404" s="61">
        <f>'Demographic-Economic'!E$38</f>
        <v>417708522</v>
      </c>
      <c r="I404" s="61">
        <f>'Demographic-Economic'!F$38</f>
        <v>45815957</v>
      </c>
      <c r="J404" s="61">
        <f>'Demographic-Economic'!G$38</f>
        <v>69643447</v>
      </c>
      <c r="K404" s="61">
        <f>'Demographic-Economic'!H$38</f>
        <v>9845914</v>
      </c>
      <c r="N404">
        <v>2020</v>
      </c>
      <c r="O404" s="61">
        <f>'Demographic-Economic'!C$38</f>
        <v>531771287</v>
      </c>
      <c r="P404" s="61">
        <f>'Demographic-Economic'!D$38</f>
        <v>222153795</v>
      </c>
      <c r="Q404" s="61">
        <f>'Demographic-Economic'!E$38</f>
        <v>417708522</v>
      </c>
      <c r="R404" s="61">
        <f>'Demographic-Economic'!F$38</f>
        <v>45815957</v>
      </c>
      <c r="S404" s="61">
        <f>'Demographic-Economic'!G$38</f>
        <v>69643447</v>
      </c>
      <c r="T404" s="61">
        <f>'Demographic-Economic'!H$38</f>
        <v>9845914</v>
      </c>
      <c r="W404">
        <v>2020</v>
      </c>
      <c r="X404" s="61">
        <f>'Demographic-Economic'!C$38</f>
        <v>531771287</v>
      </c>
      <c r="Y404" s="61">
        <f>'Demographic-Economic'!D$38</f>
        <v>222153795</v>
      </c>
      <c r="Z404" s="61">
        <f>'Demographic-Economic'!E$38</f>
        <v>417708522</v>
      </c>
      <c r="AA404" s="61">
        <f>'Demographic-Economic'!F$38</f>
        <v>45815957</v>
      </c>
      <c r="AB404" s="61">
        <f>'Demographic-Economic'!G$38</f>
        <v>69643447</v>
      </c>
      <c r="AC404" s="61">
        <f>'Demographic-Economic'!H$38</f>
        <v>9845914</v>
      </c>
      <c r="AG404">
        <v>2020</v>
      </c>
      <c r="AH404" s="61">
        <f>'Demographic-Economic'!C$38</f>
        <v>531771287</v>
      </c>
      <c r="AI404" s="61">
        <f>'Demographic-Economic'!D$38</f>
        <v>222153795</v>
      </c>
      <c r="AJ404" s="61">
        <f>'Demographic-Economic'!E$38</f>
        <v>417708522</v>
      </c>
      <c r="AK404" s="61">
        <f>'Demographic-Economic'!F$38</f>
        <v>45815957</v>
      </c>
      <c r="AL404" s="61">
        <f>'Demographic-Economic'!G$38</f>
        <v>69643447</v>
      </c>
      <c r="AM404" s="61">
        <f>'Demographic-Economic'!H$38</f>
        <v>9845914</v>
      </c>
    </row>
    <row r="405" spans="5:40">
      <c r="E405">
        <v>2021</v>
      </c>
      <c r="F405" s="61">
        <f>F$404*'Economic Projections'!$H4</f>
        <v>559989321.41034174</v>
      </c>
      <c r="G405" s="61">
        <f>G$404*'Economic Projections'!$H4</f>
        <v>233942215.29449028</v>
      </c>
      <c r="H405" s="61">
        <f>H$404*'Economic Projections'!$H4</f>
        <v>439873903.50035357</v>
      </c>
      <c r="I405" s="61">
        <f>I$404*'Economic Projections'!$H4</f>
        <v>48247145.525545083</v>
      </c>
      <c r="J405" s="61">
        <f>J$404*'Economic Projections'!$H4</f>
        <v>73339022.958956987</v>
      </c>
      <c r="K405" s="61">
        <f>K$404*'Economic Projections'!$H4</f>
        <v>10368379.85486152</v>
      </c>
      <c r="N405">
        <v>2021</v>
      </c>
      <c r="O405" s="61">
        <f>O$404*'Economic Projections'!$I4</f>
        <v>553707641.09896207</v>
      </c>
      <c r="P405" s="61">
        <f>P$404*'Economic Projections'!$I4</f>
        <v>231317968.45329183</v>
      </c>
      <c r="Q405" s="61">
        <f>Q$404*'Economic Projections'!$I4</f>
        <v>434939617.91049826</v>
      </c>
      <c r="R405" s="61">
        <f>R$404*'Economic Projections'!$I4</f>
        <v>47705933.162129305</v>
      </c>
      <c r="S405" s="61">
        <f>S$404*'Economic Projections'!$I4</f>
        <v>72516342.456020176</v>
      </c>
      <c r="T405" s="61">
        <f>T$404*'Economic Projections'!$I4</f>
        <v>10252072.552016608</v>
      </c>
      <c r="W405">
        <v>2021</v>
      </c>
      <c r="X405" s="61">
        <f>X$404*'Economic Projections'!$J4</f>
        <v>549695364.36366522</v>
      </c>
      <c r="Y405" s="61">
        <f>Y$404*'Economic Projections'!$J4</f>
        <v>229641792.01216632</v>
      </c>
      <c r="Z405" s="61">
        <f>Z$404*'Economic Projections'!$J4</f>
        <v>431787958.11628336</v>
      </c>
      <c r="AA405" s="61">
        <f>AA$404*'Economic Projections'!$J4</f>
        <v>47360246.392515399</v>
      </c>
      <c r="AB405" s="61">
        <f>AB$404*'Economic Projections'!$J4</f>
        <v>71990874.479476377</v>
      </c>
      <c r="AC405" s="61">
        <f>AC$404*'Economic Projections'!$J4</f>
        <v>10177783.975995893</v>
      </c>
      <c r="AG405">
        <v>2021</v>
      </c>
      <c r="AH405" s="61">
        <f>AH$404*'Economic Projections'!$K4</f>
        <v>565117886.84229636</v>
      </c>
      <c r="AI405" s="61">
        <f>AI$404*'Economic Projections'!$K4</f>
        <v>236084734.64720312</v>
      </c>
      <c r="AJ405" s="61">
        <f>AJ$404*'Economic Projections'!$K4</f>
        <v>443902412.63375854</v>
      </c>
      <c r="AK405" s="61">
        <f>AK$404*'Economic Projections'!$K4</f>
        <v>48689008.670559369</v>
      </c>
      <c r="AL405" s="61">
        <f>AL$404*'Economic Projections'!$K4</f>
        <v>74010685.727477908</v>
      </c>
      <c r="AM405" s="61">
        <f>AM$404*'Economic Projections'!$K4</f>
        <v>10463336.870068694</v>
      </c>
    </row>
    <row r="406" spans="5:40">
      <c r="E406">
        <v>2022</v>
      </c>
      <c r="F406" s="61">
        <f>F$404*'Economic Projections'!$H5</f>
        <v>588207355.8206836</v>
      </c>
      <c r="G406" s="61">
        <f>G$404*'Economic Projections'!$H5</f>
        <v>245730635.58898056</v>
      </c>
      <c r="H406" s="61">
        <f>H$404*'Economic Projections'!$H5</f>
        <v>462039285.00070715</v>
      </c>
      <c r="I406" s="61">
        <f>I$404*'Economic Projections'!$H5</f>
        <v>50678334.051090159</v>
      </c>
      <c r="J406" s="61">
        <f>J$404*'Economic Projections'!$H5</f>
        <v>77034598.917913973</v>
      </c>
      <c r="K406" s="61">
        <f>K$404*'Economic Projections'!$H5</f>
        <v>10890845.70972304</v>
      </c>
      <c r="N406">
        <v>2022</v>
      </c>
      <c r="O406" s="61">
        <f>O$404*'Economic Projections'!$I5</f>
        <v>575643995.19792414</v>
      </c>
      <c r="P406" s="61">
        <f>P$404*'Economic Projections'!$I5</f>
        <v>240482141.90658364</v>
      </c>
      <c r="Q406" s="61">
        <f>Q$404*'Economic Projections'!$I5</f>
        <v>452170713.82099646</v>
      </c>
      <c r="R406" s="61">
        <f>R$404*'Economic Projections'!$I5</f>
        <v>49595909.324258603</v>
      </c>
      <c r="S406" s="61">
        <f>S$404*'Economic Projections'!$I5</f>
        <v>75389237.912040338</v>
      </c>
      <c r="T406" s="61">
        <f>T$404*'Economic Projections'!$I5</f>
        <v>10658231.104033215</v>
      </c>
      <c r="W406">
        <v>2022</v>
      </c>
      <c r="X406" s="61">
        <f>X$404*'Economic Projections'!$J5</f>
        <v>567619441.72733057</v>
      </c>
      <c r="Y406" s="61">
        <f>Y$404*'Economic Projections'!$J5</f>
        <v>237129789.02433264</v>
      </c>
      <c r="Z406" s="61">
        <f>Z$404*'Economic Projections'!$J5</f>
        <v>445867394.23256671</v>
      </c>
      <c r="AA406" s="61">
        <f>AA$404*'Economic Projections'!$J5</f>
        <v>48904535.785030797</v>
      </c>
      <c r="AB406" s="61">
        <f>AB$404*'Economic Projections'!$J5</f>
        <v>74338301.95895277</v>
      </c>
      <c r="AC406" s="61">
        <f>AC$404*'Economic Projections'!$J5</f>
        <v>10509653.951991785</v>
      </c>
      <c r="AG406">
        <v>2022</v>
      </c>
      <c r="AH406" s="61">
        <f>AH$404*'Economic Projections'!$K5</f>
        <v>598464486.68459272</v>
      </c>
      <c r="AI406" s="61">
        <f>AI$404*'Economic Projections'!$K5</f>
        <v>250015674.29440629</v>
      </c>
      <c r="AJ406" s="61">
        <f>AJ$404*'Economic Projections'!$K5</f>
        <v>470096303.26751721</v>
      </c>
      <c r="AK406" s="61">
        <f>AK$404*'Economic Projections'!$K5</f>
        <v>51562060.341118746</v>
      </c>
      <c r="AL406" s="61">
        <f>AL$404*'Economic Projections'!$K5</f>
        <v>78377924.454955846</v>
      </c>
      <c r="AM406" s="61">
        <f>AM$404*'Economic Projections'!$K5</f>
        <v>11080759.740137389</v>
      </c>
    </row>
    <row r="407" spans="5:40">
      <c r="E407">
        <v>2023</v>
      </c>
      <c r="F407" s="61">
        <f>F$404*'Economic Projections'!$H6</f>
        <v>616425390.23102546</v>
      </c>
      <c r="G407" s="61">
        <f>G$404*'Economic Projections'!$H6</f>
        <v>257519055.88347089</v>
      </c>
      <c r="H407" s="61">
        <f>H$404*'Economic Projections'!$H6</f>
        <v>484204666.50106084</v>
      </c>
      <c r="I407" s="61">
        <f>I$404*'Economic Projections'!$H6</f>
        <v>53109522.576635249</v>
      </c>
      <c r="J407" s="61">
        <f>J$404*'Economic Projections'!$H6</f>
        <v>80730174.876870975</v>
      </c>
      <c r="K407" s="61">
        <f>K$404*'Economic Projections'!$H6</f>
        <v>11413311.564584564</v>
      </c>
      <c r="N407">
        <v>2023</v>
      </c>
      <c r="O407" s="61">
        <f>O$404*'Economic Projections'!$I6</f>
        <v>597580349.29688621</v>
      </c>
      <c r="P407" s="61">
        <f>P$404*'Economic Projections'!$I6</f>
        <v>249646315.35987547</v>
      </c>
      <c r="Q407" s="61">
        <f>Q$404*'Economic Projections'!$I6</f>
        <v>469401809.73149472</v>
      </c>
      <c r="R407" s="61">
        <f>R$404*'Economic Projections'!$I6</f>
        <v>51485885.486387908</v>
      </c>
      <c r="S407" s="61">
        <f>S$404*'Economic Projections'!$I6</f>
        <v>78262133.368060499</v>
      </c>
      <c r="T407" s="61">
        <f>T$404*'Economic Projections'!$I6</f>
        <v>11064389.656049823</v>
      </c>
      <c r="W407">
        <v>2023</v>
      </c>
      <c r="X407" s="61">
        <f>X$404*'Economic Projections'!$J6</f>
        <v>585543519.09099591</v>
      </c>
      <c r="Y407" s="61">
        <f>Y$404*'Economic Projections'!$J6</f>
        <v>244617786.03649899</v>
      </c>
      <c r="Z407" s="61">
        <f>Z$404*'Economic Projections'!$J6</f>
        <v>459946830.34885013</v>
      </c>
      <c r="AA407" s="61">
        <f>AA$404*'Economic Projections'!$J6</f>
        <v>50448825.177546203</v>
      </c>
      <c r="AB407" s="61">
        <f>AB$404*'Economic Projections'!$J6</f>
        <v>76685729.438429162</v>
      </c>
      <c r="AC407" s="61">
        <f>AC$404*'Economic Projections'!$J6</f>
        <v>10841523.92798768</v>
      </c>
      <c r="AG407">
        <v>2023</v>
      </c>
      <c r="AH407" s="61">
        <f>AH$404*'Economic Projections'!$K6</f>
        <v>631811086.52688909</v>
      </c>
      <c r="AI407" s="61">
        <f>AI$404*'Economic Projections'!$K6</f>
        <v>263946613.94160941</v>
      </c>
      <c r="AJ407" s="61">
        <f>AJ$404*'Economic Projections'!$K6</f>
        <v>496290193.90127575</v>
      </c>
      <c r="AK407" s="61">
        <f>AK$404*'Economic Projections'!$K6</f>
        <v>54435112.011678115</v>
      </c>
      <c r="AL407" s="61">
        <f>AL$404*'Economic Projections'!$K6</f>
        <v>82745163.182433754</v>
      </c>
      <c r="AM407" s="61">
        <f>AM$404*'Economic Projections'!$K6</f>
        <v>11698182.610206084</v>
      </c>
    </row>
    <row r="408" spans="5:40">
      <c r="E408">
        <v>2024</v>
      </c>
      <c r="F408" s="61">
        <f>F$404*'Economic Projections'!$H7</f>
        <v>644643424.64136732</v>
      </c>
      <c r="G408" s="61">
        <f>G$404*'Economic Projections'!$H7</f>
        <v>269307476.17796117</v>
      </c>
      <c r="H408" s="61">
        <f>H$404*'Economic Projections'!$H7</f>
        <v>506370048.00141436</v>
      </c>
      <c r="I408" s="61">
        <f>I$404*'Economic Projections'!$H7</f>
        <v>55540711.102180332</v>
      </c>
      <c r="J408" s="61">
        <f>J$404*'Economic Projections'!$H7</f>
        <v>84425750.835827947</v>
      </c>
      <c r="K408" s="61">
        <f>K$404*'Economic Projections'!$H7</f>
        <v>11935777.419446085</v>
      </c>
      <c r="N408">
        <v>2024</v>
      </c>
      <c r="O408" s="61">
        <f>O$404*'Economic Projections'!$I7</f>
        <v>619516703.39584816</v>
      </c>
      <c r="P408" s="61">
        <f>P$404*'Economic Projections'!$I7</f>
        <v>258810488.81316727</v>
      </c>
      <c r="Q408" s="61">
        <f>Q$404*'Economic Projections'!$I7</f>
        <v>486632905.64199287</v>
      </c>
      <c r="R408" s="61">
        <f>R$404*'Economic Projections'!$I7</f>
        <v>53375861.648517199</v>
      </c>
      <c r="S408" s="61">
        <f>S$404*'Economic Projections'!$I7</f>
        <v>81135028.824080661</v>
      </c>
      <c r="T408" s="61">
        <f>T$404*'Economic Projections'!$I7</f>
        <v>11470548.20806643</v>
      </c>
      <c r="W408">
        <v>2024</v>
      </c>
      <c r="X408" s="61">
        <f>X$404*'Economic Projections'!$J7</f>
        <v>603467596.45466125</v>
      </c>
      <c r="Y408" s="61">
        <f>Y$404*'Economic Projections'!$J7</f>
        <v>252105783.04866531</v>
      </c>
      <c r="Z408" s="61">
        <f>Z$404*'Economic Projections'!$J7</f>
        <v>474026266.46513349</v>
      </c>
      <c r="AA408" s="61">
        <f>AA$404*'Economic Projections'!$J7</f>
        <v>51993114.570061602</v>
      </c>
      <c r="AB408" s="61">
        <f>AB$404*'Economic Projections'!$J7</f>
        <v>79033156.917905554</v>
      </c>
      <c r="AC408" s="61">
        <f>AC$404*'Economic Projections'!$J7</f>
        <v>11173393.903983572</v>
      </c>
      <c r="AG408">
        <v>2024</v>
      </c>
      <c r="AH408" s="61">
        <f>AH$404*'Economic Projections'!$K7</f>
        <v>665157686.36918545</v>
      </c>
      <c r="AI408" s="61">
        <f>AI$404*'Economic Projections'!$K7</f>
        <v>277877553.58881259</v>
      </c>
      <c r="AJ408" s="61">
        <f>AJ$404*'Economic Projections'!$K7</f>
        <v>522484084.53503436</v>
      </c>
      <c r="AK408" s="61">
        <f>AK$404*'Economic Projections'!$K7</f>
        <v>57308163.682237491</v>
      </c>
      <c r="AL408" s="61">
        <f>AL$404*'Economic Projections'!$K7</f>
        <v>87112401.909911677</v>
      </c>
      <c r="AM408" s="61">
        <f>AM$404*'Economic Projections'!$K7</f>
        <v>12315605.48027478</v>
      </c>
    </row>
    <row r="409" spans="5:40">
      <c r="E409">
        <v>2025</v>
      </c>
      <c r="F409" s="61">
        <f>F$404*'Economic Projections'!$H8</f>
        <v>672861459.05170894</v>
      </c>
      <c r="G409" s="61">
        <f>G$404*'Economic Projections'!$H8</f>
        <v>281095896.47245139</v>
      </c>
      <c r="H409" s="61">
        <f>H$404*'Economic Projections'!$H8</f>
        <v>528535429.50176787</v>
      </c>
      <c r="I409" s="61">
        <f>I$404*'Economic Projections'!$H8</f>
        <v>57971899.6277254</v>
      </c>
      <c r="J409" s="61">
        <f>J$404*'Economic Projections'!$H8</f>
        <v>88121326.794784918</v>
      </c>
      <c r="K409" s="61">
        <f>K$404*'Economic Projections'!$H8</f>
        <v>12458243.274307603</v>
      </c>
      <c r="N409">
        <v>2025</v>
      </c>
      <c r="O409" s="61">
        <f>O$404*'Economic Projections'!$I8</f>
        <v>641453057.49481022</v>
      </c>
      <c r="P409" s="61">
        <f>P$404*'Economic Projections'!$I8</f>
        <v>267974662.26645911</v>
      </c>
      <c r="Q409" s="61">
        <f>Q$404*'Economic Projections'!$I8</f>
        <v>503864001.55249113</v>
      </c>
      <c r="R409" s="61">
        <f>R$404*'Economic Projections'!$I8</f>
        <v>55265837.810646504</v>
      </c>
      <c r="S409" s="61">
        <f>S$404*'Economic Projections'!$I8</f>
        <v>84007924.280100837</v>
      </c>
      <c r="T409" s="61">
        <f>T$404*'Economic Projections'!$I8</f>
        <v>11876706.760083038</v>
      </c>
      <c r="W409">
        <v>2025</v>
      </c>
      <c r="X409" s="61">
        <f>X$404*'Economic Projections'!$J8</f>
        <v>621391673.81832647</v>
      </c>
      <c r="Y409" s="61">
        <f>Y$404*'Economic Projections'!$J8</f>
        <v>259593780.06083164</v>
      </c>
      <c r="Z409" s="61">
        <f>Z$404*'Economic Projections'!$J8</f>
        <v>488105702.58141685</v>
      </c>
      <c r="AA409" s="61">
        <f>AA$404*'Economic Projections'!$J8</f>
        <v>53537403.962577</v>
      </c>
      <c r="AB409" s="61">
        <f>AB$404*'Economic Projections'!$J8</f>
        <v>81380584.397381932</v>
      </c>
      <c r="AC409" s="61">
        <f>AC$404*'Economic Projections'!$J8</f>
        <v>11505263.879979467</v>
      </c>
      <c r="AG409">
        <v>2025</v>
      </c>
      <c r="AH409" s="61">
        <f>AH$404*'Economic Projections'!$K8</f>
        <v>698504286.21148193</v>
      </c>
      <c r="AI409" s="61">
        <f>AI$404*'Economic Projections'!$K8</f>
        <v>291808493.23601574</v>
      </c>
      <c r="AJ409" s="61">
        <f>AJ$404*'Economic Projections'!$K8</f>
        <v>548677975.16879296</v>
      </c>
      <c r="AK409" s="61">
        <f>AK$404*'Economic Projections'!$K8</f>
        <v>60181215.352796867</v>
      </c>
      <c r="AL409" s="61">
        <f>AL$404*'Economic Projections'!$K8</f>
        <v>91479640.637389615</v>
      </c>
      <c r="AM409" s="61">
        <f>AM$404*'Economic Projections'!$K8</f>
        <v>12933028.350343475</v>
      </c>
    </row>
    <row r="410" spans="5:40">
      <c r="E410">
        <v>2026</v>
      </c>
      <c r="F410" s="61">
        <f>F$404*'Economic Projections'!$H9</f>
        <v>701079493.4620508</v>
      </c>
      <c r="G410" s="61">
        <f>G$404*'Economic Projections'!$H9</f>
        <v>292884316.76694167</v>
      </c>
      <c r="H410" s="61">
        <f>H$404*'Economic Projections'!$H9</f>
        <v>550700811.00212145</v>
      </c>
      <c r="I410" s="61">
        <f>I$404*'Economic Projections'!$H9</f>
        <v>60403088.153270483</v>
      </c>
      <c r="J410" s="61">
        <f>J$404*'Economic Projections'!$H9</f>
        <v>91816902.753741905</v>
      </c>
      <c r="K410" s="61">
        <f>K$404*'Economic Projections'!$H9</f>
        <v>12980709.129169123</v>
      </c>
      <c r="N410">
        <v>2026</v>
      </c>
      <c r="O410" s="61">
        <f>O$404*'Economic Projections'!$I9</f>
        <v>663389411.59377229</v>
      </c>
      <c r="P410" s="61">
        <f>P$404*'Economic Projections'!$I9</f>
        <v>277138835.71975088</v>
      </c>
      <c r="Q410" s="61">
        <f>Q$404*'Economic Projections'!$I9</f>
        <v>521095097.46298933</v>
      </c>
      <c r="R410" s="61">
        <f>R$404*'Economic Projections'!$I9</f>
        <v>57155813.972775802</v>
      </c>
      <c r="S410" s="61">
        <f>S$404*'Economic Projections'!$I9</f>
        <v>86880819.736120999</v>
      </c>
      <c r="T410" s="61">
        <f>T$404*'Economic Projections'!$I9</f>
        <v>12282865.312099645</v>
      </c>
      <c r="W410">
        <v>2026</v>
      </c>
      <c r="X410" s="61">
        <f>X$404*'Economic Projections'!$J9</f>
        <v>639315751.18199182</v>
      </c>
      <c r="Y410" s="61">
        <f>Y$404*'Economic Projections'!$J9</f>
        <v>267081777.07299793</v>
      </c>
      <c r="Z410" s="61">
        <f>Z$404*'Economic Projections'!$J9</f>
        <v>502185138.6977002</v>
      </c>
      <c r="AA410" s="61">
        <f>AA$404*'Economic Projections'!$J9</f>
        <v>55081693.355092399</v>
      </c>
      <c r="AB410" s="61">
        <f>AB$404*'Economic Projections'!$J9</f>
        <v>83728011.876858309</v>
      </c>
      <c r="AC410" s="61">
        <f>AC$404*'Economic Projections'!$J9</f>
        <v>11837133.85597536</v>
      </c>
      <c r="AG410">
        <v>2026</v>
      </c>
      <c r="AH410" s="61">
        <f>AH$404*'Economic Projections'!$K9</f>
        <v>731850886.05377829</v>
      </c>
      <c r="AI410" s="61">
        <f>AI$404*'Economic Projections'!$K9</f>
        <v>305739432.88321888</v>
      </c>
      <c r="AJ410" s="61">
        <f>AJ$404*'Economic Projections'!$K9</f>
        <v>574871865.80255151</v>
      </c>
      <c r="AK410" s="61">
        <f>AK$404*'Economic Projections'!$K9</f>
        <v>63054267.023356237</v>
      </c>
      <c r="AL410" s="61">
        <f>AL$404*'Economic Projections'!$K9</f>
        <v>95846879.364867523</v>
      </c>
      <c r="AM410" s="61">
        <f>AM$404*'Economic Projections'!$K9</f>
        <v>13550451.220412169</v>
      </c>
    </row>
    <row r="411" spans="5:40">
      <c r="E411">
        <v>2027</v>
      </c>
      <c r="F411" s="61">
        <f>F$404*'Economic Projections'!$H10</f>
        <v>729297527.87239242</v>
      </c>
      <c r="G411" s="61">
        <f>G$404*'Economic Projections'!$H10</f>
        <v>304672737.06143194</v>
      </c>
      <c r="H411" s="61">
        <f>H$404*'Economic Projections'!$H10</f>
        <v>572866192.5024749</v>
      </c>
      <c r="I411" s="61">
        <f>I$404*'Economic Projections'!$H10</f>
        <v>62834276.678815551</v>
      </c>
      <c r="J411" s="61">
        <f>J$404*'Economic Projections'!$H10</f>
        <v>95512478.712698877</v>
      </c>
      <c r="K411" s="61">
        <f>K$404*'Economic Projections'!$H10</f>
        <v>13503174.984030642</v>
      </c>
      <c r="N411">
        <v>2027</v>
      </c>
      <c r="O411" s="61">
        <f>O$404*'Economic Projections'!$I10</f>
        <v>685325765.69273436</v>
      </c>
      <c r="P411" s="61">
        <f>P$404*'Economic Projections'!$I10</f>
        <v>286303009.17304271</v>
      </c>
      <c r="Q411" s="61">
        <f>Q$404*'Economic Projections'!$I10</f>
        <v>538326193.37348759</v>
      </c>
      <c r="R411" s="61">
        <f>R$404*'Economic Projections'!$I10</f>
        <v>59045790.134905107</v>
      </c>
      <c r="S411" s="61">
        <f>S$404*'Economic Projections'!$I10</f>
        <v>89753715.192141175</v>
      </c>
      <c r="T411" s="61">
        <f>T$404*'Economic Projections'!$I10</f>
        <v>12689023.864116253</v>
      </c>
      <c r="W411">
        <v>2027</v>
      </c>
      <c r="X411" s="61">
        <f>X$404*'Economic Projections'!$J10</f>
        <v>657239828.54565716</v>
      </c>
      <c r="Y411" s="61">
        <f>Y$404*'Economic Projections'!$J10</f>
        <v>274569774.08516431</v>
      </c>
      <c r="Z411" s="61">
        <f>Z$404*'Economic Projections'!$J10</f>
        <v>516264574.81398362</v>
      </c>
      <c r="AA411" s="61">
        <f>AA$404*'Economic Projections'!$J10</f>
        <v>56625982.747607812</v>
      </c>
      <c r="AB411" s="61">
        <f>AB$404*'Economic Projections'!$J10</f>
        <v>86075439.356334716</v>
      </c>
      <c r="AC411" s="61">
        <f>AC$404*'Economic Projections'!$J10</f>
        <v>12169003.831971254</v>
      </c>
      <c r="AG411">
        <v>2027</v>
      </c>
      <c r="AH411" s="61">
        <f>AH$404*'Economic Projections'!$K10</f>
        <v>765197485.89607453</v>
      </c>
      <c r="AI411" s="61">
        <f>AI$404*'Economic Projections'!$K10</f>
        <v>319670372.53042197</v>
      </c>
      <c r="AJ411" s="61">
        <f>AJ$404*'Economic Projections'!$K10</f>
        <v>601065756.43631005</v>
      </c>
      <c r="AK411" s="61">
        <f>AK$404*'Economic Projections'!$K10</f>
        <v>65927318.693915598</v>
      </c>
      <c r="AL411" s="61">
        <f>AL$404*'Economic Projections'!$K10</f>
        <v>100214118.09234543</v>
      </c>
      <c r="AM411" s="61">
        <f>AM$404*'Economic Projections'!$K10</f>
        <v>14167874.090480864</v>
      </c>
    </row>
    <row r="412" spans="5:40">
      <c r="E412">
        <v>2028</v>
      </c>
      <c r="F412" s="61">
        <f>F$404*'Economic Projections'!$H11</f>
        <v>757515562.28273416</v>
      </c>
      <c r="G412" s="61">
        <f>G$404*'Economic Projections'!$H11</f>
        <v>316461157.35592222</v>
      </c>
      <c r="H412" s="61">
        <f>H$404*'Economic Projections'!$H11</f>
        <v>595031574.00282848</v>
      </c>
      <c r="I412" s="61">
        <f>I$404*'Economic Projections'!$H11</f>
        <v>65265465.204360634</v>
      </c>
      <c r="J412" s="61">
        <f>J$404*'Economic Projections'!$H11</f>
        <v>99208054.671655864</v>
      </c>
      <c r="K412" s="61">
        <f>K$404*'Economic Projections'!$H11</f>
        <v>14025640.838892162</v>
      </c>
      <c r="N412">
        <v>2028</v>
      </c>
      <c r="O412" s="61">
        <f>O$404*'Economic Projections'!$I11</f>
        <v>707262119.79169643</v>
      </c>
      <c r="P412" s="61">
        <f>P$404*'Economic Projections'!$I11</f>
        <v>295467182.62633455</v>
      </c>
      <c r="Q412" s="61">
        <f>Q$404*'Economic Projections'!$I11</f>
        <v>555557289.28398585</v>
      </c>
      <c r="R412" s="61">
        <f>R$404*'Economic Projections'!$I11</f>
        <v>60935766.297034413</v>
      </c>
      <c r="S412" s="61">
        <f>S$404*'Economic Projections'!$I11</f>
        <v>92626610.648161352</v>
      </c>
      <c r="T412" s="61">
        <f>T$404*'Economic Projections'!$I11</f>
        <v>13095182.416132862</v>
      </c>
      <c r="W412">
        <v>2028</v>
      </c>
      <c r="X412" s="61">
        <f>X$404*'Economic Projections'!$J11</f>
        <v>675163905.90932238</v>
      </c>
      <c r="Y412" s="61">
        <f>Y$404*'Economic Projections'!$J11</f>
        <v>282057771.09733063</v>
      </c>
      <c r="Z412" s="61">
        <f>Z$404*'Economic Projections'!$J11</f>
        <v>530344010.93026698</v>
      </c>
      <c r="AA412" s="61">
        <f>AA$404*'Economic Projections'!$J11</f>
        <v>58170272.140123211</v>
      </c>
      <c r="AB412" s="61">
        <f>AB$404*'Economic Projections'!$J11</f>
        <v>88422866.835811093</v>
      </c>
      <c r="AC412" s="61">
        <f>AC$404*'Economic Projections'!$J11</f>
        <v>12500873.807967147</v>
      </c>
      <c r="AG412">
        <v>2028</v>
      </c>
      <c r="AH412" s="61">
        <f>AH$404*'Economic Projections'!$K11</f>
        <v>798544085.73837078</v>
      </c>
      <c r="AI412" s="61">
        <f>AI$404*'Economic Projections'!$K11</f>
        <v>333601312.17762506</v>
      </c>
      <c r="AJ412" s="61">
        <f>AJ$404*'Economic Projections'!$K11</f>
        <v>627259647.0700686</v>
      </c>
      <c r="AK412" s="61">
        <f>AK$404*'Economic Projections'!$K11</f>
        <v>68800370.364474952</v>
      </c>
      <c r="AL412" s="61">
        <f>AL$404*'Economic Projections'!$K11</f>
        <v>104581356.81982332</v>
      </c>
      <c r="AM412" s="61">
        <f>AM$404*'Economic Projections'!$K11</f>
        <v>14785296.960549554</v>
      </c>
    </row>
    <row r="413" spans="5:40">
      <c r="E413">
        <v>2029</v>
      </c>
      <c r="F413" s="61">
        <f>F$404*'Economic Projections'!$H12</f>
        <v>785733596.6930759</v>
      </c>
      <c r="G413" s="61">
        <f>G$404*'Economic Projections'!$H12</f>
        <v>328249577.65041244</v>
      </c>
      <c r="H413" s="61">
        <f>H$404*'Economic Projections'!$H12</f>
        <v>617196955.50318193</v>
      </c>
      <c r="I413" s="61">
        <f>I$404*'Economic Projections'!$H12</f>
        <v>67696653.72990571</v>
      </c>
      <c r="J413" s="61">
        <f>J$404*'Economic Projections'!$H12</f>
        <v>102903630.63061284</v>
      </c>
      <c r="K413" s="61">
        <f>K$404*'Economic Projections'!$H12</f>
        <v>14548106.69375368</v>
      </c>
      <c r="N413">
        <v>2029</v>
      </c>
      <c r="O413" s="61">
        <f>O$404*'Economic Projections'!$I12</f>
        <v>729198473.89065838</v>
      </c>
      <c r="P413" s="61">
        <f>P$404*'Economic Projections'!$I12</f>
        <v>304631356.07962638</v>
      </c>
      <c r="Q413" s="61">
        <f>Q$404*'Economic Projections'!$I12</f>
        <v>572788385.194484</v>
      </c>
      <c r="R413" s="61">
        <f>R$404*'Economic Projections'!$I12</f>
        <v>62825742.45916371</v>
      </c>
      <c r="S413" s="61">
        <f>S$404*'Economic Projections'!$I12</f>
        <v>95499506.104181498</v>
      </c>
      <c r="T413" s="61">
        <f>T$404*'Economic Projections'!$I12</f>
        <v>13501340.968149468</v>
      </c>
      <c r="W413">
        <v>2029</v>
      </c>
      <c r="X413" s="61">
        <f>X$404*'Economic Projections'!$J12</f>
        <v>693087983.27298772</v>
      </c>
      <c r="Y413" s="61">
        <f>Y$404*'Economic Projections'!$J12</f>
        <v>289545768.10949695</v>
      </c>
      <c r="Z413" s="61">
        <f>Z$404*'Economic Projections'!$J12</f>
        <v>544423447.04655027</v>
      </c>
      <c r="AA413" s="61">
        <f>AA$404*'Economic Projections'!$J12</f>
        <v>59714561.532638609</v>
      </c>
      <c r="AB413" s="61">
        <f>AB$404*'Economic Projections'!$J12</f>
        <v>90770294.315287471</v>
      </c>
      <c r="AC413" s="61">
        <f>AC$404*'Economic Projections'!$J12</f>
        <v>12832743.78396304</v>
      </c>
      <c r="AG413">
        <v>2029</v>
      </c>
      <c r="AH413" s="61">
        <f>AH$404*'Economic Projections'!$K12</f>
        <v>831890685.58066702</v>
      </c>
      <c r="AI413" s="61">
        <f>AI$404*'Economic Projections'!$K12</f>
        <v>347532251.82482815</v>
      </c>
      <c r="AJ413" s="61">
        <f>AJ$404*'Economic Projections'!$K12</f>
        <v>653453537.70382714</v>
      </c>
      <c r="AK413" s="61">
        <f>AK$404*'Economic Projections'!$K12</f>
        <v>71673422.035034329</v>
      </c>
      <c r="AL413" s="61">
        <f>AL$404*'Economic Projections'!$K12</f>
        <v>108948595.54730125</v>
      </c>
      <c r="AM413" s="61">
        <f>AM$404*'Economic Projections'!$K12</f>
        <v>15402719.830618249</v>
      </c>
    </row>
    <row r="414" spans="5:40">
      <c r="E414">
        <v>2030</v>
      </c>
      <c r="F414" s="61">
        <f>F$404*'Economic Projections'!$H13</f>
        <v>813951631.10341775</v>
      </c>
      <c r="G414" s="61">
        <f>G$404*'Economic Projections'!$H13</f>
        <v>340037997.94490278</v>
      </c>
      <c r="H414" s="61">
        <f>H$404*'Economic Projections'!$H13</f>
        <v>639362337.00353563</v>
      </c>
      <c r="I414" s="61">
        <f>I$404*'Economic Projections'!$H13</f>
        <v>70127842.2554508</v>
      </c>
      <c r="J414" s="61">
        <f>J$404*'Economic Projections'!$H13</f>
        <v>106599206.58956982</v>
      </c>
      <c r="K414" s="61">
        <f>K$404*'Economic Projections'!$H13</f>
        <v>15070572.548615202</v>
      </c>
      <c r="N414">
        <v>2030</v>
      </c>
      <c r="O414" s="61">
        <f>O$404*'Economic Projections'!$I13</f>
        <v>751134827.98962033</v>
      </c>
      <c r="P414" s="61">
        <f>P$404*'Economic Projections'!$I13</f>
        <v>313795529.5329181</v>
      </c>
      <c r="Q414" s="61">
        <f>Q$404*'Economic Projections'!$I13</f>
        <v>590019481.10498214</v>
      </c>
      <c r="R414" s="61">
        <f>R$404*'Economic Projections'!$I13</f>
        <v>64715718.621292993</v>
      </c>
      <c r="S414" s="61">
        <f>S$404*'Economic Projections'!$I13</f>
        <v>98372401.560201645</v>
      </c>
      <c r="T414" s="61">
        <f>T$404*'Economic Projections'!$I13</f>
        <v>13907499.520166071</v>
      </c>
      <c r="W414">
        <v>2030</v>
      </c>
      <c r="X414" s="61">
        <f>X$404*'Economic Projections'!$J13</f>
        <v>711012060.63665283</v>
      </c>
      <c r="Y414" s="61">
        <f>Y$404*'Economic Projections'!$J13</f>
        <v>297033765.12166321</v>
      </c>
      <c r="Z414" s="61">
        <f>Z$404*'Economic Projections'!$J13</f>
        <v>558502883.16283357</v>
      </c>
      <c r="AA414" s="61">
        <f>AA$404*'Economic Projections'!$J13</f>
        <v>61258850.925153993</v>
      </c>
      <c r="AB414" s="61">
        <f>AB$404*'Economic Projections'!$J13</f>
        <v>93117721.794763848</v>
      </c>
      <c r="AC414" s="61">
        <f>AC$404*'Economic Projections'!$J13</f>
        <v>13164613.75995893</v>
      </c>
      <c r="AG414">
        <v>2030</v>
      </c>
      <c r="AH414" s="61">
        <f>AH$404*'Economic Projections'!$K13</f>
        <v>865237285.42296374</v>
      </c>
      <c r="AI414" s="61">
        <f>AI$404*'Economic Projections'!$K13</f>
        <v>361463191.47203141</v>
      </c>
      <c r="AJ414" s="61">
        <f>AJ$404*'Economic Projections'!$K13</f>
        <v>679647428.33758593</v>
      </c>
      <c r="AK414" s="61">
        <f>AK$404*'Economic Projections'!$K13</f>
        <v>74546473.70559372</v>
      </c>
      <c r="AL414" s="61">
        <f>AL$404*'Economic Projections'!$K13</f>
        <v>113315834.2747792</v>
      </c>
      <c r="AM414" s="61">
        <f>AM$404*'Economic Projections'!$K13</f>
        <v>16020142.700686948</v>
      </c>
    </row>
    <row r="415" spans="5:40">
      <c r="E415">
        <v>2040</v>
      </c>
      <c r="F415" s="61">
        <f>F$404*'Economic Projections'!$H14</f>
        <v>1165697812.39835</v>
      </c>
      <c r="G415" s="61">
        <f>G$404*'Economic Projections'!$H14</f>
        <v>486984158.75073659</v>
      </c>
      <c r="H415" s="61">
        <f>H$404*'Economic Projections'!$H14</f>
        <v>915660401.79139662</v>
      </c>
      <c r="I415" s="61">
        <f>I$404*'Economic Projections'!$H14</f>
        <v>100433329.42840306</v>
      </c>
      <c r="J415" s="61">
        <f>J$404*'Economic Projections'!$H14</f>
        <v>152665658.71538007</v>
      </c>
      <c r="K415" s="61">
        <f>K$404*'Economic Projections'!$H14</f>
        <v>21583264.631703004</v>
      </c>
      <c r="N415">
        <v>2040</v>
      </c>
      <c r="O415" s="61">
        <f>O$404*'Economic Projections'!$I14</f>
        <v>974546054.73438108</v>
      </c>
      <c r="P415" s="61">
        <f>P$404*'Economic Projections'!$I14</f>
        <v>407128233.047153</v>
      </c>
      <c r="Q415" s="61">
        <f>Q$404*'Economic Projections'!$I14</f>
        <v>765509913.93416369</v>
      </c>
      <c r="R415" s="61">
        <f>R$404*'Economic Projections'!$I14</f>
        <v>83964217.756326601</v>
      </c>
      <c r="S415" s="61">
        <f>S$404*'Economic Projections'!$I14</f>
        <v>127631461.44058916</v>
      </c>
      <c r="T415" s="61">
        <f>T$404*'Economic Projections'!$I14</f>
        <v>18044029.225583233</v>
      </c>
      <c r="W415">
        <v>2040</v>
      </c>
      <c r="X415" s="61">
        <f>X$404*'Economic Projections'!$J14</f>
        <v>837348688.78018475</v>
      </c>
      <c r="Y415" s="61">
        <f>Y$404*'Economic Projections'!$J14</f>
        <v>349812397.73254621</v>
      </c>
      <c r="Z415" s="61">
        <f>Z$404*'Economic Projections'!$J14</f>
        <v>657740821.55174541</v>
      </c>
      <c r="AA415" s="61">
        <f>AA$404*'Economic Projections'!$J14</f>
        <v>72143668.635420948</v>
      </c>
      <c r="AB415" s="61">
        <f>AB$404*'Economic Projections'!$J14</f>
        <v>109663403.14568788</v>
      </c>
      <c r="AC415" s="61">
        <f>AC$404*'Economic Projections'!$J14</f>
        <v>15503776.490554415</v>
      </c>
      <c r="AG415">
        <v>2040</v>
      </c>
      <c r="AH415" s="61">
        <f>AH$404*'Economic Projections'!$K14</f>
        <v>1357869370.7301276</v>
      </c>
      <c r="AI415" s="61">
        <f>AI$404*'Economic Projections'!$K14</f>
        <v>567266118.34151125</v>
      </c>
      <c r="AJ415" s="61">
        <f>AJ$404*'Economic Projections'!$K14</f>
        <v>1066611947.2463199</v>
      </c>
      <c r="AK415" s="61">
        <f>AK$404*'Economic Projections'!$K14</f>
        <v>116990304.33169773</v>
      </c>
      <c r="AL415" s="61">
        <f>AL$404*'Economic Projections'!$K14</f>
        <v>177833414.22374877</v>
      </c>
      <c r="AM415" s="61">
        <f>AM$404*'Economic Projections'!$K14</f>
        <v>25141381.97055937</v>
      </c>
    </row>
    <row r="416" spans="5:40">
      <c r="E416">
        <v>2050</v>
      </c>
      <c r="F416" s="61">
        <f>F$404*'Economic Projections'!$H15</f>
        <v>1521360989.0306425</v>
      </c>
      <c r="G416" s="61">
        <f>G$404*'Economic Projections'!$H15</f>
        <v>635566691.05774903</v>
      </c>
      <c r="H416" s="61">
        <f>H$404*'Economic Projections'!$H15</f>
        <v>1195035282.445492</v>
      </c>
      <c r="I416" s="61">
        <f>I$404*'Economic Projections'!$H15</f>
        <v>131076294.18680024</v>
      </c>
      <c r="J416" s="61">
        <f>J$404*'Economic Projections'!$H15</f>
        <v>199245100.28579849</v>
      </c>
      <c r="K416" s="61">
        <f>K$404*'Economic Projections'!$H15</f>
        <v>28168481.125515617</v>
      </c>
      <c r="N416">
        <v>2050</v>
      </c>
      <c r="O416" s="61">
        <f>O$404*'Economic Projections'!$I15</f>
        <v>1210047771.3970938</v>
      </c>
      <c r="P416" s="61">
        <f>P$404*'Economic Projections'!$I15</f>
        <v>505511882.8692171</v>
      </c>
      <c r="Q416" s="61">
        <f>Q$404*'Economic Projections'!$I15</f>
        <v>950497476.06939507</v>
      </c>
      <c r="R416" s="61">
        <f>R$404*'Economic Projections'!$I15</f>
        <v>104254400.37396204</v>
      </c>
      <c r="S416" s="61">
        <f>S$404*'Economic Projections'!$I15</f>
        <v>158473952.79685649</v>
      </c>
      <c r="T416" s="61">
        <f>T$404*'Economic Projections'!$I15</f>
        <v>22404418.185646504</v>
      </c>
      <c r="W416">
        <v>2050</v>
      </c>
      <c r="X416" s="61">
        <f>X$404*'Economic Projections'!$J15</f>
        <v>936332399.59445584</v>
      </c>
      <c r="Y416" s="61">
        <f>Y$404*'Economic Projections'!$J15</f>
        <v>391164023.02361393</v>
      </c>
      <c r="Z416" s="61">
        <f>Z$404*'Economic Projections'!$J15</f>
        <v>735492931.44763863</v>
      </c>
      <c r="AA416" s="61">
        <f>AA$404*'Economic Projections'!$J15</f>
        <v>80671833.937371656</v>
      </c>
      <c r="AB416" s="61">
        <f>AB$404*'Economic Projections'!$J15</f>
        <v>122626808.62936345</v>
      </c>
      <c r="AC416" s="61">
        <f>AC$404*'Economic Projections'!$J15</f>
        <v>17336491.283367556</v>
      </c>
      <c r="AG416">
        <v>2050</v>
      </c>
      <c r="AH416" s="61">
        <f>AH$404*'Economic Projections'!$K15</f>
        <v>1903208914.3169773</v>
      </c>
      <c r="AI416" s="61">
        <f>AI$404*'Economic Projections'!$K15</f>
        <v>795088214.29342484</v>
      </c>
      <c r="AJ416" s="61">
        <f>AJ$404*'Economic Projections'!$K15</f>
        <v>1494978390.3179586</v>
      </c>
      <c r="AK416" s="61">
        <f>AK$404*'Economic Projections'!$K15</f>
        <v>163975265.14131501</v>
      </c>
      <c r="AL416" s="61">
        <f>AL$404*'Economic Projections'!$K15</f>
        <v>249253828.46810597</v>
      </c>
      <c r="AM416" s="61">
        <f>AM$404*'Economic Projections'!$K15</f>
        <v>35238516.543670259</v>
      </c>
    </row>
    <row r="417" spans="5:39">
      <c r="E417">
        <v>2060</v>
      </c>
      <c r="F417" s="61">
        <f>F$404*'Economic Projections'!$H16</f>
        <v>1860781691.6640153</v>
      </c>
      <c r="G417" s="61">
        <f>G$404*'Economic Projections'!$H16</f>
        <v>777363736.20654106</v>
      </c>
      <c r="H417" s="61">
        <f>H$404*'Economic Projections'!$H16</f>
        <v>1461651633.3076019</v>
      </c>
      <c r="I417" s="61">
        <f>I$404*'Economic Projections'!$H16</f>
        <v>160319851.89088592</v>
      </c>
      <c r="J417" s="61">
        <f>J$404*'Economic Projections'!$H16</f>
        <v>243697345.62590852</v>
      </c>
      <c r="K417" s="61">
        <f>K$404*'Economic Projections'!$H16</f>
        <v>34452963.062856026</v>
      </c>
      <c r="N417">
        <v>2060</v>
      </c>
      <c r="O417" s="61">
        <f>O$404*'Economic Projections'!$I16</f>
        <v>1464631435.1911824</v>
      </c>
      <c r="P417" s="61">
        <f>P$404*'Economic Projections'!$I16</f>
        <v>611867243.60320282</v>
      </c>
      <c r="Q417" s="61">
        <f>Q$404*'Economic Projections'!$I16</f>
        <v>1150473985.7615659</v>
      </c>
      <c r="R417" s="61">
        <f>R$404*'Economic Projections'!$I16</f>
        <v>126188631.27066034</v>
      </c>
      <c r="S417" s="61">
        <f>S$404*'Economic Projections'!$I16</f>
        <v>191815512.09114274</v>
      </c>
      <c r="T417" s="61">
        <f>T$404*'Economic Projections'!$I16</f>
        <v>27118115.447607752</v>
      </c>
      <c r="W417">
        <v>2060</v>
      </c>
      <c r="X417" s="61">
        <f>X$404*'Economic Projections'!$J16</f>
        <v>1023195656.0233059</v>
      </c>
      <c r="Y417" s="61">
        <f>Y$404*'Economic Projections'!$J16</f>
        <v>427452183.99332643</v>
      </c>
      <c r="Z417" s="61">
        <f>Z$404*'Economic Projections'!$J16</f>
        <v>803724374.82566726</v>
      </c>
      <c r="AA417" s="61">
        <f>AA$404*'Economic Projections'!$J16</f>
        <v>88155734.100308001</v>
      </c>
      <c r="AB417" s="61">
        <f>AB$404*'Economic Projections'!$J16</f>
        <v>134002858.33952771</v>
      </c>
      <c r="AC417" s="61">
        <f>AC$404*'Economic Projections'!$J16</f>
        <v>18944792.019917861</v>
      </c>
      <c r="AG417">
        <v>2060</v>
      </c>
      <c r="AH417" s="61">
        <f>AH$404*'Economic Projections'!$K16</f>
        <v>2496037355.9578018</v>
      </c>
      <c r="AI417" s="61">
        <f>AI$404*'Economic Projections'!$K16</f>
        <v>1042749363.5770363</v>
      </c>
      <c r="AJ417" s="61">
        <f>AJ$404*'Economic Projections'!$K16</f>
        <v>1960647557.1403337</v>
      </c>
      <c r="AK417" s="61">
        <f>AK$404*'Economic Projections'!$K16</f>
        <v>215051739.28459272</v>
      </c>
      <c r="AL417" s="61">
        <f>AL$404*'Economic Projections'!$K16</f>
        <v>326893628.06771344</v>
      </c>
      <c r="AM417" s="61">
        <f>AM$404*'Economic Projections'!$K16</f>
        <v>46214923.12266928</v>
      </c>
    </row>
    <row r="418" spans="5:39">
      <c r="E418">
        <v>2070</v>
      </c>
      <c r="F418" s="61">
        <f>F$404*'Economic Projections'!$H17</f>
        <v>2189809300.0022593</v>
      </c>
      <c r="G418" s="61">
        <f>G$404*'Economic Projections'!$H17</f>
        <v>914818942.30553937</v>
      </c>
      <c r="H418" s="61">
        <f>H$404*'Economic Projections'!$H17</f>
        <v>1720104166.0713027</v>
      </c>
      <c r="I418" s="61">
        <f>I$404*'Economic Projections'!$H17</f>
        <v>188667969.06825775</v>
      </c>
      <c r="J418" s="61">
        <f>J$404*'Economic Projections'!$H17</f>
        <v>286788458.97299159</v>
      </c>
      <c r="K418" s="61">
        <f>K$404*'Economic Projections'!$H17</f>
        <v>40545013.563739941</v>
      </c>
      <c r="N418">
        <v>2070</v>
      </c>
      <c r="O418" s="61">
        <f>O$404*'Economic Projections'!$I17</f>
        <v>1756748185.0783908</v>
      </c>
      <c r="P418" s="61">
        <f>P$404*'Economic Projections'!$I17</f>
        <v>733902498.52758014</v>
      </c>
      <c r="Q418" s="61">
        <f>Q$404*'Economic Projections'!$I17</f>
        <v>1379932888.1690392</v>
      </c>
      <c r="R418" s="61">
        <f>R$404*'Economic Projections'!$I17</f>
        <v>151356610.0220443</v>
      </c>
      <c r="S418" s="61">
        <f>S$404*'Economic Projections'!$I17</f>
        <v>230072593.44533414</v>
      </c>
      <c r="T418" s="61">
        <f>T$404*'Economic Projections'!$I17</f>
        <v>32526749.700079087</v>
      </c>
      <c r="W418">
        <v>2070</v>
      </c>
      <c r="X418" s="61">
        <f>X$404*'Economic Projections'!$J17</f>
        <v>1114208257.1967146</v>
      </c>
      <c r="Y418" s="61">
        <f>Y$404*'Economic Projections'!$J17</f>
        <v>465473783.19917864</v>
      </c>
      <c r="Z418" s="61">
        <f>Z$404*'Economic Projections'!$J17</f>
        <v>875215145.48008204</v>
      </c>
      <c r="AA418" s="61">
        <f>AA$404*'Economic Projections'!$J17</f>
        <v>95997130.43696098</v>
      </c>
      <c r="AB418" s="61">
        <f>AB$404*'Economic Projections'!$J17</f>
        <v>145922327.14332649</v>
      </c>
      <c r="AC418" s="61">
        <f>AC$404*'Economic Projections'!$J17</f>
        <v>20629919.190143738</v>
      </c>
      <c r="AG418">
        <v>2070</v>
      </c>
      <c r="AH418" s="61">
        <f>AH$404*'Economic Projections'!$K17</f>
        <v>3161403784.7360153</v>
      </c>
      <c r="AI418" s="61">
        <f>AI$404*'Economic Projections'!$K17</f>
        <v>1320714121.7958782</v>
      </c>
      <c r="AJ418" s="61">
        <f>AJ$404*'Economic Projections'!$K17</f>
        <v>2483295609.6918545</v>
      </c>
      <c r="AK418" s="61">
        <f>AK$404*'Economic Projections'!$K17</f>
        <v>272377887.64082426</v>
      </c>
      <c r="AL418" s="61">
        <f>AL$404*'Economic Projections'!$K17</f>
        <v>414033367.93523055</v>
      </c>
      <c r="AM418" s="61">
        <f>AM$404*'Economic Projections'!$K17</f>
        <v>58534393.534838066</v>
      </c>
    </row>
    <row r="419" spans="5:39">
      <c r="E419">
        <v>2080</v>
      </c>
      <c r="F419" s="61">
        <f>F$404*'Economic Projections'!$H18</f>
        <v>2482957231.0502849</v>
      </c>
      <c r="G419" s="61">
        <f>G$404*'Economic Projections'!$H18</f>
        <v>1037284985.4537419</v>
      </c>
      <c r="H419" s="61">
        <f>H$404*'Economic Projections'!$H18</f>
        <v>1950373065.5002947</v>
      </c>
      <c r="I419" s="61">
        <f>I$404*'Economic Projections'!$H18</f>
        <v>213924791.56295425</v>
      </c>
      <c r="J419" s="61">
        <f>J$404*'Economic Projections'!$H18</f>
        <v>325180589.00746417</v>
      </c>
      <c r="K419" s="61">
        <f>K$404*'Economic Projections'!$H18</f>
        <v>45972740.462384604</v>
      </c>
      <c r="N419">
        <v>2080</v>
      </c>
      <c r="O419" s="61">
        <f>O$404*'Economic Projections'!$I18</f>
        <v>2073676722.9711349</v>
      </c>
      <c r="P419" s="61">
        <f>P$404*'Economic Projections'!$I18</f>
        <v>866303173.70106769</v>
      </c>
      <c r="Q419" s="61">
        <f>Q$404*'Economic Projections'!$I18</f>
        <v>1628881551.5871887</v>
      </c>
      <c r="R419" s="61">
        <f>R$404*'Economic Projections'!$I18</f>
        <v>178662304.44207197</v>
      </c>
      <c r="S419" s="61">
        <f>S$404*'Economic Projections'!$I18</f>
        <v>271579151.56741798</v>
      </c>
      <c r="T419" s="61">
        <f>T$404*'Economic Projections'!$I18</f>
        <v>38394782.075128511</v>
      </c>
      <c r="W419">
        <v>2080</v>
      </c>
      <c r="X419" s="61">
        <f>X$404*'Economic Projections'!$J18</f>
        <v>1208496656.8526695</v>
      </c>
      <c r="Y419" s="61">
        <f>Y$404*'Economic Projections'!$J18</f>
        <v>504863886.27566731</v>
      </c>
      <c r="Z419" s="61">
        <f>Z$404*'Economic Projections'!$J18</f>
        <v>949279069.24743319</v>
      </c>
      <c r="AA419" s="61">
        <f>AA$404*'Economic Projections'!$J18</f>
        <v>104120760.5949692</v>
      </c>
      <c r="AB419" s="61">
        <f>AB$404*'Economic Projections'!$J18</f>
        <v>158270811.02104723</v>
      </c>
      <c r="AC419" s="61">
        <f>AC$404*'Economic Projections'!$J18</f>
        <v>22375698.808008213</v>
      </c>
      <c r="AG419">
        <v>2080</v>
      </c>
      <c r="AH419" s="61">
        <f>AH$404*'Economic Projections'!$K18</f>
        <v>3864865703.1619234</v>
      </c>
      <c r="AI419" s="61">
        <f>AI$404*'Economic Projections'!$K18</f>
        <v>1614593724.9950931</v>
      </c>
      <c r="AJ419" s="61">
        <f>AJ$404*'Economic Projections'!$K18</f>
        <v>3035867825.2522078</v>
      </c>
      <c r="AK419" s="61">
        <f>AK$404*'Economic Projections'!$K18</f>
        <v>332986239.00098133</v>
      </c>
      <c r="AL419" s="61">
        <f>AL$404*'Economic Projections'!$K18</f>
        <v>506162285.06575072</v>
      </c>
      <c r="AM419" s="61">
        <f>AM$404*'Economic Projections'!$K18</f>
        <v>71559214.017664373</v>
      </c>
    </row>
    <row r="420" spans="5:39">
      <c r="E420">
        <v>2090</v>
      </c>
      <c r="F420" s="61">
        <f>F$404*'Economic Projections'!$H19</f>
        <v>2741270016.8980556</v>
      </c>
      <c r="G420" s="61">
        <f>G$404*'Economic Projections'!$H19</f>
        <v>1145198231.3847969</v>
      </c>
      <c r="H420" s="61">
        <f>H$404*'Economic Projections'!$H19</f>
        <v>2153278815.8255749</v>
      </c>
      <c r="I420" s="61">
        <f>I$404*'Economic Projections'!$H19</f>
        <v>236180313.39776078</v>
      </c>
      <c r="J420" s="61">
        <f>J$404*'Economic Projections'!$H19</f>
        <v>359010532.91455513</v>
      </c>
      <c r="K420" s="61">
        <f>K$404*'Economic Projections'!$H19</f>
        <v>50755483.601649977</v>
      </c>
      <c r="N420">
        <v>2090</v>
      </c>
      <c r="O420" s="61">
        <f>O$404*'Economic Projections'!$I19</f>
        <v>2417572310.1156583</v>
      </c>
      <c r="P420" s="61">
        <f>P$404*'Economic Projections'!$I19</f>
        <v>1009969655.2046263</v>
      </c>
      <c r="Q420" s="61">
        <f>Q$404*'Economic Projections'!$I19</f>
        <v>1899012942.5444839</v>
      </c>
      <c r="R420" s="61">
        <f>R$404*'Economic Projections'!$I19</f>
        <v>208291405.93416369</v>
      </c>
      <c r="S420" s="61">
        <f>S$404*'Economic Projections'!$I19</f>
        <v>316617450.32918149</v>
      </c>
      <c r="T420" s="61">
        <f>T$404*'Economic Projections'!$I19</f>
        <v>44762117.918149464</v>
      </c>
      <c r="W420">
        <v>2090</v>
      </c>
      <c r="X420" s="61">
        <f>X$404*'Economic Projections'!$J19</f>
        <v>1310810762.7908623</v>
      </c>
      <c r="Y420" s="61">
        <f>Y$404*'Economic Projections'!$J19</f>
        <v>547606823.83521557</v>
      </c>
      <c r="Z420" s="61">
        <f>Z$404*'Economic Projections'!$J19</f>
        <v>1029647218.1414784</v>
      </c>
      <c r="AA420" s="61">
        <f>AA$404*'Economic Projections'!$J19</f>
        <v>112935863.61529773</v>
      </c>
      <c r="AB420" s="61">
        <f>AB$404*'Economic Projections'!$J19</f>
        <v>171670381.82987681</v>
      </c>
      <c r="AC420" s="61">
        <f>AC$404*'Economic Projections'!$J19</f>
        <v>24270076.922587268</v>
      </c>
      <c r="AG420">
        <v>2090</v>
      </c>
      <c r="AH420" s="61">
        <f>AH$404*'Economic Projections'!$K19</f>
        <v>4604335687.1452398</v>
      </c>
      <c r="AI420" s="61">
        <f>AI$404*'Economic Projections'!$K19</f>
        <v>1923516126.8743865</v>
      </c>
      <c r="AJ420" s="61">
        <f>AJ$404*'Economic Projections'!$K19</f>
        <v>3616724523.6565256</v>
      </c>
      <c r="AK420" s="61">
        <f>AK$404*'Economic Projections'!$K19</f>
        <v>396696946.62512267</v>
      </c>
      <c r="AL420" s="61">
        <f>AL$404*'Economic Projections'!$K19</f>
        <v>603006999.88321877</v>
      </c>
      <c r="AM420" s="61">
        <f>AM$404*'Economic Projections'!$K19</f>
        <v>85250735.252208039</v>
      </c>
    </row>
    <row r="421" spans="5:39">
      <c r="E421">
        <v>2100</v>
      </c>
      <c r="F421" s="61">
        <f>F$404*'Economic Projections'!$H20</f>
        <v>2952839991.719996</v>
      </c>
      <c r="G421" s="61">
        <f>G$404*'Economic Projections'!$H20</f>
        <v>1233584110.7351208</v>
      </c>
      <c r="H421" s="61">
        <f>H$404*'Economic Projections'!$H20</f>
        <v>2319467896.8137889</v>
      </c>
      <c r="I421" s="61">
        <f>I$404*'Economic Projections'!$H20</f>
        <v>254408602.71292478</v>
      </c>
      <c r="J421" s="61">
        <f>J$404*'Economic Projections'!$H20</f>
        <v>386718802.78265566</v>
      </c>
      <c r="K421" s="61">
        <f>K$404*'Economic Projections'!$H20</f>
        <v>54672768.772932626</v>
      </c>
      <c r="N421">
        <v>2100</v>
      </c>
      <c r="O421" s="61">
        <f>O$404*'Economic Projections'!$I20</f>
        <v>2796214913.9374261</v>
      </c>
      <c r="P421" s="61">
        <f>P$404*'Economic Projections'!$I20</f>
        <v>1168152117.1841638</v>
      </c>
      <c r="Q421" s="61">
        <f>Q$404*'Economic Projections'!$I20</f>
        <v>2196438257.2900357</v>
      </c>
      <c r="R421" s="61">
        <f>R$404*'Economic Projections'!$I20</f>
        <v>240914215.17408067</v>
      </c>
      <c r="S421" s="61">
        <f>S$404*'Economic Projections'!$I20</f>
        <v>366206393.46293002</v>
      </c>
      <c r="T421" s="61">
        <f>T$404*'Economic Projections'!$I20</f>
        <v>51772805.79300119</v>
      </c>
      <c r="W421">
        <v>2100</v>
      </c>
      <c r="X421" s="61">
        <f>X$404*'Economic Projections'!$J20</f>
        <v>1427920558.5418892</v>
      </c>
      <c r="Y421" s="61">
        <f>Y$404*'Economic Projections'!$J20</f>
        <v>596530837.21047235</v>
      </c>
      <c r="Z421" s="61">
        <f>Z$404*'Economic Projections'!$J20</f>
        <v>1121637441.9289529</v>
      </c>
      <c r="AA421" s="61">
        <f>AA$404*'Economic Projections'!$J20</f>
        <v>123025722.72874744</v>
      </c>
      <c r="AB421" s="61">
        <f>AB$404*'Economic Projections'!$J20</f>
        <v>187007670.72258729</v>
      </c>
      <c r="AC421" s="61">
        <f>AC$404*'Economic Projections'!$J20</f>
        <v>26438401.925667353</v>
      </c>
      <c r="AG421">
        <v>2100</v>
      </c>
      <c r="AH421" s="61">
        <f>AH$404*'Economic Projections'!$K20</f>
        <v>5380335592.7085381</v>
      </c>
      <c r="AI421" s="61">
        <f>AI$404*'Economic Projections'!$K20</f>
        <v>2247699339.008832</v>
      </c>
      <c r="AJ421" s="61">
        <f>AJ$404*'Economic Projections'!$K20</f>
        <v>4226275624.9460254</v>
      </c>
      <c r="AK421" s="61">
        <f>AK$404*'Economic Projections'!$K20</f>
        <v>463554972.19823354</v>
      </c>
      <c r="AL421" s="61">
        <f>AL$404*'Economic Projections'!$K20</f>
        <v>704635857.28164864</v>
      </c>
      <c r="AM421" s="61">
        <f>AM$404*'Economic Projections'!$K20</f>
        <v>99618619.56820412</v>
      </c>
    </row>
  </sheetData>
  <mergeCells count="93">
    <mergeCell ref="F403:K403"/>
    <mergeCell ref="O403:T403"/>
    <mergeCell ref="X403:AC403"/>
    <mergeCell ref="AH403:AM403"/>
    <mergeCell ref="F365:K365"/>
    <mergeCell ref="O365:T365"/>
    <mergeCell ref="X365:AC365"/>
    <mergeCell ref="AH365:AM365"/>
    <mergeCell ref="F384:K384"/>
    <mergeCell ref="O384:T384"/>
    <mergeCell ref="X384:AC384"/>
    <mergeCell ref="AH384:AM384"/>
    <mergeCell ref="F327:K327"/>
    <mergeCell ref="O327:T327"/>
    <mergeCell ref="X327:AC327"/>
    <mergeCell ref="AH327:AM327"/>
    <mergeCell ref="F346:K346"/>
    <mergeCell ref="O346:T346"/>
    <mergeCell ref="X346:AC346"/>
    <mergeCell ref="AH346:AM346"/>
    <mergeCell ref="F289:K289"/>
    <mergeCell ref="O289:T289"/>
    <mergeCell ref="X289:AC289"/>
    <mergeCell ref="AH289:AM289"/>
    <mergeCell ref="F308:K308"/>
    <mergeCell ref="O308:T308"/>
    <mergeCell ref="X308:AC308"/>
    <mergeCell ref="AH308:AM308"/>
    <mergeCell ref="F251:K251"/>
    <mergeCell ref="O251:T251"/>
    <mergeCell ref="X251:AC251"/>
    <mergeCell ref="AH251:AM251"/>
    <mergeCell ref="F270:K270"/>
    <mergeCell ref="O270:T270"/>
    <mergeCell ref="X270:AC270"/>
    <mergeCell ref="AH270:AM270"/>
    <mergeCell ref="F213:K213"/>
    <mergeCell ref="O213:T213"/>
    <mergeCell ref="X213:AC213"/>
    <mergeCell ref="AH213:AM213"/>
    <mergeCell ref="F232:K232"/>
    <mergeCell ref="O232:T232"/>
    <mergeCell ref="X232:AC232"/>
    <mergeCell ref="AH232:AM232"/>
    <mergeCell ref="F175:K175"/>
    <mergeCell ref="O175:T175"/>
    <mergeCell ref="X175:AC175"/>
    <mergeCell ref="AH175:AM175"/>
    <mergeCell ref="F194:K194"/>
    <mergeCell ref="O194:T194"/>
    <mergeCell ref="X194:AC194"/>
    <mergeCell ref="AH194:AM194"/>
    <mergeCell ref="F137:K137"/>
    <mergeCell ref="O137:T137"/>
    <mergeCell ref="X137:AC137"/>
    <mergeCell ref="AH137:AM137"/>
    <mergeCell ref="F156:K156"/>
    <mergeCell ref="O156:T156"/>
    <mergeCell ref="X156:AC156"/>
    <mergeCell ref="AH156:AM156"/>
    <mergeCell ref="F99:K99"/>
    <mergeCell ref="O99:T99"/>
    <mergeCell ref="X99:AC99"/>
    <mergeCell ref="AH99:AM99"/>
    <mergeCell ref="F118:K118"/>
    <mergeCell ref="O118:T118"/>
    <mergeCell ref="X118:AC118"/>
    <mergeCell ref="AH118:AM118"/>
    <mergeCell ref="F61:K61"/>
    <mergeCell ref="O61:T61"/>
    <mergeCell ref="X61:AC61"/>
    <mergeCell ref="AH61:AM61"/>
    <mergeCell ref="F80:K80"/>
    <mergeCell ref="O80:T80"/>
    <mergeCell ref="X80:AC80"/>
    <mergeCell ref="AH80:AM80"/>
    <mergeCell ref="F23:K23"/>
    <mergeCell ref="O23:T23"/>
    <mergeCell ref="X23:AC23"/>
    <mergeCell ref="AH23:AM23"/>
    <mergeCell ref="F42:K42"/>
    <mergeCell ref="O42:T42"/>
    <mergeCell ref="X42:AC42"/>
    <mergeCell ref="AH42:AM42"/>
    <mergeCell ref="F4:K4"/>
    <mergeCell ref="O4:T4"/>
    <mergeCell ref="X4:AC4"/>
    <mergeCell ref="AH4:AM4"/>
    <mergeCell ref="B2:C2"/>
    <mergeCell ref="F2:K2"/>
    <mergeCell ref="O2:T2"/>
    <mergeCell ref="X2:AC2"/>
    <mergeCell ref="AH2:AM2"/>
  </mergeCells>
  <dataValidations count="1">
    <dataValidation type="list" errorStyle="warning" allowBlank="1" showInputMessage="1" showErrorMessage="1" promptTitle="Inflation" prompt="Please select an inflation level" sqref="C6" xr:uid="{FE47DEA8-9F02-4D77-9C19-FF3E999EC5F3}">
      <formula1>"0, 0.0125, 0.025, ='Inflation-Interest'!$C$70, 0.05, 0.0625, 0.075"</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DB702-2384-4E52-BB4E-AD2567F30330}">
  <dimension ref="A3:X59"/>
  <sheetViews>
    <sheetView workbookViewId="0">
      <selection activeCell="F38" sqref="F38"/>
    </sheetView>
  </sheetViews>
  <sheetFormatPr defaultColWidth="8.7109375" defaultRowHeight="15"/>
  <cols>
    <col min="1" max="1" width="15" customWidth="1"/>
    <col min="2" max="3" width="20.7109375" bestFit="1" customWidth="1"/>
    <col min="20" max="20" width="15.7109375" bestFit="1" customWidth="1"/>
    <col min="21" max="23" width="13.7109375" bestFit="1" customWidth="1"/>
  </cols>
  <sheetData>
    <row r="3" spans="1:24" ht="15" customHeight="1">
      <c r="M3" t="s">
        <v>354</v>
      </c>
      <c r="N3" s="180">
        <v>1.2999999999999999E-2</v>
      </c>
      <c r="R3" s="581" t="s">
        <v>242</v>
      </c>
      <c r="S3" s="581"/>
      <c r="T3" s="581"/>
      <c r="U3" s="581"/>
      <c r="V3" s="581"/>
      <c r="W3" s="581"/>
    </row>
    <row r="4" spans="1:24">
      <c r="A4" s="65"/>
      <c r="B4" s="65"/>
      <c r="C4" s="630" t="s">
        <v>355</v>
      </c>
      <c r="D4" s="630"/>
      <c r="E4" s="630"/>
      <c r="F4" s="630"/>
      <c r="G4" s="65"/>
      <c r="H4" s="65"/>
      <c r="K4" s="61"/>
      <c r="L4" s="61"/>
      <c r="M4" s="61" t="s">
        <v>356</v>
      </c>
      <c r="N4" s="418">
        <v>5.0000000000000001E-3</v>
      </c>
      <c r="O4" s="61"/>
      <c r="Q4">
        <v>2020</v>
      </c>
      <c r="R4" s="61">
        <f>-'Voluntary Costs (1)'!F5*$N$4</f>
        <v>-31532.04</v>
      </c>
      <c r="S4" s="61">
        <f>-'Voluntary Costs (1)'!G5*$N$3</f>
        <v>-54760.523999999998</v>
      </c>
      <c r="T4" s="61">
        <f>-(SUM($R4:$S4))*('Voluntary Costs (1)'!H62/SUM('Voluntary Costs (1)'!$H62:$K62))</f>
        <v>45441.475607032611</v>
      </c>
      <c r="U4" s="61">
        <f>-(SUM($R4:$S4))*('Voluntary Costs (1)'!I62/SUM('Voluntary Costs (1)'!$H62:$K62))</f>
        <v>21980.646483141398</v>
      </c>
      <c r="V4" s="61">
        <f>-(SUM($R4:$S4))*('Voluntary Costs (1)'!J62/SUM('Voluntary Costs (1)'!$H62:$K62))</f>
        <v>14273.785570263848</v>
      </c>
      <c r="W4" s="61">
        <f>-(SUM($R4:$S4))*('Voluntary Costs (1)'!K62/SUM('Voluntary Costs (1)'!$H62:$K62))</f>
        <v>4596.6563395621397</v>
      </c>
      <c r="X4" s="61"/>
    </row>
    <row r="5" spans="1:24" ht="15" customHeight="1">
      <c r="B5" s="65"/>
      <c r="C5" s="65"/>
      <c r="D5" s="65"/>
      <c r="E5" s="419" t="s">
        <v>357</v>
      </c>
      <c r="F5" s="419"/>
      <c r="G5" s="65"/>
      <c r="H5" s="65"/>
      <c r="K5" s="61"/>
      <c r="L5" s="61"/>
      <c r="M5" s="61"/>
      <c r="N5" s="61"/>
      <c r="O5" s="61"/>
      <c r="Q5">
        <v>2021</v>
      </c>
      <c r="R5" s="61">
        <f>-'Voluntary Costs (1)'!F6*$N$4</f>
        <v>-31692.050543350928</v>
      </c>
      <c r="S5" s="61">
        <f>-'Voluntary Costs (1)'!G6*$N$3</f>
        <v>-54969.524258485493</v>
      </c>
      <c r="T5" s="61">
        <f>-(SUM($R5:$S5))*('Voluntary Costs (1)'!H63/SUM('Voluntary Costs (1)'!$H63:$K63))</f>
        <v>48266.843087400841</v>
      </c>
      <c r="U5" s="61">
        <f>-(SUM($R5:$S5))*('Voluntary Costs (1)'!I63/SUM('Voluntary Costs (1)'!$H63:$K63))</f>
        <v>20131.096466477087</v>
      </c>
      <c r="V5" s="61">
        <f>-(SUM($R5:$S5))*('Voluntary Costs (1)'!J63/SUM('Voluntary Costs (1)'!$H63:$K63))</f>
        <v>13618.095195871596</v>
      </c>
      <c r="W5" s="61">
        <f>-(SUM($R5:$S5))*('Voluntary Costs (1)'!K63/SUM('Voluntary Costs (1)'!$H63:$K63))</f>
        <v>4645.5400520868934</v>
      </c>
      <c r="X5" s="61"/>
    </row>
    <row r="6" spans="1:24">
      <c r="B6" s="420">
        <v>1.6500000000000001E-2</v>
      </c>
      <c r="C6" s="422">
        <v>0</v>
      </c>
      <c r="D6" s="422">
        <v>5.0000000000000001E-3</v>
      </c>
      <c r="E6" s="423">
        <v>0.01</v>
      </c>
      <c r="F6" s="422">
        <v>1.2999999999999999E-2</v>
      </c>
      <c r="G6" s="422">
        <v>1.4999999999999999E-2</v>
      </c>
      <c r="H6" s="423">
        <v>0.02</v>
      </c>
      <c r="K6" s="61"/>
      <c r="L6" s="61"/>
      <c r="M6" s="61"/>
      <c r="N6" s="61"/>
      <c r="O6" s="61"/>
      <c r="Q6">
        <v>2022</v>
      </c>
      <c r="R6" s="61">
        <f>-'Voluntary Costs (1)'!F7*$N$4</f>
        <v>-31851.611791530977</v>
      </c>
      <c r="S6" s="61">
        <f>-'Voluntary Costs (1)'!G7*$N$3</f>
        <v>-55177.13726240355</v>
      </c>
      <c r="T6" s="61">
        <f>-(SUM($R6:$S6))*('Voluntary Costs (1)'!H64/SUM('Voluntary Costs (1)'!$H64:$K64))</f>
        <v>50849.063429991751</v>
      </c>
      <c r="U6" s="61">
        <f>-(SUM($R6:$S6))*('Voluntary Costs (1)'!I64/SUM('Voluntary Costs (1)'!$H64:$K64))</f>
        <v>18463.363343463847</v>
      </c>
      <c r="V6" s="61">
        <f>-(SUM($R6:$S6))*('Voluntary Costs (1)'!J64/SUM('Voluntary Costs (1)'!$H64:$K64))</f>
        <v>13025.510806999368</v>
      </c>
      <c r="W6" s="61">
        <f>-(SUM($R6:$S6))*('Voluntary Costs (1)'!K64/SUM('Voluntary Costs (1)'!$H64:$K64))</f>
        <v>4690.8114734795772</v>
      </c>
      <c r="X6" s="61"/>
    </row>
    <row r="7" spans="1:24">
      <c r="A7" s="65"/>
      <c r="B7" s="424">
        <v>0</v>
      </c>
      <c r="C7" s="425">
        <v>0</v>
      </c>
      <c r="D7" s="425">
        <v>3.5000000000000001E-3</v>
      </c>
      <c r="E7" s="425">
        <v>7.0000000000000001E-3</v>
      </c>
      <c r="F7" s="425">
        <v>9.1999999999999998E-3</v>
      </c>
      <c r="G7" s="425">
        <v>1.06E-2</v>
      </c>
      <c r="H7" s="425">
        <v>1.41E-2</v>
      </c>
      <c r="K7" s="61"/>
      <c r="L7" s="61"/>
      <c r="M7" s="61"/>
      <c r="N7" s="61"/>
      <c r="O7" s="61"/>
      <c r="Q7">
        <v>2023</v>
      </c>
      <c r="R7" s="61">
        <f>-'Voluntary Costs (1)'!F8*$N$4</f>
        <v>-32010.724617761593</v>
      </c>
      <c r="S7" s="61">
        <f>-'Voluntary Costs (1)'!G8*$N$3</f>
        <v>-55383.3686417754</v>
      </c>
      <c r="T7" s="61">
        <f>-(SUM($R7:$S7))*('Voluntary Costs (1)'!H65/SUM('Voluntary Costs (1)'!$H65:$K65))</f>
        <v>53217.46326829373</v>
      </c>
      <c r="U7" s="61">
        <f>-(SUM($R7:$S7))*('Voluntary Costs (1)'!I65/SUM('Voluntary Costs (1)'!$H65:$K65))</f>
        <v>16955.3604751356</v>
      </c>
      <c r="V7" s="61">
        <f>-(SUM($R7:$S7))*('Voluntary Costs (1)'!J65/SUM('Voluntary Costs (1)'!$H65:$K65))</f>
        <v>12488.363305667062</v>
      </c>
      <c r="W7" s="61">
        <f>-(SUM($R7:$S7))*('Voluntary Costs (1)'!K65/SUM('Voluntary Costs (1)'!$H65:$K65))</f>
        <v>4732.906210440613</v>
      </c>
      <c r="X7" s="61"/>
    </row>
    <row r="8" spans="1:24">
      <c r="A8" s="65"/>
      <c r="B8" s="424">
        <v>1E-3</v>
      </c>
      <c r="C8" s="425">
        <v>1.5E-3</v>
      </c>
      <c r="D8" s="425">
        <v>5.0000000000000001E-3</v>
      </c>
      <c r="E8" s="425">
        <v>8.5000000000000006E-3</v>
      </c>
      <c r="F8" s="425">
        <v>1.06E-2</v>
      </c>
      <c r="G8" s="425">
        <v>1.2E-2</v>
      </c>
      <c r="H8" s="425">
        <v>1.5599999999999999E-2</v>
      </c>
      <c r="K8" s="61"/>
      <c r="L8" s="61"/>
      <c r="M8" s="61"/>
      <c r="N8" s="61"/>
      <c r="O8" s="61"/>
      <c r="Q8">
        <v>2024</v>
      </c>
      <c r="R8" s="61">
        <f>-'Voluntary Costs (1)'!F9*$N$4</f>
        <v>-32169.389893783216</v>
      </c>
      <c r="S8" s="61">
        <f>-'Voluntary Costs (1)'!G9*$N$3</f>
        <v>-55588.224007142504</v>
      </c>
      <c r="T8" s="61">
        <f>-(SUM($R8:$S8))*('Voluntary Costs (1)'!H66/SUM('Voluntary Costs (1)'!$H66:$K66))</f>
        <v>55397.095747980049</v>
      </c>
      <c r="U8" s="61">
        <f>-(SUM($R8:$S8))*('Voluntary Costs (1)'!I66/SUM('Voluntary Costs (1)'!$H66:$K66))</f>
        <v>15588.220262638213</v>
      </c>
      <c r="V8" s="61">
        <f>-(SUM($R8:$S8))*('Voluntary Costs (1)'!J66/SUM('Voluntary Costs (1)'!$H66:$K66))</f>
        <v>12000.101017438381</v>
      </c>
      <c r="W8" s="61">
        <f>-(SUM($R8:$S8))*('Voluntary Costs (1)'!K66/SUM('Voluntary Costs (1)'!$H66:$K66))</f>
        <v>4772.1968728690754</v>
      </c>
      <c r="X8" s="61"/>
    </row>
    <row r="9" spans="1:24">
      <c r="A9" s="65"/>
      <c r="B9" s="424">
        <v>2E-3</v>
      </c>
      <c r="C9" s="425">
        <v>2.8999999999999998E-3</v>
      </c>
      <c r="D9" s="425">
        <v>6.4999999999999997E-3</v>
      </c>
      <c r="E9" s="425">
        <v>0.01</v>
      </c>
      <c r="F9" s="425">
        <v>1.21E-2</v>
      </c>
      <c r="G9" s="425">
        <v>1.35E-2</v>
      </c>
      <c r="H9" s="425">
        <v>1.7000000000000001E-2</v>
      </c>
      <c r="K9" s="61"/>
      <c r="L9" s="61"/>
      <c r="M9" s="61"/>
      <c r="N9" s="61"/>
      <c r="O9" s="61"/>
      <c r="Q9">
        <v>2025</v>
      </c>
      <c r="R9" s="61">
        <f>-'Voluntary Costs (1)'!F10*$N$4</f>
        <v>-32327.608489857572</v>
      </c>
      <c r="S9" s="61">
        <f>-'Voluntary Costs (1)'!G10*$N$3</f>
        <v>-55791.708949628766</v>
      </c>
      <c r="T9" s="61">
        <f>-(SUM($R9:$S9))*('Voluntary Costs (1)'!H67/SUM('Voluntary Costs (1)'!$H67:$K67))</f>
        <v>57409.463828614171</v>
      </c>
      <c r="U9" s="61">
        <f>-(SUM($R9:$S9))*('Voluntary Costs (1)'!I67/SUM('Voluntary Costs (1)'!$H67:$K67))</f>
        <v>14345.749444591727</v>
      </c>
      <c r="V9" s="61">
        <f>-(SUM($R9:$S9))*('Voluntary Costs (1)'!J67/SUM('Voluntary Costs (1)'!$H67:$K67))</f>
        <v>11555.100569178436</v>
      </c>
      <c r="W9" s="61">
        <f>-(SUM($R9:$S9))*('Voluntary Costs (1)'!K67/SUM('Voluntary Costs (1)'!$H67:$K67))</f>
        <v>4809.0035971019934</v>
      </c>
      <c r="X9" s="61"/>
    </row>
    <row r="10" spans="1:24">
      <c r="A10" s="65"/>
      <c r="B10" s="424">
        <v>3.0000000000000001E-3</v>
      </c>
      <c r="C10" s="425">
        <v>4.4000000000000003E-3</v>
      </c>
      <c r="D10" s="425">
        <v>7.9000000000000008E-3</v>
      </c>
      <c r="E10" s="425">
        <v>1.15E-2</v>
      </c>
      <c r="F10" s="425">
        <v>1.3599999999999999E-2</v>
      </c>
      <c r="G10" s="425">
        <v>1.4999999999999999E-2</v>
      </c>
      <c r="H10" s="425">
        <v>1.8499999999999999E-2</v>
      </c>
      <c r="K10" s="61"/>
      <c r="L10" s="61"/>
      <c r="M10" s="61"/>
      <c r="N10" s="61"/>
      <c r="O10" s="61"/>
      <c r="Q10">
        <v>2026</v>
      </c>
      <c r="R10" s="61">
        <f>-'Voluntary Costs (1)'!F11*$N$4</f>
        <v>-32485.381274770032</v>
      </c>
      <c r="S10" s="61">
        <f>-'Voluntary Costs (1)'!G11*$N$3</f>
        <v>-55993.829041002551</v>
      </c>
      <c r="T10" s="61">
        <f>-(SUM($R10:$S10))*('Voluntary Costs (1)'!H68/SUM('Voluntary Costs (1)'!$H68:$K68))</f>
        <v>59273.104970630775</v>
      </c>
      <c r="U10" s="61">
        <f>-(SUM($R10:$S10))*('Voluntary Costs (1)'!I68/SUM('Voluntary Costs (1)'!$H68:$K68))</f>
        <v>13213.988750002205</v>
      </c>
      <c r="V10" s="61">
        <f>-(SUM($R10:$S10))*('Voluntary Costs (1)'!J68/SUM('Voluntary Costs (1)'!$H68:$K68))</f>
        <v>11148.514014587838</v>
      </c>
      <c r="W10" s="61">
        <f>-(SUM($R10:$S10))*('Voluntary Costs (1)'!K68/SUM('Voluntary Costs (1)'!$H68:$K68))</f>
        <v>4843.6025805517638</v>
      </c>
      <c r="X10" s="61"/>
    </row>
    <row r="11" spans="1:24" ht="15" customHeight="1">
      <c r="A11" s="629" t="s">
        <v>358</v>
      </c>
      <c r="B11" s="424">
        <v>4.0000000000000001E-3</v>
      </c>
      <c r="C11" s="425">
        <v>5.8999999999999999E-3</v>
      </c>
      <c r="D11" s="425">
        <v>9.4000000000000004E-3</v>
      </c>
      <c r="E11" s="425">
        <v>1.29E-2</v>
      </c>
      <c r="F11" s="425">
        <v>1.4999999999999999E-2</v>
      </c>
      <c r="G11" s="425">
        <v>1.6400000000000001E-2</v>
      </c>
      <c r="H11" s="425">
        <v>0.02</v>
      </c>
      <c r="K11" s="61"/>
      <c r="L11" s="61"/>
      <c r="M11" s="61"/>
      <c r="N11" s="61"/>
      <c r="O11" s="61"/>
      <c r="Q11">
        <v>2027</v>
      </c>
      <c r="R11" s="61">
        <f>-'Voluntary Costs (1)'!F12*$N$4</f>
        <v>-32642.709115831945</v>
      </c>
      <c r="S11" s="61">
        <f>-'Voluntary Costs (1)'!G12*$N$3</f>
        <v>-56194.58983373853</v>
      </c>
      <c r="T11" s="61">
        <f>-(SUM($R11:$S11))*('Voluntary Costs (1)'!H69/SUM('Voluntary Costs (1)'!$H69:$K69))</f>
        <v>61004.066724176504</v>
      </c>
      <c r="U11" s="61">
        <f>-(SUM($R11:$S11))*('Voluntary Costs (1)'!I69/SUM('Voluntary Costs (1)'!$H69:$K69))</f>
        <v>12180.854692143954</v>
      </c>
      <c r="V11" s="61">
        <f>-(SUM($R11:$S11))*('Voluntary Costs (1)'!J69/SUM('Voluntary Costs (1)'!$H69:$K69))</f>
        <v>10776.144487725134</v>
      </c>
      <c r="W11" s="61">
        <f>-(SUM($R11:$S11))*('Voluntary Costs (1)'!K69/SUM('Voluntary Costs (1)'!$H69:$K69))</f>
        <v>4876.2330455248957</v>
      </c>
      <c r="X11" s="61"/>
    </row>
    <row r="12" spans="1:24">
      <c r="A12" s="629"/>
      <c r="B12" s="424">
        <v>5.0000000000000001E-3</v>
      </c>
      <c r="C12" s="425">
        <v>7.4000000000000003E-3</v>
      </c>
      <c r="D12" s="425">
        <v>1.09E-2</v>
      </c>
      <c r="E12" s="425">
        <v>1.44E-2</v>
      </c>
      <c r="F12" s="425">
        <v>1.6500000000000001E-2</v>
      </c>
      <c r="G12" s="425">
        <v>1.7899999999999999E-2</v>
      </c>
      <c r="H12" s="425">
        <v>2.1399999999999999E-2</v>
      </c>
      <c r="K12" s="61"/>
      <c r="L12" s="61"/>
      <c r="M12" s="61"/>
      <c r="N12" s="61"/>
      <c r="O12" s="61"/>
      <c r="Q12">
        <v>2028</v>
      </c>
      <c r="R12" s="61">
        <f>-'Voluntary Costs (1)'!F13*$N$4</f>
        <v>-32799.592878882962</v>
      </c>
      <c r="S12" s="61">
        <f>-'Voluntary Costs (1)'!G13*$N$3</f>
        <v>-56393.996861079322</v>
      </c>
      <c r="T12" s="61">
        <f>-(SUM($R12:$S12))*('Voluntary Costs (1)'!H70/SUM('Voluntary Costs (1)'!$H70:$K70))</f>
        <v>62616.295852422372</v>
      </c>
      <c r="U12" s="61">
        <f>-(SUM($R12:$S12))*('Voluntary Costs (1)'!I70/SUM('Voluntary Costs (1)'!$H70:$K70))</f>
        <v>11235.846468299766</v>
      </c>
      <c r="V12" s="61">
        <f>-(SUM($R12:$S12))*('Voluntary Costs (1)'!J70/SUM('Voluntary Costs (1)'!$H70:$K70))</f>
        <v>10434.344465459168</v>
      </c>
      <c r="W12" s="61">
        <f>-(SUM($R12:$S12))*('Voluntary Costs (1)'!K70/SUM('Voluntary Costs (1)'!$H70:$K70))</f>
        <v>4907.1029537809709</v>
      </c>
      <c r="X12" s="61"/>
    </row>
    <row r="13" spans="1:24">
      <c r="A13" s="629"/>
      <c r="B13" s="424">
        <v>6.0000000000000001E-3</v>
      </c>
      <c r="C13" s="425">
        <v>8.8000000000000005E-3</v>
      </c>
      <c r="D13" s="425">
        <v>1.23E-2</v>
      </c>
      <c r="E13" s="425">
        <v>1.5900000000000001E-2</v>
      </c>
      <c r="F13" s="425">
        <v>1.7999999999999999E-2</v>
      </c>
      <c r="G13" s="425">
        <v>1.9400000000000001E-2</v>
      </c>
      <c r="H13" s="425">
        <v>2.29E-2</v>
      </c>
      <c r="K13" s="61"/>
      <c r="L13" s="61"/>
      <c r="M13" s="61"/>
      <c r="N13" s="61"/>
      <c r="O13" s="61"/>
      <c r="Q13">
        <v>2029</v>
      </c>
      <c r="R13" s="61">
        <f>-'Voluntary Costs (1)'!F14*$N$4</f>
        <v>-32956.033428293347</v>
      </c>
      <c r="S13" s="61">
        <f>-'Voluntary Costs (1)'!G14*$N$3</f>
        <v>-56592.05563709695</v>
      </c>
      <c r="T13" s="61">
        <f>-(SUM($R13:$S13))*('Voluntary Costs (1)'!H71/SUM('Voluntary Costs (1)'!$H71:$K71))</f>
        <v>64121.958476668158</v>
      </c>
      <c r="U13" s="61">
        <f>-(SUM($R13:$S13))*('Voluntary Costs (1)'!I71/SUM('Voluntary Costs (1)'!$H71:$K71))</f>
        <v>10369.804801887023</v>
      </c>
      <c r="V13" s="61">
        <f>-(SUM($R13:$S13))*('Voluntary Costs (1)'!J71/SUM('Voluntary Costs (1)'!$H71:$K71))</f>
        <v>10119.932065642804</v>
      </c>
      <c r="W13" s="61">
        <f>-(SUM($R13:$S13))*('Voluntary Costs (1)'!K71/SUM('Voluntary Costs (1)'!$H71:$K71))</f>
        <v>4936.3937211923021</v>
      </c>
      <c r="X13" s="61"/>
    </row>
    <row r="14" spans="1:24">
      <c r="A14" s="65"/>
      <c r="B14" s="424">
        <v>7.0000000000000001E-3</v>
      </c>
      <c r="C14" s="425">
        <v>1.03E-2</v>
      </c>
      <c r="D14" s="425">
        <v>1.38E-2</v>
      </c>
      <c r="E14" s="425">
        <v>1.7299999999999999E-2</v>
      </c>
      <c r="F14" s="425">
        <v>1.95E-2</v>
      </c>
      <c r="G14" s="425">
        <v>2.0899999999999998E-2</v>
      </c>
      <c r="H14" s="425">
        <v>2.4400000000000002E-2</v>
      </c>
      <c r="K14" s="61"/>
      <c r="L14" s="61"/>
      <c r="M14" s="61"/>
      <c r="N14" s="61"/>
      <c r="O14" s="61"/>
      <c r="Q14">
        <v>2030</v>
      </c>
      <c r="R14" s="61">
        <f>-'Voluntary Costs (1)'!F15*$N$4</f>
        <v>-33112.031626966353</v>
      </c>
      <c r="S14" s="61">
        <f>-'Voluntary Costs (1)'!G15*$N$3</f>
        <v>-56788.771656754114</v>
      </c>
      <c r="T14" s="61">
        <f>-(SUM($R14:$S14))*('Voluntary Costs (1)'!H72/SUM('Voluntary Costs (1)'!$H72:$K72))</f>
        <v>65531.70485269215</v>
      </c>
      <c r="U14" s="61">
        <f>-(SUM($R14:$S14))*('Voluntary Costs (1)'!I72/SUM('Voluntary Costs (1)'!$H72:$K72))</f>
        <v>9574.7124817023741</v>
      </c>
      <c r="V14" s="61">
        <f>-(SUM($R14:$S14))*('Voluntary Costs (1)'!J72/SUM('Voluntary Costs (1)'!$H72:$K72))</f>
        <v>9830.121822078816</v>
      </c>
      <c r="W14" s="61">
        <f>-(SUM($R14:$S14))*('Voluntary Costs (1)'!K72/SUM('Voluntary Costs (1)'!$H72:$K72))</f>
        <v>4964.2641272471228</v>
      </c>
      <c r="X14" s="61"/>
    </row>
    <row r="15" spans="1:24">
      <c r="A15" s="65"/>
      <c r="B15" s="424">
        <v>8.0000000000000002E-3</v>
      </c>
      <c r="C15" s="425">
        <v>1.18E-2</v>
      </c>
      <c r="D15" s="425">
        <v>1.5299999999999999E-2</v>
      </c>
      <c r="E15" s="425">
        <v>1.8800000000000001E-2</v>
      </c>
      <c r="F15" s="425">
        <v>2.0899999999999998E-2</v>
      </c>
      <c r="G15" s="425">
        <v>2.23E-2</v>
      </c>
      <c r="H15" s="425">
        <v>2.5899999999999999E-2</v>
      </c>
      <c r="K15" s="61"/>
      <c r="L15" s="61"/>
      <c r="M15" s="61"/>
      <c r="N15" s="61"/>
      <c r="O15" s="61"/>
      <c r="Q15">
        <v>2040</v>
      </c>
      <c r="R15" s="61">
        <f>-'Voluntary Costs (1)'!F16*$N$4</f>
        <v>-34036.88846567861</v>
      </c>
      <c r="S15" s="61">
        <f>-'Voluntary Costs (1)'!G16*$N$3</f>
        <v>-57636.023491955682</v>
      </c>
      <c r="T15" s="61">
        <f>-(SUM($R15:$S15))*('Voluntary Costs (1)'!H73/SUM('Voluntary Costs (1)'!$H73:$K73))</f>
        <v>74064.068618091231</v>
      </c>
      <c r="U15" s="61">
        <f>-(SUM($R15:$S15))*('Voluntary Costs (1)'!I73/SUM('Voluntary Costs (1)'!$H73:$K73))</f>
        <v>4511.7454771220055</v>
      </c>
      <c r="V15" s="61">
        <f>-(SUM($R15:$S15))*('Voluntary Costs (1)'!J73/SUM('Voluntary Costs (1)'!$H73:$K73))</f>
        <v>8098.3475969256824</v>
      </c>
      <c r="W15" s="61">
        <f>-(SUM($R15:$S15))*('Voluntary Costs (1)'!K73/SUM('Voluntary Costs (1)'!$H73:$K73))</f>
        <v>4998.7502654953632</v>
      </c>
      <c r="X15" s="61"/>
    </row>
    <row r="16" spans="1:24">
      <c r="C16" s="61"/>
      <c r="K16" s="61"/>
      <c r="L16" s="61"/>
      <c r="M16" s="61"/>
      <c r="N16" s="61"/>
      <c r="O16" s="61"/>
      <c r="Q16">
        <v>2050</v>
      </c>
      <c r="R16" s="61">
        <f>-'Voluntary Costs (1)'!F17*$N$4</f>
        <v>-34172.285504122228</v>
      </c>
      <c r="S16" s="61">
        <f>-'Voluntary Costs (1)'!G17*$N$3</f>
        <v>-57132.824597940678</v>
      </c>
      <c r="T16" s="61">
        <f>-(SUM($R16:$S16))*('Voluntary Costs (1)'!H74/SUM('Voluntary Costs (1)'!$H74:$K74))</f>
        <v>76130.196964738207</v>
      </c>
      <c r="U16" s="61">
        <f>-(SUM($R16:$S16))*('Voluntary Costs (1)'!I74/SUM('Voluntary Costs (1)'!$H74:$K74))</f>
        <v>2827.0904450970061</v>
      </c>
      <c r="V16" s="61">
        <f>-(SUM($R16:$S16))*('Voluntary Costs (1)'!J74/SUM('Voluntary Costs (1)'!$H74:$K74))</f>
        <v>7482.2736164620292</v>
      </c>
      <c r="W16" s="61">
        <f>-(SUM($R16:$S16))*('Voluntary Costs (1)'!K74/SUM('Voluntary Costs (1)'!$H74:$K74))</f>
        <v>4865.5490757656635</v>
      </c>
      <c r="X16" s="61"/>
    </row>
    <row r="17" spans="1:24">
      <c r="C17" s="61"/>
      <c r="K17" s="61"/>
      <c r="L17" s="61"/>
      <c r="M17" s="61"/>
      <c r="N17" s="61"/>
      <c r="O17" s="61"/>
      <c r="Q17">
        <v>2060</v>
      </c>
      <c r="R17" s="61">
        <f>-'Voluntary Costs (1)'!F18*$N$4</f>
        <v>-33586.889816046052</v>
      </c>
      <c r="S17" s="61">
        <f>-'Voluntary Costs (1)'!G18*$N$3</f>
        <v>-55443.287082720235</v>
      </c>
      <c r="T17" s="61">
        <f>-(SUM($R17:$S17))*('Voluntary Costs (1)'!H75/SUM('Voluntary Costs (1)'!$H75:$K75))</f>
        <v>74998.915311050296</v>
      </c>
      <c r="U17" s="61">
        <f>-(SUM($R17:$S17))*('Voluntary Costs (1)'!I75/SUM('Voluntary Costs (1)'!$H75:$K75))</f>
        <v>2280.3556824888674</v>
      </c>
      <c r="V17" s="61">
        <f>-(SUM($R17:$S17))*('Voluntary Costs (1)'!J75/SUM('Voluntary Costs (1)'!$H75:$K75))</f>
        <v>7100.2606853086299</v>
      </c>
      <c r="W17" s="61">
        <f>-(SUM($R17:$S17))*('Voluntary Costs (1)'!K75/SUM('Voluntary Costs (1)'!$H75:$K75))</f>
        <v>4650.6452199184887</v>
      </c>
      <c r="X17" s="61"/>
    </row>
    <row r="18" spans="1:24">
      <c r="C18" s="61"/>
      <c r="K18" s="61"/>
      <c r="L18" s="61"/>
      <c r="M18" s="61"/>
      <c r="N18" s="61"/>
      <c r="O18" s="61"/>
      <c r="Q18">
        <v>2070</v>
      </c>
      <c r="R18" s="61">
        <f>-'Voluntary Costs (1)'!F19*$N$4</f>
        <v>-32424.799252622786</v>
      </c>
      <c r="S18" s="61">
        <f>-'Voluntary Costs (1)'!G19*$N$3</f>
        <v>-52847.44413626779</v>
      </c>
      <c r="T18" s="61">
        <f>-(SUM($R18:$S18))*('Voluntary Costs (1)'!H76/SUM('Voluntary Costs (1)'!$H76:$K76))</f>
        <v>72137.686789757674</v>
      </c>
      <c r="U18" s="61">
        <f>-(SUM($R18:$S18))*('Voluntary Costs (1)'!I76/SUM('Voluntary Costs (1)'!$H76:$K76))</f>
        <v>2064.3088469544855</v>
      </c>
      <c r="V18" s="61">
        <f>-(SUM($R18:$S18))*('Voluntary Costs (1)'!J76/SUM('Voluntary Costs (1)'!$H76:$K76))</f>
        <v>6680.7160570844135</v>
      </c>
      <c r="W18" s="61">
        <f>-(SUM($R18:$S18))*('Voluntary Costs (1)'!K76/SUM('Voluntary Costs (1)'!$H76:$K76))</f>
        <v>4389.531695094026</v>
      </c>
      <c r="X18" s="61"/>
    </row>
    <row r="19" spans="1:24">
      <c r="B19" s="65"/>
      <c r="C19" s="65"/>
      <c r="D19" s="65"/>
      <c r="K19" s="61"/>
      <c r="L19" s="61"/>
      <c r="M19" s="61"/>
      <c r="N19" s="61"/>
      <c r="O19" s="61"/>
      <c r="Q19">
        <v>2080</v>
      </c>
      <c r="R19" s="61">
        <f>-'Voluntary Costs (1)'!F20*$N$4</f>
        <v>-30746.425231067591</v>
      </c>
      <c r="S19" s="61">
        <f>-'Voluntary Costs (1)'!G20*$N$3</f>
        <v>-49477.623677337702</v>
      </c>
      <c r="T19" s="61">
        <f>-(SUM($R19:$S19))*('Voluntary Costs (1)'!H77/SUM('Voluntary Costs (1)'!$H77:$K77))</f>
        <v>68037.225968523868</v>
      </c>
      <c r="U19" s="61">
        <f>-(SUM($R19:$S19))*('Voluntary Costs (1)'!I77/SUM('Voluntary Costs (1)'!$H77:$K77))</f>
        <v>1928.4539841116614</v>
      </c>
      <c r="V19" s="61">
        <f>-(SUM($R19:$S19))*('Voluntary Costs (1)'!J77/SUM('Voluntary Costs (1)'!$H77:$K77))</f>
        <v>6172.3513562680919</v>
      </c>
      <c r="W19" s="61">
        <f>-(SUM($R19:$S19))*('Voluntary Costs (1)'!K77/SUM('Voluntary Costs (1)'!$H77:$K77))</f>
        <v>4086.0175995016793</v>
      </c>
      <c r="X19" s="61"/>
    </row>
    <row r="20" spans="1:24" ht="15" customHeight="1">
      <c r="A20" s="65"/>
      <c r="B20" s="628" t="s">
        <v>359</v>
      </c>
      <c r="C20" s="628"/>
      <c r="K20" s="61"/>
      <c r="L20" s="61"/>
      <c r="M20" s="61"/>
      <c r="N20" s="61"/>
      <c r="O20" s="61"/>
      <c r="Q20">
        <v>2090</v>
      </c>
      <c r="R20" s="61">
        <f>-'Voluntary Costs (1)'!F21*$N$4</f>
        <v>-28609.702988300018</v>
      </c>
      <c r="S20" s="61">
        <f>-'Voluntary Costs (1)'!G21*$N$3</f>
        <v>-45456.402756761105</v>
      </c>
      <c r="T20" s="61">
        <f>-(SUM($R20:$S20))*('Voluntary Costs (1)'!H78/SUM('Voluntary Costs (1)'!$H78:$K78))</f>
        <v>62957.352857813821</v>
      </c>
      <c r="U20" s="61">
        <f>-(SUM($R20:$S20))*('Voluntary Costs (1)'!I78/SUM('Voluntary Costs (1)'!$H78:$K78))</f>
        <v>1787.776510771595</v>
      </c>
      <c r="V20" s="61">
        <f>-(SUM($R20:$S20))*('Voluntary Costs (1)'!J78/SUM('Voluntary Costs (1)'!$H78:$K78))</f>
        <v>5577.3628343977953</v>
      </c>
      <c r="W20" s="61">
        <f>-(SUM($R20:$S20))*('Voluntary Costs (1)'!K78/SUM('Voluntary Costs (1)'!$H78:$K78))</f>
        <v>3743.6135420779215</v>
      </c>
      <c r="X20" s="61"/>
    </row>
    <row r="21" spans="1:24">
      <c r="B21" s="628"/>
      <c r="C21" s="628"/>
      <c r="K21" s="61"/>
      <c r="L21" s="61"/>
      <c r="M21" s="61"/>
      <c r="N21" s="61"/>
      <c r="O21" s="61"/>
      <c r="Q21">
        <v>2100</v>
      </c>
      <c r="R21" s="61">
        <f>-'Voluntary Costs (1)'!F22*$N$4</f>
        <v>-26183.021123646606</v>
      </c>
      <c r="S21" s="61">
        <f>-'Voluntary Costs (1)'!G22*$N$3</f>
        <v>-41074.187630809705</v>
      </c>
      <c r="T21" s="61">
        <f>-(SUM($R21:$S21))*('Voluntary Costs (1)'!H79/SUM('Voluntary Costs (1)'!$H79:$K79))</f>
        <v>57335.964546739116</v>
      </c>
      <c r="U21" s="61">
        <f>-(SUM($R21:$S21))*('Voluntary Costs (1)'!I79/SUM('Voluntary Costs (1)'!$H79:$K79))</f>
        <v>1612.9093491149663</v>
      </c>
      <c r="V21" s="61">
        <f>-(SUM($R21:$S21))*('Voluntary Costs (1)'!J79/SUM('Voluntary Costs (1)'!$H79:$K79))</f>
        <v>4926.1386371308954</v>
      </c>
      <c r="W21" s="61">
        <f>-(SUM($R21:$S21))*('Voluntary Costs (1)'!K79/SUM('Voluntary Costs (1)'!$H79:$K79))</f>
        <v>3382.1962214713412</v>
      </c>
      <c r="X21" s="61"/>
    </row>
    <row r="22" spans="1:24">
      <c r="B22" s="419" t="s">
        <v>360</v>
      </c>
      <c r="C22" s="419" t="s">
        <v>361</v>
      </c>
      <c r="R22" s="581" t="s">
        <v>243</v>
      </c>
      <c r="S22" s="581"/>
      <c r="T22" s="581"/>
      <c r="U22" s="581"/>
      <c r="V22" s="581"/>
      <c r="W22" s="581"/>
    </row>
    <row r="23" spans="1:24">
      <c r="A23" s="65" t="s">
        <v>362</v>
      </c>
      <c r="B23" s="423">
        <v>0.5</v>
      </c>
      <c r="C23" s="421">
        <v>363</v>
      </c>
      <c r="D23" s="65"/>
      <c r="Q23">
        <v>2020</v>
      </c>
      <c r="R23" s="61">
        <v>360376.14999999997</v>
      </c>
      <c r="S23" s="61">
        <v>314308.30000000005</v>
      </c>
      <c r="T23" s="61">
        <v>303256</v>
      </c>
      <c r="U23" s="61">
        <v>191633.7</v>
      </c>
      <c r="V23" s="61">
        <v>208903.4</v>
      </c>
      <c r="W23" s="61">
        <v>249034.95</v>
      </c>
    </row>
    <row r="24" spans="1:24">
      <c r="A24" s="65"/>
      <c r="B24" s="424">
        <v>0</v>
      </c>
      <c r="C24" s="65">
        <v>85</v>
      </c>
      <c r="D24" s="65"/>
      <c r="Q24">
        <v>2021</v>
      </c>
      <c r="R24" s="61">
        <v>373904.37035754166</v>
      </c>
      <c r="S24" s="61">
        <v>326107.17165841674</v>
      </c>
      <c r="T24" s="61">
        <v>314639.97752666665</v>
      </c>
      <c r="U24" s="61">
        <v>198827.46940325003</v>
      </c>
      <c r="V24" s="61">
        <v>216745.45954983332</v>
      </c>
      <c r="W24" s="61">
        <v>258383.514493875</v>
      </c>
    </row>
    <row r="25" spans="1:24">
      <c r="A25" s="65"/>
      <c r="B25" s="424">
        <v>0.1</v>
      </c>
      <c r="C25" s="65">
        <v>140</v>
      </c>
      <c r="D25" s="65"/>
      <c r="Q25">
        <v>2022</v>
      </c>
      <c r="R25" s="61">
        <v>387940.42883378849</v>
      </c>
      <c r="S25" s="61">
        <v>338348.96312649734</v>
      </c>
      <c r="T25" s="61">
        <v>326451.30008303648</v>
      </c>
      <c r="U25" s="61">
        <v>206291.2869150902</v>
      </c>
      <c r="V25" s="61">
        <v>224881.90348011776</v>
      </c>
      <c r="W25" s="61">
        <v>268083.01630837965</v>
      </c>
    </row>
    <row r="26" spans="1:24">
      <c r="A26" s="65"/>
      <c r="B26" s="424">
        <v>0.2</v>
      </c>
      <c r="C26" s="65">
        <v>196</v>
      </c>
      <c r="D26" s="65"/>
      <c r="Q26">
        <v>2023</v>
      </c>
      <c r="R26" s="61">
        <v>402503.38924851822</v>
      </c>
      <c r="S26" s="61">
        <v>351050.30124479678</v>
      </c>
      <c r="T26" s="61">
        <v>338706.00984540361</v>
      </c>
      <c r="U26" s="61">
        <v>214035.28991647693</v>
      </c>
      <c r="V26" s="61">
        <v>233323.78273517516</v>
      </c>
      <c r="W26" s="61">
        <v>278146.62933808262</v>
      </c>
    </row>
    <row r="27" spans="1:24" ht="15" customHeight="1">
      <c r="A27" s="65"/>
      <c r="B27" s="424">
        <v>0.3</v>
      </c>
      <c r="C27" s="65">
        <v>252</v>
      </c>
      <c r="D27" s="65"/>
      <c r="Q27">
        <v>2024</v>
      </c>
      <c r="R27" s="61">
        <v>417613.03106141655</v>
      </c>
      <c r="S27" s="61">
        <v>364228.43701160874</v>
      </c>
      <c r="T27" s="61">
        <v>351420.75119999185</v>
      </c>
      <c r="U27" s="61">
        <v>222069.99633719987</v>
      </c>
      <c r="V27" s="61">
        <v>242082.56310256803</v>
      </c>
      <c r="W27" s="61">
        <v>288588.02201457648</v>
      </c>
    </row>
    <row r="28" spans="1:24">
      <c r="A28" s="65"/>
      <c r="B28" s="424">
        <v>0.4</v>
      </c>
      <c r="C28" s="65">
        <v>307</v>
      </c>
      <c r="D28" s="65"/>
      <c r="Q28">
        <v>2025</v>
      </c>
      <c r="R28" s="61">
        <v>433289.8762366029</v>
      </c>
      <c r="S28" s="61">
        <v>377901.26901332702</v>
      </c>
      <c r="T28" s="61">
        <v>364612.79334941355</v>
      </c>
      <c r="U28" s="61">
        <v>230406.31894136808</v>
      </c>
      <c r="V28" s="61">
        <v>251170.14078596918</v>
      </c>
      <c r="W28" s="61">
        <v>299421.37587098533</v>
      </c>
    </row>
    <row r="29" spans="1:24">
      <c r="A29" s="65"/>
      <c r="B29" s="424">
        <v>0.5</v>
      </c>
      <c r="C29" s="65">
        <v>363</v>
      </c>
      <c r="D29" s="65"/>
      <c r="Q29">
        <v>2026</v>
      </c>
      <c r="R29" s="61">
        <v>449555.21711562813</v>
      </c>
      <c r="S29" s="61">
        <v>392087.36773436313</v>
      </c>
      <c r="T29" s="61">
        <v>378300.05376775609</v>
      </c>
      <c r="U29" s="61">
        <v>239055.58014916125</v>
      </c>
      <c r="V29" s="61">
        <v>260598.85856262382</v>
      </c>
      <c r="W29" s="61">
        <v>310661.4048033689</v>
      </c>
    </row>
    <row r="30" spans="1:24">
      <c r="A30" s="65"/>
      <c r="B30" s="424">
        <v>0.6</v>
      </c>
      <c r="C30" s="65">
        <v>418</v>
      </c>
      <c r="D30" s="65"/>
      <c r="Q30">
        <v>2027</v>
      </c>
      <c r="R30" s="61">
        <v>466431.14533680119</v>
      </c>
      <c r="S30" s="61">
        <v>406806.00077963801</v>
      </c>
      <c r="T30" s="61">
        <v>392501.12253615283</v>
      </c>
      <c r="U30" s="61">
        <v>248029.52741497732</v>
      </c>
      <c r="V30" s="61">
        <v>270381.52254734928</v>
      </c>
      <c r="W30" s="61">
        <v>322323.37505518337</v>
      </c>
    </row>
    <row r="31" spans="1:24">
      <c r="A31" s="65"/>
      <c r="B31" s="424">
        <v>0.7</v>
      </c>
      <c r="C31" s="65">
        <v>474</v>
      </c>
      <c r="D31" s="65"/>
      <c r="E31" s="425"/>
      <c r="F31" s="425"/>
      <c r="G31" s="425"/>
      <c r="H31" s="425"/>
      <c r="Q31">
        <v>2028</v>
      </c>
      <c r="R31" s="61">
        <v>483940.58184012357</v>
      </c>
      <c r="S31" s="61">
        <v>422077.15904390498</v>
      </c>
      <c r="T31" s="61">
        <v>407235.28759189125</v>
      </c>
      <c r="U31" s="61">
        <v>257340.34918286273</v>
      </c>
      <c r="V31" s="61">
        <v>280531.4195858413</v>
      </c>
      <c r="W31" s="61">
        <v>334423.12595194241</v>
      </c>
    </row>
    <row r="32" spans="1:24">
      <c r="C32" s="61"/>
      <c r="Q32">
        <v>2029</v>
      </c>
      <c r="R32" s="61">
        <v>502107.30799858359</v>
      </c>
      <c r="S32" s="61">
        <v>437921.5838634473</v>
      </c>
      <c r="T32" s="61">
        <v>422522.56092535116</v>
      </c>
      <c r="U32" s="61">
        <v>267000.69144089642</v>
      </c>
      <c r="V32" s="61">
        <v>291062.33530091081</v>
      </c>
      <c r="W32" s="61">
        <v>346977.09141424001</v>
      </c>
    </row>
    <row r="33" spans="1:24">
      <c r="Q33">
        <v>2030</v>
      </c>
      <c r="R33" s="61">
        <v>520955.99791809375</v>
      </c>
      <c r="S33" s="61">
        <v>454360.79518702789</v>
      </c>
      <c r="T33" s="61">
        <v>438383.70576035476</v>
      </c>
      <c r="U33" s="61">
        <v>277023.67489701149</v>
      </c>
      <c r="V33" s="61">
        <v>301988.57281616091</v>
      </c>
      <c r="W33" s="61">
        <v>360002.32227835443</v>
      </c>
    </row>
    <row r="34" spans="1:24">
      <c r="Q34">
        <v>2040</v>
      </c>
      <c r="R34" s="61">
        <v>753088.54863685335</v>
      </c>
      <c r="S34" s="61">
        <v>656819.2192283445</v>
      </c>
      <c r="T34" s="61">
        <v>633722.90565126925</v>
      </c>
      <c r="U34" s="61">
        <v>400462.53061671875</v>
      </c>
      <c r="V34" s="61">
        <v>436551.52626305615</v>
      </c>
      <c r="W34" s="61">
        <v>520415.59646872128</v>
      </c>
    </row>
    <row r="35" spans="1:24">
      <c r="A35" s="65"/>
      <c r="B35" s="65"/>
      <c r="C35" s="65"/>
      <c r="D35" s="65"/>
      <c r="E35" s="65"/>
      <c r="F35" s="419" t="s">
        <v>358</v>
      </c>
      <c r="G35" s="65"/>
      <c r="H35" s="65"/>
      <c r="I35" s="65"/>
      <c r="J35" s="65"/>
      <c r="K35" s="65"/>
      <c r="Q35">
        <v>2050</v>
      </c>
      <c r="R35" s="61">
        <v>1088656.9390782407</v>
      </c>
      <c r="S35" s="61">
        <v>949491.00212343538</v>
      </c>
      <c r="T35" s="61">
        <v>916103.21248259919</v>
      </c>
      <c r="U35" s="61">
        <v>578904.45099165954</v>
      </c>
      <c r="V35" s="61">
        <v>631074.32610908733</v>
      </c>
      <c r="W35" s="61">
        <v>752307.34994672297</v>
      </c>
    </row>
    <row r="36" spans="1:24">
      <c r="A36" s="419" t="s">
        <v>361</v>
      </c>
      <c r="B36" s="65">
        <v>314.26499999999999</v>
      </c>
      <c r="C36" s="422">
        <v>0</v>
      </c>
      <c r="D36" s="422">
        <v>3.0000000000000001E-3</v>
      </c>
      <c r="E36" s="422">
        <v>6.0000000000000001E-3</v>
      </c>
      <c r="F36" s="422">
        <v>8.9999999999999993E-3</v>
      </c>
      <c r="G36" s="422">
        <v>1.2E-2</v>
      </c>
      <c r="H36" s="422">
        <v>1.2999999999999999E-2</v>
      </c>
      <c r="I36" s="422">
        <v>1.4999999999999999E-2</v>
      </c>
      <c r="J36" s="422">
        <v>1.9E-2</v>
      </c>
      <c r="K36" s="422">
        <v>2.1999999999999999E-2</v>
      </c>
      <c r="Q36">
        <v>2060</v>
      </c>
      <c r="R36" s="61">
        <v>1573751.0989225074</v>
      </c>
      <c r="S36" s="61">
        <v>1372574.2742006241</v>
      </c>
      <c r="T36" s="61">
        <v>1324309.2342677063</v>
      </c>
      <c r="U36" s="61">
        <v>836858.22706521023</v>
      </c>
      <c r="V36" s="61">
        <v>912274.45356372278</v>
      </c>
      <c r="W36" s="61">
        <v>1087527.6464122604</v>
      </c>
    </row>
    <row r="37" spans="1:24">
      <c r="A37" s="65"/>
      <c r="B37" s="424">
        <v>0</v>
      </c>
      <c r="C37" s="65">
        <v>-7.0000000000000001E-3</v>
      </c>
      <c r="D37" s="65">
        <v>20.646000000000001</v>
      </c>
      <c r="E37" s="65">
        <v>38.874000000000002</v>
      </c>
      <c r="F37" s="65">
        <v>54.962000000000003</v>
      </c>
      <c r="G37" s="65">
        <v>69.165000000000006</v>
      </c>
      <c r="H37" s="65">
        <v>73.522000000000006</v>
      </c>
      <c r="I37" s="65">
        <v>81.713999999999999</v>
      </c>
      <c r="J37" s="65">
        <v>96.221000000000004</v>
      </c>
      <c r="K37" s="65">
        <v>105.66500000000001</v>
      </c>
      <c r="Q37">
        <v>2070</v>
      </c>
      <c r="R37" s="61">
        <v>2274998.1490558456</v>
      </c>
      <c r="S37" s="61">
        <v>1984179.0327492247</v>
      </c>
      <c r="T37" s="61">
        <v>1914407.5952031778</v>
      </c>
      <c r="U37" s="61">
        <v>1209753.5111486246</v>
      </c>
      <c r="V37" s="61">
        <v>1318774.420370141</v>
      </c>
      <c r="W37" s="61">
        <v>1572118.6052412598</v>
      </c>
    </row>
    <row r="38" spans="1:24">
      <c r="A38" s="65"/>
      <c r="B38" s="424">
        <v>0.1</v>
      </c>
      <c r="C38" s="65">
        <v>-7.0000000000000001E-3</v>
      </c>
      <c r="D38" s="65">
        <v>34.106999999999999</v>
      </c>
      <c r="E38" s="65">
        <v>64.251999999999995</v>
      </c>
      <c r="F38" s="65">
        <v>90.891999999999996</v>
      </c>
      <c r="G38" s="65">
        <v>114.44199999999999</v>
      </c>
      <c r="H38" s="65">
        <v>121.67</v>
      </c>
      <c r="I38" s="65">
        <v>135.273</v>
      </c>
      <c r="J38" s="65">
        <v>159.39099999999999</v>
      </c>
      <c r="K38" s="65">
        <v>175.113</v>
      </c>
      <c r="Q38">
        <v>2080</v>
      </c>
      <c r="R38" s="61">
        <v>3288713.5594383939</v>
      </c>
      <c r="S38" s="61">
        <v>2868308.482828374</v>
      </c>
      <c r="T38" s="61">
        <v>2767447.6215505656</v>
      </c>
      <c r="U38" s="61">
        <v>1748807.0385216936</v>
      </c>
      <c r="V38" s="61">
        <v>1906406.5260500249</v>
      </c>
      <c r="W38" s="61">
        <v>2272638.2332434109</v>
      </c>
    </row>
    <row r="39" spans="1:24">
      <c r="A39" s="65"/>
      <c r="B39" s="424">
        <v>0.2</v>
      </c>
      <c r="C39" s="65">
        <v>-7.0000000000000001E-3</v>
      </c>
      <c r="D39" s="65">
        <v>47.567</v>
      </c>
      <c r="E39" s="65">
        <v>89.63</v>
      </c>
      <c r="F39" s="65">
        <v>126.822</v>
      </c>
      <c r="G39" s="65">
        <v>159.71799999999999</v>
      </c>
      <c r="H39" s="65">
        <v>169.81899999999999</v>
      </c>
      <c r="I39" s="65">
        <v>188.833</v>
      </c>
      <c r="J39" s="65">
        <v>222.56100000000001</v>
      </c>
      <c r="K39" s="65">
        <v>244.56200000000001</v>
      </c>
      <c r="Q39">
        <v>2090</v>
      </c>
      <c r="R39" s="61">
        <v>4754129.967324405</v>
      </c>
      <c r="S39" s="61">
        <v>4146396.7801664718</v>
      </c>
      <c r="T39" s="61">
        <v>4000593.3727049646</v>
      </c>
      <c r="U39" s="61">
        <v>2528057.1866902271</v>
      </c>
      <c r="V39" s="61">
        <v>2755881.3595626606</v>
      </c>
      <c r="W39" s="61">
        <v>3285302.0897918325</v>
      </c>
    </row>
    <row r="40" spans="1:24">
      <c r="A40" s="65"/>
      <c r="B40" s="424">
        <v>0.3</v>
      </c>
      <c r="C40" s="65">
        <v>-7.0000000000000001E-3</v>
      </c>
      <c r="D40" s="65">
        <v>61.027000000000001</v>
      </c>
      <c r="E40" s="65">
        <v>115.008</v>
      </c>
      <c r="F40" s="65">
        <v>162.75200000000001</v>
      </c>
      <c r="G40" s="65">
        <v>204.994</v>
      </c>
      <c r="H40" s="65">
        <v>217.96799999999999</v>
      </c>
      <c r="I40" s="65">
        <v>242.392</v>
      </c>
      <c r="J40" s="65">
        <v>285.73099999999999</v>
      </c>
      <c r="K40" s="65">
        <v>314.01</v>
      </c>
      <c r="Q40">
        <v>2100</v>
      </c>
      <c r="R40" s="61">
        <v>6872520.6186918877</v>
      </c>
      <c r="S40" s="61">
        <v>5993987.8717723014</v>
      </c>
      <c r="T40" s="61">
        <v>5783215.9890215481</v>
      </c>
      <c r="U40" s="61">
        <v>3654533.0607650261</v>
      </c>
      <c r="V40" s="61">
        <v>3983873.3051974699</v>
      </c>
      <c r="W40" s="61">
        <v>4749198.3824398573</v>
      </c>
    </row>
    <row r="41" spans="1:24">
      <c r="A41" s="629" t="s">
        <v>238</v>
      </c>
      <c r="B41" s="424">
        <v>0.4</v>
      </c>
      <c r="C41" s="65">
        <v>-7.0000000000000001E-3</v>
      </c>
      <c r="D41" s="65">
        <v>74.486999999999995</v>
      </c>
      <c r="E41" s="65">
        <v>140.38499999999999</v>
      </c>
      <c r="F41" s="65">
        <v>198.68199999999999</v>
      </c>
      <c r="G41" s="65">
        <v>250.27</v>
      </c>
      <c r="H41" s="65">
        <v>266.11599999999999</v>
      </c>
      <c r="I41" s="65">
        <v>295.952</v>
      </c>
      <c r="J41" s="65">
        <v>348.90100000000001</v>
      </c>
      <c r="K41" s="65">
        <v>383.459</v>
      </c>
      <c r="R41" s="581" t="s">
        <v>244</v>
      </c>
      <c r="S41" s="581"/>
      <c r="T41" s="581"/>
      <c r="U41" s="581"/>
      <c r="V41" s="581"/>
      <c r="W41" s="581"/>
    </row>
    <row r="42" spans="1:24">
      <c r="A42" s="629"/>
      <c r="B42" s="424">
        <v>0.5</v>
      </c>
      <c r="C42" s="65">
        <v>-7.0000000000000001E-3</v>
      </c>
      <c r="D42" s="65">
        <v>87.947999999999993</v>
      </c>
      <c r="E42" s="65">
        <v>165.76300000000001</v>
      </c>
      <c r="F42" s="65">
        <v>234.61199999999999</v>
      </c>
      <c r="G42" s="65">
        <v>295.54599999999999</v>
      </c>
      <c r="H42" s="65">
        <v>314.26499999999999</v>
      </c>
      <c r="I42" s="65">
        <v>349.51100000000002</v>
      </c>
      <c r="J42" s="65">
        <v>412.07100000000003</v>
      </c>
      <c r="K42" s="65">
        <v>452.90699999999998</v>
      </c>
      <c r="Q42">
        <v>2020</v>
      </c>
      <c r="R42" s="320" t="s">
        <v>240</v>
      </c>
      <c r="S42" s="320" t="s">
        <v>240</v>
      </c>
      <c r="T42" s="61">
        <f>T4*T23/'Demographic-Economic'!E$29</f>
        <v>5579109363.0308828</v>
      </c>
      <c r="U42" s="61">
        <f>U4*U23/'Demographic-Economic'!F$29</f>
        <v>1684893045.5825496</v>
      </c>
      <c r="V42" s="61">
        <f>V4*V23/'Demographic-Economic'!G$29</f>
        <v>1192736934.5996227</v>
      </c>
      <c r="W42" s="61">
        <f>W4*W23/'Demographic-Economic'!H$29</f>
        <v>431972861.01510966</v>
      </c>
      <c r="X42" s="194">
        <f>SUM(T42:W42)/(SUM('Voluntary Costs (1)'!F252:K252)*1000)</f>
        <v>6.8536089506211649E-3</v>
      </c>
    </row>
    <row r="43" spans="1:24">
      <c r="A43" s="629"/>
      <c r="B43" s="424">
        <v>0.6</v>
      </c>
      <c r="C43" s="65">
        <v>-7.0000000000000001E-3</v>
      </c>
      <c r="D43" s="65">
        <v>101.408</v>
      </c>
      <c r="E43" s="65">
        <v>191.14099999999999</v>
      </c>
      <c r="F43" s="65">
        <v>270.541</v>
      </c>
      <c r="G43" s="65">
        <v>340.822</v>
      </c>
      <c r="H43" s="65">
        <v>362.41399999999999</v>
      </c>
      <c r="I43" s="65">
        <v>403.07</v>
      </c>
      <c r="J43" s="65">
        <v>475.24200000000002</v>
      </c>
      <c r="K43" s="65">
        <v>522.35599999999999</v>
      </c>
      <c r="Q43">
        <v>2021</v>
      </c>
      <c r="R43" s="320" t="s">
        <v>240</v>
      </c>
      <c r="S43" s="320" t="s">
        <v>240</v>
      </c>
      <c r="T43" s="61">
        <f>T5*T24/'Demographic-Economic'!E$29</f>
        <v>6148452803.361516</v>
      </c>
      <c r="U43" s="61">
        <f>U5*U24/'Demographic-Economic'!F$29</f>
        <v>1601045986.696939</v>
      </c>
      <c r="V43" s="61">
        <f>V5*V24/'Demographic-Economic'!G$29</f>
        <v>1180664120.5690265</v>
      </c>
      <c r="W43" s="61">
        <f>W5*W24/'Demographic-Economic'!H$29</f>
        <v>452955081.27557385</v>
      </c>
      <c r="X43" s="194">
        <f>SUM(T43:W43)/(SUM('Voluntary Costs (1)'!F253:K253)*1000)</f>
        <v>6.8702539762512524E-3</v>
      </c>
    </row>
    <row r="44" spans="1:24">
      <c r="A44" s="65"/>
      <c r="B44" s="424">
        <v>0.7</v>
      </c>
      <c r="C44" s="65">
        <v>-7.0000000000000001E-3</v>
      </c>
      <c r="D44" s="65">
        <v>114.86799999999999</v>
      </c>
      <c r="E44" s="65">
        <v>216.51900000000001</v>
      </c>
      <c r="F44" s="65">
        <v>306.471</v>
      </c>
      <c r="G44" s="65">
        <v>386.09800000000001</v>
      </c>
      <c r="H44" s="65">
        <v>410.56200000000001</v>
      </c>
      <c r="I44" s="65">
        <v>456.63</v>
      </c>
      <c r="J44" s="65">
        <v>538.41200000000003</v>
      </c>
      <c r="K44" s="65">
        <v>591.80399999999997</v>
      </c>
      <c r="Q44">
        <v>2022</v>
      </c>
      <c r="R44" s="320" t="s">
        <v>240</v>
      </c>
      <c r="S44" s="320" t="s">
        <v>240</v>
      </c>
      <c r="T44" s="61">
        <f>T6*T25/'Demographic-Economic'!E$29</f>
        <v>6720543669.92939</v>
      </c>
      <c r="U44" s="61">
        <f>U6*U25/'Demographic-Economic'!F$29</f>
        <v>1523532393.9616237</v>
      </c>
      <c r="V44" s="61">
        <f>V6*V25/'Demographic-Economic'!G$29</f>
        <v>1171680665.6315451</v>
      </c>
      <c r="W44" s="61">
        <f>W6*W25/'Demographic-Economic'!H$29</f>
        <v>474538448.58277738</v>
      </c>
      <c r="X44" s="194">
        <f>SUM(T44:W44)/(SUM('Voluntary Costs (1)'!F254:K254)*1000)</f>
        <v>6.8942045087100881E-3</v>
      </c>
    </row>
    <row r="45" spans="1:24">
      <c r="A45" s="65"/>
      <c r="B45" s="424">
        <v>0.8</v>
      </c>
      <c r="C45" s="65">
        <v>-7.0000000000000001E-3</v>
      </c>
      <c r="D45" s="65">
        <v>128.32900000000001</v>
      </c>
      <c r="E45" s="65">
        <v>241.89699999999999</v>
      </c>
      <c r="F45" s="65">
        <v>342.40100000000001</v>
      </c>
      <c r="G45" s="65">
        <v>431.37400000000002</v>
      </c>
      <c r="H45" s="65">
        <v>458.71100000000001</v>
      </c>
      <c r="I45" s="65">
        <v>510.18900000000002</v>
      </c>
      <c r="J45" s="65">
        <v>601.58199999999999</v>
      </c>
      <c r="K45" s="65">
        <v>661.25300000000004</v>
      </c>
      <c r="Q45">
        <v>2023</v>
      </c>
      <c r="R45" s="320" t="s">
        <v>240</v>
      </c>
      <c r="S45" s="320" t="s">
        <v>240</v>
      </c>
      <c r="T45" s="61">
        <f>T7*T26/'Demographic-Economic'!E$29</f>
        <v>7297601067.8939676</v>
      </c>
      <c r="U45" s="61">
        <f>U7*U26/'Demographic-Economic'!F$29</f>
        <v>1451618197.9736087</v>
      </c>
      <c r="V45" s="61">
        <f>V7*V26/'Demographic-Economic'!G$29</f>
        <v>1165532866.6597581</v>
      </c>
      <c r="W45" s="61">
        <f>W7*W26/'Demographic-Economic'!H$29</f>
        <v>496770531.8518244</v>
      </c>
      <c r="X45" s="194">
        <f>SUM(T45:W45)/(SUM('Voluntary Costs (1)'!F255:K255)*1000)</f>
        <v>6.9253079495894569E-3</v>
      </c>
    </row>
    <row r="46" spans="1:24">
      <c r="A46" s="65"/>
      <c r="B46" s="424">
        <v>0.9</v>
      </c>
      <c r="C46" s="65">
        <v>-7.0000000000000001E-3</v>
      </c>
      <c r="D46" s="65">
        <v>141.78899999999999</v>
      </c>
      <c r="E46" s="65">
        <v>267.274</v>
      </c>
      <c r="F46" s="65">
        <v>378.33100000000002</v>
      </c>
      <c r="G46" s="65">
        <v>476.65</v>
      </c>
      <c r="H46" s="65">
        <v>506.86</v>
      </c>
      <c r="I46" s="65">
        <v>563.74900000000002</v>
      </c>
      <c r="J46" s="65">
        <v>664.75199999999995</v>
      </c>
      <c r="K46" s="65">
        <v>730.70100000000002</v>
      </c>
      <c r="Q46">
        <v>2024</v>
      </c>
      <c r="R46" s="320" t="s">
        <v>240</v>
      </c>
      <c r="S46" s="320" t="s">
        <v>240</v>
      </c>
      <c r="T46" s="61">
        <f>T8*T27/'Demographic-Economic'!E$29</f>
        <v>7881655466.4182281</v>
      </c>
      <c r="U46" s="61">
        <f>U8*U27/'Demographic-Economic'!F$29</f>
        <v>1384670406.6510131</v>
      </c>
      <c r="V46" s="61">
        <f>V8*V27/'Demographic-Economic'!G$29</f>
        <v>1162006084.7164872</v>
      </c>
      <c r="W46" s="61">
        <f>W8*W27/'Demographic-Economic'!H$29</f>
        <v>519697681.5869562</v>
      </c>
      <c r="X46" s="194">
        <f>SUM(T46:W46)/(SUM('Voluntary Costs (1)'!F256:K256)*1000)</f>
        <v>6.9634067998059742E-3</v>
      </c>
    </row>
    <row r="47" spans="1:24">
      <c r="A47" s="65"/>
      <c r="B47" s="424">
        <v>1</v>
      </c>
      <c r="C47" s="65">
        <v>-7.0000000000000001E-3</v>
      </c>
      <c r="D47" s="65">
        <v>155.249</v>
      </c>
      <c r="E47" s="65">
        <v>292.65199999999999</v>
      </c>
      <c r="F47" s="65">
        <v>414.26100000000002</v>
      </c>
      <c r="G47" s="65">
        <v>521.92600000000004</v>
      </c>
      <c r="H47" s="65">
        <v>555.00800000000004</v>
      </c>
      <c r="I47" s="65">
        <v>617.30799999999999</v>
      </c>
      <c r="J47" s="65">
        <v>727.92200000000003</v>
      </c>
      <c r="K47" s="65">
        <v>800.15</v>
      </c>
      <c r="Q47">
        <v>2025</v>
      </c>
      <c r="R47" s="320" t="s">
        <v>240</v>
      </c>
      <c r="S47" s="320" t="s">
        <v>240</v>
      </c>
      <c r="T47" s="61">
        <f>T9*T28/'Demographic-Economic'!E$29</f>
        <v>8474585008.6004562</v>
      </c>
      <c r="U47" s="61">
        <f>U9*U28/'Demographic-Economic'!F$29</f>
        <v>1322140528.7934222</v>
      </c>
      <c r="V47" s="61">
        <f>V9*V28/'Demographic-Economic'!G$29</f>
        <v>1160918494.7026322</v>
      </c>
      <c r="W47" s="61">
        <f>W9*W28/'Demographic-Economic'!H$29</f>
        <v>543365461.74067795</v>
      </c>
      <c r="X47" s="194">
        <f>SUM(T47:W47)/(SUM('Voluntary Costs (1)'!F257:K257)*1000)</f>
        <v>7.0083481665643944E-3</v>
      </c>
    </row>
    <row r="48" spans="1:24">
      <c r="Q48">
        <v>2026</v>
      </c>
      <c r="R48" s="320" t="s">
        <v>240</v>
      </c>
      <c r="S48" s="320" t="s">
        <v>240</v>
      </c>
      <c r="T48" s="61">
        <f>T10*T29/'Demographic-Economic'!E$29</f>
        <v>9078145262.0937119</v>
      </c>
      <c r="U48" s="61">
        <f>U10*U29/'Demographic-Economic'!F$29</f>
        <v>1263551098.6865067</v>
      </c>
      <c r="V48" s="61">
        <f>V10*V29/'Demographic-Economic'!G$29</f>
        <v>1162116010.7484021</v>
      </c>
      <c r="W48" s="61">
        <f>W10*W29/'Demographic-Economic'!H$29</f>
        <v>567819012.0692203</v>
      </c>
      <c r="X48" s="194">
        <f>SUM(T48:W48)/(SUM('Voluntary Costs (1)'!F258:K258)*1000)</f>
        <v>7.0599895988596026E-3</v>
      </c>
    </row>
    <row r="49" spans="17:24">
      <c r="Q49">
        <v>2027</v>
      </c>
      <c r="R49" s="320" t="s">
        <v>240</v>
      </c>
      <c r="S49" s="320" t="s">
        <v>240</v>
      </c>
      <c r="T49" s="61">
        <f>T11*T30/'Demographic-Economic'!E$29</f>
        <v>9693993792.9188843</v>
      </c>
      <c r="U49" s="61">
        <f>U11*U30/'Demographic-Economic'!F$29</f>
        <v>1208484653.1211896</v>
      </c>
      <c r="V49" s="61">
        <f>V11*V30/'Demographic-Economic'!G$29</f>
        <v>1165468141.5125387</v>
      </c>
      <c r="W49" s="61">
        <f>W11*W30/'Demographic-Economic'!H$29</f>
        <v>593103355.76950943</v>
      </c>
      <c r="X49" s="194">
        <f>SUM(T49:W49)/(SUM('Voluntary Costs (1)'!F259:K259)*1000)</f>
        <v>7.1182025286075619E-3</v>
      </c>
    </row>
    <row r="50" spans="17:24">
      <c r="Q50">
        <v>2028</v>
      </c>
      <c r="R50" s="320" t="s">
        <v>240</v>
      </c>
      <c r="S50" s="320" t="s">
        <v>240</v>
      </c>
      <c r="T50" s="61">
        <f>T12*T31/'Demographic-Economic'!E$29</f>
        <v>10323710627.287519</v>
      </c>
      <c r="U50" s="61">
        <f>U12*U31/'Demographic-Economic'!F$29</f>
        <v>1156574661.4069188</v>
      </c>
      <c r="V50" s="61">
        <f>V12*V31/'Demographic-Economic'!G$29</f>
        <v>1170864586.1371706</v>
      </c>
      <c r="W50" s="61">
        <f>W12*W31/'Demographic-Economic'!H$29</f>
        <v>619263663.83828008</v>
      </c>
      <c r="X50" s="194">
        <f>SUM(T50:W50)/(SUM('Voluntary Costs (1)'!F260:K260)*1000)</f>
        <v>7.1828741515377725E-3</v>
      </c>
    </row>
    <row r="51" spans="17:24">
      <c r="Q51">
        <v>2029</v>
      </c>
      <c r="R51" s="320" t="s">
        <v>240</v>
      </c>
      <c r="S51" s="320" t="s">
        <v>240</v>
      </c>
      <c r="T51" s="61">
        <f>T13*T32/'Demographic-Economic'!E$29</f>
        <v>10968815427.980104</v>
      </c>
      <c r="U51" s="61">
        <f>U13*U32/'Demographic-Economic'!F$29</f>
        <v>1107498020.8843853</v>
      </c>
      <c r="V51" s="61">
        <f>V13*V32/'Demographic-Economic'!G$29</f>
        <v>1178212424.0450261</v>
      </c>
      <c r="W51" s="61">
        <f>W13*W32/'Demographic-Economic'!H$29</f>
        <v>646345485.07729125</v>
      </c>
      <c r="X51" s="194">
        <f>SUM(T51:W51)/(SUM('Voluntary Costs (1)'!F261:K261)*1000)</f>
        <v>7.2539082972325935E-3</v>
      </c>
    </row>
    <row r="52" spans="17:24">
      <c r="Q52">
        <v>2030</v>
      </c>
      <c r="R52" s="320" t="s">
        <v>240</v>
      </c>
      <c r="S52" s="320" t="s">
        <v>240</v>
      </c>
      <c r="T52" s="61">
        <f>T14*T33/'Demographic-Economic'!E$29</f>
        <v>11630782031.626318</v>
      </c>
      <c r="U52" s="61">
        <f>U14*U33/'Demographic-Economic'!F$29</f>
        <v>1060968815.1053905</v>
      </c>
      <c r="V52" s="61">
        <f>V14*V33/'Demographic-Economic'!G$29</f>
        <v>1187433783.8634324</v>
      </c>
      <c r="W52" s="61">
        <f>W14*W33/'Demographic-Economic'!H$29</f>
        <v>674394948.7592802</v>
      </c>
      <c r="X52" s="194">
        <f>SUM(T52:W52)/(SUM('Voluntary Costs (1)'!F262:K262)*1000)</f>
        <v>7.3312256524114619E-3</v>
      </c>
    </row>
    <row r="53" spans="17:24">
      <c r="Q53">
        <v>2040</v>
      </c>
      <c r="R53" s="320" t="s">
        <v>240</v>
      </c>
      <c r="S53" s="320" t="s">
        <v>240</v>
      </c>
      <c r="T53" s="61">
        <f>T15*T34/'Demographic-Economic'!E$29</f>
        <v>19002468327.535122</v>
      </c>
      <c r="U53" s="61">
        <f>U15*U34/'Demographic-Economic'!F$29</f>
        <v>722714004.50672543</v>
      </c>
      <c r="V53" s="61">
        <f>V15*V34/'Demographic-Economic'!G$29</f>
        <v>1414138401.4586639</v>
      </c>
      <c r="W53" s="61">
        <f>W15*W34/'Demographic-Economic'!H$29</f>
        <v>981670792.83620691</v>
      </c>
      <c r="X53" s="194">
        <f>SUM(T53:W53)/(SUM('Voluntary Costs (1)'!F263:K263)*1000)</f>
        <v>7.7807949063282943E-3</v>
      </c>
    </row>
    <row r="54" spans="17:24">
      <c r="Q54">
        <v>2050</v>
      </c>
      <c r="R54" s="320" t="s">
        <v>240</v>
      </c>
      <c r="S54" s="320" t="s">
        <v>240</v>
      </c>
      <c r="T54" s="61">
        <f>T16*T35/'Demographic-Economic'!E$29</f>
        <v>28236080164.505947</v>
      </c>
      <c r="U54" s="61">
        <f>U16*U35/'Demographic-Economic'!F$29</f>
        <v>654646096.8090595</v>
      </c>
      <c r="V54" s="61">
        <f>V16*V35/'Demographic-Economic'!G$29</f>
        <v>1888748312.1090317</v>
      </c>
      <c r="W54" s="61">
        <f>W16*W35/'Demographic-Economic'!H$29</f>
        <v>1381278615.5566015</v>
      </c>
      <c r="X54" s="194">
        <f>SUM(T54:W54)/(SUM('Voluntary Costs (1)'!F264:K264)*1000)</f>
        <v>8.6676086698818568E-3</v>
      </c>
    </row>
    <row r="55" spans="17:24">
      <c r="Q55">
        <v>2060</v>
      </c>
      <c r="R55" s="320" t="s">
        <v>240</v>
      </c>
      <c r="S55" s="320" t="s">
        <v>240</v>
      </c>
      <c r="T55" s="61">
        <f>T17*T36/'Demographic-Economic'!E$29</f>
        <v>40211237290.075127</v>
      </c>
      <c r="U55" s="61">
        <f>U17*U36/'Demographic-Economic'!F$29</f>
        <v>763333765.4102844</v>
      </c>
      <c r="V55" s="61">
        <f>V17*V36/'Demographic-Economic'!G$29</f>
        <v>2590954574.7399659</v>
      </c>
      <c r="W55" s="61">
        <f>W17*W36/'Demographic-Economic'!H$29</f>
        <v>1908568018.9873145</v>
      </c>
      <c r="X55" s="194">
        <f>SUM(T55:W55)/(SUM('Voluntary Costs (1)'!F265:K265)*1000)</f>
        <v>1.0020144567776067E-2</v>
      </c>
    </row>
    <row r="56" spans="17:24">
      <c r="Q56">
        <v>2070</v>
      </c>
      <c r="R56" s="320" t="s">
        <v>240</v>
      </c>
      <c r="S56" s="320" t="s">
        <v>240</v>
      </c>
      <c r="T56" s="61">
        <f>T18*T37/'Demographic-Economic'!E$29</f>
        <v>55911309915.263168</v>
      </c>
      <c r="U56" s="61">
        <f>U18*U37/'Demographic-Economic'!F$29</f>
        <v>998921950.27934301</v>
      </c>
      <c r="V56" s="61">
        <f>V18*V37/'Demographic-Economic'!G$29</f>
        <v>3524142978.3355966</v>
      </c>
      <c r="W56" s="61">
        <f>W18*W37/'Demographic-Economic'!H$29</f>
        <v>2604099791.0013294</v>
      </c>
      <c r="X56" s="194">
        <f>SUM(T56:W56)/(SUM('Voluntary Costs (1)'!F266:K266)*1000)</f>
        <v>1.1803335722312248E-2</v>
      </c>
    </row>
    <row r="57" spans="17:24">
      <c r="Q57">
        <v>2080</v>
      </c>
      <c r="R57" s="320" t="s">
        <v>240</v>
      </c>
      <c r="S57" s="320" t="s">
        <v>240</v>
      </c>
      <c r="T57" s="61">
        <f>T19*T38/'Demographic-Economic'!E$29</f>
        <v>76230550276.716492</v>
      </c>
      <c r="U57" s="61">
        <f>U19*U38/'Demographic-Economic'!F$29</f>
        <v>1348997560.3518701</v>
      </c>
      <c r="V57" s="61">
        <f>V19*V38/'Demographic-Economic'!G$29</f>
        <v>4706804362.6652851</v>
      </c>
      <c r="W57" s="61">
        <f>W19*W38/'Demographic-Economic'!H$29</f>
        <v>3504165969.1822562</v>
      </c>
      <c r="X57" s="194">
        <f>SUM(T57:W57)/(SUM('Voluntary Costs (1)'!F267:K267)*1000)</f>
        <v>1.4166919039509033E-2</v>
      </c>
    </row>
    <row r="58" spans="17:24">
      <c r="Q58">
        <v>2090</v>
      </c>
      <c r="R58" s="320" t="s">
        <v>240</v>
      </c>
      <c r="S58" s="320" t="s">
        <v>240</v>
      </c>
      <c r="T58" s="61">
        <f>T20*T39/'Demographic-Economic'!E$29</f>
        <v>101970351662.35544</v>
      </c>
      <c r="U58" s="61">
        <f>U20*U39/'Demographic-Economic'!F$29</f>
        <v>1807840502.5008435</v>
      </c>
      <c r="V58" s="61">
        <f>V20*V39/'Demographic-Economic'!G$29</f>
        <v>6148220108.3337803</v>
      </c>
      <c r="W58" s="61">
        <f>W20*W39/'Demographic-Economic'!H$29</f>
        <v>4641094865.3439999</v>
      </c>
      <c r="X58" s="194">
        <f>SUM(T58:W58)/(SUM('Voluntary Costs (1)'!F268:K268)*1000)</f>
        <v>1.7136219145342146E-2</v>
      </c>
    </row>
    <row r="59" spans="17:24">
      <c r="Q59">
        <v>2100</v>
      </c>
      <c r="R59" s="320" t="s">
        <v>240</v>
      </c>
      <c r="S59" s="320" t="s">
        <v>240</v>
      </c>
      <c r="T59" s="61">
        <f>T21*T40/'Demographic-Economic'!E$29</f>
        <v>134245452191.36609</v>
      </c>
      <c r="U59" s="61">
        <f>U21*U40/'Demographic-Economic'!F$29</f>
        <v>2357772216.1430578</v>
      </c>
      <c r="V59" s="61">
        <f>V21*V40/'Demographic-Economic'!G$29</f>
        <v>7850044885.6670485</v>
      </c>
      <c r="W59" s="61">
        <f>W21*W40/'Demographic-Economic'!H$29</f>
        <v>6061404084.5682611</v>
      </c>
      <c r="X59" s="194">
        <f>SUM(T59:W59)/(SUM('Voluntary Costs (1)'!F269:K269)*1000)</f>
        <v>2.0899903765785748E-2</v>
      </c>
    </row>
  </sheetData>
  <mergeCells count="7">
    <mergeCell ref="B20:C21"/>
    <mergeCell ref="A41:A43"/>
    <mergeCell ref="R3:W3"/>
    <mergeCell ref="R22:W22"/>
    <mergeCell ref="R41:W41"/>
    <mergeCell ref="A11:A13"/>
    <mergeCell ref="C4:F4"/>
  </mergeCell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1B9A2-0A86-6B43-B2C8-2A1B143491D9}">
  <sheetPr>
    <tabColor theme="9" tint="0.79998168889431442"/>
  </sheetPr>
  <dimension ref="B2:L269"/>
  <sheetViews>
    <sheetView workbookViewId="0">
      <pane xSplit="5" ySplit="3" topLeftCell="F125" activePane="bottomRight" state="frozen"/>
      <selection pane="bottomRight" activeCell="J195" sqref="J195"/>
      <selection pane="bottomLeft" activeCell="A4" sqref="A4"/>
      <selection pane="topRight" activeCell="F1" sqref="F1"/>
    </sheetView>
  </sheetViews>
  <sheetFormatPr defaultColWidth="11.42578125" defaultRowHeight="15"/>
  <cols>
    <col min="1" max="1" width="1.7109375" customWidth="1"/>
    <col min="2" max="2" width="33.140625" bestFit="1" customWidth="1"/>
    <col min="6" max="11" width="15.7109375" customWidth="1"/>
  </cols>
  <sheetData>
    <row r="2" spans="2:11">
      <c r="B2" s="582" t="s">
        <v>228</v>
      </c>
      <c r="C2" s="582"/>
      <c r="F2" s="582" t="s">
        <v>202</v>
      </c>
      <c r="G2" s="582"/>
      <c r="H2" s="582"/>
      <c r="I2" s="582"/>
      <c r="J2" s="582"/>
      <c r="K2" s="582"/>
    </row>
    <row r="3" spans="2:11">
      <c r="B3" t="s">
        <v>229</v>
      </c>
      <c r="C3" s="59">
        <v>1.2999999999999999E-2</v>
      </c>
      <c r="F3" s="185" t="s">
        <v>230</v>
      </c>
      <c r="G3" s="185" t="s">
        <v>3</v>
      </c>
      <c r="H3" s="185" t="s">
        <v>231</v>
      </c>
      <c r="I3" s="185" t="s">
        <v>5</v>
      </c>
      <c r="J3" s="185" t="s">
        <v>232</v>
      </c>
      <c r="K3" s="185" t="s">
        <v>233</v>
      </c>
    </row>
    <row r="4" spans="2:11">
      <c r="B4" t="s">
        <v>234</v>
      </c>
      <c r="C4" s="59">
        <f>0.05/10</f>
        <v>5.0000000000000001E-3</v>
      </c>
      <c r="F4" s="581" t="s">
        <v>235</v>
      </c>
      <c r="G4" s="581"/>
      <c r="H4" s="581"/>
      <c r="I4" s="581"/>
      <c r="J4" s="581"/>
      <c r="K4" s="581"/>
    </row>
    <row r="5" spans="2:11">
      <c r="B5" t="s">
        <v>236</v>
      </c>
      <c r="C5">
        <v>0.25</v>
      </c>
      <c r="E5">
        <v>2020</v>
      </c>
      <c r="F5" s="61">
        <f>'Demographic-Economic'!C10</f>
        <v>6306408</v>
      </c>
      <c r="G5" s="61">
        <f>'Demographic-Economic'!D10</f>
        <v>4212348</v>
      </c>
      <c r="H5" s="61">
        <f>'Demographic-Economic'!E10</f>
        <v>4993764</v>
      </c>
      <c r="I5" s="61">
        <f>'Demographic-Economic'!F10</f>
        <v>1010676</v>
      </c>
      <c r="J5" s="61">
        <f>'Demographic-Economic'!G10</f>
        <v>1266672</v>
      </c>
      <c r="K5" s="61">
        <f>'Demographic-Economic'!H10</f>
        <v>307884</v>
      </c>
    </row>
    <row r="6" spans="2:11">
      <c r="B6" t="s">
        <v>237</v>
      </c>
      <c r="C6" s="180">
        <f>'Inflation-Interest'!C70</f>
        <v>3.7539166666666658E-2</v>
      </c>
      <c r="E6">
        <v>2021</v>
      </c>
      <c r="F6" s="61">
        <f>(F5+0.5*F81)*'Economic Projections'!$C4/'Economic Projections'!$C3</f>
        <v>6344372.8247700399</v>
      </c>
      <c r="G6" s="61">
        <f>(G5+0.5*G81)*'Economic Projections'!$C4/'Economic Projections'!$C3</f>
        <v>4220713.1917411303</v>
      </c>
      <c r="H6" s="61">
        <f>(H5+0.5*H81)*'Economic Projections'!$C4/'Economic Projections'!$C3</f>
        <v>5059332.5049463846</v>
      </c>
      <c r="I6" s="61">
        <f>(I5+0.5*I81)*'Economic Projections'!$C4/'Economic Projections'!$C3</f>
        <v>1030392.7767252373</v>
      </c>
      <c r="J6" s="61">
        <f>(J5+0.5*J81)*'Economic Projections'!$C4/'Economic Projections'!$C3</f>
        <v>1284688.9950231127</v>
      </c>
      <c r="K6" s="61">
        <f>(K5+0.5*K81)*'Economic Projections'!$C4/'Economic Projections'!$C3</f>
        <v>312831.71730657946</v>
      </c>
    </row>
    <row r="7" spans="2:11">
      <c r="E7">
        <v>2022</v>
      </c>
      <c r="F7" s="61">
        <f>(F6+0.5*F82)*'Economic Projections'!$C5/'Economic Projections'!$C4</f>
        <v>6382108.4103662288</v>
      </c>
      <c r="G7" s="61">
        <f>(G6+0.5*G82)*'Economic Projections'!$C5/'Economic Projections'!$C4</f>
        <v>4228791.6642866256</v>
      </c>
      <c r="H7" s="61">
        <f>(H6+0.5*H82)*'Economic Projections'!$C5/'Economic Projections'!$C4</f>
        <v>5126443.8201018665</v>
      </c>
      <c r="I7" s="61">
        <f>(I6+0.5*I82)*'Economic Projections'!$C5/'Economic Projections'!$C4</f>
        <v>1049316.0771233933</v>
      </c>
      <c r="J7" s="61">
        <f>(J6+0.5*J82)*'Economic Projections'!$C5/'Economic Projections'!$C4</f>
        <v>1302413.7388102778</v>
      </c>
      <c r="K7" s="61">
        <f>(K6+0.5*K82)*'Economic Projections'!$C5/'Economic Projections'!$C4</f>
        <v>317838.31033657672</v>
      </c>
    </row>
    <row r="8" spans="2:11">
      <c r="E8">
        <v>2023</v>
      </c>
      <c r="F8" s="61">
        <f>(F7+0.5*F83)*'Economic Projections'!$C6/'Economic Projections'!$C5</f>
        <v>6419615.6657042811</v>
      </c>
      <c r="G8" s="61">
        <f>(G7+0.5*G83)*'Economic Projections'!$C6/'Economic Projections'!$C5</f>
        <v>4236586.7915566778</v>
      </c>
      <c r="H8" s="61">
        <f>(H7+0.5*H83)*'Economic Projections'!$C6/'Economic Projections'!$C5</f>
        <v>5195058.4916578904</v>
      </c>
      <c r="I8" s="61">
        <f>(I7+0.5*I83)*'Economic Projections'!$C6/'Economic Projections'!$C5</f>
        <v>1067473.2485525818</v>
      </c>
      <c r="J8" s="61">
        <f>(J7+0.5*J83)*'Economic Projections'!$C6/'Economic Projections'!$C5</f>
        <v>1319855.9697416881</v>
      </c>
      <c r="K8" s="61">
        <f>(K7+0.5*K83)*'Economic Projections'!$C6/'Economic Projections'!$C5</f>
        <v>322901.86432432954</v>
      </c>
    </row>
    <row r="9" spans="2:11">
      <c r="E9">
        <v>2024</v>
      </c>
      <c r="F9" s="61">
        <f>(F8+0.5*F84)*'Economic Projections'!$C7/'Economic Projections'!$C6</f>
        <v>6456895.4965880793</v>
      </c>
      <c r="G9" s="61">
        <f>(G8+0.5*G84)*'Economic Projections'!$C7/'Economic Projections'!$C6</f>
        <v>4244101.9157244042</v>
      </c>
      <c r="H9" s="61">
        <f>(H8+0.5*H84)*'Economic Projections'!$C7/'Economic Projections'!$C6</f>
        <v>5265134.4187795557</v>
      </c>
      <c r="I9" s="61">
        <f>(I8+0.5*I84)*'Economic Projections'!$C7/'Economic Projections'!$C6</f>
        <v>1084893.5533886058</v>
      </c>
      <c r="J9" s="61">
        <f>(J8+0.5*J84)*'Economic Projections'!$C7/'Economic Projections'!$C6</f>
        <v>1337026.2289308482</v>
      </c>
      <c r="K9" s="61">
        <f>(K8+0.5*K84)*'Economic Projections'!$C7/'Economic Projections'!$C6</f>
        <v>328020.42863843939</v>
      </c>
    </row>
    <row r="10" spans="2:11">
      <c r="E10">
        <v>2025</v>
      </c>
      <c r="F10" s="61">
        <f>(F9+0.5*F85)*'Economic Projections'!$C8/'Economic Projections'!$C7</f>
        <v>6493948.805719546</v>
      </c>
      <c r="G10" s="61">
        <f>(G9+0.5*G85)*'Economic Projections'!$C8/'Economic Projections'!$C7</f>
        <v>4251340.3474860052</v>
      </c>
      <c r="H10" s="61">
        <f>(H9+0.5*H85)*'Economic Projections'!$C8/'Economic Projections'!$C7</f>
        <v>5336627.3875908712</v>
      </c>
      <c r="I10" s="61">
        <f>(I9+0.5*I85)*'Economic Projections'!$C8/'Economic Projections'!$C7</f>
        <v>1101607.7718508206</v>
      </c>
      <c r="J10" s="61">
        <f>(J9+0.5*J85)*'Economic Projections'!$C8/'Economic Projections'!$C7</f>
        <v>1353935.7057509122</v>
      </c>
      <c r="K10" s="61">
        <f>(K9+0.5*K85)*'Economic Projections'!$C8/'Economic Projections'!$C7</f>
        <v>333192.0341642556</v>
      </c>
    </row>
    <row r="11" spans="2:11">
      <c r="E11">
        <v>2026</v>
      </c>
      <c r="F11" s="61">
        <f>(F10+0.5*F86)*'Economic Projections'!$C9/'Economic Projections'!$C8</f>
        <v>6530776.4927085042</v>
      </c>
      <c r="G11" s="61">
        <f>(G10+0.5*G86)*'Economic Projections'!$C9/'Economic Projections'!$C8</f>
        <v>4258305.3663287666</v>
      </c>
      <c r="H11" s="61">
        <f>(H10+0.5*H86)*'Economic Projections'!$C9/'Economic Projections'!$C8</f>
        <v>5409491.5922108777</v>
      </c>
      <c r="I11" s="61">
        <f>(I10+0.5*I86)*'Economic Projections'!$C9/'Economic Projections'!$C8</f>
        <v>1117647.8153771567</v>
      </c>
      <c r="J11" s="61">
        <f>(J10+0.5*J86)*'Economic Projections'!$C9/'Economic Projections'!$C8</f>
        <v>1370596.0867677082</v>
      </c>
      <c r="K11" s="61">
        <f>(K10+0.5*K86)*'Economic Projections'!$C9/'Economic Projections'!$C8</f>
        <v>338414.70968188089</v>
      </c>
    </row>
    <row r="12" spans="2:11">
      <c r="E12">
        <v>2027</v>
      </c>
      <c r="F12" s="61">
        <f>(F11+0.5*F87)*'Economic Projections'!$C10/'Economic Projections'!$C9</f>
        <v>6567379.4540824797</v>
      </c>
      <c r="G12" s="61">
        <f>(G11+0.5*G87)*'Economic Projections'!$C10/'Economic Projections'!$C9</f>
        <v>4265000.2207968915</v>
      </c>
      <c r="H12" s="61">
        <f>(H11+0.5*H87)*'Economic Projections'!$C10/'Economic Projections'!$C9</f>
        <v>5483680.1336718081</v>
      </c>
      <c r="I12" s="61">
        <f>(I11+0.5*I87)*'Economic Projections'!$C10/'Economic Projections'!$C9</f>
        <v>1133046.3572770809</v>
      </c>
      <c r="J12" s="61">
        <f>(J11+0.5*J87)*'Economic Projections'!$C10/'Economic Projections'!$C9</f>
        <v>1387019.4107642134</v>
      </c>
      <c r="K12" s="61">
        <f>(K11+0.5*K87)*'Economic Projections'!$C10/'Economic Projections'!$C9</f>
        <v>343686.4969949018</v>
      </c>
    </row>
    <row r="13" spans="2:11">
      <c r="E13">
        <v>2028</v>
      </c>
      <c r="F13" s="61">
        <f>(F12+0.5*F88)*'Economic Projections'!$C11/'Economic Projections'!$C10</f>
        <v>6603758.5832965076</v>
      </c>
      <c r="G13" s="61">
        <f>(G12+0.5*G88)*'Economic Projections'!$C11/'Economic Projections'!$C10</f>
        <v>4271428.1287552034</v>
      </c>
      <c r="H13" s="61">
        <f>(H12+0.5*H88)*'Economic Projections'!$C11/'Economic Projections'!$C10</f>
        <v>5559145.4889510442</v>
      </c>
      <c r="I13" s="61">
        <f>(I12+0.5*I88)*'Economic Projections'!$C11/'Economic Projections'!$C10</f>
        <v>1147836.4863357395</v>
      </c>
      <c r="J13" s="61">
        <f>(J12+0.5*J88)*'Economic Projections'!$C11/'Economic Projections'!$C10</f>
        <v>1403217.9321418144</v>
      </c>
      <c r="K13" s="61">
        <f>(K12+0.5*K88)*'Economic Projections'!$C11/'Economic Projections'!$C10</f>
        <v>349005.46461955027</v>
      </c>
    </row>
    <row r="14" spans="2:11">
      <c r="E14">
        <v>2029</v>
      </c>
      <c r="F14" s="61">
        <f>(F13+0.5*F89)*'Economic Projections'!$C12/'Economic Projections'!$C11</f>
        <v>6639914.7707428765</v>
      </c>
      <c r="G14" s="61">
        <f>(G13+0.5*G89)*'Economic Projections'!$C12/'Economic Projections'!$C11</f>
        <v>4277592.2776507288</v>
      </c>
      <c r="H14" s="61">
        <f>(H13+0.5*H89)*'Economic Projections'!$C12/'Economic Projections'!$C11</f>
        <v>5635839.9438976822</v>
      </c>
      <c r="I14" s="61">
        <f>(I13+0.5*I89)*'Economic Projections'!$C12/'Economic Projections'!$C11</f>
        <v>1162051.3878813249</v>
      </c>
      <c r="J14" s="61">
        <f>(J13+0.5*J89)*'Economic Projections'!$C12/'Economic Projections'!$C11</f>
        <v>1419203.9945392713</v>
      </c>
      <c r="K14" s="61">
        <f>(K13+0.5*K89)*'Economic Projections'!$C12/'Economic Projections'!$C11</f>
        <v>354369.71990045684</v>
      </c>
    </row>
    <row r="15" spans="2:11">
      <c r="E15">
        <v>2030</v>
      </c>
      <c r="F15" s="61">
        <f>(F14+0.5*F90)*'Economic Projections'!$C13/'Economic Projections'!$C12</f>
        <v>6675848.9037608718</v>
      </c>
      <c r="G15" s="61">
        <f>(G14+0.5*G90)*'Economic Projections'!$C13/'Economic Projections'!$C12</f>
        <v>4283495.8247721735</v>
      </c>
      <c r="H15" s="61">
        <f>(H14+0.5*H90)*'Economic Projections'!$C13/'Economic Projections'!$C12</f>
        <v>5713715.9854451111</v>
      </c>
      <c r="I15" s="61">
        <f>(I14+0.5*I90)*'Economic Projections'!$C13/'Economic Projections'!$C12</f>
        <v>1175724.0556256683</v>
      </c>
      <c r="J15" s="61">
        <f>(J14+0.5*J90)*'Economic Projections'!$C13/'Economic Projections'!$C12</f>
        <v>1434989.9160462557</v>
      </c>
      <c r="K15" s="61">
        <f>(K14+0.5*K90)*'Economic Projections'!$C13/'Economic Projections'!$C12</f>
        <v>359777.41947475198</v>
      </c>
    </row>
    <row r="16" spans="2:11">
      <c r="E16">
        <v>2040</v>
      </c>
      <c r="F16" s="61">
        <f>(F15+5*F91)*('Economic Projections'!$C14/'Economic Projections'!$C13)</f>
        <v>6926597.3447284028</v>
      </c>
      <c r="G16" s="61">
        <f>(G15+5*G91)*('Economic Projections'!$C14/'Economic Projections'!$C13)</f>
        <v>4262052.4164968301</v>
      </c>
      <c r="H16" s="61">
        <f>(H15+5*H91)*('Economic Projections'!$C14/'Economic Projections'!$C13)</f>
        <v>6439832.4580954378</v>
      </c>
      <c r="I16" s="61">
        <f>(I15+5*I91)*('Economic Projections'!$C14/'Economic Projections'!$C13)</f>
        <v>1292457.601557767</v>
      </c>
      <c r="J16" s="61">
        <f>(J15+5*J91)*('Economic Projections'!$C14/'Economic Projections'!$C13)</f>
        <v>1572527.2866714587</v>
      </c>
      <c r="K16" s="61">
        <f>(K15+5*K91)*('Economic Projections'!$C14/'Economic Projections'!$C13)</f>
        <v>410506.62175364525</v>
      </c>
    </row>
    <row r="17" spans="5:11">
      <c r="E17">
        <v>2050</v>
      </c>
      <c r="F17" s="61">
        <f>(F16+5*F92)*('Economic Projections'!$C15/'Economic Projections'!$C14)</f>
        <v>7045389.6712036934</v>
      </c>
      <c r="G17" s="61">
        <f>(G16+5*G92)*('Economic Projections'!$C15/'Economic Projections'!$C14)</f>
        <v>4157295.1440754263</v>
      </c>
      <c r="H17" s="61">
        <f>(H16+5*H92)*('Economic Projections'!$C15/'Economic Projections'!$C14)</f>
        <v>7129805.0942938784</v>
      </c>
      <c r="I17" s="61">
        <f>(I16+5*I92)*('Economic Projections'!$C15/'Economic Projections'!$C14)</f>
        <v>1349575.3826388097</v>
      </c>
      <c r="J17" s="61">
        <f>(J16+5*J92)*('Economic Projections'!$C15/'Economic Projections'!$C14)</f>
        <v>1669994.7726466951</v>
      </c>
      <c r="K17" s="61">
        <f>(K16+5*K92)*('Economic Projections'!$C15/'Economic Projections'!$C14)</f>
        <v>455612.18744109623</v>
      </c>
    </row>
    <row r="18" spans="5:11">
      <c r="E18">
        <v>2060</v>
      </c>
      <c r="F18" s="61">
        <f>(F17+5*F93)*('Economic Projections'!$C16/'Economic Projections'!$C15)</f>
        <v>7026566.1110134562</v>
      </c>
      <c r="G18" s="61">
        <f>(G17+5*G93)*('Economic Projections'!$C16/'Economic Projections'!$C15)</f>
        <v>3976087.8519176352</v>
      </c>
      <c r="H18" s="61">
        <f>(H17+5*H93)*('Economic Projections'!$C16/'Economic Projections'!$C15)</f>
        <v>7697716.2718169037</v>
      </c>
      <c r="I18" s="61">
        <f>(I17+5*I93)*('Economic Projections'!$C16/'Economic Projections'!$C15)</f>
        <v>1380481.6891114544</v>
      </c>
      <c r="J18" s="61">
        <f>(J17+5*J93)*('Economic Projections'!$C16/'Economic Projections'!$C15)</f>
        <v>1734761.999467049</v>
      </c>
      <c r="K18" s="61">
        <f>(K17+5*K93)*('Economic Projections'!$C16/'Economic Projections'!$C15)</f>
        <v>491470.67062882107</v>
      </c>
    </row>
    <row r="19" spans="5:11">
      <c r="E19">
        <v>2070</v>
      </c>
      <c r="F19" s="61">
        <f>(F18+5*F94)*('Economic Projections'!$C17/'Economic Projections'!$C16)</f>
        <v>6909331.8256857796</v>
      </c>
      <c r="G19" s="61">
        <f>(G18+5*G94)*('Economic Projections'!$C17/'Economic Projections'!$C16)</f>
        <v>3749349.110767236</v>
      </c>
      <c r="H19" s="61">
        <f>(H18+5*H94)*('Economic Projections'!$C17/'Economic Projections'!$C16)</f>
        <v>8150958.3016804736</v>
      </c>
      <c r="I19" s="61">
        <f>(I18+5*I94)*('Economic Projections'!$C17/'Economic Projections'!$C16)</f>
        <v>1392255.5201486524</v>
      </c>
      <c r="J19" s="61">
        <f>(J18+5*J94)*('Economic Projections'!$C17/'Economic Projections'!$C16)</f>
        <v>1776074.2814901536</v>
      </c>
      <c r="K19" s="61">
        <f>(K18+5*K94)*('Economic Projections'!$C17/'Economic Projections'!$C16)</f>
        <v>519367.87481377326</v>
      </c>
    </row>
    <row r="20" spans="5:11">
      <c r="E20">
        <v>2080</v>
      </c>
      <c r="F20" s="61">
        <f>(F19+5*F95)*('Economic Projections'!$C18/'Economic Projections'!$C17)</f>
        <v>6700992.8295677183</v>
      </c>
      <c r="G20" s="61">
        <f>(G19+5*G95)*('Economic Projections'!$C18/'Economic Projections'!$C17)</f>
        <v>3487112.658426946</v>
      </c>
      <c r="H20" s="61">
        <f>(H19+5*H95)*('Economic Projections'!$C18/'Economic Projections'!$C17)</f>
        <v>8474178.8818758354</v>
      </c>
      <c r="I20" s="61">
        <f>(I19+5*I95)*('Economic Projections'!$C18/'Economic Projections'!$C17)</f>
        <v>1384896.8757504039</v>
      </c>
      <c r="J20" s="61">
        <f>(J19+5*J95)*('Economic Projections'!$C18/'Economic Projections'!$C17)</f>
        <v>1792566.2936827864</v>
      </c>
      <c r="K20" s="61">
        <f>(K19+5*K95)*('Economic Projections'!$C18/'Economic Projections'!$C17)</f>
        <v>538681.67488816159</v>
      </c>
    </row>
    <row r="21" spans="5:11">
      <c r="E21">
        <v>2090</v>
      </c>
      <c r="F21" s="61">
        <f>(F20+5*F96)*('Economic Projections'!$C19/'Economic Projections'!$C18)</f>
        <v>6422378.2233436629</v>
      </c>
      <c r="G21" s="61">
        <f>(G20+5*G96)*('Economic Projections'!$C19/'Economic Projections'!$C18)</f>
        <v>3205012.2852890599</v>
      </c>
      <c r="H21" s="61">
        <f>(H20+5*H96)*('Economic Projections'!$C19/'Economic Projections'!$C18)</f>
        <v>8671360.7448961306</v>
      </c>
      <c r="I21" s="61">
        <f>(I20+5*I96)*('Economic Projections'!$C19/'Economic Projections'!$C18)</f>
        <v>1362725.4974237382</v>
      </c>
      <c r="J21" s="61">
        <f>(J20+5*J96)*('Economic Projections'!$C19/'Economic Projections'!$C18)</f>
        <v>1786589.9592302437</v>
      </c>
      <c r="K21" s="61">
        <f>(K20+5*K96)*('Economic Projections'!$C19/'Economic Projections'!$C18)</f>
        <v>549857.86274751939</v>
      </c>
    </row>
    <row r="22" spans="5:11">
      <c r="E22">
        <v>2100</v>
      </c>
      <c r="F22" s="61">
        <f>(F21+5*F97)*('Economic Projections'!$C20/'Economic Projections'!$C19)</f>
        <v>6112889.0240944251</v>
      </c>
      <c r="G22" s="61">
        <f>(G21+5*G97)*('Economic Projections'!$C20/'Economic Projections'!$C19)</f>
        <v>2925413.9432767346</v>
      </c>
      <c r="H22" s="61">
        <f>(H21+5*H97)*('Economic Projections'!$C20/'Economic Projections'!$C19)</f>
        <v>8781281.0070552882</v>
      </c>
      <c r="I22" s="61">
        <f>(I21+5*I97)*('Economic Projections'!$C20/'Economic Projections'!$C19)</f>
        <v>1332896.5111365695</v>
      </c>
      <c r="J22" s="61">
        <f>(J21+5*J97)*('Economic Projections'!$C20/'Economic Projections'!$C19)</f>
        <v>1766782.9242180132</v>
      </c>
      <c r="K22" s="61">
        <f>(K21+5*K97)*('Economic Projections'!$C20/'Economic Projections'!$C19)</f>
        <v>555467.28141476086</v>
      </c>
    </row>
    <row r="23" spans="5:11">
      <c r="F23" s="581" t="s">
        <v>239</v>
      </c>
      <c r="G23" s="581"/>
      <c r="H23" s="581"/>
      <c r="I23" s="581"/>
      <c r="J23" s="581"/>
      <c r="K23" s="581"/>
    </row>
    <row r="24" spans="5:11">
      <c r="E24">
        <v>2020</v>
      </c>
      <c r="F24" s="61">
        <f>'Demographic-Economic'!C14</f>
        <v>2791896</v>
      </c>
      <c r="G24" s="61">
        <f>'Demographic-Economic'!D14</f>
        <v>2523732</v>
      </c>
      <c r="H24" s="61">
        <f>'Demographic-Economic'!E14</f>
        <v>2212536</v>
      </c>
      <c r="I24" s="61">
        <f>'Demographic-Economic'!F14</f>
        <v>496548</v>
      </c>
      <c r="J24" s="61">
        <f>'Demographic-Economic'!G14</f>
        <v>566592</v>
      </c>
      <c r="K24" s="61">
        <f>'Demographic-Economic'!H14</f>
        <v>135480</v>
      </c>
    </row>
    <row r="25" spans="5:11">
      <c r="E25">
        <v>2021</v>
      </c>
      <c r="F25" s="322" t="s">
        <v>240</v>
      </c>
      <c r="G25" s="322" t="s">
        <v>240</v>
      </c>
      <c r="H25" s="61">
        <f>H24*'Demographic-Economic'!E$20</f>
        <v>2251692</v>
      </c>
      <c r="I25" s="61">
        <f>I24*('Demographic-Economic'!F$20)</f>
        <v>497628</v>
      </c>
      <c r="J25" s="61">
        <f>J24*('Demographic-Economic'!G$20)</f>
        <v>571248</v>
      </c>
      <c r="K25" s="61">
        <f>K24*('Demographic-Economic'!H$20)</f>
        <v>137808</v>
      </c>
    </row>
    <row r="26" spans="5:11">
      <c r="E26">
        <v>2022</v>
      </c>
      <c r="F26" s="322" t="s">
        <v>240</v>
      </c>
      <c r="G26" s="322" t="s">
        <v>240</v>
      </c>
      <c r="H26" s="61">
        <f>H25*'Demographic-Economic'!E$20</f>
        <v>2291540.9570122249</v>
      </c>
      <c r="I26" s="61">
        <f>I25*('Demographic-Economic'!F$20)</f>
        <v>498710.34901761764</v>
      </c>
      <c r="J26" s="61">
        <f>J25*('Demographic-Economic'!G$20)</f>
        <v>575942.26092849881</v>
      </c>
      <c r="K26" s="61">
        <f>K25*('Demographic-Economic'!H$20)</f>
        <v>140176.00283436669</v>
      </c>
    </row>
    <row r="27" spans="5:11">
      <c r="E27">
        <v>2023</v>
      </c>
      <c r="F27" s="322" t="s">
        <v>240</v>
      </c>
      <c r="G27" s="322" t="s">
        <v>240</v>
      </c>
      <c r="H27" s="61">
        <f>H26*'Demographic-Economic'!E$20</f>
        <v>2332095.1345319445</v>
      </c>
      <c r="I27" s="61">
        <f>I26*('Demographic-Economic'!F$20)</f>
        <v>499795.05216200458</v>
      </c>
      <c r="J27" s="61">
        <f>J26*('Demographic-Economic'!G$20)</f>
        <v>580675.09719671845</v>
      </c>
      <c r="K27" s="61">
        <f>K26*('Demographic-Economic'!H$20)</f>
        <v>142584.69588572782</v>
      </c>
    </row>
    <row r="28" spans="5:11">
      <c r="E28">
        <v>2024</v>
      </c>
      <c r="F28" s="322" t="s">
        <v>240</v>
      </c>
      <c r="G28" s="322" t="s">
        <v>240</v>
      </c>
      <c r="H28" s="61">
        <f>H27*'Demographic-Economic'!E$20</f>
        <v>2373367.0130856642</v>
      </c>
      <c r="I28" s="61">
        <f>I27*('Demographic-Economic'!F$20)</f>
        <v>500882.11455342488</v>
      </c>
      <c r="J28" s="61">
        <f>J27*('Demographic-Economic'!G$20)</f>
        <v>585446.82579957182</v>
      </c>
      <c r="K28" s="61">
        <f>K27*('Demographic-Economic'!H$20)</f>
        <v>145034.77834824607</v>
      </c>
    </row>
    <row r="29" spans="5:11">
      <c r="E29">
        <v>2025</v>
      </c>
      <c r="F29" s="322" t="s">
        <v>240</v>
      </c>
      <c r="G29" s="322" t="s">
        <v>240</v>
      </c>
      <c r="H29" s="61">
        <f>H28*'Demographic-Economic'!E$20</f>
        <v>2415369.2940719994</v>
      </c>
      <c r="I29" s="61">
        <f>I28*('Demographic-Economic'!F$20)</f>
        <v>501971.54132327938</v>
      </c>
      <c r="J29" s="61">
        <f>J28*('Demographic-Economic'!G$20)</f>
        <v>590257.76633689459</v>
      </c>
      <c r="K29" s="61">
        <f>K28*('Demographic-Economic'!H$20)</f>
        <v>147526.96143058085</v>
      </c>
    </row>
    <row r="30" spans="5:11">
      <c r="E30">
        <v>2026</v>
      </c>
      <c r="F30" s="322" t="s">
        <v>240</v>
      </c>
      <c r="G30" s="322" t="s">
        <v>240</v>
      </c>
      <c r="H30" s="61">
        <f>H29*'Demographic-Economic'!E$20</f>
        <v>2458114.9036705247</v>
      </c>
      <c r="I30" s="61">
        <f>I29*('Demographic-Economic'!F$20)</f>
        <v>503063.3376141297</v>
      </c>
      <c r="J30" s="61">
        <f>J29*('Demographic-Economic'!G$20)</f>
        <v>595108.24103485106</v>
      </c>
      <c r="K30" s="61">
        <f>K29*('Demographic-Economic'!H$20)</f>
        <v>150061.96856233751</v>
      </c>
    </row>
    <row r="31" spans="5:11">
      <c r="E31">
        <v>2027</v>
      </c>
      <c r="F31" s="322" t="s">
        <v>240</v>
      </c>
      <c r="G31" s="322" t="s">
        <v>240</v>
      </c>
      <c r="H31" s="61">
        <f>H30*'Demographic-Economic'!E$20</f>
        <v>2501616.9968197993</v>
      </c>
      <c r="I31" s="61">
        <f>I30*('Demographic-Economic'!F$20)</f>
        <v>504157.50857972272</v>
      </c>
      <c r="J31" s="61">
        <f>J30*('Demographic-Economic'!G$20)</f>
        <v>599998.57476751623</v>
      </c>
      <c r="K31" s="61">
        <f>K30*('Demographic-Economic'!H$20)</f>
        <v>152640.53560406412</v>
      </c>
    </row>
    <row r="32" spans="5:11">
      <c r="E32">
        <v>2028</v>
      </c>
      <c r="F32" s="322" t="s">
        <v>240</v>
      </c>
      <c r="G32" s="322" t="s">
        <v>240</v>
      </c>
      <c r="H32" s="61">
        <f>H31*'Demographic-Economic'!E$20</f>
        <v>2545888.9612657907</v>
      </c>
      <c r="I32" s="61">
        <f>I31*('Demographic-Economic'!F$20)</f>
        <v>505254.0593850147</v>
      </c>
      <c r="J32" s="61">
        <f>J31*('Demographic-Economic'!G$20)</f>
        <v>604929.09507863526</v>
      </c>
      <c r="K32" s="61">
        <f>K31*('Demographic-Economic'!H$20)</f>
        <v>155263.41106085671</v>
      </c>
    </row>
    <row r="33" spans="5:11">
      <c r="E33">
        <v>2029</v>
      </c>
      <c r="F33" s="322" t="s">
        <v>240</v>
      </c>
      <c r="G33" s="322" t="s">
        <v>240</v>
      </c>
      <c r="H33" s="61">
        <f>H32*'Demographic-Economic'!E$20</f>
        <v>2590944.421681948</v>
      </c>
      <c r="I33" s="61">
        <f>I32*('Demographic-Economic'!F$20)</f>
        <v>506352.9952061958</v>
      </c>
      <c r="J33" s="61">
        <f>J32*('Demographic-Economic'!G$20)</f>
        <v>609900.13220356137</v>
      </c>
      <c r="K33" s="61">
        <f>K32*('Demographic-Economic'!H$20)</f>
        <v>157931.35629963494</v>
      </c>
    </row>
    <row r="34" spans="5:11">
      <c r="E34">
        <v>2030</v>
      </c>
      <c r="F34" s="322" t="s">
        <v>240</v>
      </c>
      <c r="G34" s="322" t="s">
        <v>240</v>
      </c>
      <c r="H34" s="61">
        <f>H33*'Demographic-Economic'!E$20</f>
        <v>2636797.2438621875</v>
      </c>
      <c r="I34" s="61">
        <f>I33*('Demographic-Economic'!F$20)</f>
        <v>507454.3212307145</v>
      </c>
      <c r="J34" s="61">
        <f>J33*('Demographic-Economic'!G$20)</f>
        <v>614912.01909137436</v>
      </c>
      <c r="K34" s="61">
        <f>K33*('Demographic-Economic'!H$20)</f>
        <v>160645.14577015123</v>
      </c>
    </row>
    <row r="35" spans="5:11">
      <c r="E35">
        <v>2040</v>
      </c>
      <c r="F35" s="322" t="s">
        <v>240</v>
      </c>
      <c r="G35" s="322" t="s">
        <v>240</v>
      </c>
      <c r="H35" s="61">
        <f>H34*('Demographic-Economic'!E$20)^10</f>
        <v>3142412.0128392149</v>
      </c>
      <c r="I35" s="61">
        <f>I34*('Demographic-Economic'!F$20)^10</f>
        <v>518600.1919969974</v>
      </c>
      <c r="J35" s="61">
        <f>J34*('Demographic-Economic'!G$20)^10</f>
        <v>667352.85924091854</v>
      </c>
      <c r="K35" s="61">
        <f>K34*('Demographic-Economic'!H$20)^10</f>
        <v>190484.66828692899</v>
      </c>
    </row>
    <row r="36" spans="5:11">
      <c r="E36">
        <v>2050</v>
      </c>
      <c r="F36" s="322" t="s">
        <v>240</v>
      </c>
      <c r="G36" s="322" t="s">
        <v>240</v>
      </c>
      <c r="H36" s="61">
        <f>H35*('Demographic-Economic'!E$20)^10</f>
        <v>3744980.1198868025</v>
      </c>
      <c r="I36" s="61">
        <f>I35*('Demographic-Economic'!F$20)^10</f>
        <v>529990.87383285083</v>
      </c>
      <c r="J36" s="61">
        <f>J35*('Demographic-Economic'!G$20)^10</f>
        <v>724265.95172934793</v>
      </c>
      <c r="K36" s="61">
        <f>K35*('Demographic-Economic'!H$20)^10</f>
        <v>225866.82391447164</v>
      </c>
    </row>
    <row r="37" spans="5:11">
      <c r="E37">
        <v>2060</v>
      </c>
      <c r="F37" s="322" t="s">
        <v>240</v>
      </c>
      <c r="G37" s="322" t="s">
        <v>240</v>
      </c>
      <c r="H37" s="61">
        <f>H36*('Demographic-Economic'!E$20)^10</f>
        <v>4463092.6947340975</v>
      </c>
      <c r="I37" s="61">
        <f>I36*('Demographic-Economic'!F$20)^10</f>
        <v>541631.74383810314</v>
      </c>
      <c r="J37" s="61">
        <f>J36*('Demographic-Economic'!G$20)^10</f>
        <v>786032.69855033059</v>
      </c>
      <c r="K37" s="61">
        <f>K36*('Demographic-Economic'!H$20)^10</f>
        <v>267821.14594317524</v>
      </c>
    </row>
    <row r="38" spans="5:11">
      <c r="E38">
        <v>2070</v>
      </c>
      <c r="F38" s="322" t="s">
        <v>240</v>
      </c>
      <c r="G38" s="322" t="s">
        <v>240</v>
      </c>
      <c r="H38" s="61">
        <f>H37*('Demographic-Economic'!E$20)^10</f>
        <v>5318905.7789687151</v>
      </c>
      <c r="I38" s="61">
        <f>I37*('Demographic-Economic'!F$20)^10</f>
        <v>553528.29721672973</v>
      </c>
      <c r="J38" s="61">
        <f>J37*('Demographic-Economic'!G$20)^10</f>
        <v>853067.02836860577</v>
      </c>
      <c r="K38" s="61">
        <f>K37*('Demographic-Economic'!H$20)^10</f>
        <v>317568.4014642039</v>
      </c>
    </row>
    <row r="39" spans="5:11">
      <c r="E39">
        <v>2080</v>
      </c>
      <c r="F39" s="322" t="s">
        <v>240</v>
      </c>
      <c r="G39" s="322" t="s">
        <v>240</v>
      </c>
      <c r="H39" s="61">
        <f>H38*('Demographic-Economic'!E$20)^10</f>
        <v>6338823.9099148503</v>
      </c>
      <c r="I39" s="61">
        <f>I38*('Demographic-Economic'!F$20)^10</f>
        <v>565686.14987092617</v>
      </c>
      <c r="J39" s="61">
        <f>J38*('Demographic-Economic'!G$20)^10</f>
        <v>925818.17045496183</v>
      </c>
      <c r="K39" s="61">
        <f>K38*('Demographic-Economic'!H$20)^10</f>
        <v>376556.11267501442</v>
      </c>
    </row>
    <row r="40" spans="5:11">
      <c r="E40">
        <v>2090</v>
      </c>
      <c r="F40" s="322" t="s">
        <v>240</v>
      </c>
      <c r="G40" s="322" t="s">
        <v>240</v>
      </c>
      <c r="H40" s="61">
        <f>H39*('Demographic-Economic'!E$20)^10</f>
        <v>7554314.7840266572</v>
      </c>
      <c r="I40" s="61">
        <f>I39*('Demographic-Economic'!F$20)^10</f>
        <v>578111.04105215799</v>
      </c>
      <c r="J40" s="61">
        <f>J39*('Demographic-Economic'!G$20)^10</f>
        <v>1004773.6651875465</v>
      </c>
      <c r="K40" s="61">
        <f>K39*('Demographic-Economic'!H$20)^10</f>
        <v>446500.67619810445</v>
      </c>
    </row>
    <row r="41" spans="5:11">
      <c r="E41">
        <v>2100</v>
      </c>
      <c r="F41" s="322" t="s">
        <v>240</v>
      </c>
      <c r="G41" s="322" t="s">
        <v>240</v>
      </c>
      <c r="H41" s="61">
        <f>H40*('Demographic-Economic'!E$20)^10</f>
        <v>9002880.1347362734</v>
      </c>
      <c r="I41" s="61">
        <f>I40*('Demographic-Economic'!F$20)^10</f>
        <v>590808.8360704392</v>
      </c>
      <c r="J41" s="61">
        <f>J40*('Demographic-Economic'!G$20)^10</f>
        <v>1090462.6312943252</v>
      </c>
      <c r="K41" s="61">
        <f>K40*('Demographic-Economic'!H$20)^10</f>
        <v>529437.30598107167</v>
      </c>
    </row>
    <row r="42" spans="5:11">
      <c r="F42" s="581" t="s">
        <v>241</v>
      </c>
      <c r="G42" s="581"/>
      <c r="H42" s="581"/>
      <c r="I42" s="581"/>
      <c r="J42" s="581"/>
      <c r="K42" s="581"/>
    </row>
    <row r="43" spans="5:11">
      <c r="E43">
        <v>2020</v>
      </c>
      <c r="F43" s="61">
        <f>F5/'Demographic-Economic'!C$29</f>
        <v>2473101.1764705884</v>
      </c>
      <c r="G43" s="61">
        <f>G5/'Demographic-Economic'!D$29</f>
        <v>1691706.0240963853</v>
      </c>
      <c r="H43" s="61">
        <f>H5/'Demographic-Economic'!E$29</f>
        <v>2021766.8016194331</v>
      </c>
      <c r="I43" s="61">
        <f>I5/'Demographic-Economic'!F$29</f>
        <v>404270.4</v>
      </c>
      <c r="J43" s="61">
        <f>J5/'Demographic-Economic'!G$29</f>
        <v>506668.79999999999</v>
      </c>
      <c r="K43" s="61">
        <f>K5/'Demographic-Economic'!H$29</f>
        <v>116182.64150943396</v>
      </c>
    </row>
    <row r="44" spans="5:11">
      <c r="E44">
        <v>2021</v>
      </c>
      <c r="F44" s="61">
        <f>F6/'Demographic-Economic'!C$29</f>
        <v>2487989.3430470745</v>
      </c>
      <c r="G44" s="61">
        <f>G6/'Demographic-Economic'!D$29</f>
        <v>1695065.5388518595</v>
      </c>
      <c r="H44" s="61">
        <f>H6/'Demographic-Economic'!E$29</f>
        <v>2048312.7550390218</v>
      </c>
      <c r="I44" s="61">
        <f>I6/'Demographic-Economic'!F$29</f>
        <v>412157.11069009488</v>
      </c>
      <c r="J44" s="61">
        <f>J6/'Demographic-Economic'!G$29</f>
        <v>513875.59800924512</v>
      </c>
      <c r="K44" s="61">
        <f>K6/'Demographic-Economic'!H$29</f>
        <v>118049.70464399226</v>
      </c>
    </row>
    <row r="45" spans="5:11">
      <c r="E45">
        <v>2022</v>
      </c>
      <c r="F45" s="61">
        <f>F7/'Demographic-Economic'!C$29</f>
        <v>2502787.611908325</v>
      </c>
      <c r="G45" s="61">
        <f>G7/'Demographic-Economic'!D$29</f>
        <v>1698309.905335994</v>
      </c>
      <c r="H45" s="61">
        <f>H7/'Demographic-Economic'!E$29</f>
        <v>2075483.3279764641</v>
      </c>
      <c r="I45" s="61">
        <f>I7/'Demographic-Economic'!F$29</f>
        <v>419726.43084935733</v>
      </c>
      <c r="J45" s="61">
        <f>J7/'Demographic-Economic'!G$29</f>
        <v>520965.49552411109</v>
      </c>
      <c r="K45" s="61">
        <f>K7/'Demographic-Economic'!H$29</f>
        <v>119938.98503267046</v>
      </c>
    </row>
    <row r="46" spans="5:11">
      <c r="E46">
        <v>2023</v>
      </c>
      <c r="F46" s="61">
        <f>F8/'Demographic-Economic'!C$29</f>
        <v>2517496.3394918749</v>
      </c>
      <c r="G46" s="61">
        <f>G8/'Demographic-Economic'!D$29</f>
        <v>1701440.4785368182</v>
      </c>
      <c r="H46" s="61">
        <f>H8/'Demographic-Economic'!E$29</f>
        <v>2103262.5472299149</v>
      </c>
      <c r="I46" s="61">
        <f>I8/'Demographic-Economic'!F$29</f>
        <v>426989.29942103272</v>
      </c>
      <c r="J46" s="61">
        <f>J8/'Demographic-Economic'!G$29</f>
        <v>527942.38789667527</v>
      </c>
      <c r="K46" s="61">
        <f>K8/'Demographic-Economic'!H$29</f>
        <v>121849.76012238851</v>
      </c>
    </row>
    <row r="47" spans="5:11">
      <c r="E47">
        <v>2024</v>
      </c>
      <c r="F47" s="61">
        <f>F9/'Demographic-Economic'!C$29</f>
        <v>2532115.8810149333</v>
      </c>
      <c r="G47" s="61">
        <f>G9/'Demographic-Economic'!D$29</f>
        <v>1704458.6006925316</v>
      </c>
      <c r="H47" s="61">
        <f>H9/'Demographic-Economic'!E$29</f>
        <v>2131633.3679269454</v>
      </c>
      <c r="I47" s="61">
        <f>I9/'Demographic-Economic'!F$29</f>
        <v>433957.42135544232</v>
      </c>
      <c r="J47" s="61">
        <f>J9/'Demographic-Economic'!G$29</f>
        <v>534810.49157233932</v>
      </c>
      <c r="K47" s="61">
        <f>K9/'Demographic-Economic'!H$29</f>
        <v>123781.29382582619</v>
      </c>
    </row>
    <row r="48" spans="5:11">
      <c r="E48">
        <v>2025</v>
      </c>
      <c r="F48" s="61">
        <f>F10/'Demographic-Economic'!C$29</f>
        <v>2546646.5904782536</v>
      </c>
      <c r="G48" s="61">
        <f>G10/'Demographic-Economic'!D$29</f>
        <v>1707365.6014000019</v>
      </c>
      <c r="H48" s="61">
        <f>H10/'Demographic-Economic'!E$29</f>
        <v>2160577.8897129032</v>
      </c>
      <c r="I48" s="61">
        <f>I10/'Demographic-Economic'!F$29</f>
        <v>440643.10874032823</v>
      </c>
      <c r="J48" s="61">
        <f>J10/'Demographic-Economic'!G$29</f>
        <v>541574.28230036492</v>
      </c>
      <c r="K48" s="61">
        <f>K10/'Demographic-Economic'!H$29</f>
        <v>125732.84308085118</v>
      </c>
    </row>
    <row r="49" spans="5:11">
      <c r="E49">
        <v>2026</v>
      </c>
      <c r="F49" s="61">
        <f>F11/'Demographic-Economic'!C$29</f>
        <v>2561088.8206700017</v>
      </c>
      <c r="G49" s="61">
        <f>G11/'Demographic-Economic'!D$29</f>
        <v>1710162.797722396</v>
      </c>
      <c r="H49" s="61">
        <f>H11/'Demographic-Economic'!E$29</f>
        <v>2190077.5676967115</v>
      </c>
      <c r="I49" s="61">
        <f>I11/'Demographic-Economic'!F$29</f>
        <v>447059.12615086266</v>
      </c>
      <c r="J49" s="61">
        <f>J11/'Demographic-Economic'!G$29</f>
        <v>548238.43470708327</v>
      </c>
      <c r="K49" s="61">
        <f>K11/'Demographic-Economic'!H$29</f>
        <v>127703.66403089845</v>
      </c>
    </row>
    <row r="50" spans="5:11">
      <c r="E50">
        <v>2027</v>
      </c>
      <c r="F50" s="61">
        <f>F12/'Demographic-Economic'!C$29</f>
        <v>2575442.9231695998</v>
      </c>
      <c r="G50" s="61">
        <f>G12/'Demographic-Economic'!D$29</f>
        <v>1712851.4942959403</v>
      </c>
      <c r="H50" s="61">
        <f>H12/'Demographic-Economic'!E$29</f>
        <v>2220113.4144420275</v>
      </c>
      <c r="I50" s="61">
        <f>I12/'Demographic-Economic'!F$29</f>
        <v>453218.54291083233</v>
      </c>
      <c r="J50" s="61">
        <f>J12/'Demographic-Economic'!G$29</f>
        <v>554807.76430568541</v>
      </c>
      <c r="K50" s="61">
        <f>K12/'Demographic-Economic'!H$29</f>
        <v>129693.01773392521</v>
      </c>
    </row>
    <row r="51" spans="5:11">
      <c r="E51">
        <v>2028</v>
      </c>
      <c r="F51" s="61">
        <f>F13/'Demographic-Economic'!C$29</f>
        <v>2589709.2483515716</v>
      </c>
      <c r="G51" s="61">
        <f>G13/'Demographic-Economic'!D$29</f>
        <v>1715432.9834358245</v>
      </c>
      <c r="H51" s="61">
        <f>H13/'Demographic-Economic'!E$29</f>
        <v>2250666.189858722</v>
      </c>
      <c r="I51" s="61">
        <f>I13/'Demographic-Economic'!F$29</f>
        <v>459134.59453429579</v>
      </c>
      <c r="J51" s="61">
        <f>J13/'Demographic-Economic'!G$29</f>
        <v>561287.17285672575</v>
      </c>
      <c r="K51" s="61">
        <f>K13/'Demographic-Economic'!H$29</f>
        <v>131700.17532813217</v>
      </c>
    </row>
    <row r="52" spans="5:11">
      <c r="E52">
        <v>2029</v>
      </c>
      <c r="F52" s="61">
        <f>F14/'Demographic-Economic'!C$29</f>
        <v>2603888.1453893636</v>
      </c>
      <c r="G52" s="61">
        <f>G14/'Demographic-Economic'!D$29</f>
        <v>1717908.5452412565</v>
      </c>
      <c r="H52" s="61">
        <f>H14/'Demographic-Economic'!E$29</f>
        <v>2281716.5764767942</v>
      </c>
      <c r="I52" s="61">
        <f>I14/'Demographic-Economic'!F$29</f>
        <v>464820.55515252997</v>
      </c>
      <c r="J52" s="61">
        <f>J14/'Demographic-Economic'!G$29</f>
        <v>567681.59781570849</v>
      </c>
      <c r="K52" s="61">
        <f>K14/'Demographic-Economic'!H$29</f>
        <v>133724.42260394598</v>
      </c>
    </row>
    <row r="53" spans="5:11">
      <c r="E53">
        <v>2030</v>
      </c>
      <c r="F53" s="61">
        <f>F15/'Demographic-Economic'!C$29</f>
        <v>2617979.9622591655</v>
      </c>
      <c r="G53" s="61">
        <f>G15/'Demographic-Economic'!D$29</f>
        <v>1720279.4476996679</v>
      </c>
      <c r="H53" s="61">
        <f>H15/'Demographic-Economic'!E$29</f>
        <v>2313245.338236887</v>
      </c>
      <c r="I53" s="61">
        <f>I15/'Demographic-Economic'!F$29</f>
        <v>470289.6222502673</v>
      </c>
      <c r="J53" s="61">
        <f>J15/'Demographic-Economic'!G$29</f>
        <v>573995.96641850227</v>
      </c>
      <c r="K53" s="61">
        <f>K15/'Demographic-Economic'!H$29</f>
        <v>135765.06395273661</v>
      </c>
    </row>
    <row r="54" spans="5:11">
      <c r="E54">
        <v>2040</v>
      </c>
      <c r="F54" s="61">
        <f>F16/'Demographic-Economic'!C$29</f>
        <v>2716312.6842072168</v>
      </c>
      <c r="G54" s="61">
        <f>G16/'Demographic-Economic'!D$29</f>
        <v>1711667.6371473211</v>
      </c>
      <c r="H54" s="61">
        <f>H16/'Demographic-Economic'!E$29</f>
        <v>2607219.6186621203</v>
      </c>
      <c r="I54" s="61">
        <f>I16/'Demographic-Economic'!F$29</f>
        <v>516983.04062310682</v>
      </c>
      <c r="J54" s="61">
        <f>J16/'Demographic-Economic'!G$29</f>
        <v>629010.91466858354</v>
      </c>
      <c r="K54" s="61">
        <f>K16/'Demographic-Economic'!H$29</f>
        <v>154908.15915231896</v>
      </c>
    </row>
    <row r="55" spans="5:11">
      <c r="E55">
        <v>2050</v>
      </c>
      <c r="F55" s="61">
        <f>F17/'Demographic-Economic'!C$29</f>
        <v>2762897.9102759585</v>
      </c>
      <c r="G55" s="61">
        <f>G17/'Demographic-Economic'!D$29</f>
        <v>1669596.4434037856</v>
      </c>
      <c r="H55" s="61">
        <f>H17/'Demographic-Economic'!E$29</f>
        <v>2886560.7669205982</v>
      </c>
      <c r="I55" s="61">
        <f>I17/'Demographic-Economic'!F$29</f>
        <v>539830.15305552387</v>
      </c>
      <c r="J55" s="61">
        <f>J17/'Demographic-Economic'!G$29</f>
        <v>667997.90905867808</v>
      </c>
      <c r="K55" s="61">
        <f>K17/'Demographic-Economic'!H$29</f>
        <v>171929.12733626273</v>
      </c>
    </row>
    <row r="56" spans="5:11">
      <c r="E56">
        <v>2060</v>
      </c>
      <c r="F56" s="61">
        <f>F18/'Demographic-Economic'!C$29</f>
        <v>2755516.1219660616</v>
      </c>
      <c r="G56" s="61">
        <f>G18/'Demographic-Economic'!D$29</f>
        <v>1596822.4304890099</v>
      </c>
      <c r="H56" s="61">
        <f>H18/'Demographic-Economic'!E$29</f>
        <v>3116484.3205736452</v>
      </c>
      <c r="I56" s="61">
        <f>I18/'Demographic-Economic'!F$29</f>
        <v>552192.67564458179</v>
      </c>
      <c r="J56" s="61">
        <f>J18/'Demographic-Economic'!G$29</f>
        <v>693904.79978681961</v>
      </c>
      <c r="K56" s="61">
        <f>K18/'Demographic-Economic'!H$29</f>
        <v>185460.63042597022</v>
      </c>
    </row>
    <row r="57" spans="5:11">
      <c r="E57">
        <v>2070</v>
      </c>
      <c r="F57" s="61">
        <f>F19/'Demographic-Economic'!C$29</f>
        <v>2709541.892425796</v>
      </c>
      <c r="G57" s="61">
        <f>G19/'Demographic-Economic'!D$29</f>
        <v>1505762.6950872433</v>
      </c>
      <c r="H57" s="61">
        <f>H19/'Demographic-Economic'!E$29</f>
        <v>3299983.1180892605</v>
      </c>
      <c r="I57" s="61">
        <f>I19/'Demographic-Economic'!F$29</f>
        <v>556902.20805946097</v>
      </c>
      <c r="J57" s="61">
        <f>J19/'Demographic-Economic'!G$29</f>
        <v>710429.71259606141</v>
      </c>
      <c r="K57" s="61">
        <f>K19/'Demographic-Economic'!H$29</f>
        <v>195987.87728821632</v>
      </c>
    </row>
    <row r="58" spans="5:11">
      <c r="E58">
        <v>2080</v>
      </c>
      <c r="F58" s="61">
        <f>F20/'Demographic-Economic'!C$29</f>
        <v>2627840.3253206741</v>
      </c>
      <c r="G58" s="61">
        <f>G20/'Demographic-Economic'!D$29</f>
        <v>1400446.8507738737</v>
      </c>
      <c r="H58" s="61">
        <f>H20/'Demographic-Economic'!E$29</f>
        <v>3430841.6525813094</v>
      </c>
      <c r="I58" s="61">
        <f>I20/'Demographic-Economic'!F$29</f>
        <v>553958.75030016154</v>
      </c>
      <c r="J58" s="61">
        <f>J20/'Demographic-Economic'!G$29</f>
        <v>717026.51747311454</v>
      </c>
      <c r="K58" s="61">
        <f>K20/'Demographic-Economic'!H$29</f>
        <v>203276.10373138174</v>
      </c>
    </row>
    <row r="59" spans="5:11">
      <c r="E59">
        <v>2090</v>
      </c>
      <c r="F59" s="61">
        <f>F21/'Demographic-Economic'!C$29</f>
        <v>2518579.6954288874</v>
      </c>
      <c r="G59" s="61">
        <f>G21/'Demographic-Economic'!D$29</f>
        <v>1287153.5282285379</v>
      </c>
      <c r="H59" s="61">
        <f>H21/'Demographic-Economic'!E$29</f>
        <v>3510672.3663547086</v>
      </c>
      <c r="I59" s="61">
        <f>I21/'Demographic-Economic'!F$29</f>
        <v>545090.19896949525</v>
      </c>
      <c r="J59" s="61">
        <f>J21/'Demographic-Economic'!G$29</f>
        <v>714635.98369209748</v>
      </c>
      <c r="K59" s="61">
        <f>K21/'Demographic-Economic'!H$29</f>
        <v>207493.53311227149</v>
      </c>
    </row>
    <row r="60" spans="5:11">
      <c r="E60">
        <v>2100</v>
      </c>
      <c r="F60" s="61">
        <f>F22/'Demographic-Economic'!C$29</f>
        <v>2397211.3819978139</v>
      </c>
      <c r="G60" s="61">
        <f>G22/'Demographic-Economic'!D$29</f>
        <v>1174865.0374605358</v>
      </c>
      <c r="H60" s="61">
        <f>H22/'Demographic-Economic'!E$29</f>
        <v>3555174.4967835173</v>
      </c>
      <c r="I60" s="61">
        <f>I22/'Demographic-Economic'!F$29</f>
        <v>533158.60445462784</v>
      </c>
      <c r="J60" s="61">
        <f>J22/'Demographic-Economic'!G$29</f>
        <v>706713.16968720523</v>
      </c>
      <c r="K60" s="61">
        <f>K22/'Demographic-Economic'!H$29</f>
        <v>209610.29487349468</v>
      </c>
    </row>
    <row r="61" spans="5:11">
      <c r="F61" s="581" t="s">
        <v>49</v>
      </c>
      <c r="G61" s="581"/>
      <c r="H61" s="581"/>
      <c r="I61" s="581"/>
      <c r="J61" s="581"/>
      <c r="K61" s="581"/>
    </row>
    <row r="62" spans="5:11">
      <c r="E62">
        <v>2020</v>
      </c>
      <c r="F62" s="322" t="s">
        <v>240</v>
      </c>
      <c r="G62" s="322" t="s">
        <v>240</v>
      </c>
      <c r="H62" s="61">
        <f>H24-H43</f>
        <v>190769.1983805669</v>
      </c>
      <c r="I62" s="61">
        <f t="shared" ref="H62:K77" si="0">I24-I43</f>
        <v>92277.599999999977</v>
      </c>
      <c r="J62" s="61">
        <f t="shared" si="0"/>
        <v>59923.200000000012</v>
      </c>
      <c r="K62" s="61">
        <f t="shared" si="0"/>
        <v>19297.358490566039</v>
      </c>
    </row>
    <row r="63" spans="5:11">
      <c r="E63">
        <v>2021</v>
      </c>
      <c r="F63" s="322" t="s">
        <v>240</v>
      </c>
      <c r="G63" s="322" t="s">
        <v>240</v>
      </c>
      <c r="H63" s="61">
        <f t="shared" si="0"/>
        <v>203379.24496097816</v>
      </c>
      <c r="I63" s="61">
        <f t="shared" si="0"/>
        <v>85470.88930990512</v>
      </c>
      <c r="J63" s="61">
        <f t="shared" si="0"/>
        <v>57372.401990754879</v>
      </c>
      <c r="K63" s="61">
        <f t="shared" si="0"/>
        <v>19758.295356007744</v>
      </c>
    </row>
    <row r="64" spans="5:11">
      <c r="E64">
        <v>2022</v>
      </c>
      <c r="F64" s="322" t="s">
        <v>240</v>
      </c>
      <c r="G64" s="322" t="s">
        <v>240</v>
      </c>
      <c r="H64" s="61">
        <f t="shared" si="0"/>
        <v>216057.62903576088</v>
      </c>
      <c r="I64" s="61">
        <f t="shared" si="0"/>
        <v>78983.918168260308</v>
      </c>
      <c r="J64" s="61">
        <f t="shared" si="0"/>
        <v>54976.765404387726</v>
      </c>
      <c r="K64" s="61">
        <f t="shared" si="0"/>
        <v>20237.017801696231</v>
      </c>
    </row>
    <row r="65" spans="5:11">
      <c r="E65">
        <v>2023</v>
      </c>
      <c r="F65" s="322" t="s">
        <v>240</v>
      </c>
      <c r="G65" s="322" t="s">
        <v>240</v>
      </c>
      <c r="H65" s="61">
        <f t="shared" si="0"/>
        <v>228832.5873020296</v>
      </c>
      <c r="I65" s="61">
        <f t="shared" si="0"/>
        <v>72805.75274097186</v>
      </c>
      <c r="J65" s="61">
        <f t="shared" si="0"/>
        <v>52732.709300043178</v>
      </c>
      <c r="K65" s="61">
        <f t="shared" si="0"/>
        <v>20734.935763339308</v>
      </c>
    </row>
    <row r="66" spans="5:11">
      <c r="E66">
        <v>2024</v>
      </c>
      <c r="F66" s="322" t="s">
        <v>240</v>
      </c>
      <c r="G66" s="322" t="s">
        <v>240</v>
      </c>
      <c r="H66" s="61">
        <f t="shared" si="0"/>
        <v>241733.64515871881</v>
      </c>
      <c r="I66" s="61">
        <f t="shared" si="0"/>
        <v>66924.69319798256</v>
      </c>
      <c r="J66" s="61">
        <f t="shared" si="0"/>
        <v>50636.334227232495</v>
      </c>
      <c r="K66" s="61">
        <f t="shared" si="0"/>
        <v>21253.48452241988</v>
      </c>
    </row>
    <row r="67" spans="5:11">
      <c r="E67">
        <v>2025</v>
      </c>
      <c r="F67" s="322" t="s">
        <v>240</v>
      </c>
      <c r="G67" s="322" t="s">
        <v>240</v>
      </c>
      <c r="H67" s="61">
        <f t="shared" si="0"/>
        <v>254791.4043590962</v>
      </c>
      <c r="I67" s="61">
        <f t="shared" si="0"/>
        <v>61328.432582951151</v>
      </c>
      <c r="J67" s="61">
        <f t="shared" si="0"/>
        <v>48683.48403652967</v>
      </c>
      <c r="K67" s="61">
        <f t="shared" si="0"/>
        <v>21794.118349729673</v>
      </c>
    </row>
    <row r="68" spans="5:11">
      <c r="E68">
        <v>2026</v>
      </c>
      <c r="F68" s="322" t="s">
        <v>240</v>
      </c>
      <c r="G68" s="322" t="s">
        <v>240</v>
      </c>
      <c r="H68" s="61">
        <f t="shared" si="0"/>
        <v>268037.3359738132</v>
      </c>
      <c r="I68" s="61">
        <f t="shared" si="0"/>
        <v>56004.211463267042</v>
      </c>
      <c r="J68" s="61">
        <f t="shared" si="0"/>
        <v>46869.806327767787</v>
      </c>
      <c r="K68" s="61">
        <f t="shared" si="0"/>
        <v>22358.304531439062</v>
      </c>
    </row>
    <row r="69" spans="5:11">
      <c r="E69">
        <v>2027</v>
      </c>
      <c r="F69" s="322" t="s">
        <v>240</v>
      </c>
      <c r="G69" s="322" t="s">
        <v>240</v>
      </c>
      <c r="H69" s="61">
        <f t="shared" si="0"/>
        <v>281503.58237777185</v>
      </c>
      <c r="I69" s="61">
        <f t="shared" si="0"/>
        <v>50938.965668890392</v>
      </c>
      <c r="J69" s="61">
        <f t="shared" si="0"/>
        <v>45190.810461830813</v>
      </c>
      <c r="K69" s="61">
        <f t="shared" si="0"/>
        <v>22947.517870138909</v>
      </c>
    </row>
    <row r="70" spans="5:11">
      <c r="E70">
        <v>2028</v>
      </c>
      <c r="F70" s="322" t="s">
        <v>240</v>
      </c>
      <c r="G70" s="322" t="s">
        <v>240</v>
      </c>
      <c r="H70" s="61">
        <f t="shared" si="0"/>
        <v>295222.77140706871</v>
      </c>
      <c r="I70" s="61">
        <f t="shared" si="0"/>
        <v>46119.464850718912</v>
      </c>
      <c r="J70" s="61">
        <f t="shared" si="0"/>
        <v>43641.92222190951</v>
      </c>
      <c r="K70" s="61">
        <f t="shared" si="0"/>
        <v>23563.235732724541</v>
      </c>
    </row>
    <row r="71" spans="5:11">
      <c r="E71">
        <v>2029</v>
      </c>
      <c r="F71" s="322" t="s">
        <v>240</v>
      </c>
      <c r="G71" s="322" t="s">
        <v>240</v>
      </c>
      <c r="H71" s="61">
        <f t="shared" si="0"/>
        <v>309227.8452051538</v>
      </c>
      <c r="I71" s="61">
        <f t="shared" si="0"/>
        <v>41532.440053665836</v>
      </c>
      <c r="J71" s="61">
        <f t="shared" si="0"/>
        <v>42218.53438785288</v>
      </c>
      <c r="K71" s="61">
        <f t="shared" si="0"/>
        <v>24206.93369568896</v>
      </c>
    </row>
    <row r="72" spans="5:11">
      <c r="E72">
        <v>2030</v>
      </c>
      <c r="F72" s="322" t="s">
        <v>240</v>
      </c>
      <c r="G72" s="322" t="s">
        <v>240</v>
      </c>
      <c r="H72" s="61">
        <f t="shared" si="0"/>
        <v>323551.90562530048</v>
      </c>
      <c r="I72" s="61">
        <f t="shared" si="0"/>
        <v>37164.698980447196</v>
      </c>
      <c r="J72" s="61">
        <f t="shared" si="0"/>
        <v>40916.052672872087</v>
      </c>
      <c r="K72" s="61">
        <f t="shared" si="0"/>
        <v>24880.081817414612</v>
      </c>
    </row>
    <row r="73" spans="5:11">
      <c r="E73">
        <v>2040</v>
      </c>
      <c r="F73" s="322" t="s">
        <v>240</v>
      </c>
      <c r="G73" s="322" t="s">
        <v>240</v>
      </c>
      <c r="H73" s="61">
        <f t="shared" si="0"/>
        <v>535192.39417709457</v>
      </c>
      <c r="I73" s="61">
        <f t="shared" si="0"/>
        <v>1617.1513738905778</v>
      </c>
      <c r="J73" s="61">
        <f t="shared" si="0"/>
        <v>38341.944572334993</v>
      </c>
      <c r="K73" s="61">
        <f t="shared" si="0"/>
        <v>35576.509134610038</v>
      </c>
    </row>
    <row r="74" spans="5:11">
      <c r="E74">
        <v>2050</v>
      </c>
      <c r="F74" s="322" t="s">
        <v>240</v>
      </c>
      <c r="G74" s="322" t="s">
        <v>240</v>
      </c>
      <c r="H74" s="61">
        <f t="shared" si="0"/>
        <v>858419.35296620429</v>
      </c>
      <c r="I74" s="61">
        <f t="shared" si="0"/>
        <v>-9839.279222673038</v>
      </c>
      <c r="J74" s="61">
        <f t="shared" si="0"/>
        <v>56268.042670669849</v>
      </c>
      <c r="K74" s="61">
        <f t="shared" si="0"/>
        <v>53937.69657820891</v>
      </c>
    </row>
    <row r="75" spans="5:11">
      <c r="E75">
        <v>2060</v>
      </c>
      <c r="F75" s="322" t="s">
        <v>240</v>
      </c>
      <c r="G75" s="322" t="s">
        <v>240</v>
      </c>
      <c r="H75" s="61">
        <f t="shared" si="0"/>
        <v>1346608.3741604523</v>
      </c>
      <c r="I75" s="61">
        <f t="shared" si="0"/>
        <v>-10560.931806478649</v>
      </c>
      <c r="J75" s="61">
        <f t="shared" si="0"/>
        <v>92127.898763510981</v>
      </c>
      <c r="K75" s="61">
        <f t="shared" si="0"/>
        <v>82360.515517205029</v>
      </c>
    </row>
    <row r="76" spans="5:11">
      <c r="E76">
        <v>2070</v>
      </c>
      <c r="F76" s="322" t="s">
        <v>240</v>
      </c>
      <c r="G76" s="322" t="s">
        <v>240</v>
      </c>
      <c r="H76" s="61">
        <f t="shared" si="0"/>
        <v>2018922.6608794546</v>
      </c>
      <c r="I76" s="61">
        <f t="shared" si="0"/>
        <v>-3373.9108427312458</v>
      </c>
      <c r="J76" s="61">
        <f t="shared" si="0"/>
        <v>142637.31577254436</v>
      </c>
      <c r="K76" s="61">
        <f t="shared" si="0"/>
        <v>121580.52417598758</v>
      </c>
    </row>
    <row r="77" spans="5:11">
      <c r="E77">
        <v>2080</v>
      </c>
      <c r="F77" s="322" t="s">
        <v>240</v>
      </c>
      <c r="G77" s="322" t="s">
        <v>240</v>
      </c>
      <c r="H77" s="61">
        <f t="shared" si="0"/>
        <v>2907982.2573335408</v>
      </c>
      <c r="I77" s="61">
        <f t="shared" si="0"/>
        <v>11727.399570764625</v>
      </c>
      <c r="J77" s="61">
        <f t="shared" si="0"/>
        <v>208791.65298184729</v>
      </c>
      <c r="K77" s="61">
        <f t="shared" si="0"/>
        <v>173280.00894363268</v>
      </c>
    </row>
    <row r="78" spans="5:11">
      <c r="E78">
        <v>2090</v>
      </c>
      <c r="F78" s="322" t="s">
        <v>240</v>
      </c>
      <c r="G78" s="322" t="s">
        <v>240</v>
      </c>
      <c r="H78" s="61">
        <f t="shared" ref="H78:K79" si="1">H40-H59</f>
        <v>4043642.4176719487</v>
      </c>
      <c r="I78" s="61">
        <f t="shared" si="1"/>
        <v>33020.842082662741</v>
      </c>
      <c r="J78" s="61">
        <f t="shared" si="1"/>
        <v>290137.68149544904</v>
      </c>
      <c r="K78" s="61">
        <f t="shared" si="1"/>
        <v>239007.14308583297</v>
      </c>
    </row>
    <row r="79" spans="5:11">
      <c r="E79">
        <v>2100</v>
      </c>
      <c r="F79" s="322" t="s">
        <v>240</v>
      </c>
      <c r="G79" s="322" t="s">
        <v>240</v>
      </c>
      <c r="H79" s="61">
        <f t="shared" si="1"/>
        <v>5447705.6379527561</v>
      </c>
      <c r="I79" s="61">
        <f t="shared" si="1"/>
        <v>57650.231615811354</v>
      </c>
      <c r="J79" s="61">
        <f t="shared" si="1"/>
        <v>383749.46160712</v>
      </c>
      <c r="K79" s="61">
        <f t="shared" si="1"/>
        <v>319827.01110757701</v>
      </c>
    </row>
    <row r="80" spans="5:11">
      <c r="F80" s="581" t="s">
        <v>242</v>
      </c>
      <c r="G80" s="581"/>
      <c r="H80" s="581"/>
      <c r="I80" s="581"/>
      <c r="J80" s="581"/>
      <c r="K80" s="581"/>
    </row>
    <row r="81" spans="5:12">
      <c r="E81">
        <v>2020</v>
      </c>
      <c r="F81" s="61">
        <f>-F5*$C$4</f>
        <v>-31532.04</v>
      </c>
      <c r="G81" s="61">
        <f t="shared" ref="G81:G98" si="2">-G5*$C$3</f>
        <v>-54760.523999999998</v>
      </c>
      <c r="H81" s="61">
        <f>-(SUM($F81:$G81))*(H62/SUM($H62:$K62))</f>
        <v>45441.475607032611</v>
      </c>
      <c r="I81" s="61">
        <f t="shared" ref="I81:K81" si="3">-(SUM($F81:$G81))*(I62/SUM($H62:$K62))</f>
        <v>21980.646483141398</v>
      </c>
      <c r="J81" s="61">
        <f t="shared" si="3"/>
        <v>14273.785570263848</v>
      </c>
      <c r="K81" s="61">
        <f t="shared" si="3"/>
        <v>4596.6563395621397</v>
      </c>
      <c r="L81" s="61"/>
    </row>
    <row r="82" spans="5:12">
      <c r="E82">
        <v>2021</v>
      </c>
      <c r="F82" s="61">
        <f>-F6*$C$4</f>
        <v>-31721.864123850199</v>
      </c>
      <c r="G82" s="61">
        <f t="shared" si="2"/>
        <v>-54869.271492634689</v>
      </c>
      <c r="H82" s="61">
        <f t="shared" ref="H82:K98" si="4">-SUM($F82:$G82)*(MAX(H63,0)/SUM(MAX($H63,0)+MAX($I63,0)+MAX($J63,0)+MAX($K63,0)))</f>
        <v>48119.568733023356</v>
      </c>
      <c r="I82" s="61">
        <f t="shared" si="4"/>
        <v>20222.428958322307</v>
      </c>
      <c r="J82" s="61">
        <f t="shared" si="4"/>
        <v>13574.321418601345</v>
      </c>
      <c r="K82" s="61">
        <f t="shared" si="4"/>
        <v>4674.8165065378753</v>
      </c>
      <c r="L82" s="61"/>
    </row>
    <row r="83" spans="5:12">
      <c r="E83">
        <v>2022</v>
      </c>
      <c r="F83" s="61">
        <f>-F7*$C$4</f>
        <v>-31910.542051831144</v>
      </c>
      <c r="G83" s="61">
        <f t="shared" si="2"/>
        <v>-54974.291635726127</v>
      </c>
      <c r="H83" s="61">
        <f t="shared" si="4"/>
        <v>50700.502123514307</v>
      </c>
      <c r="I83" s="61">
        <f t="shared" si="4"/>
        <v>18534.519371915125</v>
      </c>
      <c r="J83" s="61">
        <f t="shared" si="4"/>
        <v>12900.954359115727</v>
      </c>
      <c r="K83" s="61">
        <f t="shared" si="4"/>
        <v>4748.8578330121045</v>
      </c>
      <c r="L83" s="61"/>
    </row>
    <row r="84" spans="5:12">
      <c r="E84">
        <v>2023</v>
      </c>
      <c r="F84" s="61">
        <f t="shared" ref="F84:F98" si="5">-F8*$C$4</f>
        <v>-32098.078328521406</v>
      </c>
      <c r="G84" s="61">
        <f t="shared" si="2"/>
        <v>-55075.628290236811</v>
      </c>
      <c r="H84" s="61">
        <f t="shared" si="4"/>
        <v>53180.12940961471</v>
      </c>
      <c r="I84" s="61">
        <f t="shared" si="4"/>
        <v>16919.877532210874</v>
      </c>
      <c r="J84" s="61">
        <f t="shared" si="4"/>
        <v>12254.95169966562</v>
      </c>
      <c r="K84" s="61">
        <f t="shared" si="4"/>
        <v>4818.747977267014</v>
      </c>
      <c r="L84" s="61"/>
    </row>
    <row r="85" spans="5:12">
      <c r="E85">
        <v>2024</v>
      </c>
      <c r="F85" s="61">
        <f t="shared" si="5"/>
        <v>-32284.477482940398</v>
      </c>
      <c r="G85" s="61">
        <f t="shared" si="2"/>
        <v>-55173.324904417248</v>
      </c>
      <c r="H85" s="61">
        <f t="shared" si="4"/>
        <v>55555.369205896175</v>
      </c>
      <c r="I85" s="61">
        <f t="shared" si="4"/>
        <v>15380.672546281457</v>
      </c>
      <c r="J85" s="61">
        <f t="shared" si="4"/>
        <v>11637.2722604667</v>
      </c>
      <c r="K85" s="61">
        <f t="shared" si="4"/>
        <v>4884.4883747133181</v>
      </c>
      <c r="L85" s="61"/>
    </row>
    <row r="86" spans="5:12">
      <c r="E86">
        <v>2025</v>
      </c>
      <c r="F86" s="61">
        <f t="shared" si="5"/>
        <v>-32469.744028597732</v>
      </c>
      <c r="G86" s="61">
        <f t="shared" si="2"/>
        <v>-55267.424517318068</v>
      </c>
      <c r="H86" s="61">
        <f t="shared" si="4"/>
        <v>57824.17086658597</v>
      </c>
      <c r="I86" s="61">
        <f t="shared" si="4"/>
        <v>13918.310052793042</v>
      </c>
      <c r="J86" s="61">
        <f t="shared" si="4"/>
        <v>11048.575623616802</v>
      </c>
      <c r="K86" s="61">
        <f t="shared" si="4"/>
        <v>4946.1120029199856</v>
      </c>
      <c r="L86" s="61"/>
    </row>
    <row r="87" spans="5:12">
      <c r="E87">
        <v>2026</v>
      </c>
      <c r="F87" s="61">
        <f t="shared" si="5"/>
        <v>-32653.882463542523</v>
      </c>
      <c r="G87" s="61">
        <f t="shared" si="2"/>
        <v>-55357.969762273962</v>
      </c>
      <c r="H87" s="61">
        <f t="shared" si="4"/>
        <v>59985.462664286846</v>
      </c>
      <c r="I87" s="61">
        <f t="shared" si="4"/>
        <v>12533.472337230072</v>
      </c>
      <c r="J87" s="61">
        <f t="shared" si="4"/>
        <v>10489.236536179234</v>
      </c>
      <c r="K87" s="61">
        <f t="shared" si="4"/>
        <v>5003.6806881203429</v>
      </c>
      <c r="L87" s="61"/>
    </row>
    <row r="88" spans="5:12">
      <c r="E88">
        <v>2027</v>
      </c>
      <c r="F88" s="61">
        <f t="shared" si="5"/>
        <v>-32836.897270412403</v>
      </c>
      <c r="G88" s="61">
        <f t="shared" si="2"/>
        <v>-55445.002870359589</v>
      </c>
      <c r="H88" s="61">
        <f t="shared" si="4"/>
        <v>62039.085273891251</v>
      </c>
      <c r="I88" s="61">
        <f t="shared" si="4"/>
        <v>11226.169159919176</v>
      </c>
      <c r="J88" s="61">
        <f t="shared" si="4"/>
        <v>9959.3636434630207</v>
      </c>
      <c r="K88" s="61">
        <f t="shared" si="4"/>
        <v>5057.2820634985455</v>
      </c>
      <c r="L88" s="61"/>
    </row>
    <row r="89" spans="5:12">
      <c r="E89">
        <v>2028</v>
      </c>
      <c r="F89" s="61">
        <f t="shared" si="5"/>
        <v>-33018.79291648254</v>
      </c>
      <c r="G89" s="61">
        <f t="shared" si="2"/>
        <v>-55528.56567381764</v>
      </c>
      <c r="H89" s="61">
        <f t="shared" si="4"/>
        <v>63985.713711863697</v>
      </c>
      <c r="I89" s="61">
        <f t="shared" si="4"/>
        <v>9995.7969380806499</v>
      </c>
      <c r="J89" s="61">
        <f t="shared" si="4"/>
        <v>9458.8216478604008</v>
      </c>
      <c r="K89" s="61">
        <f t="shared" si="4"/>
        <v>5107.0262924954341</v>
      </c>
      <c r="L89" s="61"/>
    </row>
    <row r="90" spans="5:12">
      <c r="E90">
        <v>2029</v>
      </c>
      <c r="F90" s="61">
        <f t="shared" si="5"/>
        <v>-33199.573853714384</v>
      </c>
      <c r="G90" s="61">
        <f t="shared" si="2"/>
        <v>-55608.699609459472</v>
      </c>
      <c r="H90" s="61">
        <f t="shared" si="4"/>
        <v>65826.770975256062</v>
      </c>
      <c r="I90" s="61">
        <f t="shared" si="4"/>
        <v>8841.2038626159483</v>
      </c>
      <c r="J90" s="61">
        <f t="shared" si="4"/>
        <v>8987.2559575493415</v>
      </c>
      <c r="K90" s="61">
        <f t="shared" si="4"/>
        <v>5153.0426677525093</v>
      </c>
      <c r="L90" s="61"/>
    </row>
    <row r="91" spans="5:12">
      <c r="E91">
        <v>2030</v>
      </c>
      <c r="F91" s="61">
        <f t="shared" si="5"/>
        <v>-33379.244518804357</v>
      </c>
      <c r="G91" s="61">
        <f t="shared" si="2"/>
        <v>-55685.445722038254</v>
      </c>
      <c r="H91" s="61">
        <f t="shared" si="4"/>
        <v>67564.336559858843</v>
      </c>
      <c r="I91" s="61">
        <f t="shared" si="4"/>
        <v>7760.7585874296446</v>
      </c>
      <c r="J91" s="61">
        <f t="shared" si="4"/>
        <v>8544.1189046567342</v>
      </c>
      <c r="K91" s="61">
        <f t="shared" si="4"/>
        <v>5195.4761888973926</v>
      </c>
      <c r="L91" s="61"/>
    </row>
    <row r="92" spans="5:12">
      <c r="E92">
        <v>2040</v>
      </c>
      <c r="F92" s="61">
        <f>-F16*$C$4</f>
        <v>-34632.986723642018</v>
      </c>
      <c r="G92" s="61">
        <f t="shared" si="2"/>
        <v>-55406.681414458792</v>
      </c>
      <c r="H92" s="61">
        <f t="shared" si="4"/>
        <v>78903.449031799915</v>
      </c>
      <c r="I92" s="61">
        <f t="shared" si="4"/>
        <v>238.41673087054016</v>
      </c>
      <c r="J92" s="61">
        <f t="shared" si="4"/>
        <v>5652.7553497747558</v>
      </c>
      <c r="K92" s="61">
        <f t="shared" si="4"/>
        <v>5245.0470256555964</v>
      </c>
      <c r="L92" s="61"/>
    </row>
    <row r="93" spans="5:12">
      <c r="E93">
        <v>2050</v>
      </c>
      <c r="F93" s="61">
        <f t="shared" si="5"/>
        <v>-35226.948356018467</v>
      </c>
      <c r="G93" s="61">
        <f t="shared" si="2"/>
        <v>-54044.836872980537</v>
      </c>
      <c r="H93" s="61">
        <f t="shared" si="4"/>
        <v>79114.849212887231</v>
      </c>
      <c r="I93" s="61">
        <f t="shared" si="4"/>
        <v>0</v>
      </c>
      <c r="J93" s="61">
        <f t="shared" si="4"/>
        <v>5185.854321680943</v>
      </c>
      <c r="K93" s="61">
        <f t="shared" si="4"/>
        <v>4971.0816944308372</v>
      </c>
      <c r="L93" s="61"/>
    </row>
    <row r="94" spans="5:12">
      <c r="E94">
        <v>2060</v>
      </c>
      <c r="F94" s="61">
        <f t="shared" si="5"/>
        <v>-35132.830555067281</v>
      </c>
      <c r="G94" s="61">
        <f t="shared" si="2"/>
        <v>-51689.142074929252</v>
      </c>
      <c r="H94" s="61">
        <f t="shared" si="4"/>
        <v>76862.429986785079</v>
      </c>
      <c r="I94" s="61">
        <f t="shared" si="4"/>
        <v>0</v>
      </c>
      <c r="J94" s="61">
        <f t="shared" si="4"/>
        <v>5258.5252731364972</v>
      </c>
      <c r="K94" s="61">
        <f t="shared" si="4"/>
        <v>4701.0173700749674</v>
      </c>
      <c r="L94" s="61"/>
    </row>
    <row r="95" spans="5:12">
      <c r="E95">
        <v>2070</v>
      </c>
      <c r="F95" s="61">
        <f t="shared" si="5"/>
        <v>-34546.659128428895</v>
      </c>
      <c r="G95" s="61">
        <f t="shared" si="2"/>
        <v>-48741.538439974065</v>
      </c>
      <c r="H95" s="61">
        <f t="shared" si="4"/>
        <v>73649.619632989255</v>
      </c>
      <c r="I95" s="61">
        <f t="shared" si="4"/>
        <v>0</v>
      </c>
      <c r="J95" s="61">
        <f t="shared" si="4"/>
        <v>5203.3613053520094</v>
      </c>
      <c r="K95" s="61">
        <f t="shared" si="4"/>
        <v>4435.2166300616827</v>
      </c>
      <c r="L95" s="61"/>
    </row>
    <row r="96" spans="5:12">
      <c r="E96">
        <v>2080</v>
      </c>
      <c r="F96" s="61">
        <f t="shared" si="5"/>
        <v>-33504.964147838589</v>
      </c>
      <c r="G96" s="61">
        <f t="shared" si="2"/>
        <v>-45332.464559550295</v>
      </c>
      <c r="H96" s="61">
        <f t="shared" si="4"/>
        <v>69434.593559375455</v>
      </c>
      <c r="I96" s="61">
        <f t="shared" si="4"/>
        <v>280.01794737602432</v>
      </c>
      <c r="J96" s="61">
        <f t="shared" si="4"/>
        <v>4985.368644125776</v>
      </c>
      <c r="K96" s="61">
        <f t="shared" si="4"/>
        <v>4137.4485565116265</v>
      </c>
      <c r="L96" s="61"/>
    </row>
    <row r="97" spans="5:12">
      <c r="E97">
        <v>2090</v>
      </c>
      <c r="F97" s="61">
        <f t="shared" si="5"/>
        <v>-32111.891116718314</v>
      </c>
      <c r="G97" s="61">
        <f t="shared" si="2"/>
        <v>-41665.159708757776</v>
      </c>
      <c r="H97" s="61">
        <f t="shared" si="4"/>
        <v>64772.132643396944</v>
      </c>
      <c r="I97" s="61">
        <f t="shared" si="4"/>
        <v>528.93657313207393</v>
      </c>
      <c r="J97" s="61">
        <f t="shared" si="4"/>
        <v>4647.5020413626244</v>
      </c>
      <c r="K97" s="61">
        <f t="shared" si="4"/>
        <v>3828.4795675844707</v>
      </c>
      <c r="L97" s="61"/>
    </row>
    <row r="98" spans="5:12">
      <c r="E98">
        <v>2100</v>
      </c>
      <c r="F98" s="61">
        <f t="shared" si="5"/>
        <v>-30564.445120472126</v>
      </c>
      <c r="G98" s="61">
        <f t="shared" si="2"/>
        <v>-38030.381262597548</v>
      </c>
      <c r="H98" s="61">
        <f t="shared" si="4"/>
        <v>60184.972523636963</v>
      </c>
      <c r="I98" s="61">
        <f t="shared" si="4"/>
        <v>636.90622004363945</v>
      </c>
      <c r="J98" s="61">
        <f t="shared" si="4"/>
        <v>4239.5739303316022</v>
      </c>
      <c r="K98" s="61">
        <f t="shared" si="4"/>
        <v>3533.3737090574764</v>
      </c>
      <c r="L98" s="61"/>
    </row>
    <row r="99" spans="5:12">
      <c r="F99" s="581" t="s">
        <v>243</v>
      </c>
      <c r="G99" s="581"/>
      <c r="H99" s="581"/>
      <c r="I99" s="581"/>
      <c r="J99" s="581"/>
      <c r="K99" s="581"/>
    </row>
    <row r="100" spans="5:12">
      <c r="E100">
        <v>2020</v>
      </c>
      <c r="F100" s="61">
        <f>'Demographic-Economic'!C$56</f>
        <v>360376.14999999997</v>
      </c>
      <c r="G100" s="61">
        <f>'Demographic-Economic'!D$56</f>
        <v>314308.30000000005</v>
      </c>
      <c r="H100" s="61">
        <f>'Demographic-Economic'!E$56</f>
        <v>303256</v>
      </c>
      <c r="I100" s="61">
        <f>'Demographic-Economic'!F$56</f>
        <v>191633.7</v>
      </c>
      <c r="J100" s="61">
        <f>'Demographic-Economic'!G$56</f>
        <v>208903.4</v>
      </c>
      <c r="K100" s="61">
        <f>'Demographic-Economic'!H$56</f>
        <v>249034.95</v>
      </c>
    </row>
    <row r="101" spans="5:12">
      <c r="E101">
        <v>2021</v>
      </c>
      <c r="F101" s="61">
        <f>(1+$C$6)*F100</f>
        <v>373904.37035754166</v>
      </c>
      <c r="G101" s="61">
        <f t="shared" ref="G101:K110" si="6">(1+$C$6)*G100</f>
        <v>326107.17165841674</v>
      </c>
      <c r="H101" s="61">
        <f t="shared" si="6"/>
        <v>314639.97752666665</v>
      </c>
      <c r="I101" s="61">
        <f t="shared" si="6"/>
        <v>198827.46940325003</v>
      </c>
      <c r="J101" s="61">
        <f t="shared" si="6"/>
        <v>216745.45954983332</v>
      </c>
      <c r="K101" s="61">
        <f t="shared" si="6"/>
        <v>258383.514493875</v>
      </c>
    </row>
    <row r="102" spans="5:12">
      <c r="E102">
        <v>2022</v>
      </c>
      <c r="F102" s="61">
        <f t="shared" ref="F102:F110" si="7">(1+$C$6)*F101</f>
        <v>387940.42883378849</v>
      </c>
      <c r="G102" s="61">
        <f t="shared" si="6"/>
        <v>338348.96312649734</v>
      </c>
      <c r="H102" s="61">
        <f t="shared" si="6"/>
        <v>326451.30008303648</v>
      </c>
      <c r="I102" s="61">
        <f t="shared" si="6"/>
        <v>206291.2869150902</v>
      </c>
      <c r="J102" s="61">
        <f t="shared" si="6"/>
        <v>224881.90348011776</v>
      </c>
      <c r="K102" s="61">
        <f t="shared" si="6"/>
        <v>268083.01630837965</v>
      </c>
    </row>
    <row r="103" spans="5:12">
      <c r="E103">
        <v>2023</v>
      </c>
      <c r="F103" s="61">
        <f t="shared" si="7"/>
        <v>402503.38924851822</v>
      </c>
      <c r="G103" s="61">
        <f t="shared" si="6"/>
        <v>351050.30124479678</v>
      </c>
      <c r="H103" s="61">
        <f t="shared" si="6"/>
        <v>338706.00984540361</v>
      </c>
      <c r="I103" s="61">
        <f t="shared" si="6"/>
        <v>214035.28991647693</v>
      </c>
      <c r="J103" s="61">
        <f t="shared" si="6"/>
        <v>233323.78273517516</v>
      </c>
      <c r="K103" s="61">
        <f t="shared" si="6"/>
        <v>278146.62933808262</v>
      </c>
    </row>
    <row r="104" spans="5:12">
      <c r="E104">
        <v>2024</v>
      </c>
      <c r="F104" s="61">
        <f t="shared" si="7"/>
        <v>417613.03106141655</v>
      </c>
      <c r="G104" s="61">
        <f t="shared" si="6"/>
        <v>364228.43701160874</v>
      </c>
      <c r="H104" s="61">
        <f t="shared" si="6"/>
        <v>351420.75119999185</v>
      </c>
      <c r="I104" s="61">
        <f t="shared" si="6"/>
        <v>222069.99633719987</v>
      </c>
      <c r="J104" s="61">
        <f t="shared" si="6"/>
        <v>242082.56310256803</v>
      </c>
      <c r="K104" s="61">
        <f t="shared" si="6"/>
        <v>288588.02201457648</v>
      </c>
    </row>
    <row r="105" spans="5:12">
      <c r="E105">
        <v>2025</v>
      </c>
      <c r="F105" s="61">
        <f t="shared" si="7"/>
        <v>433289.8762366029</v>
      </c>
      <c r="G105" s="61">
        <f t="shared" si="6"/>
        <v>377901.26901332702</v>
      </c>
      <c r="H105" s="61">
        <f t="shared" si="6"/>
        <v>364612.79334941355</v>
      </c>
      <c r="I105" s="61">
        <f t="shared" si="6"/>
        <v>230406.31894136808</v>
      </c>
      <c r="J105" s="61">
        <f t="shared" si="6"/>
        <v>251170.14078596918</v>
      </c>
      <c r="K105" s="61">
        <f t="shared" si="6"/>
        <v>299421.37587098533</v>
      </c>
    </row>
    <row r="106" spans="5:12">
      <c r="E106">
        <v>2026</v>
      </c>
      <c r="F106" s="61">
        <f t="shared" si="7"/>
        <v>449555.21711562813</v>
      </c>
      <c r="G106" s="61">
        <f t="shared" si="6"/>
        <v>392087.36773436313</v>
      </c>
      <c r="H106" s="61">
        <f t="shared" si="6"/>
        <v>378300.05376775609</v>
      </c>
      <c r="I106" s="61">
        <f t="shared" si="6"/>
        <v>239055.58014916125</v>
      </c>
      <c r="J106" s="61">
        <f t="shared" si="6"/>
        <v>260598.85856262382</v>
      </c>
      <c r="K106" s="61">
        <f t="shared" si="6"/>
        <v>310661.4048033689</v>
      </c>
    </row>
    <row r="107" spans="5:12">
      <c r="E107">
        <v>2027</v>
      </c>
      <c r="F107" s="61">
        <f t="shared" si="7"/>
        <v>466431.14533680119</v>
      </c>
      <c r="G107" s="61">
        <f t="shared" si="6"/>
        <v>406806.00077963801</v>
      </c>
      <c r="H107" s="61">
        <f t="shared" si="6"/>
        <v>392501.12253615283</v>
      </c>
      <c r="I107" s="61">
        <f t="shared" si="6"/>
        <v>248029.52741497732</v>
      </c>
      <c r="J107" s="61">
        <f t="shared" si="6"/>
        <v>270381.52254734928</v>
      </c>
      <c r="K107" s="61">
        <f t="shared" si="6"/>
        <v>322323.37505518337</v>
      </c>
    </row>
    <row r="108" spans="5:12">
      <c r="E108">
        <v>2028</v>
      </c>
      <c r="F108" s="61">
        <f t="shared" si="7"/>
        <v>483940.58184012357</v>
      </c>
      <c r="G108" s="61">
        <f t="shared" si="6"/>
        <v>422077.15904390498</v>
      </c>
      <c r="H108" s="61">
        <f t="shared" si="6"/>
        <v>407235.28759189125</v>
      </c>
      <c r="I108" s="61">
        <f t="shared" si="6"/>
        <v>257340.34918286273</v>
      </c>
      <c r="J108" s="61">
        <f t="shared" si="6"/>
        <v>280531.4195858413</v>
      </c>
      <c r="K108" s="61">
        <f t="shared" si="6"/>
        <v>334423.12595194241</v>
      </c>
    </row>
    <row r="109" spans="5:12">
      <c r="E109">
        <v>2029</v>
      </c>
      <c r="F109" s="61">
        <f t="shared" si="7"/>
        <v>502107.30799858359</v>
      </c>
      <c r="G109" s="61">
        <f t="shared" si="6"/>
        <v>437921.5838634473</v>
      </c>
      <c r="H109" s="61">
        <f t="shared" si="6"/>
        <v>422522.56092535116</v>
      </c>
      <c r="I109" s="61">
        <f t="shared" si="6"/>
        <v>267000.69144089642</v>
      </c>
      <c r="J109" s="61">
        <f t="shared" si="6"/>
        <v>291062.33530091081</v>
      </c>
      <c r="K109" s="61">
        <f t="shared" si="6"/>
        <v>346977.09141424001</v>
      </c>
    </row>
    <row r="110" spans="5:12">
      <c r="E110">
        <v>2030</v>
      </c>
      <c r="F110" s="61">
        <f t="shared" si="7"/>
        <v>520955.99791809375</v>
      </c>
      <c r="G110" s="61">
        <f t="shared" si="6"/>
        <v>454360.79518702789</v>
      </c>
      <c r="H110" s="61">
        <f t="shared" si="6"/>
        <v>438383.70576035476</v>
      </c>
      <c r="I110" s="61">
        <f t="shared" si="6"/>
        <v>277023.67489701149</v>
      </c>
      <c r="J110" s="61">
        <f t="shared" si="6"/>
        <v>301988.57281616091</v>
      </c>
      <c r="K110" s="61">
        <f t="shared" si="6"/>
        <v>360002.32227835443</v>
      </c>
    </row>
    <row r="111" spans="5:12">
      <c r="E111">
        <v>2040</v>
      </c>
      <c r="F111" s="61">
        <f>(1+$C$6)^10*F110</f>
        <v>753088.54863685335</v>
      </c>
      <c r="G111" s="61">
        <f t="shared" ref="G111:K117" si="8">(1+$C$6)^10*G110</f>
        <v>656819.2192283445</v>
      </c>
      <c r="H111" s="61">
        <f t="shared" si="8"/>
        <v>633722.90565126925</v>
      </c>
      <c r="I111" s="61">
        <f t="shared" si="8"/>
        <v>400462.53061671875</v>
      </c>
      <c r="J111" s="61">
        <f t="shared" si="8"/>
        <v>436551.52626305615</v>
      </c>
      <c r="K111" s="61">
        <f t="shared" si="8"/>
        <v>520415.59646872128</v>
      </c>
    </row>
    <row r="112" spans="5:12">
      <c r="E112">
        <v>2050</v>
      </c>
      <c r="F112" s="61">
        <f t="shared" ref="F112:F117" si="9">(1+$C$6)^10*F111</f>
        <v>1088656.9390782407</v>
      </c>
      <c r="G112" s="61">
        <f t="shared" si="8"/>
        <v>949491.00212343538</v>
      </c>
      <c r="H112" s="61">
        <f t="shared" si="8"/>
        <v>916103.21248259919</v>
      </c>
      <c r="I112" s="61">
        <f t="shared" si="8"/>
        <v>578904.45099165954</v>
      </c>
      <c r="J112" s="61">
        <f t="shared" si="8"/>
        <v>631074.32610908733</v>
      </c>
      <c r="K112" s="61">
        <f t="shared" si="8"/>
        <v>752307.34994672297</v>
      </c>
    </row>
    <row r="113" spans="5:12">
      <c r="E113">
        <v>2060</v>
      </c>
      <c r="F113" s="61">
        <f t="shared" si="9"/>
        <v>1573751.0989225074</v>
      </c>
      <c r="G113" s="61">
        <f t="shared" si="8"/>
        <v>1372574.2742006241</v>
      </c>
      <c r="H113" s="61">
        <f t="shared" si="8"/>
        <v>1324309.2342677063</v>
      </c>
      <c r="I113" s="61">
        <f t="shared" si="8"/>
        <v>836858.22706521023</v>
      </c>
      <c r="J113" s="61">
        <f t="shared" si="8"/>
        <v>912274.45356372278</v>
      </c>
      <c r="K113" s="61">
        <f t="shared" si="8"/>
        <v>1087527.6464122604</v>
      </c>
    </row>
    <row r="114" spans="5:12">
      <c r="E114">
        <v>2070</v>
      </c>
      <c r="F114" s="61">
        <f t="shared" si="9"/>
        <v>2274998.1490558456</v>
      </c>
      <c r="G114" s="61">
        <f t="shared" si="8"/>
        <v>1984179.0327492247</v>
      </c>
      <c r="H114" s="61">
        <f t="shared" si="8"/>
        <v>1914407.5952031778</v>
      </c>
      <c r="I114" s="61">
        <f t="shared" si="8"/>
        <v>1209753.5111486246</v>
      </c>
      <c r="J114" s="61">
        <f t="shared" si="8"/>
        <v>1318774.420370141</v>
      </c>
      <c r="K114" s="61">
        <f t="shared" si="8"/>
        <v>1572118.6052412598</v>
      </c>
    </row>
    <row r="115" spans="5:12">
      <c r="E115">
        <v>2080</v>
      </c>
      <c r="F115" s="61">
        <f t="shared" si="9"/>
        <v>3288713.5594383939</v>
      </c>
      <c r="G115" s="61">
        <f t="shared" si="8"/>
        <v>2868308.482828374</v>
      </c>
      <c r="H115" s="61">
        <f t="shared" si="8"/>
        <v>2767447.6215505656</v>
      </c>
      <c r="I115" s="61">
        <f t="shared" si="8"/>
        <v>1748807.0385216936</v>
      </c>
      <c r="J115" s="61">
        <f t="shared" si="8"/>
        <v>1906406.5260500249</v>
      </c>
      <c r="K115" s="61">
        <f t="shared" si="8"/>
        <v>2272638.2332434109</v>
      </c>
    </row>
    <row r="116" spans="5:12">
      <c r="E116">
        <v>2090</v>
      </c>
      <c r="F116" s="61">
        <f t="shared" si="9"/>
        <v>4754129.967324405</v>
      </c>
      <c r="G116" s="61">
        <f t="shared" si="8"/>
        <v>4146396.7801664718</v>
      </c>
      <c r="H116" s="61">
        <f t="shared" si="8"/>
        <v>4000593.3727049646</v>
      </c>
      <c r="I116" s="61">
        <f t="shared" si="8"/>
        <v>2528057.1866902271</v>
      </c>
      <c r="J116" s="61">
        <f t="shared" si="8"/>
        <v>2755881.3595626606</v>
      </c>
      <c r="K116" s="61">
        <f t="shared" si="8"/>
        <v>3285302.0897918325</v>
      </c>
    </row>
    <row r="117" spans="5:12">
      <c r="E117">
        <v>2100</v>
      </c>
      <c r="F117" s="61">
        <f t="shared" si="9"/>
        <v>6872520.6186918877</v>
      </c>
      <c r="G117" s="61">
        <f t="shared" si="8"/>
        <v>5993987.8717723014</v>
      </c>
      <c r="H117" s="61">
        <f t="shared" si="8"/>
        <v>5783215.9890215481</v>
      </c>
      <c r="I117" s="61">
        <f t="shared" si="8"/>
        <v>3654533.0607650261</v>
      </c>
      <c r="J117" s="61">
        <f t="shared" si="8"/>
        <v>3983873.3051974699</v>
      </c>
      <c r="K117" s="61">
        <f t="shared" si="8"/>
        <v>4749198.3824398573</v>
      </c>
    </row>
    <row r="118" spans="5:12">
      <c r="F118" s="581" t="s">
        <v>244</v>
      </c>
      <c r="G118" s="581"/>
      <c r="H118" s="581"/>
      <c r="I118" s="581"/>
      <c r="J118" s="581"/>
      <c r="K118" s="581"/>
    </row>
    <row r="119" spans="5:12">
      <c r="E119">
        <v>2020</v>
      </c>
      <c r="F119" s="320" t="s">
        <v>240</v>
      </c>
      <c r="G119" s="320" t="s">
        <v>240</v>
      </c>
      <c r="H119" s="61">
        <f>H81*H100/'Demographic-Economic'!E$29</f>
        <v>5579109363.0308828</v>
      </c>
      <c r="I119" s="61">
        <f>I81*I100/'Demographic-Economic'!F$29</f>
        <v>1684893045.5825496</v>
      </c>
      <c r="J119" s="61">
        <f>J81*J100/'Demographic-Economic'!G$29</f>
        <v>1192736934.5996227</v>
      </c>
      <c r="K119" s="61">
        <f>K81*K100/'Demographic-Economic'!H$29</f>
        <v>431972861.01510966</v>
      </c>
      <c r="L119" s="194">
        <f>SUM(H119:K119)/(SUM(F252:K252)*1000)</f>
        <v>6.8536089506211649E-3</v>
      </c>
    </row>
    <row r="120" spans="5:12">
      <c r="E120">
        <v>2021</v>
      </c>
      <c r="F120" s="320" t="s">
        <v>240</v>
      </c>
      <c r="G120" s="320" t="s">
        <v>240</v>
      </c>
      <c r="H120" s="61">
        <f>H82*H101/'Demographic-Economic'!E$29</f>
        <v>6129692317.7131004</v>
      </c>
      <c r="I120" s="61">
        <f>I82*I101/'Demographic-Economic'!F$29</f>
        <v>1608309749.9880903</v>
      </c>
      <c r="J120" s="61">
        <f>J82*J101/'Demographic-Economic'!G$29</f>
        <v>1176869013.5807576</v>
      </c>
      <c r="K120" s="61">
        <f>K82*K101/'Demographic-Economic'!H$29</f>
        <v>455809629.6502775</v>
      </c>
      <c r="L120" s="194">
        <f t="shared" ref="L120:L136" si="10">SUM(H120:K120)/(SUM(F253:K253)*1000)</f>
        <v>6.9389855570105123E-3</v>
      </c>
    </row>
    <row r="121" spans="5:12">
      <c r="E121">
        <v>2022</v>
      </c>
      <c r="F121" s="320" t="s">
        <v>240</v>
      </c>
      <c r="G121" s="320" t="s">
        <v>240</v>
      </c>
      <c r="H121" s="61">
        <f>H83*H102/'Demographic-Economic'!E$29</f>
        <v>6700908839.3052616</v>
      </c>
      <c r="I121" s="61">
        <f>I83*I102/'Demographic-Economic'!F$29</f>
        <v>1529403941.4340162</v>
      </c>
      <c r="J121" s="61">
        <f>J83*J102/'Demographic-Economic'!G$29</f>
        <v>1160476469.1952271</v>
      </c>
      <c r="K121" s="61">
        <f>K83*K102/'Demographic-Economic'!H$29</f>
        <v>480410615.80889076</v>
      </c>
      <c r="L121" s="194">
        <f t="shared" si="10"/>
        <v>7.0310684600193791E-3</v>
      </c>
    </row>
    <row r="122" spans="5:12">
      <c r="E122">
        <v>2023</v>
      </c>
      <c r="F122" s="320" t="s">
        <v>240</v>
      </c>
      <c r="G122" s="320" t="s">
        <v>240</v>
      </c>
      <c r="H122" s="61">
        <f>H84*H103/'Demographic-Economic'!E$29</f>
        <v>7292481552.7906065</v>
      </c>
      <c r="I122" s="61">
        <f>I84*I103/'Demographic-Economic'!F$29</f>
        <v>1448580357.1832156</v>
      </c>
      <c r="J122" s="61">
        <f>J84*J103/'Demographic-Economic'!G$29</f>
        <v>1143748675.1211388</v>
      </c>
      <c r="K122" s="61">
        <f>K84*K103/'Demographic-Economic'!H$29</f>
        <v>505780568.8703863</v>
      </c>
      <c r="L122" s="194">
        <f t="shared" si="10"/>
        <v>7.1293397048799272E-3</v>
      </c>
    </row>
    <row r="123" spans="5:12">
      <c r="E123">
        <v>2024</v>
      </c>
      <c r="F123" s="320" t="s">
        <v>240</v>
      </c>
      <c r="G123" s="320" t="s">
        <v>240</v>
      </c>
      <c r="H123" s="61">
        <f>H85*H104/'Demographic-Economic'!E$29</f>
        <v>7904173918.8376217</v>
      </c>
      <c r="I123" s="61">
        <f>I85*I104/'Demographic-Economic'!F$29</f>
        <v>1366234358.4065576</v>
      </c>
      <c r="J123" s="61">
        <f>J85*J104/'Demographic-Economic'!G$29</f>
        <v>1126872278.5344777</v>
      </c>
      <c r="K123" s="61">
        <f>K85*K104/'Demographic-Economic'!H$29</f>
        <v>531926354.19309807</v>
      </c>
      <c r="L123" s="194">
        <f t="shared" si="10"/>
        <v>7.2333751146053402E-3</v>
      </c>
    </row>
    <row r="124" spans="5:12">
      <c r="E124">
        <v>2025</v>
      </c>
      <c r="F124" s="320" t="s">
        <v>240</v>
      </c>
      <c r="G124" s="320" t="s">
        <v>240</v>
      </c>
      <c r="H124" s="61">
        <f>H86*H105/'Demographic-Economic'!E$29</f>
        <v>8535802616.5099955</v>
      </c>
      <c r="I124" s="61">
        <f>I86*I105/'Demographic-Economic'!F$29</f>
        <v>1282746634.0594733</v>
      </c>
      <c r="J124" s="61">
        <f>J86*J105/'Demographic-Economic'!G$29</f>
        <v>1110028917.9473038</v>
      </c>
      <c r="K124" s="61">
        <f>K86*K105/'Demographic-Economic'!H$29</f>
        <v>558857230.61369705</v>
      </c>
      <c r="L124" s="194">
        <f t="shared" si="10"/>
        <v>7.3428315033628108E-3</v>
      </c>
    </row>
    <row r="125" spans="5:12">
      <c r="E125">
        <v>2026</v>
      </c>
      <c r="F125" s="320" t="s">
        <v>240</v>
      </c>
      <c r="G125" s="320" t="s">
        <v>240</v>
      </c>
      <c r="H125" s="61">
        <f>H87*H106/'Demographic-Economic'!E$29</f>
        <v>9187248482.2605019</v>
      </c>
      <c r="I125" s="61">
        <f>I87*I106/'Demographic-Economic'!F$29</f>
        <v>1198478600.3439994</v>
      </c>
      <c r="J125" s="61">
        <f>J87*J106/'Demographic-Economic'!G$29</f>
        <v>1093393227.4086714</v>
      </c>
      <c r="K125" s="61">
        <f>K87*K106/'Demographic-Economic'!H$29</f>
        <v>586585083.68262386</v>
      </c>
      <c r="L125" s="194">
        <f t="shared" si="10"/>
        <v>7.4574361139829364E-3</v>
      </c>
    </row>
    <row r="126" spans="5:12">
      <c r="E126">
        <v>2027</v>
      </c>
      <c r="F126" s="320" t="s">
        <v>240</v>
      </c>
      <c r="G126" s="320" t="s">
        <v>240</v>
      </c>
      <c r="H126" s="61">
        <f>H88*H107/'Demographic-Economic'!E$29</f>
        <v>9858465834.4608994</v>
      </c>
      <c r="I126" s="61">
        <f>I88*I107/'Demographic-Economic'!F$29</f>
        <v>1113768572.5661385</v>
      </c>
      <c r="J126" s="61">
        <f>J88*J107/'Demographic-Economic'!G$29</f>
        <v>1077131162.208899</v>
      </c>
      <c r="K126" s="61">
        <f>K88*K107/'Demographic-Economic'!H$29</f>
        <v>615124612.57090318</v>
      </c>
      <c r="L126" s="194">
        <f t="shared" si="10"/>
        <v>7.5769777448513442E-3</v>
      </c>
    </row>
    <row r="127" spans="5:12">
      <c r="E127">
        <v>2028</v>
      </c>
      <c r="F127" s="320" t="s">
        <v>240</v>
      </c>
      <c r="G127" s="320" t="s">
        <v>240</v>
      </c>
      <c r="H127" s="61">
        <f>H89*H108/'Demographic-Economic'!E$29</f>
        <v>10549490091.183495</v>
      </c>
      <c r="I127" s="61">
        <f>I89*I108/'Demographic-Economic'!F$29</f>
        <v>1028928749.7626657</v>
      </c>
      <c r="J127" s="61">
        <f>J89*J108/'Demographic-Economic'!G$29</f>
        <v>1061398665.7934259</v>
      </c>
      <c r="K127" s="61">
        <f>K89*K108/'Demographic-Economic'!H$29</f>
        <v>644493470.58682346</v>
      </c>
      <c r="L127" s="194">
        <f t="shared" si="10"/>
        <v>7.7012991806936267E-3</v>
      </c>
    </row>
    <row r="128" spans="5:12">
      <c r="E128">
        <v>2029</v>
      </c>
      <c r="F128" s="320" t="s">
        <v>240</v>
      </c>
      <c r="G128" s="320" t="s">
        <v>240</v>
      </c>
      <c r="H128" s="61">
        <f>H90*H109/'Demographic-Economic'!E$29</f>
        <v>11260443663.931889</v>
      </c>
      <c r="I128" s="61">
        <f>I90*I109/'Demographic-Economic'!F$29</f>
        <v>944243017.79535294</v>
      </c>
      <c r="J128" s="61">
        <f>J90*J109/'Demographic-Economic'!G$29</f>
        <v>1046340682.7805338</v>
      </c>
      <c r="K128" s="61">
        <f>K90*K109/'Demographic-Economic'!H$29</f>
        <v>674712361.05292141</v>
      </c>
      <c r="L128" s="194">
        <f t="shared" si="10"/>
        <v>7.8302906498911792E-3</v>
      </c>
    </row>
    <row r="129" spans="5:12">
      <c r="E129">
        <v>2030</v>
      </c>
      <c r="F129" s="320" t="s">
        <v>240</v>
      </c>
      <c r="G129" s="320" t="s">
        <v>240</v>
      </c>
      <c r="H129" s="61">
        <f>H91*H110/'Demographic-Economic'!E$29</f>
        <v>11991540177.469934</v>
      </c>
      <c r="I129" s="61">
        <f>I91*I110/'Demographic-Economic'!F$29</f>
        <v>859965545.55132008</v>
      </c>
      <c r="J129" s="61">
        <f>J91*J110/'Demographic-Economic'!G$29</f>
        <v>1032090509.595547</v>
      </c>
      <c r="K129" s="61">
        <f>K91*K110/'Demographic-Economic'!H$29</f>
        <v>705805091.82828522</v>
      </c>
      <c r="L129" s="194">
        <f t="shared" si="10"/>
        <v>7.9638841091651778E-3</v>
      </c>
    </row>
    <row r="130" spans="5:12">
      <c r="E130">
        <v>2040</v>
      </c>
      <c r="F130" s="320" t="s">
        <v>240</v>
      </c>
      <c r="G130" s="320" t="s">
        <v>240</v>
      </c>
      <c r="H130" s="61">
        <f>H92*H111/'Demographic-Economic'!E$29</f>
        <v>20244098375.03606</v>
      </c>
      <c r="I130" s="61">
        <f>I92*I111/'Demographic-Economic'!F$29</f>
        <v>38190786.954312675</v>
      </c>
      <c r="J130" s="61">
        <f>J92*J111/'Demographic-Economic'!G$29</f>
        <v>987087590.21433008</v>
      </c>
      <c r="K130" s="61">
        <f>K92*K111/'Demographic-Economic'!H$29</f>
        <v>1030039349.5709621</v>
      </c>
      <c r="L130" s="194">
        <f t="shared" si="10"/>
        <v>9.3820227938043177E-3</v>
      </c>
    </row>
    <row r="131" spans="5:12">
      <c r="E131">
        <v>2050</v>
      </c>
      <c r="F131" s="320" t="s">
        <v>240</v>
      </c>
      <c r="G131" s="320" t="s">
        <v>240</v>
      </c>
      <c r="H131" s="61">
        <f>H93*H112/'Demographic-Economic'!E$29</f>
        <v>29343063772.875473</v>
      </c>
      <c r="I131" s="61">
        <f>I93*I112/'Demographic-Economic'!F$29</f>
        <v>0</v>
      </c>
      <c r="J131" s="61">
        <f>J93*J112/'Demographic-Economic'!G$29</f>
        <v>1309063808.5418797</v>
      </c>
      <c r="K131" s="61">
        <f>K93*K112/'Demographic-Economic'!H$29</f>
        <v>1411238224.8701618</v>
      </c>
      <c r="L131" s="194">
        <f t="shared" si="10"/>
        <v>1.0864555272401426E-2</v>
      </c>
    </row>
    <row r="132" spans="5:12">
      <c r="E132">
        <v>2060</v>
      </c>
      <c r="F132" s="320" t="s">
        <v>240</v>
      </c>
      <c r="G132" s="320" t="s">
        <v>240</v>
      </c>
      <c r="H132" s="61">
        <f>H94*H113/'Demographic-Economic'!E$29</f>
        <v>41210374817.714378</v>
      </c>
      <c r="I132" s="61">
        <f>I94*I113/'Demographic-Economic'!F$29</f>
        <v>0</v>
      </c>
      <c r="J132" s="61">
        <f>J94*J113/'Demographic-Economic'!G$29</f>
        <v>1918887308.0406499</v>
      </c>
      <c r="K132" s="61">
        <f>K94*K113/'Demographic-Economic'!H$29</f>
        <v>1929240134.4229372</v>
      </c>
      <c r="L132" s="194">
        <f t="shared" si="10"/>
        <v>1.2614027126056101E-2</v>
      </c>
    </row>
    <row r="133" spans="5:12">
      <c r="E133">
        <v>2070</v>
      </c>
      <c r="F133" s="320" t="s">
        <v>240</v>
      </c>
      <c r="G133" s="320" t="s">
        <v>240</v>
      </c>
      <c r="H133" s="61">
        <f>H95*H114/'Demographic-Economic'!E$29</f>
        <v>57083154335.716469</v>
      </c>
      <c r="I133" s="61">
        <f>I95*I114/'Demographic-Economic'!F$29</f>
        <v>0</v>
      </c>
      <c r="J133" s="61">
        <f>J95*J114/'Demographic-Economic'!G$29</f>
        <v>2744823915.7768068</v>
      </c>
      <c r="K133" s="61">
        <f>K95*K114/'Demographic-Economic'!H$29</f>
        <v>2631202483.9227977</v>
      </c>
      <c r="L133" s="194">
        <f t="shared" si="10"/>
        <v>1.4577804772673857E-2</v>
      </c>
    </row>
    <row r="134" spans="5:12">
      <c r="E134">
        <v>2080</v>
      </c>
      <c r="F134" s="320" t="s">
        <v>240</v>
      </c>
      <c r="G134" s="320" t="s">
        <v>240</v>
      </c>
      <c r="H134" s="61">
        <f>H96*H115/'Demographic-Economic'!E$29</f>
        <v>77796194655.556198</v>
      </c>
      <c r="I134" s="61">
        <f>I96*I115/'Demographic-Economic'!F$29</f>
        <v>195878942.9134354</v>
      </c>
      <c r="J134" s="61">
        <f>J96*J115/'Demographic-Economic'!G$29</f>
        <v>3801655727.1706176</v>
      </c>
      <c r="K134" s="61">
        <f>K96*K115/'Demographic-Economic'!H$29</f>
        <v>3548273123.6249371</v>
      </c>
      <c r="L134" s="194">
        <f t="shared" si="10"/>
        <v>1.6874353235929535E-2</v>
      </c>
    </row>
    <row r="135" spans="5:12">
      <c r="E135">
        <v>2090</v>
      </c>
      <c r="F135" s="320" t="s">
        <v>240</v>
      </c>
      <c r="G135" s="320" t="s">
        <v>240</v>
      </c>
      <c r="H135" s="61">
        <f>H97*H116/'Demographic-Economic'!E$29</f>
        <v>104909702262.81</v>
      </c>
      <c r="I135" s="61">
        <f>I97*I116/'Demographic-Economic'!F$29</f>
        <v>534872762.00393617</v>
      </c>
      <c r="J135" s="61">
        <f>J97*J116/'Demographic-Economic'!G$29</f>
        <v>5123185697.7282677</v>
      </c>
      <c r="K135" s="61">
        <f>K97*K116/'Demographic-Economic'!H$29</f>
        <v>4746306386.4568272</v>
      </c>
      <c r="L135" s="194">
        <f t="shared" si="10"/>
        <v>1.9557267549760105E-2</v>
      </c>
    </row>
    <row r="136" spans="5:12">
      <c r="E136">
        <v>2100</v>
      </c>
      <c r="F136" s="320" t="s">
        <v>240</v>
      </c>
      <c r="G136" s="320" t="s">
        <v>240</v>
      </c>
      <c r="H136" s="61">
        <f>H98*H117/'Demographic-Economic'!E$29</f>
        <v>140916071011.14163</v>
      </c>
      <c r="I136" s="61">
        <f>I98*I117/'Demographic-Economic'!F$29</f>
        <v>931037935.10254598</v>
      </c>
      <c r="J136" s="61">
        <f>J98*J117/'Demographic-Economic'!G$29</f>
        <v>6755970162.5836754</v>
      </c>
      <c r="K136" s="61">
        <f>K98*K117/'Demographic-Economic'!H$29</f>
        <v>6332336869.2872782</v>
      </c>
      <c r="L136" s="194">
        <f t="shared" si="10"/>
        <v>2.2718806611435275E-2</v>
      </c>
    </row>
    <row r="137" spans="5:12">
      <c r="F137" s="581" t="s">
        <v>363</v>
      </c>
      <c r="G137" s="581"/>
      <c r="H137" s="581"/>
      <c r="I137" s="581"/>
      <c r="J137" s="581"/>
      <c r="K137" s="581"/>
    </row>
    <row r="138" spans="5:12">
      <c r="E138">
        <v>2020</v>
      </c>
      <c r="H138" s="62">
        <f>('Demographic-Economic'!E$23*1000/'Voluntary Costs (1)'!H5)*$C$5*(1+'Inflation-Interest'!$C$65)*(1+'Inflation-Interest'!$C$66)*(1+'Inflation-Interest'!$C$67)</f>
        <v>3679.8913927982917</v>
      </c>
      <c r="I138" s="62">
        <f>('Demographic-Economic'!F$23*1000/'Voluntary Costs (1)'!I5)*$C$5*(1+'Inflation-Interest'!$C$65)*(1+'Inflation-Interest'!$C$66)*(1+'Inflation-Interest'!$C$67)</f>
        <v>1725.8329281201045</v>
      </c>
      <c r="J138" s="62">
        <f>('Demographic-Economic'!G$23*1000/'Voluntary Costs (1)'!J5)*$C$5*(1+'Inflation-Interest'!$C$65)*(1+'Inflation-Interest'!$C$66)*(1+'Inflation-Interest'!$C$67)</f>
        <v>1973.4851002516943</v>
      </c>
      <c r="K138" s="62">
        <f>('Demographic-Economic'!H$23*1000/'Voluntary Costs (1)'!K5)*$C$5*(1+'Inflation-Interest'!$C$65)*(1+'Inflation-Interest'!$C$66)*(1+'Inflation-Interest'!$C$67)</f>
        <v>593.7313408971421</v>
      </c>
      <c r="L138" s="329">
        <f>AVERAGE(H138:K138)</f>
        <v>1993.2351905168082</v>
      </c>
    </row>
    <row r="139" spans="5:12">
      <c r="E139">
        <v>2021</v>
      </c>
      <c r="F139" s="320" t="s">
        <v>240</v>
      </c>
      <c r="G139" s="320" t="s">
        <v>240</v>
      </c>
      <c r="H139" s="62">
        <f t="shared" ref="H139:H148" si="11">H138*(1+$C$6)</f>
        <v>3818.0314491077788</v>
      </c>
      <c r="I139" s="62">
        <f t="shared" ref="I139:I148" si="12">I138*(1+$C$6)</f>
        <v>1790.6192580476265</v>
      </c>
      <c r="J139" s="62">
        <f t="shared" ref="J139:J148" si="13">J138*(1+$C$6)</f>
        <v>2047.568086344226</v>
      </c>
      <c r="K139" s="62">
        <f t="shared" ref="K139:K148" si="14">K138*(1+$C$6)</f>
        <v>616.01952065830346</v>
      </c>
      <c r="L139" s="329">
        <f t="shared" ref="L139:L155" si="15">AVERAGE(H139:K139)</f>
        <v>2068.0595785394835</v>
      </c>
    </row>
    <row r="140" spans="5:12">
      <c r="E140">
        <v>2022</v>
      </c>
      <c r="F140" s="320" t="s">
        <v>240</v>
      </c>
      <c r="G140" s="320" t="s">
        <v>240</v>
      </c>
      <c r="H140" s="62">
        <f t="shared" si="11"/>
        <v>3961.3571680144105</v>
      </c>
      <c r="I140" s="62">
        <f t="shared" si="12"/>
        <v>1857.8376128120194</v>
      </c>
      <c r="J140" s="62">
        <f t="shared" si="13"/>
        <v>2124.4320859988497</v>
      </c>
      <c r="K140" s="62">
        <f t="shared" si="14"/>
        <v>639.14438011421566</v>
      </c>
      <c r="L140" s="329">
        <f t="shared" si="15"/>
        <v>2145.6928117348739</v>
      </c>
    </row>
    <row r="141" spans="5:12">
      <c r="E141">
        <v>2023</v>
      </c>
      <c r="F141" s="320" t="s">
        <v>240</v>
      </c>
      <c r="G141" s="320" t="s">
        <v>240</v>
      </c>
      <c r="H141" s="62">
        <f t="shared" si="11"/>
        <v>4110.063214970698</v>
      </c>
      <c r="I141" s="62">
        <f t="shared" si="12"/>
        <v>1927.579288598972</v>
      </c>
      <c r="J141" s="62">
        <f t="shared" si="13"/>
        <v>2204.181496147175</v>
      </c>
      <c r="K141" s="62">
        <f t="shared" si="14"/>
        <v>663.1373275233866</v>
      </c>
      <c r="L141" s="329">
        <f t="shared" si="15"/>
        <v>2226.2403318100583</v>
      </c>
    </row>
    <row r="142" spans="5:12">
      <c r="E142">
        <v>2024</v>
      </c>
      <c r="F142" s="320" t="s">
        <v>240</v>
      </c>
      <c r="G142" s="320" t="s">
        <v>240</v>
      </c>
      <c r="H142" s="62">
        <f t="shared" si="11"/>
        <v>4264.3515630080192</v>
      </c>
      <c r="I142" s="62">
        <f t="shared" si="12"/>
        <v>1999.9390087769036</v>
      </c>
      <c r="J142" s="62">
        <f t="shared" si="13"/>
        <v>2286.9246326946268</v>
      </c>
      <c r="K142" s="62">
        <f t="shared" si="14"/>
        <v>688.03095018417491</v>
      </c>
      <c r="L142" s="329">
        <f t="shared" si="15"/>
        <v>2309.811538665931</v>
      </c>
    </row>
    <row r="143" spans="5:12">
      <c r="E143">
        <v>2025</v>
      </c>
      <c r="F143" s="320" t="s">
        <v>240</v>
      </c>
      <c r="G143" s="320" t="s">
        <v>240</v>
      </c>
      <c r="H143" s="62">
        <f t="shared" si="11"/>
        <v>4424.4317670570381</v>
      </c>
      <c r="I143" s="62">
        <f t="shared" si="12"/>
        <v>2075.0150525505478</v>
      </c>
      <c r="J143" s="62">
        <f t="shared" si="13"/>
        <v>2372.7738776354558</v>
      </c>
      <c r="K143" s="62">
        <f t="shared" si="14"/>
        <v>713.85905869496366</v>
      </c>
      <c r="L143" s="329">
        <f t="shared" si="15"/>
        <v>2396.5199389845011</v>
      </c>
    </row>
    <row r="144" spans="5:12">
      <c r="E144">
        <v>2026</v>
      </c>
      <c r="F144" s="320" t="s">
        <v>240</v>
      </c>
      <c r="G144" s="320" t="s">
        <v>240</v>
      </c>
      <c r="H144" s="62">
        <f t="shared" si="11"/>
        <v>4590.5212485658867</v>
      </c>
      <c r="I144" s="62">
        <f t="shared" si="12"/>
        <v>2152.9093884440849</v>
      </c>
      <c r="J144" s="62">
        <f t="shared" si="13"/>
        <v>2461.8458316903261</v>
      </c>
      <c r="K144" s="62">
        <f t="shared" si="14"/>
        <v>740.65673287582365</v>
      </c>
      <c r="L144" s="329">
        <f t="shared" si="15"/>
        <v>2486.4833003940298</v>
      </c>
    </row>
    <row r="145" spans="5:12">
      <c r="E145">
        <v>2027</v>
      </c>
      <c r="F145" s="320" t="s">
        <v>240</v>
      </c>
      <c r="G145" s="320" t="s">
        <v>240</v>
      </c>
      <c r="H145" s="62">
        <f t="shared" si="11"/>
        <v>4762.8455908026763</v>
      </c>
      <c r="I145" s="62">
        <f t="shared" si="12"/>
        <v>2233.727812795119</v>
      </c>
      <c r="J145" s="62">
        <f t="shared" si="13"/>
        <v>2554.2614726737879</v>
      </c>
      <c r="K145" s="62">
        <f t="shared" si="14"/>
        <v>768.46036941403804</v>
      </c>
      <c r="L145" s="329">
        <f t="shared" si="15"/>
        <v>2579.8238114214055</v>
      </c>
    </row>
    <row r="146" spans="5:12">
      <c r="E146">
        <v>2028</v>
      </c>
      <c r="F146" s="320" t="s">
        <v>240</v>
      </c>
      <c r="G146" s="320" t="s">
        <v>240</v>
      </c>
      <c r="H146" s="62">
        <f t="shared" si="11"/>
        <v>4941.6388452434167</v>
      </c>
      <c r="I146" s="62">
        <f t="shared" si="12"/>
        <v>2317.5800934476038</v>
      </c>
      <c r="J146" s="62">
        <f t="shared" si="13"/>
        <v>2650.1463198067349</v>
      </c>
      <c r="K146" s="62">
        <f t="shared" si="14"/>
        <v>797.30773129819988</v>
      </c>
      <c r="L146" s="329">
        <f t="shared" si="15"/>
        <v>2676.668247448989</v>
      </c>
    </row>
    <row r="147" spans="5:12">
      <c r="E147">
        <v>2029</v>
      </c>
      <c r="F147" s="320" t="s">
        <v>240</v>
      </c>
      <c r="G147" s="320" t="s">
        <v>240</v>
      </c>
      <c r="H147" s="62">
        <f t="shared" si="11"/>
        <v>5127.1438494614831</v>
      </c>
      <c r="I147" s="62">
        <f t="shared" si="12"/>
        <v>2404.5801188388823</v>
      </c>
      <c r="J147" s="62">
        <f t="shared" si="13"/>
        <v>2749.6306041970133</v>
      </c>
      <c r="K147" s="62">
        <f t="shared" si="14"/>
        <v>827.23799910802495</v>
      </c>
      <c r="L147" s="329">
        <f t="shared" si="15"/>
        <v>2777.1481429013511</v>
      </c>
    </row>
    <row r="148" spans="5:12">
      <c r="E148">
        <v>2030</v>
      </c>
      <c r="F148" s="320" t="s">
        <v>240</v>
      </c>
      <c r="G148" s="320" t="s">
        <v>240</v>
      </c>
      <c r="H148" s="62">
        <f t="shared" si="11"/>
        <v>5319.6125569503929</v>
      </c>
      <c r="I148" s="62">
        <f t="shared" si="12"/>
        <v>2494.8460526833283</v>
      </c>
      <c r="J148" s="62">
        <f t="shared" si="13"/>
        <v>2852.8494457197326</v>
      </c>
      <c r="K148" s="62">
        <f t="shared" si="14"/>
        <v>858.29182422954091</v>
      </c>
      <c r="L148" s="329">
        <f t="shared" si="15"/>
        <v>2881.3999698957487</v>
      </c>
    </row>
    <row r="149" spans="5:12">
      <c r="E149">
        <v>2040</v>
      </c>
      <c r="F149" s="320" t="s">
        <v>240</v>
      </c>
      <c r="G149" s="320" t="s">
        <v>240</v>
      </c>
      <c r="H149" s="62">
        <f t="shared" ref="H149:K155" si="16">H148*(1+$C$6)^10</f>
        <v>7689.9763431728625</v>
      </c>
      <c r="I149" s="62">
        <f t="shared" si="16"/>
        <v>3606.5233923711676</v>
      </c>
      <c r="J149" s="62">
        <f t="shared" si="16"/>
        <v>4124.049357608721</v>
      </c>
      <c r="K149" s="62">
        <f t="shared" si="16"/>
        <v>1240.7376953120836</v>
      </c>
      <c r="L149" s="329">
        <f t="shared" si="15"/>
        <v>4165.3216971162083</v>
      </c>
    </row>
    <row r="150" spans="5:12">
      <c r="E150">
        <v>2050</v>
      </c>
      <c r="F150" s="320" t="s">
        <v>240</v>
      </c>
      <c r="G150" s="320" t="s">
        <v>240</v>
      </c>
      <c r="H150" s="62">
        <f t="shared" si="16"/>
        <v>11116.549471501243</v>
      </c>
      <c r="I150" s="62">
        <f t="shared" si="16"/>
        <v>5213.5525419417208</v>
      </c>
      <c r="J150" s="62">
        <f t="shared" si="16"/>
        <v>5961.6826711660169</v>
      </c>
      <c r="K150" s="62">
        <f t="shared" si="16"/>
        <v>1793.5974514847956</v>
      </c>
      <c r="L150" s="329">
        <f t="shared" si="15"/>
        <v>6021.3455340234441</v>
      </c>
    </row>
    <row r="151" spans="5:12">
      <c r="E151">
        <v>2060</v>
      </c>
      <c r="F151" s="320" t="s">
        <v>240</v>
      </c>
      <c r="G151" s="320" t="s">
        <v>240</v>
      </c>
      <c r="H151" s="62">
        <f t="shared" si="16"/>
        <v>16069.96779151947</v>
      </c>
      <c r="I151" s="62">
        <f t="shared" si="16"/>
        <v>7536.6570933888497</v>
      </c>
      <c r="J151" s="62">
        <f t="shared" si="16"/>
        <v>8618.1461931603953</v>
      </c>
      <c r="K151" s="62">
        <f t="shared" si="16"/>
        <v>2592.8057397849766</v>
      </c>
      <c r="L151" s="329">
        <f t="shared" si="15"/>
        <v>8704.3942044634223</v>
      </c>
    </row>
    <row r="152" spans="5:12">
      <c r="E152">
        <v>2070</v>
      </c>
      <c r="F152" s="320" t="s">
        <v>240</v>
      </c>
      <c r="G152" s="320" t="s">
        <v>240</v>
      </c>
      <c r="H152" s="62">
        <f t="shared" si="16"/>
        <v>23230.577571081361</v>
      </c>
      <c r="I152" s="62">
        <f t="shared" si="16"/>
        <v>10894.912765600246</v>
      </c>
      <c r="J152" s="62">
        <f t="shared" si="16"/>
        <v>12458.302110896893</v>
      </c>
      <c r="K152" s="62">
        <f t="shared" si="16"/>
        <v>3748.1328927495456</v>
      </c>
      <c r="L152" s="329">
        <f t="shared" si="15"/>
        <v>12582.981335082011</v>
      </c>
    </row>
    <row r="153" spans="5:12">
      <c r="E153">
        <v>2080</v>
      </c>
      <c r="F153" s="320" t="s">
        <v>240</v>
      </c>
      <c r="G153" s="320" t="s">
        <v>240</v>
      </c>
      <c r="H153" s="62">
        <f t="shared" si="16"/>
        <v>33581.880268037661</v>
      </c>
      <c r="I153" s="62">
        <f t="shared" si="16"/>
        <v>15749.572084706093</v>
      </c>
      <c r="J153" s="62">
        <f t="shared" si="16"/>
        <v>18009.591390960213</v>
      </c>
      <c r="K153" s="62">
        <f t="shared" si="16"/>
        <v>5418.2617564230359</v>
      </c>
      <c r="L153" s="329">
        <f t="shared" si="15"/>
        <v>18189.826375031749</v>
      </c>
    </row>
    <row r="154" spans="5:12">
      <c r="E154">
        <v>2090</v>
      </c>
      <c r="F154" s="320" t="s">
        <v>240</v>
      </c>
      <c r="G154" s="320" t="s">
        <v>240</v>
      </c>
      <c r="H154" s="62">
        <f t="shared" si="16"/>
        <v>48545.615316112082</v>
      </c>
      <c r="I154" s="62">
        <f t="shared" si="16"/>
        <v>22767.416884194521</v>
      </c>
      <c r="J154" s="62">
        <f t="shared" si="16"/>
        <v>26034.477184949086</v>
      </c>
      <c r="K154" s="62">
        <f t="shared" si="16"/>
        <v>7832.5825954320417</v>
      </c>
      <c r="L154" s="329">
        <f t="shared" si="15"/>
        <v>26295.022995171934</v>
      </c>
    </row>
    <row r="155" spans="5:12">
      <c r="E155">
        <v>2100</v>
      </c>
      <c r="F155" s="320" t="s">
        <v>240</v>
      </c>
      <c r="G155" s="320" t="s">
        <v>240</v>
      </c>
      <c r="H155" s="62">
        <f t="shared" si="16"/>
        <v>70177.034389076725</v>
      </c>
      <c r="I155" s="62">
        <f t="shared" si="16"/>
        <v>32912.340017292532</v>
      </c>
      <c r="J155" s="62">
        <f t="shared" si="16"/>
        <v>37635.1682600555</v>
      </c>
      <c r="K155" s="62">
        <f t="shared" si="16"/>
        <v>11322.699580089284</v>
      </c>
      <c r="L155" s="329">
        <f t="shared" si="15"/>
        <v>38011.81056162851</v>
      </c>
    </row>
    <row r="156" spans="5:12">
      <c r="F156" s="581" t="s">
        <v>364</v>
      </c>
      <c r="G156" s="581"/>
      <c r="H156" s="581"/>
      <c r="I156" s="581"/>
      <c r="J156" s="581"/>
      <c r="K156" s="581"/>
    </row>
    <row r="157" spans="5:12">
      <c r="E157">
        <v>2020</v>
      </c>
      <c r="F157" s="320" t="s">
        <v>240</v>
      </c>
      <c r="G157" s="320" t="s">
        <v>240</v>
      </c>
      <c r="H157" s="63">
        <f>'Demographic-Economic'!E$22*1000/H5*(1+'Inflation-Interest'!$C$65)*(1+'Inflation-Interest'!$C$66)*(1+'Inflation-Interest'!$C$67)*$C$5</f>
        <v>918.50338180980054</v>
      </c>
      <c r="I157" s="63">
        <f>'Demographic-Economic'!F$22*1000/I5*(1+'Inflation-Interest'!$C$65)*(1+'Inflation-Interest'!$C$66)*(1+'Inflation-Interest'!$C$67)*$C$5</f>
        <v>719.11413961221217</v>
      </c>
      <c r="J157" s="63">
        <f>'Demographic-Economic'!G$22*1000/J5*(1+'Inflation-Interest'!$C$65)*(1+'Inflation-Interest'!$C$66)*(1+'Inflation-Interest'!$C$67)*$C$5</f>
        <v>540.13575753906809</v>
      </c>
      <c r="K157" s="63">
        <f>'Demographic-Economic'!H$22*1000/K5*(1+'Inflation-Interest'!$C$65)*(1+'Inflation-Interest'!$C$66)*(1+'Inflation-Interest'!$C$67)*$C$5</f>
        <v>128.59741636960283</v>
      </c>
      <c r="L157" s="63">
        <f>AVERAGE(H157:K157)</f>
        <v>576.58767383267093</v>
      </c>
    </row>
    <row r="158" spans="5:12">
      <c r="E158">
        <v>2021</v>
      </c>
      <c r="F158" s="320" t="s">
        <v>240</v>
      </c>
      <c r="G158" s="320" t="s">
        <v>240</v>
      </c>
      <c r="H158" s="63">
        <f t="shared" ref="H158:H167" si="17">H157*(1+$C$6)</f>
        <v>952.98323334345559</v>
      </c>
      <c r="I158" s="63">
        <f t="shared" ref="I158:I167" si="18">I157*(1+$C$6)</f>
        <v>746.10908515147162</v>
      </c>
      <c r="J158" s="63">
        <f t="shared" ref="J158:J167" si="19">J157*(1+$C$6)</f>
        <v>560.41200376395341</v>
      </c>
      <c r="K158" s="63">
        <f t="shared" ref="K158:K167" si="20">K157*(1+$C$6)</f>
        <v>133.42485621560408</v>
      </c>
      <c r="L158" s="63">
        <f t="shared" ref="L158:L174" si="21">AVERAGE(H158:K158)</f>
        <v>598.23229461862115</v>
      </c>
    </row>
    <row r="159" spans="5:12">
      <c r="E159">
        <v>2022</v>
      </c>
      <c r="F159" s="320" t="s">
        <v>240</v>
      </c>
      <c r="G159" s="320" t="s">
        <v>240</v>
      </c>
      <c r="H159" s="63">
        <f t="shared" si="17"/>
        <v>988.75742977047446</v>
      </c>
      <c r="I159" s="63">
        <f t="shared" si="18"/>
        <v>774.11739845048692</v>
      </c>
      <c r="J159" s="63">
        <f t="shared" si="19"/>
        <v>581.44940337524906</v>
      </c>
      <c r="K159" s="63">
        <f t="shared" si="20"/>
        <v>138.43351413055768</v>
      </c>
      <c r="L159" s="63">
        <f t="shared" si="21"/>
        <v>620.689436431692</v>
      </c>
    </row>
    <row r="160" spans="5:12">
      <c r="E160">
        <v>2023</v>
      </c>
      <c r="F160" s="320" t="s">
        <v>240</v>
      </c>
      <c r="G160" s="320" t="s">
        <v>240</v>
      </c>
      <c r="H160" s="63">
        <f t="shared" si="17"/>
        <v>1025.8745597195332</v>
      </c>
      <c r="I160" s="63">
        <f t="shared" si="18"/>
        <v>803.17712049048612</v>
      </c>
      <c r="J160" s="63">
        <f t="shared" si="19"/>
        <v>603.2765294367864</v>
      </c>
      <c r="K160" s="63">
        <f t="shared" si="20"/>
        <v>143.63019288975704</v>
      </c>
      <c r="L160" s="63">
        <f t="shared" si="21"/>
        <v>643.98960063414063</v>
      </c>
    </row>
    <row r="161" spans="5:12">
      <c r="E161">
        <v>2024</v>
      </c>
      <c r="F161" s="320" t="s">
        <v>240</v>
      </c>
      <c r="G161" s="320" t="s">
        <v>240</v>
      </c>
      <c r="H161" s="63">
        <f t="shared" si="17"/>
        <v>1064.3850357959379</v>
      </c>
      <c r="I161" s="63">
        <f t="shared" si="18"/>
        <v>833.3277202794319</v>
      </c>
      <c r="J161" s="63">
        <f t="shared" si="19"/>
        <v>625.92302762140218</v>
      </c>
      <c r="K161" s="63">
        <f t="shared" si="20"/>
        <v>149.02195063901112</v>
      </c>
      <c r="L161" s="63">
        <f t="shared" si="21"/>
        <v>668.16443358394577</v>
      </c>
    </row>
    <row r="162" spans="5:12">
      <c r="E162">
        <v>2025</v>
      </c>
      <c r="F162" s="320" t="s">
        <v>240</v>
      </c>
      <c r="G162" s="320" t="s">
        <v>240</v>
      </c>
      <c r="H162" s="63">
        <f t="shared" si="17"/>
        <v>1104.3411630521875</v>
      </c>
      <c r="I162" s="63">
        <f t="shared" si="18"/>
        <v>864.61014845895488</v>
      </c>
      <c r="J162" s="63">
        <f t="shared" si="19"/>
        <v>649.41965647578661</v>
      </c>
      <c r="K162" s="63">
        <f t="shared" si="20"/>
        <v>154.61611048104075</v>
      </c>
      <c r="L162" s="63">
        <f t="shared" si="21"/>
        <v>693.24676961699242</v>
      </c>
    </row>
    <row r="163" spans="5:12">
      <c r="E163">
        <v>2026</v>
      </c>
      <c r="F163" s="320" t="s">
        <v>240</v>
      </c>
      <c r="G163" s="320" t="s">
        <v>240</v>
      </c>
      <c r="H163" s="63">
        <f t="shared" si="17"/>
        <v>1145.7972100288641</v>
      </c>
      <c r="I163" s="63">
        <f t="shared" si="18"/>
        <v>897.06689292364706</v>
      </c>
      <c r="J163" s="63">
        <f t="shared" si="19"/>
        <v>673.79832919684054</v>
      </c>
      <c r="K163" s="63">
        <f t="shared" si="20"/>
        <v>160.4202704217403</v>
      </c>
      <c r="L163" s="63">
        <f t="shared" si="21"/>
        <v>719.27067564277309</v>
      </c>
    </row>
    <row r="164" spans="5:12">
      <c r="E164">
        <v>2027</v>
      </c>
      <c r="F164" s="320" t="s">
        <v>240</v>
      </c>
      <c r="G164" s="320" t="s">
        <v>240</v>
      </c>
      <c r="H164" s="63">
        <f t="shared" si="17"/>
        <v>1188.8094824623392</v>
      </c>
      <c r="I164" s="63">
        <f t="shared" si="18"/>
        <v>930.74203652825668</v>
      </c>
      <c r="J164" s="63">
        <f t="shared" si="19"/>
        <v>699.09215697628224</v>
      </c>
      <c r="K164" s="63">
        <f t="shared" si="20"/>
        <v>166.44231368981374</v>
      </c>
      <c r="L164" s="63">
        <f t="shared" si="21"/>
        <v>746.27149741417293</v>
      </c>
    </row>
    <row r="165" spans="5:12">
      <c r="E165">
        <v>2028</v>
      </c>
      <c r="F165" s="320" t="s">
        <v>240</v>
      </c>
      <c r="G165" s="320" t="s">
        <v>240</v>
      </c>
      <c r="H165" s="63">
        <f t="shared" si="17"/>
        <v>1233.4363997594069</v>
      </c>
      <c r="I165" s="63">
        <f t="shared" si="18"/>
        <v>965.6813169611637</v>
      </c>
      <c r="J165" s="63">
        <f t="shared" si="19"/>
        <v>725.33549397237437</v>
      </c>
      <c r="K165" s="63">
        <f t="shared" si="20"/>
        <v>172.69041944380129</v>
      </c>
      <c r="L165" s="63">
        <f t="shared" si="21"/>
        <v>774.28590753418655</v>
      </c>
    </row>
    <row r="166" spans="5:12">
      <c r="E166">
        <v>2029</v>
      </c>
      <c r="F166" s="320" t="s">
        <v>240</v>
      </c>
      <c r="G166" s="320" t="s">
        <v>240</v>
      </c>
      <c r="H166" s="63">
        <f t="shared" si="17"/>
        <v>1279.7385743427085</v>
      </c>
      <c r="I166" s="63">
        <f t="shared" si="18"/>
        <v>1001.932188865455</v>
      </c>
      <c r="J166" s="63">
        <f t="shared" si="19"/>
        <v>752.5639839698523</v>
      </c>
      <c r="K166" s="63">
        <f t="shared" si="20"/>
        <v>179.17307388103873</v>
      </c>
      <c r="L166" s="63">
        <f t="shared" si="21"/>
        <v>803.35195526476366</v>
      </c>
    </row>
    <row r="167" spans="5:12">
      <c r="E167">
        <v>2030</v>
      </c>
      <c r="F167" s="320" t="s">
        <v>240</v>
      </c>
      <c r="G167" s="320" t="s">
        <v>240</v>
      </c>
      <c r="H167" s="63">
        <f t="shared" si="17"/>
        <v>1327.7788939747218</v>
      </c>
      <c r="I167" s="63">
        <f t="shared" si="18"/>
        <v>1039.5438882919734</v>
      </c>
      <c r="J167" s="63">
        <f t="shared" si="19"/>
        <v>780.8146087914273</v>
      </c>
      <c r="K167" s="63">
        <f t="shared" si="20"/>
        <v>185.89908176363804</v>
      </c>
      <c r="L167" s="63">
        <f t="shared" si="21"/>
        <v>833.50911820544013</v>
      </c>
    </row>
    <row r="168" spans="5:12">
      <c r="E168">
        <v>2040</v>
      </c>
      <c r="F168" s="320" t="s">
        <v>240</v>
      </c>
      <c r="G168" s="320" t="s">
        <v>240</v>
      </c>
      <c r="H168" s="63">
        <f t="shared" ref="H168:K174" si="22">H167*(1+$C$6)^10</f>
        <v>1919.4232990312598</v>
      </c>
      <c r="I168" s="63">
        <f t="shared" si="22"/>
        <v>1502.7537857452567</v>
      </c>
      <c r="J168" s="63">
        <f t="shared" si="22"/>
        <v>1128.7374420087569</v>
      </c>
      <c r="K168" s="63">
        <f t="shared" si="22"/>
        <v>268.7337706788681</v>
      </c>
      <c r="L168" s="63">
        <f t="shared" si="21"/>
        <v>1204.9120743660355</v>
      </c>
    </row>
    <row r="169" spans="5:12">
      <c r="E169">
        <v>2050</v>
      </c>
      <c r="F169" s="320" t="s">
        <v>240</v>
      </c>
      <c r="G169" s="320" t="s">
        <v>240</v>
      </c>
      <c r="H169" s="63">
        <f t="shared" si="22"/>
        <v>2774.6982706099443</v>
      </c>
      <c r="I169" s="63">
        <f t="shared" si="22"/>
        <v>2172.365174771176</v>
      </c>
      <c r="J169" s="63">
        <f t="shared" si="22"/>
        <v>1631.6910552742977</v>
      </c>
      <c r="K169" s="63">
        <f t="shared" si="22"/>
        <v>388.47873167606105</v>
      </c>
      <c r="L169" s="63">
        <f t="shared" si="21"/>
        <v>1741.8083080828696</v>
      </c>
    </row>
    <row r="170" spans="5:12">
      <c r="E170">
        <v>2060</v>
      </c>
      <c r="F170" s="320" t="s">
        <v>240</v>
      </c>
      <c r="G170" s="320" t="s">
        <v>240</v>
      </c>
      <c r="H170" s="63">
        <f t="shared" si="22"/>
        <v>4011.0748352442656</v>
      </c>
      <c r="I170" s="63">
        <f t="shared" si="22"/>
        <v>3140.3484039258215</v>
      </c>
      <c r="J170" s="63">
        <f t="shared" si="22"/>
        <v>2358.7555447119612</v>
      </c>
      <c r="K170" s="63">
        <f t="shared" si="22"/>
        <v>561.58079642689393</v>
      </c>
      <c r="L170" s="63">
        <f t="shared" si="21"/>
        <v>2517.9398950772356</v>
      </c>
    </row>
    <row r="171" spans="5:12">
      <c r="E171">
        <v>2070</v>
      </c>
      <c r="F171" s="320" t="s">
        <v>240</v>
      </c>
      <c r="G171" s="320" t="s">
        <v>240</v>
      </c>
      <c r="H171" s="63">
        <f t="shared" si="22"/>
        <v>5798.3678817780547</v>
      </c>
      <c r="I171" s="63">
        <f t="shared" si="22"/>
        <v>4539.6548483512843</v>
      </c>
      <c r="J171" s="63">
        <f t="shared" si="22"/>
        <v>3409.7923756615328</v>
      </c>
      <c r="K171" s="63">
        <f t="shared" si="22"/>
        <v>811.81533299084981</v>
      </c>
      <c r="L171" s="63">
        <f t="shared" si="21"/>
        <v>3639.90760969543</v>
      </c>
    </row>
    <row r="172" spans="5:12">
      <c r="E172">
        <v>2080</v>
      </c>
      <c r="F172" s="320" t="s">
        <v>240</v>
      </c>
      <c r="G172" s="320" t="s">
        <v>240</v>
      </c>
      <c r="H172" s="63">
        <f t="shared" si="22"/>
        <v>8382.0600396222417</v>
      </c>
      <c r="I172" s="63">
        <f t="shared" si="22"/>
        <v>6562.4776271308647</v>
      </c>
      <c r="J172" s="63">
        <f t="shared" si="22"/>
        <v>4929.1602392562936</v>
      </c>
      <c r="K172" s="63">
        <f t="shared" si="22"/>
        <v>1173.5517650750689</v>
      </c>
      <c r="L172" s="63">
        <f t="shared" si="21"/>
        <v>5261.812417771117</v>
      </c>
    </row>
    <row r="173" spans="5:12">
      <c r="E173">
        <v>2090</v>
      </c>
      <c r="F173" s="320" t="s">
        <v>240</v>
      </c>
      <c r="G173" s="320" t="s">
        <v>240</v>
      </c>
      <c r="H173" s="63">
        <f t="shared" si="22"/>
        <v>12117.018433519483</v>
      </c>
      <c r="I173" s="63">
        <f t="shared" si="22"/>
        <v>9486.6491055446495</v>
      </c>
      <c r="J173" s="63">
        <f t="shared" si="22"/>
        <v>7125.5425514145509</v>
      </c>
      <c r="K173" s="63">
        <f t="shared" si="22"/>
        <v>1696.4741725644801</v>
      </c>
      <c r="L173" s="63">
        <f t="shared" si="21"/>
        <v>7606.421065760791</v>
      </c>
    </row>
    <row r="174" spans="5:12">
      <c r="E174">
        <v>2100</v>
      </c>
      <c r="F174" s="320" t="s">
        <v>240</v>
      </c>
      <c r="G174" s="320" t="s">
        <v>240</v>
      </c>
      <c r="H174" s="63">
        <f t="shared" si="22"/>
        <v>17516.235272023638</v>
      </c>
      <c r="I174" s="63">
        <f t="shared" si="22"/>
        <v>13713.800848579478</v>
      </c>
      <c r="J174" s="63">
        <f t="shared" si="22"/>
        <v>10300.609878261945</v>
      </c>
      <c r="K174" s="63">
        <f t="shared" si="22"/>
        <v>2452.4053423363375</v>
      </c>
      <c r="L174" s="63">
        <f t="shared" si="21"/>
        <v>10995.762835300349</v>
      </c>
    </row>
    <row r="175" spans="5:12">
      <c r="F175" s="581" t="s">
        <v>247</v>
      </c>
      <c r="G175" s="581"/>
      <c r="H175" s="581"/>
      <c r="I175" s="581"/>
      <c r="J175" s="581"/>
      <c r="K175" s="581"/>
      <c r="L175" s="63"/>
    </row>
    <row r="176" spans="5:12">
      <c r="E176">
        <v>2020</v>
      </c>
      <c r="F176" s="320" t="s">
        <v>240</v>
      </c>
      <c r="G176" s="320" t="s">
        <v>240</v>
      </c>
      <c r="H176" s="63">
        <f>('Demographic-Economic'!E$24*1000*(1+'Inflation-Interest'!$C$65)*(1+'Inflation-Interest'!$C$66)*(1+'Inflation-Interest'!$C$67))*$C$5/H5</f>
        <v>206.13165593491917</v>
      </c>
      <c r="I176" s="63">
        <f>('Demographic-Economic'!F$24*1000*(1+'Inflation-Interest'!$C$65)*(1+'Inflation-Interest'!$C$66)*(1+'Inflation-Interest'!$C$67))*$C$5/I5</f>
        <v>579.22367593505658</v>
      </c>
      <c r="J176" s="63">
        <f>('Demographic-Economic'!G$24*1000*(1+'Inflation-Interest'!$C$65)*(1+'Inflation-Interest'!$C$66)*(1+'Inflation-Interest'!$C$67))*$C$5/J5</f>
        <v>477.32507030724815</v>
      </c>
      <c r="K176" s="63">
        <f>('Demographic-Economic'!H$24*1000)*$C$5/K5</f>
        <v>161.65030819710586</v>
      </c>
      <c r="L176" s="63">
        <f t="shared" ref="L176:L193" si="23">AVERAGE(H176:K176)</f>
        <v>356.08267759358245</v>
      </c>
    </row>
    <row r="177" spans="5:12">
      <c r="E177">
        <v>2021</v>
      </c>
      <c r="F177" s="320" t="s">
        <v>240</v>
      </c>
      <c r="G177" s="320" t="s">
        <v>240</v>
      </c>
      <c r="H177" s="63">
        <f t="shared" ref="H177:H186" si="24">H176*(1+$C$6)</f>
        <v>213.86966652233608</v>
      </c>
      <c r="I177" s="63">
        <f t="shared" ref="I177:I186" si="25">I176*(1+$C$6)</f>
        <v>600.96725004326197</v>
      </c>
      <c r="J177" s="63">
        <f t="shared" ref="J177:J186" si="26">J176*(1+$C$6)</f>
        <v>495.24345567569031</v>
      </c>
      <c r="K177" s="63">
        <f t="shared" ref="K177:K186" si="27">K176*(1+$C$6)</f>
        <v>167.71852605823506</v>
      </c>
      <c r="L177" s="63">
        <f t="shared" si="23"/>
        <v>369.44972457488086</v>
      </c>
    </row>
    <row r="178" spans="5:12">
      <c r="E178">
        <v>2022</v>
      </c>
      <c r="F178" s="320" t="s">
        <v>240</v>
      </c>
      <c r="G178" s="320" t="s">
        <v>240</v>
      </c>
      <c r="H178" s="63">
        <f t="shared" si="24"/>
        <v>221.89815557886249</v>
      </c>
      <c r="I178" s="63">
        <f t="shared" si="25"/>
        <v>623.52705980384428</v>
      </c>
      <c r="J178" s="63">
        <f t="shared" si="26"/>
        <v>513.83448229887597</v>
      </c>
      <c r="K178" s="63">
        <f t="shared" si="27"/>
        <v>174.01453976102283</v>
      </c>
      <c r="L178" s="63">
        <f t="shared" si="23"/>
        <v>383.31855936065136</v>
      </c>
    </row>
    <row r="179" spans="5:12">
      <c r="E179">
        <v>2023</v>
      </c>
      <c r="F179" s="320" t="s">
        <v>240</v>
      </c>
      <c r="G179" s="320" t="s">
        <v>240</v>
      </c>
      <c r="H179" s="63">
        <f t="shared" si="24"/>
        <v>230.22802742416334</v>
      </c>
      <c r="I179" s="63">
        <f t="shared" si="25"/>
        <v>646.93374602299741</v>
      </c>
      <c r="J179" s="63">
        <f t="shared" si="26"/>
        <v>533.12340056897381</v>
      </c>
      <c r="K179" s="63">
        <f t="shared" si="27"/>
        <v>180.54690057153516</v>
      </c>
      <c r="L179" s="63">
        <f t="shared" si="23"/>
        <v>397.70801864691742</v>
      </c>
    </row>
    <row r="180" spans="5:12">
      <c r="E180">
        <v>2024</v>
      </c>
      <c r="F180" s="320" t="s">
        <v>240</v>
      </c>
      <c r="G180" s="320" t="s">
        <v>240</v>
      </c>
      <c r="H180" s="63">
        <f t="shared" si="24"/>
        <v>238.87059571697691</v>
      </c>
      <c r="I180" s="63">
        <f t="shared" si="25"/>
        <v>671.21909973724576</v>
      </c>
      <c r="J180" s="63">
        <f t="shared" si="26"/>
        <v>553.13640875683257</v>
      </c>
      <c r="K180" s="63">
        <f t="shared" si="27"/>
        <v>187.3244807632401</v>
      </c>
      <c r="L180" s="63">
        <f t="shared" si="23"/>
        <v>412.63764624357384</v>
      </c>
    </row>
    <row r="181" spans="5:12">
      <c r="E181">
        <v>2025</v>
      </c>
      <c r="F181" s="320" t="s">
        <v>240</v>
      </c>
      <c r="G181" s="320" t="s">
        <v>240</v>
      </c>
      <c r="H181" s="63">
        <f t="shared" si="24"/>
        <v>247.83759882136246</v>
      </c>
      <c r="I181" s="63">
        <f t="shared" si="25"/>
        <v>696.41610539213218</v>
      </c>
      <c r="J181" s="63">
        <f t="shared" si="26"/>
        <v>573.90068859455675</v>
      </c>
      <c r="K181" s="63">
        <f t="shared" si="27"/>
        <v>194.35648566735816</v>
      </c>
      <c r="L181" s="63">
        <f t="shared" si="23"/>
        <v>428.12771961885238</v>
      </c>
    </row>
    <row r="182" spans="5:12">
      <c r="E182">
        <v>2026</v>
      </c>
      <c r="F182" s="320" t="s">
        <v>240</v>
      </c>
      <c r="G182" s="320" t="s">
        <v>240</v>
      </c>
      <c r="H182" s="63">
        <f t="shared" si="24"/>
        <v>257.14121574978407</v>
      </c>
      <c r="I182" s="63">
        <f t="shared" si="25"/>
        <v>722.55898564179836</v>
      </c>
      <c r="J182" s="63">
        <f t="shared" si="26"/>
        <v>595.44444219382262</v>
      </c>
      <c r="K182" s="63">
        <f t="shared" si="27"/>
        <v>201.65246617557273</v>
      </c>
      <c r="L182" s="63">
        <f t="shared" si="23"/>
        <v>444.19927744024443</v>
      </c>
    </row>
    <row r="183" spans="5:12">
      <c r="E183">
        <v>2027</v>
      </c>
      <c r="F183" s="320" t="s">
        <v>240</v>
      </c>
      <c r="G183" s="320" t="s">
        <v>240</v>
      </c>
      <c r="H183" s="63">
        <f t="shared" si="24"/>
        <v>266.79408270468451</v>
      </c>
      <c r="I183" s="63">
        <f t="shared" si="25"/>
        <v>749.68324783030346</v>
      </c>
      <c r="J183" s="63">
        <f t="shared" si="26"/>
        <v>617.79693035007688</v>
      </c>
      <c r="K183" s="63">
        <f t="shared" si="27"/>
        <v>209.22233171208191</v>
      </c>
      <c r="L183" s="63">
        <f t="shared" si="23"/>
        <v>460.87414814928673</v>
      </c>
    </row>
    <row r="184" spans="5:12">
      <c r="E184">
        <v>2028</v>
      </c>
      <c r="F184" s="320" t="s">
        <v>240</v>
      </c>
      <c r="G184" s="320" t="s">
        <v>240</v>
      </c>
      <c r="H184" s="63">
        <f t="shared" si="24"/>
        <v>276.80931024101614</v>
      </c>
      <c r="I184" s="63">
        <f t="shared" si="25"/>
        <v>777.8257322178132</v>
      </c>
      <c r="J184" s="63">
        <f t="shared" si="26"/>
        <v>640.98851228464343</v>
      </c>
      <c r="K184" s="63">
        <f t="shared" si="27"/>
        <v>217.07636369261039</v>
      </c>
      <c r="L184" s="63">
        <f t="shared" si="23"/>
        <v>478.17497960902074</v>
      </c>
    </row>
    <row r="185" spans="5:12">
      <c r="E185">
        <v>2029</v>
      </c>
      <c r="F185" s="320" t="s">
        <v>240</v>
      </c>
      <c r="G185" s="320" t="s">
        <v>240</v>
      </c>
      <c r="H185" s="63">
        <f t="shared" si="24"/>
        <v>287.20050107303871</v>
      </c>
      <c r="I185" s="63">
        <f t="shared" si="25"/>
        <v>807.0246620171597</v>
      </c>
      <c r="J185" s="63">
        <f t="shared" si="26"/>
        <v>665.0506868787154</v>
      </c>
      <c r="K185" s="63">
        <f t="shared" si="27"/>
        <v>225.22522948866123</v>
      </c>
      <c r="L185" s="63">
        <f t="shared" si="23"/>
        <v>496.12526986439372</v>
      </c>
    </row>
    <row r="186" spans="5:12">
      <c r="E186">
        <v>2030</v>
      </c>
      <c r="F186" s="320" t="s">
        <v>240</v>
      </c>
      <c r="G186" s="320" t="s">
        <v>240</v>
      </c>
      <c r="H186" s="63">
        <f t="shared" si="24"/>
        <v>297.98176854956967</v>
      </c>
      <c r="I186" s="63">
        <f t="shared" si="25"/>
        <v>837.31969530873221</v>
      </c>
      <c r="J186" s="63">
        <f t="shared" si="26"/>
        <v>690.01613545523662</v>
      </c>
      <c r="K186" s="63">
        <f t="shared" si="27"/>
        <v>233.67999691597433</v>
      </c>
      <c r="L186" s="63">
        <f t="shared" si="23"/>
        <v>514.74939905737813</v>
      </c>
    </row>
    <row r="187" spans="5:12">
      <c r="E187">
        <v>2040</v>
      </c>
      <c r="F187" s="320" t="s">
        <v>240</v>
      </c>
      <c r="G187" s="320" t="s">
        <v>240</v>
      </c>
      <c r="H187" s="63">
        <f t="shared" ref="H187:K193" si="28">H186*(1+$C$6)^10</f>
        <v>430.75933187071217</v>
      </c>
      <c r="I187" s="63">
        <f t="shared" si="28"/>
        <v>1210.4206048209207</v>
      </c>
      <c r="J187" s="63">
        <f t="shared" si="28"/>
        <v>997.48011744303676</v>
      </c>
      <c r="K187" s="63">
        <f t="shared" si="28"/>
        <v>337.80536249931777</v>
      </c>
      <c r="L187" s="63">
        <f t="shared" si="23"/>
        <v>744.11635415849685</v>
      </c>
    </row>
    <row r="188" spans="5:12">
      <c r="E188">
        <v>2050</v>
      </c>
      <c r="F188" s="320" t="s">
        <v>240</v>
      </c>
      <c r="G188" s="320" t="s">
        <v>240</v>
      </c>
      <c r="H188" s="63">
        <f t="shared" si="28"/>
        <v>622.70119040130214</v>
      </c>
      <c r="I188" s="63">
        <f t="shared" si="28"/>
        <v>1749.771382165844</v>
      </c>
      <c r="J188" s="63">
        <f t="shared" si="28"/>
        <v>1441.9468380079943</v>
      </c>
      <c r="K188" s="63">
        <f t="shared" si="28"/>
        <v>488.32790328359835</v>
      </c>
      <c r="L188" s="63">
        <f t="shared" si="23"/>
        <v>1075.6868284646846</v>
      </c>
    </row>
    <row r="189" spans="5:12">
      <c r="E189">
        <v>2060</v>
      </c>
      <c r="F189" s="320" t="s">
        <v>240</v>
      </c>
      <c r="G189" s="320" t="s">
        <v>240</v>
      </c>
      <c r="H189" s="63">
        <f t="shared" si="28"/>
        <v>900.17033605108259</v>
      </c>
      <c r="I189" s="63">
        <f t="shared" si="28"/>
        <v>2529.4512317885901</v>
      </c>
      <c r="J189" s="63">
        <f t="shared" si="28"/>
        <v>2084.4632863170737</v>
      </c>
      <c r="K189" s="63">
        <f t="shared" si="28"/>
        <v>705.92171586925883</v>
      </c>
      <c r="L189" s="63">
        <f t="shared" si="23"/>
        <v>1555.0016425065014</v>
      </c>
    </row>
    <row r="190" spans="5:12">
      <c r="E190">
        <v>2070</v>
      </c>
      <c r="F190" s="320" t="s">
        <v>240</v>
      </c>
      <c r="G190" s="320" t="s">
        <v>240</v>
      </c>
      <c r="H190" s="63">
        <f t="shared" si="28"/>
        <v>1301.2768345345762</v>
      </c>
      <c r="I190" s="63">
        <f t="shared" si="28"/>
        <v>3656.5482777968982</v>
      </c>
      <c r="J190" s="63">
        <f t="shared" si="28"/>
        <v>3013.2783522076602</v>
      </c>
      <c r="K190" s="63">
        <f t="shared" si="28"/>
        <v>1020.4730583384135</v>
      </c>
      <c r="L190" s="63">
        <f t="shared" si="23"/>
        <v>2247.8941307193872</v>
      </c>
    </row>
    <row r="191" spans="5:12">
      <c r="E191">
        <v>2080</v>
      </c>
      <c r="F191" s="320" t="s">
        <v>240</v>
      </c>
      <c r="G191" s="320" t="s">
        <v>240</v>
      </c>
      <c r="H191" s="63">
        <f t="shared" si="28"/>
        <v>1881.112198747499</v>
      </c>
      <c r="I191" s="63">
        <f t="shared" si="28"/>
        <v>5285.8679937486722</v>
      </c>
      <c r="J191" s="63">
        <f t="shared" si="28"/>
        <v>4355.9637089727803</v>
      </c>
      <c r="K191" s="63">
        <f t="shared" si="28"/>
        <v>1475.1851931800077</v>
      </c>
      <c r="L191" s="63">
        <f t="shared" si="23"/>
        <v>3249.5322736622402</v>
      </c>
    </row>
    <row r="192" spans="5:12">
      <c r="E192">
        <v>2090</v>
      </c>
      <c r="F192" s="320" t="s">
        <v>240</v>
      </c>
      <c r="G192" s="320" t="s">
        <v>240</v>
      </c>
      <c r="H192" s="63">
        <f t="shared" si="28"/>
        <v>2719.3161442409632</v>
      </c>
      <c r="I192" s="63">
        <f t="shared" si="28"/>
        <v>7641.1955551072188</v>
      </c>
      <c r="J192" s="63">
        <f t="shared" si="28"/>
        <v>6296.9356348995798</v>
      </c>
      <c r="K192" s="63">
        <f t="shared" si="28"/>
        <v>2132.5123053428674</v>
      </c>
      <c r="L192" s="63">
        <f t="shared" si="23"/>
        <v>4697.4899098976575</v>
      </c>
    </row>
    <row r="193" spans="5:12">
      <c r="E193">
        <v>2100</v>
      </c>
      <c r="F193" s="320" t="s">
        <v>240</v>
      </c>
      <c r="G193" s="320" t="s">
        <v>240</v>
      </c>
      <c r="H193" s="63">
        <f t="shared" si="28"/>
        <v>3931.0150118919755</v>
      </c>
      <c r="I193" s="63">
        <f t="shared" si="28"/>
        <v>11046.03247384208</v>
      </c>
      <c r="J193" s="63">
        <f t="shared" si="28"/>
        <v>9102.7843754508085</v>
      </c>
      <c r="K193" s="63">
        <f t="shared" si="28"/>
        <v>3082.7375121869422</v>
      </c>
      <c r="L193" s="63">
        <f t="shared" si="23"/>
        <v>6790.6423433429518</v>
      </c>
    </row>
    <row r="194" spans="5:12">
      <c r="F194" s="581" t="s">
        <v>248</v>
      </c>
      <c r="G194" s="581"/>
      <c r="H194" s="581"/>
      <c r="I194" s="581"/>
      <c r="J194" s="581"/>
      <c r="K194" s="581"/>
    </row>
    <row r="195" spans="5:12">
      <c r="E195">
        <v>2020</v>
      </c>
      <c r="F195" s="320" t="s">
        <v>240</v>
      </c>
      <c r="G195" s="320" t="s">
        <v>240</v>
      </c>
      <c r="H195" s="179">
        <f>'Demographic-Economic'!E30*$C$5</f>
        <v>17979</v>
      </c>
      <c r="I195" s="179">
        <f>'Demographic-Economic'!F30*$C$5</f>
        <v>12153.75</v>
      </c>
      <c r="J195" s="179">
        <f>'Demographic-Economic'!G30*$C$5</f>
        <v>15379.5</v>
      </c>
      <c r="K195" s="179">
        <f>'Demographic-Economic'!H30*$C$5</f>
        <v>17335</v>
      </c>
      <c r="L195" s="330">
        <f>AVERAGE(H195:K195)</f>
        <v>15711.8125</v>
      </c>
    </row>
    <row r="196" spans="5:12">
      <c r="E196">
        <v>2021</v>
      </c>
      <c r="F196" s="320" t="s">
        <v>240</v>
      </c>
      <c r="G196" s="320" t="s">
        <v>240</v>
      </c>
      <c r="H196" s="179">
        <f>H195*(1+$C$6)</f>
        <v>18653.916677500001</v>
      </c>
      <c r="I196" s="179">
        <f t="shared" ref="H196:K205" si="29">I195*(1+$C$6)</f>
        <v>12609.991646875</v>
      </c>
      <c r="J196" s="179">
        <f t="shared" si="29"/>
        <v>15956.833613750001</v>
      </c>
      <c r="K196" s="179">
        <f t="shared" si="29"/>
        <v>17985.741454166666</v>
      </c>
      <c r="L196" s="330">
        <f t="shared" ref="L196:L212" si="30">AVERAGE(H196:K196)</f>
        <v>16301.620848072916</v>
      </c>
    </row>
    <row r="197" spans="5:12">
      <c r="E197">
        <v>2022</v>
      </c>
      <c r="F197" s="320" t="s">
        <v>240</v>
      </c>
      <c r="G197" s="320" t="s">
        <v>240</v>
      </c>
      <c r="H197" s="179">
        <f t="shared" si="29"/>
        <v>19354.169164642786</v>
      </c>
      <c r="I197" s="179">
        <f t="shared" si="29"/>
        <v>13083.360224972315</v>
      </c>
      <c r="J197" s="179">
        <f t="shared" si="29"/>
        <v>16555.839850248831</v>
      </c>
      <c r="K197" s="179">
        <f t="shared" si="29"/>
        <v>18660.911200238203</v>
      </c>
      <c r="L197" s="330">
        <f t="shared" si="30"/>
        <v>16913.570110025532</v>
      </c>
    </row>
    <row r="198" spans="5:12">
      <c r="E198">
        <v>2023</v>
      </c>
      <c r="F198" s="320" t="s">
        <v>240</v>
      </c>
      <c r="G198" s="320" t="s">
        <v>240</v>
      </c>
      <c r="H198" s="179">
        <f t="shared" si="29"/>
        <v>20080.708546609174</v>
      </c>
      <c r="I198" s="179">
        <f t="shared" si="29"/>
        <v>13574.498665017589</v>
      </c>
      <c r="J198" s="179">
        <f t="shared" si="29"/>
        <v>17177.332281693965</v>
      </c>
      <c r="K198" s="179">
        <f t="shared" si="29"/>
        <v>19361.42625593581</v>
      </c>
      <c r="L198" s="330">
        <f t="shared" si="30"/>
        <v>17548.491437314136</v>
      </c>
    </row>
    <row r="199" spans="5:12">
      <c r="E199">
        <v>2024</v>
      </c>
      <c r="F199" s="320" t="s">
        <v>240</v>
      </c>
      <c r="G199" s="320" t="s">
        <v>240</v>
      </c>
      <c r="H199" s="179">
        <f t="shared" si="29"/>
        <v>20834.521611525095</v>
      </c>
      <c r="I199" s="179">
        <f t="shared" si="29"/>
        <v>14084.074032820128</v>
      </c>
      <c r="J199" s="179">
        <f t="shared" si="29"/>
        <v>17822.155021105187</v>
      </c>
      <c r="K199" s="179">
        <f t="shared" si="29"/>
        <v>20088.238063061763</v>
      </c>
      <c r="L199" s="330">
        <f t="shared" si="30"/>
        <v>18207.247182128041</v>
      </c>
    </row>
    <row r="200" spans="5:12">
      <c r="E200">
        <v>2025</v>
      </c>
      <c r="F200" s="320" t="s">
        <v>240</v>
      </c>
      <c r="G200" s="320" t="s">
        <v>240</v>
      </c>
      <c r="H200" s="179">
        <f t="shared" si="29"/>
        <v>21616.632190720404</v>
      </c>
      <c r="I200" s="179">
        <f t="shared" si="29"/>
        <v>14612.778435283835</v>
      </c>
      <c r="J200" s="179">
        <f t="shared" si="29"/>
        <v>18491.183868801625</v>
      </c>
      <c r="K200" s="179">
        <f t="shared" si="29"/>
        <v>20842.333779750716</v>
      </c>
      <c r="L200" s="330">
        <f t="shared" si="30"/>
        <v>18890.732068639143</v>
      </c>
    </row>
    <row r="201" spans="5:12">
      <c r="E201">
        <v>2026</v>
      </c>
      <c r="F201" s="320" t="s">
        <v>240</v>
      </c>
      <c r="G201" s="320" t="s">
        <v>240</v>
      </c>
      <c r="H201" s="179">
        <f t="shared" si="29"/>
        <v>22428.102549299889</v>
      </c>
      <c r="I201" s="179">
        <f t="shared" si="29"/>
        <v>15161.329960429028</v>
      </c>
      <c r="J201" s="179">
        <f t="shared" si="29"/>
        <v>19185.327501916548</v>
      </c>
      <c r="K201" s="179">
        <f t="shared" si="29"/>
        <v>21624.737621231074</v>
      </c>
      <c r="L201" s="330">
        <f t="shared" si="30"/>
        <v>19599.874408219137</v>
      </c>
    </row>
    <row r="202" spans="5:12">
      <c r="E202">
        <v>2027</v>
      </c>
      <c r="F202" s="320" t="s">
        <v>240</v>
      </c>
      <c r="G202" s="320" t="s">
        <v>240</v>
      </c>
      <c r="H202" s="179">
        <f t="shared" si="29"/>
        <v>23270.034828915148</v>
      </c>
      <c r="I202" s="179">
        <f t="shared" si="29"/>
        <v>15730.473652701899</v>
      </c>
      <c r="J202" s="179">
        <f t="shared" si="29"/>
        <v>19905.528708565576</v>
      </c>
      <c r="K202" s="179">
        <f t="shared" si="29"/>
        <v>22436.512250917403</v>
      </c>
      <c r="L202" s="330">
        <f t="shared" si="30"/>
        <v>20335.63736027501</v>
      </c>
    </row>
    <row r="203" spans="5:12">
      <c r="E203">
        <v>2028</v>
      </c>
      <c r="F203" s="320" t="s">
        <v>240</v>
      </c>
      <c r="G203" s="320" t="s">
        <v>240</v>
      </c>
      <c r="H203" s="179">
        <f t="shared" si="29"/>
        <v>24143.572544696934</v>
      </c>
      <c r="I203" s="179">
        <f t="shared" si="29"/>
        <v>16320.982524896284</v>
      </c>
      <c r="J203" s="179">
        <f t="shared" si="29"/>
        <v>20652.765668344538</v>
      </c>
      <c r="K203" s="179">
        <f t="shared" si="29"/>
        <v>23278.7602237233</v>
      </c>
      <c r="L203" s="330">
        <f t="shared" si="30"/>
        <v>21099.020240415266</v>
      </c>
    </row>
    <row r="204" spans="5:12">
      <c r="E204">
        <v>2029</v>
      </c>
      <c r="F204" s="320" t="s">
        <v>240</v>
      </c>
      <c r="G204" s="320" t="s">
        <v>240</v>
      </c>
      <c r="H204" s="179">
        <f t="shared" si="29"/>
        <v>25049.902138381069</v>
      </c>
      <c r="I204" s="179">
        <f t="shared" si="29"/>
        <v>16933.65860806212</v>
      </c>
      <c r="J204" s="179">
        <f t="shared" si="29"/>
        <v>21428.053280896136</v>
      </c>
      <c r="K204" s="179">
        <f t="shared" si="29"/>
        <v>24152.625483555021</v>
      </c>
      <c r="L204" s="330">
        <f t="shared" si="30"/>
        <v>21891.059877723586</v>
      </c>
    </row>
    <row r="205" spans="5:12">
      <c r="E205">
        <v>2030</v>
      </c>
      <c r="F205" s="320" t="s">
        <v>240</v>
      </c>
      <c r="G205" s="320" t="s">
        <v>240</v>
      </c>
      <c r="H205" s="179">
        <f t="shared" si="29"/>
        <v>25990.254589737444</v>
      </c>
      <c r="I205" s="179">
        <f t="shared" si="29"/>
        <v>17569.334040826598</v>
      </c>
      <c r="J205" s="179">
        <f t="shared" si="29"/>
        <v>22232.44454434991</v>
      </c>
      <c r="K205" s="179">
        <f t="shared" si="29"/>
        <v>25059.294917019775</v>
      </c>
      <c r="L205" s="330">
        <f t="shared" si="30"/>
        <v>22712.832022983435</v>
      </c>
    </row>
    <row r="206" spans="5:12">
      <c r="E206">
        <v>2040</v>
      </c>
      <c r="F206" s="320" t="s">
        <v>240</v>
      </c>
      <c r="G206" s="320" t="s">
        <v>240</v>
      </c>
      <c r="H206" s="330">
        <f>H205*($C$6+1)^10</f>
        <v>37571.240538370781</v>
      </c>
      <c r="I206" s="330">
        <f t="shared" ref="I206:K212" si="31">I205*($C$6+1)^10</f>
        <v>25398.045758564091</v>
      </c>
      <c r="J206" s="330">
        <f t="shared" si="31"/>
        <v>32138.989591182682</v>
      </c>
      <c r="K206" s="330">
        <f t="shared" si="31"/>
        <v>36225.454960379189</v>
      </c>
      <c r="L206" s="330">
        <f t="shared" si="30"/>
        <v>32833.432712124188</v>
      </c>
    </row>
    <row r="207" spans="5:12">
      <c r="E207">
        <v>2050</v>
      </c>
      <c r="F207" s="320" t="s">
        <v>240</v>
      </c>
      <c r="G207" s="320" t="s">
        <v>240</v>
      </c>
      <c r="H207" s="330">
        <f t="shared" ref="H207:H212" si="32">H206*($C$6+1)^10</f>
        <v>54312.592849686895</v>
      </c>
      <c r="I207" s="330">
        <f t="shared" si="31"/>
        <v>36715.149638293675</v>
      </c>
      <c r="J207" s="330">
        <f t="shared" si="31"/>
        <v>46459.787626217236</v>
      </c>
      <c r="K207" s="330">
        <f t="shared" si="31"/>
        <v>52367.139276340306</v>
      </c>
      <c r="L207" s="330">
        <f t="shared" si="30"/>
        <v>47463.667347634531</v>
      </c>
    </row>
    <row r="208" spans="5:12">
      <c r="E208">
        <v>2060</v>
      </c>
      <c r="F208" s="320" t="s">
        <v>240</v>
      </c>
      <c r="G208" s="320" t="s">
        <v>240</v>
      </c>
      <c r="H208" s="330">
        <f t="shared" si="32"/>
        <v>78513.71686924278</v>
      </c>
      <c r="I208" s="330">
        <f t="shared" si="31"/>
        <v>53075.036787338518</v>
      </c>
      <c r="J208" s="330">
        <f t="shared" si="31"/>
        <v>67161.78366930972</v>
      </c>
      <c r="K208" s="330">
        <f t="shared" si="31"/>
        <v>75701.389505997198</v>
      </c>
      <c r="L208" s="330">
        <f t="shared" si="30"/>
        <v>68612.981707972052</v>
      </c>
    </row>
    <row r="209" spans="5:12">
      <c r="E209">
        <v>2070</v>
      </c>
      <c r="F209" s="320" t="s">
        <v>240</v>
      </c>
      <c r="G209" s="320" t="s">
        <v>240</v>
      </c>
      <c r="H209" s="330">
        <f t="shared" si="32"/>
        <v>113498.6089447791</v>
      </c>
      <c r="I209" s="330">
        <f t="shared" si="31"/>
        <v>76724.718753134686</v>
      </c>
      <c r="J209" s="330">
        <f t="shared" si="31"/>
        <v>97088.372894278335</v>
      </c>
      <c r="K209" s="330">
        <f t="shared" si="31"/>
        <v>109433.13788629767</v>
      </c>
      <c r="L209" s="330">
        <f t="shared" si="30"/>
        <v>99186.209619622445</v>
      </c>
    </row>
    <row r="210" spans="5:12">
      <c r="E210">
        <v>2080</v>
      </c>
      <c r="F210" s="320" t="s">
        <v>240</v>
      </c>
      <c r="G210" s="320" t="s">
        <v>240</v>
      </c>
      <c r="H210" s="330">
        <f t="shared" si="32"/>
        <v>164072.40347382281</v>
      </c>
      <c r="I210" s="330">
        <f t="shared" si="31"/>
        <v>110912.45195616961</v>
      </c>
      <c r="J210" s="330">
        <f t="shared" si="31"/>
        <v>140349.93766203115</v>
      </c>
      <c r="K210" s="330">
        <f t="shared" si="31"/>
        <v>158195.40097996098</v>
      </c>
      <c r="L210" s="330">
        <f t="shared" si="30"/>
        <v>143382.54851799615</v>
      </c>
    </row>
    <row r="211" spans="5:12">
      <c r="E211">
        <v>2090</v>
      </c>
      <c r="F211" s="320" t="s">
        <v>240</v>
      </c>
      <c r="G211" s="320" t="s">
        <v>240</v>
      </c>
      <c r="H211" s="330">
        <f t="shared" si="32"/>
        <v>237181.35254656972</v>
      </c>
      <c r="I211" s="330">
        <f t="shared" si="31"/>
        <v>160333.8819463191</v>
      </c>
      <c r="J211" s="330">
        <f t="shared" si="31"/>
        <v>202888.40377607039</v>
      </c>
      <c r="K211" s="330">
        <f t="shared" si="31"/>
        <v>228685.61913314345</v>
      </c>
      <c r="L211" s="330">
        <f t="shared" si="30"/>
        <v>207272.31435052567</v>
      </c>
    </row>
    <row r="212" spans="5:12">
      <c r="E212">
        <v>2100</v>
      </c>
      <c r="F212" s="320" t="s">
        <v>240</v>
      </c>
      <c r="G212" s="320" t="s">
        <v>240</v>
      </c>
      <c r="H212" s="330">
        <f t="shared" si="32"/>
        <v>342866.88562342839</v>
      </c>
      <c r="I212" s="330">
        <f t="shared" si="31"/>
        <v>231776.98487934488</v>
      </c>
      <c r="J212" s="330">
        <f t="shared" si="31"/>
        <v>293293.35710804368</v>
      </c>
      <c r="K212" s="330">
        <f t="shared" si="31"/>
        <v>330585.54214818013</v>
      </c>
      <c r="L212" s="330">
        <f t="shared" si="30"/>
        <v>299630.69243974925</v>
      </c>
    </row>
    <row r="213" spans="5:12">
      <c r="F213" s="581" t="s">
        <v>249</v>
      </c>
      <c r="G213" s="581"/>
      <c r="H213" s="581"/>
      <c r="I213" s="581"/>
      <c r="J213" s="581"/>
      <c r="K213" s="581"/>
    </row>
    <row r="214" spans="5:12">
      <c r="E214">
        <v>2020</v>
      </c>
      <c r="F214" s="320" t="s">
        <v>240</v>
      </c>
      <c r="G214" s="320" t="s">
        <v>240</v>
      </c>
      <c r="H214" s="179">
        <f t="shared" ref="H214:K231" si="33">SUM($L138, $L157, $L195,$L176)*H81</f>
        <v>846925409.77370727</v>
      </c>
      <c r="I214" s="179">
        <f t="shared" si="33"/>
        <v>409669091.53241676</v>
      </c>
      <c r="J214" s="179">
        <f t="shared" si="33"/>
        <v>266030790.84973305</v>
      </c>
      <c r="K214" s="179">
        <f t="shared" si="33"/>
        <v>85671184.792469248</v>
      </c>
      <c r="L214" s="194">
        <f>SUM(H214:K214)/(SUM(F252:K252)*1000)</f>
        <v>1.2400711010108203E-3</v>
      </c>
    </row>
    <row r="215" spans="5:12">
      <c r="E215">
        <v>2021</v>
      </c>
      <c r="F215" s="320" t="s">
        <v>240</v>
      </c>
      <c r="G215" s="320" t="s">
        <v>240</v>
      </c>
      <c r="H215" s="179">
        <f t="shared" si="33"/>
        <v>930505541.32634175</v>
      </c>
      <c r="I215" s="179">
        <f t="shared" si="33"/>
        <v>391048438.30163956</v>
      </c>
      <c r="J215" s="179">
        <f t="shared" si="33"/>
        <v>262491573.22736034</v>
      </c>
      <c r="K215" s="179">
        <f t="shared" si="33"/>
        <v>90398621.154559046</v>
      </c>
      <c r="L215" s="194">
        <f t="shared" ref="L215:L231" si="34">SUM(H215:K215)/(SUM(F253:K253)*1000)</f>
        <v>1.2399252837544611E-3</v>
      </c>
    </row>
    <row r="216" spans="5:12">
      <c r="E216">
        <v>2022</v>
      </c>
      <c r="F216" s="320" t="s">
        <v>240</v>
      </c>
      <c r="G216" s="320" t="s">
        <v>240</v>
      </c>
      <c r="H216" s="179">
        <f t="shared" si="33"/>
        <v>1017217909.760026</v>
      </c>
      <c r="I216" s="179">
        <f t="shared" si="33"/>
        <v>371863083.48536277</v>
      </c>
      <c r="J216" s="179">
        <f t="shared" si="33"/>
        <v>258835342.40192193</v>
      </c>
      <c r="K216" s="179">
        <f t="shared" si="33"/>
        <v>95277621.252664328</v>
      </c>
      <c r="L216" s="194">
        <f t="shared" si="34"/>
        <v>1.241643996348438E-3</v>
      </c>
    </row>
    <row r="217" spans="5:12">
      <c r="E217">
        <v>2023</v>
      </c>
      <c r="F217" s="320" t="s">
        <v>240</v>
      </c>
      <c r="G217" s="320" t="s">
        <v>240</v>
      </c>
      <c r="H217" s="179">
        <f t="shared" si="33"/>
        <v>1107020408.7214983</v>
      </c>
      <c r="I217" s="179">
        <f t="shared" si="33"/>
        <v>352211435.90973216</v>
      </c>
      <c r="J217" s="179">
        <f t="shared" si="33"/>
        <v>255104336.71440631</v>
      </c>
      <c r="K217" s="179">
        <f t="shared" si="33"/>
        <v>100309127.00929944</v>
      </c>
      <c r="L217" s="194">
        <f t="shared" si="34"/>
        <v>1.2450901643061673E-3</v>
      </c>
    </row>
    <row r="218" spans="5:12">
      <c r="E218">
        <v>2024</v>
      </c>
      <c r="F218" s="320" t="s">
        <v>240</v>
      </c>
      <c r="G218" s="320" t="s">
        <v>240</v>
      </c>
      <c r="H218" s="179">
        <f t="shared" si="33"/>
        <v>1199877130.8360794</v>
      </c>
      <c r="I218" s="179">
        <f t="shared" si="33"/>
        <v>332189624.67452747</v>
      </c>
      <c r="J218" s="179">
        <f t="shared" si="33"/>
        <v>251340186.38049361</v>
      </c>
      <c r="K218" s="179">
        <f t="shared" si="33"/>
        <v>105494499.99931216</v>
      </c>
      <c r="L218" s="194">
        <f t="shared" si="34"/>
        <v>1.2501485968982873E-3</v>
      </c>
    </row>
    <row r="219" spans="5:12">
      <c r="E219">
        <v>2025</v>
      </c>
      <c r="F219" s="320" t="s">
        <v>240</v>
      </c>
      <c r="G219" s="320" t="s">
        <v>240</v>
      </c>
      <c r="H219" s="179">
        <f t="shared" si="33"/>
        <v>1295760247.439909</v>
      </c>
      <c r="I219" s="179">
        <f t="shared" si="33"/>
        <v>311890211.44052398</v>
      </c>
      <c r="J219" s="179">
        <f t="shared" si="33"/>
        <v>247583404.47193533</v>
      </c>
      <c r="K219" s="179">
        <f t="shared" si="33"/>
        <v>110835576.48506756</v>
      </c>
      <c r="L219" s="194">
        <f t="shared" si="34"/>
        <v>1.2567223334922916E-3</v>
      </c>
    </row>
    <row r="220" spans="5:12">
      <c r="E220">
        <v>2026</v>
      </c>
      <c r="F220" s="320" t="s">
        <v>240</v>
      </c>
      <c r="G220" s="320" t="s">
        <v>240</v>
      </c>
      <c r="H220" s="179">
        <f t="shared" si="33"/>
        <v>1394651669.1517801</v>
      </c>
      <c r="I220" s="179">
        <f t="shared" si="33"/>
        <v>291401071.84323567</v>
      </c>
      <c r="J220" s="179">
        <f t="shared" si="33"/>
        <v>243872941.76893425</v>
      </c>
      <c r="K220" s="179">
        <f t="shared" si="33"/>
        <v>116334713.67295535</v>
      </c>
      <c r="L220" s="194">
        <f t="shared" si="34"/>
        <v>1.2647297179139425E-3</v>
      </c>
    </row>
    <row r="221" spans="5:12">
      <c r="E221">
        <v>2027</v>
      </c>
      <c r="F221" s="320" t="s">
        <v>240</v>
      </c>
      <c r="G221" s="320" t="s">
        <v>240</v>
      </c>
      <c r="H221" s="179">
        <f t="shared" si="33"/>
        <v>1496544461.3645358</v>
      </c>
      <c r="I221" s="179">
        <f t="shared" si="33"/>
        <v>270804464.70877892</v>
      </c>
      <c r="J221" s="179">
        <f t="shared" si="33"/>
        <v>240245813.32137123</v>
      </c>
      <c r="K221" s="179">
        <f t="shared" si="33"/>
        <v>121994826.7817561</v>
      </c>
      <c r="L221" s="194">
        <f t="shared" si="34"/>
        <v>1.2741020378196095E-3</v>
      </c>
    </row>
    <row r="222" spans="5:12">
      <c r="E222">
        <v>2028</v>
      </c>
      <c r="F222" s="320" t="s">
        <v>240</v>
      </c>
      <c r="G222" s="320" t="s">
        <v>240</v>
      </c>
      <c r="H222" s="179">
        <f t="shared" si="33"/>
        <v>1601444000.6469879</v>
      </c>
      <c r="I222" s="179">
        <f t="shared" si="33"/>
        <v>250176298.88852477</v>
      </c>
      <c r="J222" s="179">
        <f t="shared" si="33"/>
        <v>236736801.11420438</v>
      </c>
      <c r="K222" s="179">
        <f t="shared" si="33"/>
        <v>127819416.91066629</v>
      </c>
      <c r="L222" s="194">
        <f t="shared" si="34"/>
        <v>1.2847816065199656E-3</v>
      </c>
    </row>
    <row r="223" spans="5:12">
      <c r="E223">
        <v>2029</v>
      </c>
      <c r="F223" s="320" t="s">
        <v>240</v>
      </c>
      <c r="G223" s="320" t="s">
        <v>240</v>
      </c>
      <c r="H223" s="179">
        <f t="shared" si="33"/>
        <v>1709368869.4297907</v>
      </c>
      <c r="I223" s="179">
        <f t="shared" si="33"/>
        <v>229585599.09795627</v>
      </c>
      <c r="J223" s="179">
        <f t="shared" si="33"/>
        <v>233378233.92866963</v>
      </c>
      <c r="K223" s="179">
        <f t="shared" si="33"/>
        <v>133812590.05413815</v>
      </c>
      <c r="L223" s="194">
        <f t="shared" si="34"/>
        <v>1.2967201941948465E-3</v>
      </c>
    </row>
    <row r="224" spans="5:12">
      <c r="E224">
        <v>2030</v>
      </c>
      <c r="F224" s="320" t="s">
        <v>240</v>
      </c>
      <c r="G224" s="320" t="s">
        <v>240</v>
      </c>
      <c r="H224" s="179">
        <f t="shared" si="33"/>
        <v>1820351496.588037</v>
      </c>
      <c r="I224" s="179">
        <f t="shared" si="33"/>
        <v>209094164.59332624</v>
      </c>
      <c r="J224" s="179">
        <f t="shared" si="33"/>
        <v>230199842.50623894</v>
      </c>
      <c r="K224" s="179">
        <f t="shared" si="33"/>
        <v>139979067.91503674</v>
      </c>
      <c r="L224" s="194">
        <f t="shared" si="34"/>
        <v>1.3098777371850399E-3</v>
      </c>
    </row>
    <row r="225" spans="5:12">
      <c r="E225">
        <v>2040</v>
      </c>
      <c r="F225" s="320" t="s">
        <v>240</v>
      </c>
      <c r="G225" s="320" t="s">
        <v>240</v>
      </c>
      <c r="H225" s="179">
        <f t="shared" si="33"/>
        <v>3073114398.0411963</v>
      </c>
      <c r="I225" s="179">
        <f t="shared" si="33"/>
        <v>9285803.0588356443</v>
      </c>
      <c r="J225" s="179">
        <f t="shared" si="33"/>
        <v>220162287.79804111</v>
      </c>
      <c r="K225" s="179">
        <f t="shared" si="33"/>
        <v>204282952.52909902</v>
      </c>
      <c r="L225" s="194">
        <f t="shared" si="34"/>
        <v>1.4754334246087557E-3</v>
      </c>
    </row>
    <row r="226" spans="5:12">
      <c r="E226">
        <v>2050</v>
      </c>
      <c r="F226" s="320" t="s">
        <v>240</v>
      </c>
      <c r="G226" s="320" t="s">
        <v>240</v>
      </c>
      <c r="H226" s="179">
        <f t="shared" si="33"/>
        <v>4454364432.1677046</v>
      </c>
      <c r="I226" s="179">
        <f t="shared" si="33"/>
        <v>0</v>
      </c>
      <c r="J226" s="179">
        <f t="shared" si="33"/>
        <v>291976604.52768713</v>
      </c>
      <c r="K226" s="179">
        <f t="shared" si="33"/>
        <v>279884366.95984697</v>
      </c>
      <c r="L226" s="194">
        <f t="shared" si="34"/>
        <v>1.7031182577486026E-3</v>
      </c>
    </row>
    <row r="227" spans="5:12">
      <c r="E227">
        <v>2060</v>
      </c>
      <c r="F227" s="320" t="s">
        <v>240</v>
      </c>
      <c r="G227" s="320" t="s">
        <v>240</v>
      </c>
      <c r="H227" s="179">
        <f t="shared" si="33"/>
        <v>6255857576.6043139</v>
      </c>
      <c r="I227" s="179">
        <f t="shared" si="33"/>
        <v>0</v>
      </c>
      <c r="J227" s="179">
        <f t="shared" si="33"/>
        <v>427993041.29952848</v>
      </c>
      <c r="K227" s="179">
        <f t="shared" si="33"/>
        <v>382617296.08845603</v>
      </c>
      <c r="L227" s="194">
        <f t="shared" si="34"/>
        <v>1.9782419184243847E-3</v>
      </c>
    </row>
    <row r="228" spans="5:12">
      <c r="E228">
        <v>2070</v>
      </c>
      <c r="F228" s="320" t="s">
        <v>240</v>
      </c>
      <c r="G228" s="320" t="s">
        <v>240</v>
      </c>
      <c r="H228" s="179">
        <f t="shared" si="33"/>
        <v>8665392759.1569309</v>
      </c>
      <c r="I228" s="179">
        <f t="shared" si="33"/>
        <v>0</v>
      </c>
      <c r="J228" s="179">
        <f t="shared" si="33"/>
        <v>612211843.09386766</v>
      </c>
      <c r="K228" s="179">
        <f t="shared" si="33"/>
        <v>521834250.64443892</v>
      </c>
      <c r="L228" s="194">
        <f t="shared" si="34"/>
        <v>2.2871626684379406E-3</v>
      </c>
    </row>
    <row r="229" spans="5:12">
      <c r="E229">
        <v>2080</v>
      </c>
      <c r="F229" s="320" t="s">
        <v>240</v>
      </c>
      <c r="G229" s="320" t="s">
        <v>240</v>
      </c>
      <c r="H229" s="179">
        <f t="shared" si="33"/>
        <v>11809693940.413857</v>
      </c>
      <c r="I229" s="179">
        <f t="shared" si="33"/>
        <v>47626494.040120155</v>
      </c>
      <c r="J229" s="179">
        <f t="shared" si="33"/>
        <v>847930042.49265432</v>
      </c>
      <c r="K229" s="179">
        <f t="shared" si="33"/>
        <v>703712640.08085752</v>
      </c>
      <c r="L229" s="194">
        <f t="shared" si="34"/>
        <v>2.6513038559036156E-3</v>
      </c>
    </row>
    <row r="230" spans="5:12">
      <c r="E230">
        <v>2090</v>
      </c>
      <c r="F230" s="320" t="s">
        <v>240</v>
      </c>
      <c r="G230" s="320" t="s">
        <v>240</v>
      </c>
      <c r="H230" s="179">
        <f t="shared" si="33"/>
        <v>15925605109.468462</v>
      </c>
      <c r="I230" s="179">
        <f t="shared" si="33"/>
        <v>130050295.51880325</v>
      </c>
      <c r="J230" s="179">
        <f t="shared" si="33"/>
        <v>1142687128.4858789</v>
      </c>
      <c r="K230" s="179">
        <f t="shared" si="33"/>
        <v>941313050.45479918</v>
      </c>
      <c r="L230" s="194">
        <f t="shared" si="34"/>
        <v>3.0764858651637413E-3</v>
      </c>
    </row>
    <row r="231" spans="5:12">
      <c r="E231">
        <v>2100</v>
      </c>
      <c r="F231" s="320" t="s">
        <v>240</v>
      </c>
      <c r="G231" s="320" t="s">
        <v>240</v>
      </c>
      <c r="H231" s="179">
        <f t="shared" si="33"/>
        <v>21391479072.920853</v>
      </c>
      <c r="I231" s="179">
        <f t="shared" si="33"/>
        <v>226374882.403175</v>
      </c>
      <c r="J231" s="179">
        <f t="shared" si="33"/>
        <v>1506867133.2062421</v>
      </c>
      <c r="K231" s="179">
        <f t="shared" si="33"/>
        <v>1255863159.6022902</v>
      </c>
      <c r="L231" s="194">
        <f t="shared" si="34"/>
        <v>3.5750236646046609E-3</v>
      </c>
    </row>
    <row r="232" spans="5:12">
      <c r="F232" s="581" t="s">
        <v>250</v>
      </c>
      <c r="G232" s="581"/>
      <c r="H232" s="581"/>
      <c r="I232" s="581"/>
      <c r="J232" s="581"/>
      <c r="K232" s="581"/>
    </row>
    <row r="233" spans="5:12">
      <c r="E233">
        <v>2020</v>
      </c>
      <c r="F233" s="320" t="s">
        <v>240</v>
      </c>
      <c r="G233" s="320" t="s">
        <v>240</v>
      </c>
      <c r="H233" s="330">
        <f t="shared" ref="H233:K250" si="35">H214+H119</f>
        <v>6426034772.8045902</v>
      </c>
      <c r="I233" s="330">
        <f t="shared" si="35"/>
        <v>2094562137.1149664</v>
      </c>
      <c r="J233" s="330">
        <f t="shared" si="35"/>
        <v>1458767725.4493558</v>
      </c>
      <c r="K233" s="330">
        <f t="shared" si="35"/>
        <v>517644045.80757892</v>
      </c>
      <c r="L233" s="194">
        <f>SUM(H233:K233)/(SUM(F252:K252)*1000)</f>
        <v>8.0936800516319841E-3</v>
      </c>
    </row>
    <row r="234" spans="5:12">
      <c r="E234">
        <v>2021</v>
      </c>
      <c r="F234" s="320" t="s">
        <v>240</v>
      </c>
      <c r="G234" s="320" t="s">
        <v>240</v>
      </c>
      <c r="H234" s="330">
        <f t="shared" si="35"/>
        <v>7060197859.0394421</v>
      </c>
      <c r="I234" s="330">
        <f t="shared" si="35"/>
        <v>1999358188.2897298</v>
      </c>
      <c r="J234" s="330">
        <f t="shared" si="35"/>
        <v>1439360586.8081179</v>
      </c>
      <c r="K234" s="330">
        <f t="shared" si="35"/>
        <v>546208250.80483651</v>
      </c>
      <c r="L234" s="194">
        <f t="shared" ref="L234:L250" si="36">SUM(H234:K234)/(SUM(F253:K253)*1000)</f>
        <v>8.1789108407649743E-3</v>
      </c>
    </row>
    <row r="235" spans="5:12">
      <c r="E235">
        <v>2022</v>
      </c>
      <c r="F235" s="320" t="s">
        <v>240</v>
      </c>
      <c r="G235" s="320" t="s">
        <v>240</v>
      </c>
      <c r="H235" s="330">
        <f t="shared" si="35"/>
        <v>7718126749.0652876</v>
      </c>
      <c r="I235" s="330">
        <f t="shared" si="35"/>
        <v>1901267024.919379</v>
      </c>
      <c r="J235" s="330">
        <f t="shared" si="35"/>
        <v>1419311811.5971491</v>
      </c>
      <c r="K235" s="330">
        <f t="shared" si="35"/>
        <v>575688237.06155515</v>
      </c>
      <c r="L235" s="194">
        <f t="shared" si="36"/>
        <v>8.2727124563678166E-3</v>
      </c>
    </row>
    <row r="236" spans="5:12">
      <c r="E236">
        <v>2023</v>
      </c>
      <c r="F236" s="320" t="s">
        <v>240</v>
      </c>
      <c r="G236" s="320" t="s">
        <v>240</v>
      </c>
      <c r="H236" s="330">
        <f t="shared" si="35"/>
        <v>8399501961.512105</v>
      </c>
      <c r="I236" s="330">
        <f t="shared" si="35"/>
        <v>1800791793.0929477</v>
      </c>
      <c r="J236" s="330">
        <f t="shared" si="35"/>
        <v>1398853011.8355451</v>
      </c>
      <c r="K236" s="330">
        <f t="shared" si="35"/>
        <v>606089695.87968576</v>
      </c>
      <c r="L236" s="194">
        <f t="shared" si="36"/>
        <v>8.3744298691860938E-3</v>
      </c>
    </row>
    <row r="237" spans="5:12">
      <c r="E237">
        <v>2024</v>
      </c>
      <c r="F237" s="320" t="s">
        <v>240</v>
      </c>
      <c r="G237" s="320" t="s">
        <v>240</v>
      </c>
      <c r="H237" s="330">
        <f t="shared" si="35"/>
        <v>9104051049.6737003</v>
      </c>
      <c r="I237" s="330">
        <f t="shared" si="35"/>
        <v>1698423983.081085</v>
      </c>
      <c r="J237" s="330">
        <f t="shared" si="35"/>
        <v>1378212464.9149714</v>
      </c>
      <c r="K237" s="330">
        <f t="shared" si="35"/>
        <v>637420854.19241023</v>
      </c>
      <c r="L237" s="194">
        <f t="shared" si="36"/>
        <v>8.4835237115036283E-3</v>
      </c>
    </row>
    <row r="238" spans="5:12">
      <c r="E238">
        <v>2025</v>
      </c>
      <c r="F238" s="320" t="s">
        <v>240</v>
      </c>
      <c r="G238" s="320" t="s">
        <v>240</v>
      </c>
      <c r="H238" s="330">
        <f t="shared" si="35"/>
        <v>9831562863.9499054</v>
      </c>
      <c r="I238" s="330">
        <f t="shared" si="35"/>
        <v>1594636845.4999971</v>
      </c>
      <c r="J238" s="330">
        <f t="shared" si="35"/>
        <v>1357612322.419239</v>
      </c>
      <c r="K238" s="330">
        <f t="shared" si="35"/>
        <v>669692807.09876466</v>
      </c>
      <c r="L238" s="194">
        <f t="shared" si="36"/>
        <v>8.5995538368551019E-3</v>
      </c>
    </row>
    <row r="239" spans="5:12">
      <c r="E239">
        <v>2026</v>
      </c>
      <c r="F239" s="320" t="s">
        <v>240</v>
      </c>
      <c r="G239" s="320" t="s">
        <v>240</v>
      </c>
      <c r="H239" s="330">
        <f t="shared" si="35"/>
        <v>10581900151.412281</v>
      </c>
      <c r="I239" s="330">
        <f t="shared" si="35"/>
        <v>1489879672.1872351</v>
      </c>
      <c r="J239" s="330">
        <f t="shared" si="35"/>
        <v>1337266169.1776056</v>
      </c>
      <c r="K239" s="330">
        <f t="shared" si="35"/>
        <v>702919797.35557926</v>
      </c>
      <c r="L239" s="194">
        <f t="shared" si="36"/>
        <v>8.7221658318968782E-3</v>
      </c>
    </row>
    <row r="240" spans="5:12">
      <c r="E240">
        <v>2027</v>
      </c>
      <c r="F240" s="320" t="s">
        <v>240</v>
      </c>
      <c r="G240" s="320" t="s">
        <v>240</v>
      </c>
      <c r="H240" s="330">
        <f t="shared" si="35"/>
        <v>11355010295.825436</v>
      </c>
      <c r="I240" s="330">
        <f t="shared" si="35"/>
        <v>1384573037.2749174</v>
      </c>
      <c r="J240" s="330">
        <f t="shared" si="35"/>
        <v>1317376975.5302703</v>
      </c>
      <c r="K240" s="330">
        <f t="shared" si="35"/>
        <v>737119439.35265923</v>
      </c>
      <c r="L240" s="194">
        <f t="shared" si="36"/>
        <v>8.8510797826709536E-3</v>
      </c>
    </row>
    <row r="241" spans="5:12">
      <c r="E241">
        <v>2028</v>
      </c>
      <c r="F241" s="320" t="s">
        <v>240</v>
      </c>
      <c r="G241" s="320" t="s">
        <v>240</v>
      </c>
      <c r="H241" s="330">
        <f t="shared" si="35"/>
        <v>12150934091.830482</v>
      </c>
      <c r="I241" s="330">
        <f t="shared" si="35"/>
        <v>1279105048.6511905</v>
      </c>
      <c r="J241" s="330">
        <f t="shared" si="35"/>
        <v>1298135466.9076302</v>
      </c>
      <c r="K241" s="330">
        <f t="shared" si="35"/>
        <v>772312887.49748969</v>
      </c>
      <c r="L241" s="194">
        <f t="shared" si="36"/>
        <v>8.9860807872135934E-3</v>
      </c>
    </row>
    <row r="242" spans="5:12">
      <c r="E242">
        <v>2029</v>
      </c>
      <c r="F242" s="320" t="s">
        <v>240</v>
      </c>
      <c r="G242" s="320" t="s">
        <v>240</v>
      </c>
      <c r="H242" s="330">
        <f t="shared" si="35"/>
        <v>12969812533.361679</v>
      </c>
      <c r="I242" s="330">
        <f t="shared" si="35"/>
        <v>1173828616.8933091</v>
      </c>
      <c r="J242" s="330">
        <f t="shared" si="35"/>
        <v>1279718916.7092035</v>
      </c>
      <c r="K242" s="330">
        <f t="shared" si="35"/>
        <v>808524951.1070596</v>
      </c>
      <c r="L242" s="194">
        <f t="shared" si="36"/>
        <v>9.1270108440860264E-3</v>
      </c>
    </row>
    <row r="243" spans="5:12">
      <c r="E243">
        <v>2030</v>
      </c>
      <c r="F243" s="320" t="s">
        <v>240</v>
      </c>
      <c r="G243" s="320" t="s">
        <v>240</v>
      </c>
      <c r="H243" s="330">
        <f t="shared" si="35"/>
        <v>13811891674.057972</v>
      </c>
      <c r="I243" s="330">
        <f t="shared" si="35"/>
        <v>1069059710.1446463</v>
      </c>
      <c r="J243" s="330">
        <f t="shared" si="35"/>
        <v>1262290352.1017859</v>
      </c>
      <c r="K243" s="330">
        <f t="shared" si="35"/>
        <v>845784159.7433219</v>
      </c>
      <c r="L243" s="194">
        <f t="shared" si="36"/>
        <v>9.2737618463502175E-3</v>
      </c>
    </row>
    <row r="244" spans="5:12">
      <c r="E244">
        <v>2040</v>
      </c>
      <c r="F244" s="320" t="s">
        <v>240</v>
      </c>
      <c r="G244" s="320" t="s">
        <v>240</v>
      </c>
      <c r="H244" s="330">
        <f t="shared" si="35"/>
        <v>23317212773.077255</v>
      </c>
      <c r="I244" s="330">
        <f t="shared" si="35"/>
        <v>47476590.013148323</v>
      </c>
      <c r="J244" s="330">
        <f t="shared" si="35"/>
        <v>1207249878.0123711</v>
      </c>
      <c r="K244" s="330">
        <f t="shared" si="35"/>
        <v>1234322302.1000612</v>
      </c>
      <c r="L244" s="194">
        <f t="shared" si="36"/>
        <v>1.0857456218413074E-2</v>
      </c>
    </row>
    <row r="245" spans="5:12">
      <c r="E245">
        <v>2050</v>
      </c>
      <c r="F245" s="320" t="s">
        <v>240</v>
      </c>
      <c r="G245" s="320" t="s">
        <v>240</v>
      </c>
      <c r="H245" s="330">
        <f t="shared" si="35"/>
        <v>33797428205.043179</v>
      </c>
      <c r="I245" s="330">
        <f t="shared" si="35"/>
        <v>0</v>
      </c>
      <c r="J245" s="330">
        <f t="shared" si="35"/>
        <v>1601040413.0695667</v>
      </c>
      <c r="K245" s="330">
        <f t="shared" si="35"/>
        <v>1691122591.8300087</v>
      </c>
      <c r="L245" s="194">
        <f t="shared" si="36"/>
        <v>1.2567673530150029E-2</v>
      </c>
    </row>
    <row r="246" spans="5:12">
      <c r="E246">
        <v>2060</v>
      </c>
      <c r="F246" s="320" t="s">
        <v>240</v>
      </c>
      <c r="G246" s="320" t="s">
        <v>240</v>
      </c>
      <c r="H246" s="330">
        <f t="shared" si="35"/>
        <v>47466232394.318695</v>
      </c>
      <c r="I246" s="330">
        <f t="shared" si="35"/>
        <v>0</v>
      </c>
      <c r="J246" s="330">
        <f t="shared" si="35"/>
        <v>2346880349.3401785</v>
      </c>
      <c r="K246" s="330">
        <f t="shared" si="35"/>
        <v>2311857430.5113931</v>
      </c>
      <c r="L246" s="194">
        <f t="shared" si="36"/>
        <v>1.4592269044480487E-2</v>
      </c>
    </row>
    <row r="247" spans="5:12">
      <c r="E247">
        <v>2070</v>
      </c>
      <c r="F247" s="320" t="s">
        <v>240</v>
      </c>
      <c r="G247" s="320" t="s">
        <v>240</v>
      </c>
      <c r="H247" s="330">
        <f t="shared" si="35"/>
        <v>65748547094.873398</v>
      </c>
      <c r="I247" s="330">
        <f t="shared" si="35"/>
        <v>0</v>
      </c>
      <c r="J247" s="330">
        <f t="shared" si="35"/>
        <v>3357035758.8706746</v>
      </c>
      <c r="K247" s="330">
        <f t="shared" si="35"/>
        <v>3153036734.5672364</v>
      </c>
      <c r="L247" s="194">
        <f t="shared" si="36"/>
        <v>1.6864967441111794E-2</v>
      </c>
    </row>
    <row r="248" spans="5:12">
      <c r="E248">
        <v>2080</v>
      </c>
      <c r="F248" s="320" t="s">
        <v>240</v>
      </c>
      <c r="G248" s="320" t="s">
        <v>240</v>
      </c>
      <c r="H248" s="330">
        <f t="shared" si="35"/>
        <v>89605888595.970062</v>
      </c>
      <c r="I248" s="330">
        <f t="shared" si="35"/>
        <v>243505436.95355555</v>
      </c>
      <c r="J248" s="330">
        <f t="shared" si="35"/>
        <v>4649585769.6632719</v>
      </c>
      <c r="K248" s="330">
        <f t="shared" si="35"/>
        <v>4251985763.7057943</v>
      </c>
      <c r="L248" s="194">
        <f t="shared" si="36"/>
        <v>1.9525657091833151E-2</v>
      </c>
    </row>
    <row r="249" spans="5:12">
      <c r="E249">
        <v>2090</v>
      </c>
      <c r="F249" s="320" t="s">
        <v>240</v>
      </c>
      <c r="G249" s="320" t="s">
        <v>240</v>
      </c>
      <c r="H249" s="330">
        <f t="shared" si="35"/>
        <v>120835307372.27846</v>
      </c>
      <c r="I249" s="330">
        <f t="shared" si="35"/>
        <v>664923057.52273941</v>
      </c>
      <c r="J249" s="330">
        <f t="shared" si="35"/>
        <v>6265872826.2141466</v>
      </c>
      <c r="K249" s="330">
        <f t="shared" si="35"/>
        <v>5687619436.9116268</v>
      </c>
      <c r="L249" s="194">
        <f t="shared" si="36"/>
        <v>2.2633753414923841E-2</v>
      </c>
    </row>
    <row r="250" spans="5:12">
      <c r="E250">
        <v>2100</v>
      </c>
      <c r="F250" s="320" t="s">
        <v>240</v>
      </c>
      <c r="G250" s="320" t="s">
        <v>240</v>
      </c>
      <c r="H250" s="330">
        <f t="shared" si="35"/>
        <v>162307550084.0625</v>
      </c>
      <c r="I250" s="330">
        <f t="shared" si="35"/>
        <v>1157412817.5057211</v>
      </c>
      <c r="J250" s="330">
        <f t="shared" si="35"/>
        <v>8262837295.789917</v>
      </c>
      <c r="K250" s="330">
        <f t="shared" si="35"/>
        <v>7588200028.8895683</v>
      </c>
      <c r="L250" s="194">
        <f t="shared" si="36"/>
        <v>2.6293830276039931E-2</v>
      </c>
    </row>
    <row r="251" spans="5:12">
      <c r="F251" s="581" t="s">
        <v>251</v>
      </c>
      <c r="G251" s="581"/>
      <c r="H251" s="581"/>
      <c r="I251" s="581"/>
      <c r="J251" s="581"/>
      <c r="K251" s="581"/>
    </row>
    <row r="252" spans="5:12">
      <c r="E252">
        <v>2020</v>
      </c>
      <c r="F252" s="61">
        <f>'Demographic-Economic'!C$38</f>
        <v>531771287</v>
      </c>
      <c r="G252" s="61">
        <f>'Demographic-Economic'!D$38</f>
        <v>222153795</v>
      </c>
      <c r="H252" s="61">
        <f>'Demographic-Economic'!E$38</f>
        <v>417708522</v>
      </c>
      <c r="I252" s="61">
        <f>'Demographic-Economic'!F$38</f>
        <v>45815957</v>
      </c>
      <c r="J252" s="61">
        <f>'Demographic-Economic'!G$38</f>
        <v>69643447</v>
      </c>
      <c r="K252" s="61">
        <f>'Demographic-Economic'!H$38</f>
        <v>9845914</v>
      </c>
    </row>
    <row r="253" spans="5:12">
      <c r="E253">
        <v>2021</v>
      </c>
      <c r="F253" s="61">
        <f>F$252*'Economic Projections'!$I4</f>
        <v>553707641.09896207</v>
      </c>
      <c r="G253" s="61">
        <f>G$252*'Economic Projections'!$I4</f>
        <v>231317968.45329183</v>
      </c>
      <c r="H253" s="61">
        <f>H$252*'Economic Projections'!$I4</f>
        <v>434939617.91049826</v>
      </c>
      <c r="I253" s="61">
        <f>I$252*'Economic Projections'!$I4</f>
        <v>47705933.162129305</v>
      </c>
      <c r="J253" s="61">
        <f>J$252*'Economic Projections'!$I4</f>
        <v>72516342.456020176</v>
      </c>
      <c r="K253" s="61">
        <f>K$252*'Economic Projections'!$I4</f>
        <v>10252072.552016608</v>
      </c>
    </row>
    <row r="254" spans="5:12">
      <c r="E254">
        <v>2022</v>
      </c>
      <c r="F254" s="61">
        <f>F$252*'Economic Projections'!$I5</f>
        <v>575643995.19792414</v>
      </c>
      <c r="G254" s="61">
        <f>G$252*'Economic Projections'!$I5</f>
        <v>240482141.90658364</v>
      </c>
      <c r="H254" s="61">
        <f>H$252*'Economic Projections'!$I5</f>
        <v>452170713.82099646</v>
      </c>
      <c r="I254" s="61">
        <f>I$252*'Economic Projections'!$I5</f>
        <v>49595909.324258603</v>
      </c>
      <c r="J254" s="61">
        <f>J$252*'Economic Projections'!$I5</f>
        <v>75389237.912040338</v>
      </c>
      <c r="K254" s="61">
        <f>K$252*'Economic Projections'!$I5</f>
        <v>10658231.104033215</v>
      </c>
    </row>
    <row r="255" spans="5:12">
      <c r="E255">
        <v>2023</v>
      </c>
      <c r="F255" s="61">
        <f>F$252*'Economic Projections'!$I6</f>
        <v>597580349.29688621</v>
      </c>
      <c r="G255" s="61">
        <f>G$252*'Economic Projections'!$I6</f>
        <v>249646315.35987547</v>
      </c>
      <c r="H255" s="61">
        <f>H$252*'Economic Projections'!$I6</f>
        <v>469401809.73149472</v>
      </c>
      <c r="I255" s="61">
        <f>I$252*'Economic Projections'!$I6</f>
        <v>51485885.486387908</v>
      </c>
      <c r="J255" s="61">
        <f>J$252*'Economic Projections'!$I6</f>
        <v>78262133.368060499</v>
      </c>
      <c r="K255" s="61">
        <f>K$252*'Economic Projections'!$I6</f>
        <v>11064389.656049823</v>
      </c>
    </row>
    <row r="256" spans="5:12">
      <c r="E256">
        <v>2024</v>
      </c>
      <c r="F256" s="61">
        <f>F$252*'Economic Projections'!$I7</f>
        <v>619516703.39584816</v>
      </c>
      <c r="G256" s="61">
        <f>G$252*'Economic Projections'!$I7</f>
        <v>258810488.81316727</v>
      </c>
      <c r="H256" s="61">
        <f>H$252*'Economic Projections'!$I7</f>
        <v>486632905.64199287</v>
      </c>
      <c r="I256" s="61">
        <f>I$252*'Economic Projections'!$I7</f>
        <v>53375861.648517199</v>
      </c>
      <c r="J256" s="61">
        <f>J$252*'Economic Projections'!$I7</f>
        <v>81135028.824080661</v>
      </c>
      <c r="K256" s="61">
        <f>K$252*'Economic Projections'!$I7</f>
        <v>11470548.20806643</v>
      </c>
    </row>
    <row r="257" spans="5:11">
      <c r="E257">
        <v>2025</v>
      </c>
      <c r="F257" s="61">
        <f>F$252*'Economic Projections'!$I8</f>
        <v>641453057.49481022</v>
      </c>
      <c r="G257" s="61">
        <f>G$252*'Economic Projections'!$I8</f>
        <v>267974662.26645911</v>
      </c>
      <c r="H257" s="61">
        <f>H$252*'Economic Projections'!$I8</f>
        <v>503864001.55249113</v>
      </c>
      <c r="I257" s="61">
        <f>I$252*'Economic Projections'!$I8</f>
        <v>55265837.810646504</v>
      </c>
      <c r="J257" s="61">
        <f>J$252*'Economic Projections'!$I8</f>
        <v>84007924.280100837</v>
      </c>
      <c r="K257" s="61">
        <f>K$252*'Economic Projections'!$I8</f>
        <v>11876706.760083038</v>
      </c>
    </row>
    <row r="258" spans="5:11">
      <c r="E258">
        <v>2026</v>
      </c>
      <c r="F258" s="61">
        <f>F$252*'Economic Projections'!$I9</f>
        <v>663389411.59377229</v>
      </c>
      <c r="G258" s="61">
        <f>G$252*'Economic Projections'!$I9</f>
        <v>277138835.71975088</v>
      </c>
      <c r="H258" s="61">
        <f>H$252*'Economic Projections'!$I9</f>
        <v>521095097.46298933</v>
      </c>
      <c r="I258" s="61">
        <f>I$252*'Economic Projections'!$I9</f>
        <v>57155813.972775802</v>
      </c>
      <c r="J258" s="61">
        <f>J$252*'Economic Projections'!$I9</f>
        <v>86880819.736120999</v>
      </c>
      <c r="K258" s="61">
        <f>K$252*'Economic Projections'!$I9</f>
        <v>12282865.312099645</v>
      </c>
    </row>
    <row r="259" spans="5:11">
      <c r="E259">
        <v>2027</v>
      </c>
      <c r="F259" s="61">
        <f>F$252*'Economic Projections'!$I10</f>
        <v>685325765.69273436</v>
      </c>
      <c r="G259" s="61">
        <f>G$252*'Economic Projections'!$I10</f>
        <v>286303009.17304271</v>
      </c>
      <c r="H259" s="61">
        <f>H$252*'Economic Projections'!$I10</f>
        <v>538326193.37348759</v>
      </c>
      <c r="I259" s="61">
        <f>I$252*'Economic Projections'!$I10</f>
        <v>59045790.134905107</v>
      </c>
      <c r="J259" s="61">
        <f>J$252*'Economic Projections'!$I10</f>
        <v>89753715.192141175</v>
      </c>
      <c r="K259" s="61">
        <f>K$252*'Economic Projections'!$I10</f>
        <v>12689023.864116253</v>
      </c>
    </row>
    <row r="260" spans="5:11">
      <c r="E260">
        <v>2028</v>
      </c>
      <c r="F260" s="61">
        <f>F$252*'Economic Projections'!$I11</f>
        <v>707262119.79169643</v>
      </c>
      <c r="G260" s="61">
        <f>G$252*'Economic Projections'!$I11</f>
        <v>295467182.62633455</v>
      </c>
      <c r="H260" s="61">
        <f>H$252*'Economic Projections'!$I11</f>
        <v>555557289.28398585</v>
      </c>
      <c r="I260" s="61">
        <f>I$252*'Economic Projections'!$I11</f>
        <v>60935766.297034413</v>
      </c>
      <c r="J260" s="61">
        <f>J$252*'Economic Projections'!$I11</f>
        <v>92626610.648161352</v>
      </c>
      <c r="K260" s="61">
        <f>K$252*'Economic Projections'!$I11</f>
        <v>13095182.416132862</v>
      </c>
    </row>
    <row r="261" spans="5:11">
      <c r="E261">
        <v>2029</v>
      </c>
      <c r="F261" s="61">
        <f>F$252*'Economic Projections'!$I12</f>
        <v>729198473.89065838</v>
      </c>
      <c r="G261" s="61">
        <f>G$252*'Economic Projections'!$I12</f>
        <v>304631356.07962638</v>
      </c>
      <c r="H261" s="61">
        <f>H$252*'Economic Projections'!$I12</f>
        <v>572788385.194484</v>
      </c>
      <c r="I261" s="61">
        <f>I$252*'Economic Projections'!$I12</f>
        <v>62825742.45916371</v>
      </c>
      <c r="J261" s="61">
        <f>J$252*'Economic Projections'!$I12</f>
        <v>95499506.104181498</v>
      </c>
      <c r="K261" s="61">
        <f>K$252*'Economic Projections'!$I12</f>
        <v>13501340.968149468</v>
      </c>
    </row>
    <row r="262" spans="5:11">
      <c r="E262">
        <v>2030</v>
      </c>
      <c r="F262" s="61">
        <f>F$252*'Economic Projections'!$I13</f>
        <v>751134827.98962033</v>
      </c>
      <c r="G262" s="61">
        <f>G$252*'Economic Projections'!$I13</f>
        <v>313795529.5329181</v>
      </c>
      <c r="H262" s="61">
        <f>H$252*'Economic Projections'!$I13</f>
        <v>590019481.10498214</v>
      </c>
      <c r="I262" s="61">
        <f>I$252*'Economic Projections'!$I13</f>
        <v>64715718.621292993</v>
      </c>
      <c r="J262" s="61">
        <f>J$252*'Economic Projections'!$I13</f>
        <v>98372401.560201645</v>
      </c>
      <c r="K262" s="61">
        <f>K$252*'Economic Projections'!$I13</f>
        <v>13907499.520166071</v>
      </c>
    </row>
    <row r="263" spans="5:11">
      <c r="E263">
        <v>2040</v>
      </c>
      <c r="F263" s="61">
        <f>F$252*'Economic Projections'!$I14</f>
        <v>974546054.73438108</v>
      </c>
      <c r="G263" s="61">
        <f>G$252*'Economic Projections'!$I14</f>
        <v>407128233.047153</v>
      </c>
      <c r="H263" s="61">
        <f>H$252*'Economic Projections'!$I14</f>
        <v>765509913.93416369</v>
      </c>
      <c r="I263" s="61">
        <f>I$252*'Economic Projections'!$I14</f>
        <v>83964217.756326601</v>
      </c>
      <c r="J263" s="61">
        <f>J$252*'Economic Projections'!$I14</f>
        <v>127631461.44058916</v>
      </c>
      <c r="K263" s="61">
        <f>K$252*'Economic Projections'!$I14</f>
        <v>18044029.225583233</v>
      </c>
    </row>
    <row r="264" spans="5:11">
      <c r="E264">
        <v>2050</v>
      </c>
      <c r="F264" s="61">
        <f>F$252*'Economic Projections'!$I15</f>
        <v>1210047771.3970938</v>
      </c>
      <c r="G264" s="61">
        <f>G$252*'Economic Projections'!$I15</f>
        <v>505511882.8692171</v>
      </c>
      <c r="H264" s="61">
        <f>H$252*'Economic Projections'!$I15</f>
        <v>950497476.06939507</v>
      </c>
      <c r="I264" s="61">
        <f>I$252*'Economic Projections'!$I15</f>
        <v>104254400.37396204</v>
      </c>
      <c r="J264" s="61">
        <f>J$252*'Economic Projections'!$I15</f>
        <v>158473952.79685649</v>
      </c>
      <c r="K264" s="61">
        <f>K$252*'Economic Projections'!$I15</f>
        <v>22404418.185646504</v>
      </c>
    </row>
    <row r="265" spans="5:11">
      <c r="E265">
        <v>2060</v>
      </c>
      <c r="F265" s="61">
        <f>F$252*'Economic Projections'!$I16</f>
        <v>1464631435.1911824</v>
      </c>
      <c r="G265" s="61">
        <f>G$252*'Economic Projections'!$I16</f>
        <v>611867243.60320282</v>
      </c>
      <c r="H265" s="61">
        <f>H$252*'Economic Projections'!$I16</f>
        <v>1150473985.7615659</v>
      </c>
      <c r="I265" s="61">
        <f>I$252*'Economic Projections'!$I16</f>
        <v>126188631.27066034</v>
      </c>
      <c r="J265" s="61">
        <f>J$252*'Economic Projections'!$I16</f>
        <v>191815512.09114274</v>
      </c>
      <c r="K265" s="61">
        <f>K$252*'Economic Projections'!$I16</f>
        <v>27118115.447607752</v>
      </c>
    </row>
    <row r="266" spans="5:11">
      <c r="E266">
        <v>2070</v>
      </c>
      <c r="F266" s="61">
        <f>F$252*'Economic Projections'!$I17</f>
        <v>1756748185.0783908</v>
      </c>
      <c r="G266" s="61">
        <f>G$252*'Economic Projections'!$I17</f>
        <v>733902498.52758014</v>
      </c>
      <c r="H266" s="61">
        <f>H$252*'Economic Projections'!$I17</f>
        <v>1379932888.1690392</v>
      </c>
      <c r="I266" s="61">
        <f>I$252*'Economic Projections'!$I17</f>
        <v>151356610.0220443</v>
      </c>
      <c r="J266" s="61">
        <f>J$252*'Economic Projections'!$I17</f>
        <v>230072593.44533414</v>
      </c>
      <c r="K266" s="61">
        <f>K$252*'Economic Projections'!$I17</f>
        <v>32526749.700079087</v>
      </c>
    </row>
    <row r="267" spans="5:11">
      <c r="E267">
        <v>2080</v>
      </c>
      <c r="F267" s="61">
        <f>F$252*'Economic Projections'!$I18</f>
        <v>2073676722.9711349</v>
      </c>
      <c r="G267" s="61">
        <f>G$252*'Economic Projections'!$I18</f>
        <v>866303173.70106769</v>
      </c>
      <c r="H267" s="61">
        <f>H$252*'Economic Projections'!$I18</f>
        <v>1628881551.5871887</v>
      </c>
      <c r="I267" s="61">
        <f>I$252*'Economic Projections'!$I18</f>
        <v>178662304.44207197</v>
      </c>
      <c r="J267" s="61">
        <f>J$252*'Economic Projections'!$I18</f>
        <v>271579151.56741798</v>
      </c>
      <c r="K267" s="61">
        <f>K$252*'Economic Projections'!$I18</f>
        <v>38394782.075128511</v>
      </c>
    </row>
    <row r="268" spans="5:11">
      <c r="E268">
        <v>2090</v>
      </c>
      <c r="F268" s="61">
        <f>F$252*'Economic Projections'!$I19</f>
        <v>2417572310.1156583</v>
      </c>
      <c r="G268" s="61">
        <f>G$252*'Economic Projections'!$I19</f>
        <v>1009969655.2046263</v>
      </c>
      <c r="H268" s="61">
        <f>H$252*'Economic Projections'!$I19</f>
        <v>1899012942.5444839</v>
      </c>
      <c r="I268" s="61">
        <f>I$252*'Economic Projections'!$I19</f>
        <v>208291405.93416369</v>
      </c>
      <c r="J268" s="61">
        <f>J$252*'Economic Projections'!$I19</f>
        <v>316617450.32918149</v>
      </c>
      <c r="K268" s="61">
        <f>K$252*'Economic Projections'!$I19</f>
        <v>44762117.918149464</v>
      </c>
    </row>
    <row r="269" spans="5:11">
      <c r="E269">
        <v>2100</v>
      </c>
      <c r="F269" s="61">
        <f>F$252*'Economic Projections'!$I20</f>
        <v>2796214913.9374261</v>
      </c>
      <c r="G269" s="61">
        <f>G$252*'Economic Projections'!$I20</f>
        <v>1168152117.1841638</v>
      </c>
      <c r="H269" s="61">
        <f>H$252*'Economic Projections'!$I20</f>
        <v>2196438257.2900357</v>
      </c>
      <c r="I269" s="61">
        <f>I$252*'Economic Projections'!$I20</f>
        <v>240914215.17408067</v>
      </c>
      <c r="J269" s="61">
        <f>J$252*'Economic Projections'!$I20</f>
        <v>366206393.46293002</v>
      </c>
      <c r="K269" s="61">
        <f>K$252*'Economic Projections'!$I20</f>
        <v>51772805.79300119</v>
      </c>
    </row>
  </sheetData>
  <mergeCells count="16">
    <mergeCell ref="F213:K213"/>
    <mergeCell ref="F251:K251"/>
    <mergeCell ref="F232:K232"/>
    <mergeCell ref="F80:K80"/>
    <mergeCell ref="F99:K99"/>
    <mergeCell ref="F118:K118"/>
    <mergeCell ref="F137:K137"/>
    <mergeCell ref="F156:K156"/>
    <mergeCell ref="F194:K194"/>
    <mergeCell ref="F61:K61"/>
    <mergeCell ref="F175:K175"/>
    <mergeCell ref="B2:C2"/>
    <mergeCell ref="F2:K2"/>
    <mergeCell ref="F4:K4"/>
    <mergeCell ref="F23:K23"/>
    <mergeCell ref="F42:K42"/>
  </mergeCell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0F8CE-B78D-4F8D-AB97-B17EDB44F30B}">
  <sheetPr>
    <tabColor theme="9" tint="0.79998168889431442"/>
  </sheetPr>
  <dimension ref="B2:L250"/>
  <sheetViews>
    <sheetView topLeftCell="A126" zoomScaleNormal="100" workbookViewId="0">
      <selection activeCell="H176" sqref="H176"/>
    </sheetView>
  </sheetViews>
  <sheetFormatPr defaultColWidth="11.42578125" defaultRowHeight="15"/>
  <cols>
    <col min="1" max="1" width="2" customWidth="1"/>
    <col min="2" max="2" width="38.28515625" bestFit="1" customWidth="1"/>
    <col min="3" max="5" width="8.7109375" bestFit="1" customWidth="1"/>
    <col min="6" max="11" width="15.7109375" customWidth="1"/>
  </cols>
  <sheetData>
    <row r="2" spans="2:11">
      <c r="B2" s="582" t="s">
        <v>228</v>
      </c>
      <c r="C2" s="582"/>
      <c r="F2" s="582" t="s">
        <v>203</v>
      </c>
      <c r="G2" s="582"/>
      <c r="H2" s="582"/>
      <c r="I2" s="582"/>
      <c r="J2" s="582"/>
      <c r="K2" s="582"/>
    </row>
    <row r="3" spans="2:11">
      <c r="B3" t="s">
        <v>229</v>
      </c>
      <c r="C3" s="59">
        <v>1.2999999999999999E-2</v>
      </c>
      <c r="F3" s="185" t="s">
        <v>230</v>
      </c>
      <c r="G3" s="185" t="s">
        <v>3</v>
      </c>
      <c r="H3" s="185" t="s">
        <v>231</v>
      </c>
      <c r="I3" s="185" t="s">
        <v>5</v>
      </c>
      <c r="J3" s="185" t="s">
        <v>232</v>
      </c>
      <c r="K3" s="185" t="s">
        <v>233</v>
      </c>
    </row>
    <row r="4" spans="2:11">
      <c r="B4" t="s">
        <v>234</v>
      </c>
      <c r="C4" s="59">
        <f>0.05/10</f>
        <v>5.0000000000000001E-3</v>
      </c>
      <c r="F4" s="581" t="s">
        <v>235</v>
      </c>
      <c r="G4" s="581"/>
      <c r="H4" s="581"/>
      <c r="I4" s="581"/>
      <c r="J4" s="581"/>
      <c r="K4" s="581"/>
    </row>
    <row r="5" spans="2:11">
      <c r="B5" t="s">
        <v>236</v>
      </c>
      <c r="C5">
        <v>0.25</v>
      </c>
      <c r="E5">
        <v>2020</v>
      </c>
      <c r="F5" s="61">
        <f>'Demographic-Economic'!C10</f>
        <v>6306408</v>
      </c>
      <c r="G5" s="61">
        <f>'Demographic-Economic'!D10</f>
        <v>4212348</v>
      </c>
      <c r="H5" s="61">
        <f>'Demographic-Economic'!E10</f>
        <v>4993764</v>
      </c>
      <c r="I5" s="61">
        <f>'Demographic-Economic'!F10</f>
        <v>1010676</v>
      </c>
      <c r="J5" s="61">
        <f>'Demographic-Economic'!G10</f>
        <v>1266672</v>
      </c>
      <c r="K5" s="61">
        <f>'Demographic-Economic'!H10</f>
        <v>307884</v>
      </c>
    </row>
    <row r="6" spans="2:11">
      <c r="B6" t="s">
        <v>237</v>
      </c>
      <c r="C6" s="180">
        <f>'Inflation-Interest'!C70</f>
        <v>3.7539166666666658E-2</v>
      </c>
      <c r="E6">
        <v>2021</v>
      </c>
      <c r="F6" s="61">
        <f>(F5+0.5*F81)*('Economic Projections'!$D4/'Economic Projections'!$D3)</f>
        <v>6356816.2657636376</v>
      </c>
      <c r="G6" s="61">
        <f>(G5+0.5*G81)*('Economic Projections'!$D4/'Economic Projections'!$D3)</f>
        <v>4228991.4245945457</v>
      </c>
      <c r="H6" s="61">
        <f>(H5+0.5*H81)*('Economic Projections'!$D4/'Economic Projections'!$D3)</f>
        <v>5069255.5512791118</v>
      </c>
      <c r="I6" s="61">
        <f>(I5+0.5*I81)*('Economic Projections'!$D4/'Economic Projections'!$D3)</f>
        <v>1032413.7222263198</v>
      </c>
      <c r="J6" s="61">
        <f>(J5+0.5*J81)*('Economic Projections'!$D4/'Economic Projections'!$D3)</f>
        <v>1287208.7006183262</v>
      </c>
      <c r="K6" s="61">
        <f>(K5+0.5*K81)*('Economic Projections'!$D4/'Economic Projections'!$D3)</f>
        <v>313445.2851284502</v>
      </c>
    </row>
    <row r="7" spans="2:11">
      <c r="E7">
        <v>2022</v>
      </c>
      <c r="F7" s="61">
        <f>(F6+0.5*F82)*('Economic Projections'!$D5/'Economic Projections'!$D4)</f>
        <v>6406933.0751484539</v>
      </c>
      <c r="G7" s="61">
        <f>(G6+0.5*G82)*('Economic Projections'!$D5/'Economic Projections'!$D4)</f>
        <v>4245240.5129663618</v>
      </c>
      <c r="H7" s="61">
        <f>(H6+0.5*H82)*('Economic Projections'!$D5/'Economic Projections'!$D4)</f>
        <v>5146305.5064266939</v>
      </c>
      <c r="I7" s="61">
        <f>(I6+0.5*I82)*('Economic Projections'!$D5/'Economic Projections'!$D4)</f>
        <v>1053471.6868420099</v>
      </c>
      <c r="J7" s="61">
        <f>(J6+0.5*J82)*('Economic Projections'!$D5/'Economic Projections'!$D4)</f>
        <v>1307472.8226863639</v>
      </c>
      <c r="K7" s="61">
        <f>(K6+0.5*K82)*('Economic Projections'!$D5/'Economic Projections'!$D4)</f>
        <v>319086.29515089287</v>
      </c>
    </row>
    <row r="8" spans="2:11">
      <c r="E8">
        <v>2023</v>
      </c>
      <c r="F8" s="61">
        <f>(F7+0.5*F83)*('Economic Projections'!$D6/'Economic Projections'!$D5)</f>
        <v>6456759.5703846877</v>
      </c>
      <c r="G8" s="61">
        <f>(G7+0.5*G83)*('Economic Projections'!$D6/'Economic Projections'!$D5)</f>
        <v>4261099.6883016564</v>
      </c>
      <c r="H8" s="61">
        <f>(H7+0.5*H83)*('Economic Projections'!$D6/'Economic Projections'!$D5)</f>
        <v>5224923.9065363733</v>
      </c>
      <c r="I8" s="61">
        <f>(I7+0.5*I83)*('Economic Projections'!$D6/'Economic Projections'!$D5)</f>
        <v>1073840.1238538686</v>
      </c>
      <c r="J8" s="61">
        <f>(J7+0.5*J83)*('Economic Projections'!$D6/'Economic Projections'!$D5)</f>
        <v>1327459.4941497026</v>
      </c>
      <c r="K8" s="61">
        <f>(K7+0.5*K83)*('Economic Projections'!$D6/'Economic Projections'!$D5)</f>
        <v>324806.06560488004</v>
      </c>
    </row>
    <row r="9" spans="2:11">
      <c r="E9">
        <v>2024</v>
      </c>
      <c r="F9" s="61">
        <f>(F8+0.5*F84)*('Economic Projections'!$D7/'Economic Projections'!$D6)</f>
        <v>6506296.889813018</v>
      </c>
      <c r="G9" s="61">
        <f>(G8+0.5*G84)*('Economic Projections'!$D7/'Economic Projections'!$D6)</f>
        <v>4276573.3329459168</v>
      </c>
      <c r="H9" s="61">
        <f>(H8+0.5*H84)*('Economic Projections'!$D7/'Economic Projections'!$D6)</f>
        <v>5305114.8198073637</v>
      </c>
      <c r="I9" s="61">
        <f>(I8+0.5*I84)*('Economic Projections'!$D7/'Economic Projections'!$D6)</f>
        <v>1093513.5921791259</v>
      </c>
      <c r="J9" s="61">
        <f>(J8+0.5*J84)*('Economic Projections'!$D7/'Economic Projections'!$D6)</f>
        <v>1347165.7594235672</v>
      </c>
      <c r="K9" s="61">
        <f>(K8+0.5*K84)*('Economic Projections'!$D7/'Economic Projections'!$D6)</f>
        <v>330603.40427256125</v>
      </c>
    </row>
    <row r="10" spans="2:11">
      <c r="E10">
        <v>2025</v>
      </c>
      <c r="F10" s="61">
        <f>(F9+0.5*F85)*('Economic Projections'!$D8/'Economic Projections'!$D7)</f>
        <v>6555546.1678968929</v>
      </c>
      <c r="G10" s="61">
        <f>(G9+0.5*G85)*('Economic Projections'!$D8/'Economic Projections'!$D7)</f>
        <v>4291665.7887479719</v>
      </c>
      <c r="H10" s="61">
        <f>(H9+0.5*H85)*('Economic Projections'!$D8/'Economic Projections'!$D7)</f>
        <v>5386876.3492959468</v>
      </c>
      <c r="I10" s="61">
        <f>(I9+0.5*I85)*('Economic Projections'!$D8/'Economic Projections'!$D7)</f>
        <v>1112490.9657821888</v>
      </c>
      <c r="J10" s="61">
        <f>(J9+0.5*J85)*('Economic Projections'!$D8/'Economic Projections'!$D7)</f>
        <v>1366590.5741406158</v>
      </c>
      <c r="K10" s="61">
        <f>(K9+0.5*K85)*('Economic Projections'!$D8/'Economic Projections'!$D7)</f>
        <v>336476.90218832315</v>
      </c>
    </row>
    <row r="11" spans="2:11">
      <c r="E11">
        <v>2026</v>
      </c>
      <c r="F11" s="61">
        <f>(F10+0.5*F86)*('Economic Projections'!$D9/'Economic Projections'!$D8)</f>
        <v>6604508.5352347884</v>
      </c>
      <c r="G11" s="61">
        <f>(G10+0.5*G86)*('Economic Projections'!$D9/'Economic Projections'!$D8)</f>
        <v>4306381.3574012853</v>
      </c>
      <c r="H11" s="61">
        <f>(H10+0.5*H86)*('Economic Projections'!$D9/'Economic Projections'!$D8)</f>
        <v>5470200.7338805571</v>
      </c>
      <c r="I11" s="61">
        <f>(I10+0.5*I86)*('Economic Projections'!$D9/'Economic Projections'!$D8)</f>
        <v>1130775.3527440473</v>
      </c>
      <c r="J11" s="61">
        <f>(J10+0.5*J86)*('Economic Projections'!$D9/'Economic Projections'!$D8)</f>
        <v>1385734.7702821989</v>
      </c>
      <c r="K11" s="61">
        <f>(K10+0.5*K86)*('Economic Projections'!$D9/'Economic Projections'!$D8)</f>
        <v>342424.94811945554</v>
      </c>
    </row>
    <row r="12" spans="2:11">
      <c r="E12">
        <v>2027</v>
      </c>
      <c r="F12" s="61">
        <f>(F11+0.5*F87)*('Economic Projections'!$D10/'Economic Projections'!$D9)</f>
        <v>6653185.1185724437</v>
      </c>
      <c r="G12" s="61">
        <f>(G11+0.5*G87)*('Economic Projections'!$D10/'Economic Projections'!$D9)</f>
        <v>4320724.3007825287</v>
      </c>
      <c r="H12" s="61">
        <f>(H11+0.5*H87)*('Economic Projections'!$D10/'Economic Projections'!$D9)</f>
        <v>5555074.5414742837</v>
      </c>
      <c r="I12" s="61">
        <f>(I11+0.5*I87)*('Economic Projections'!$D10/'Economic Projections'!$D9)</f>
        <v>1148373.9481392694</v>
      </c>
      <c r="J12" s="61">
        <f>(J11+0.5*J87)*('Economic Projections'!$D10/'Economic Projections'!$D9)</f>
        <v>1404600.9920600199</v>
      </c>
      <c r="K12" s="61">
        <f>(K11+0.5*K87)*('Economic Projections'!$D10/'Economic Projections'!$D9)</f>
        <v>348445.74624417338</v>
      </c>
    </row>
    <row r="13" spans="2:11">
      <c r="E13">
        <v>2028</v>
      </c>
      <c r="F13" s="61">
        <f>(F12+0.5*F88)*('Economic Projections'!$D11/'Economic Projections'!$D10)</f>
        <v>6701577.0408150665</v>
      </c>
      <c r="G13" s="61">
        <f>(G12+0.5*G88)*('Economic Projections'!$D11/'Economic Projections'!$D10)</f>
        <v>4334698.8412874667</v>
      </c>
      <c r="H13" s="61">
        <f>(H12+0.5*H88)*('Economic Projections'!$D11/'Economic Projections'!$D10)</f>
        <v>5641478.9503833791</v>
      </c>
      <c r="I13" s="61">
        <f>(I12+0.5*I88)*('Economic Projections'!$D11/'Economic Projections'!$D10)</f>
        <v>1165297.8238507274</v>
      </c>
      <c r="J13" s="61">
        <f>(J12+0.5*J88)*('Economic Projections'!$D11/'Economic Projections'!$D10)</f>
        <v>1423193.6039111053</v>
      </c>
      <c r="K13" s="61">
        <f>(K12+0.5*K88)*('Economic Projections'!$D11/'Economic Projections'!$D10)</f>
        <v>354537.33663536422</v>
      </c>
    </row>
    <row r="14" spans="2:11">
      <c r="E14">
        <v>2029</v>
      </c>
      <c r="F14" s="61">
        <f>(F13+0.5*F89)*('Economic Projections'!$D12/'Economic Projections'!$D11)</f>
        <v>6749685.4210394844</v>
      </c>
      <c r="G14" s="61">
        <f>(G13+0.5*G89)*('Economic Projections'!$D12/'Economic Projections'!$D11)</f>
        <v>4348309.1621641321</v>
      </c>
      <c r="H14" s="61">
        <f>(H13+0.5*H89)*('Economic Projections'!$D12/'Economic Projections'!$D11)</f>
        <v>5729390.1116626244</v>
      </c>
      <c r="I14" s="61">
        <f>(I13+0.5*I89)*('Economic Projections'!$D12/'Economic Projections'!$D11)</f>
        <v>1181561.6606366017</v>
      </c>
      <c r="J14" s="61">
        <f>(J13+0.5*J89)*('Economic Projections'!$D12/'Economic Projections'!$D11)</f>
        <v>1441518.5729344829</v>
      </c>
      <c r="K14" s="61">
        <f>(K13+0.5*K89)*('Economic Projections'!$D12/'Economic Projections'!$D11)</f>
        <v>360697.61805617122</v>
      </c>
    </row>
    <row r="15" spans="2:11">
      <c r="E15">
        <v>2030</v>
      </c>
      <c r="F15" s="61">
        <f>(F14+0.5*F90)*('Economic Projections'!$D13/'Economic Projections'!$D12)</f>
        <v>6797511.374506277</v>
      </c>
      <c r="G15" s="61">
        <f>(G14+0.5*G90)*('Economic Projections'!$D13/'Economic Projections'!$D12)</f>
        <v>4361559.4078433579</v>
      </c>
      <c r="H15" s="61">
        <f>(H14+0.5*H90)*('Economic Projections'!$D13/'Economic Projections'!$D12)</f>
        <v>5818779.5825415645</v>
      </c>
      <c r="I15" s="61">
        <f>(I14+0.5*I90)*('Economic Projections'!$D13/'Economic Projections'!$D12)</f>
        <v>1197183.4297462176</v>
      </c>
      <c r="J15" s="61">
        <f>(J14+0.5*J90)*('Economic Projections'!$D13/'Economic Projections'!$D12)</f>
        <v>1459583.3289748933</v>
      </c>
      <c r="K15" s="61">
        <f>(K14+0.5*K90)*('Economic Projections'!$D13/'Economic Projections'!$D12)</f>
        <v>366924.37249158043</v>
      </c>
    </row>
    <row r="16" spans="2:11">
      <c r="E16">
        <v>2040</v>
      </c>
      <c r="F16" s="61">
        <f>(F15+5*F91)*('Economic Projections'!$D14/'Economic Projections'!$D13)</f>
        <v>7211672.3201797791</v>
      </c>
      <c r="G16" s="61">
        <f>(G15+5*G91)*('Economic Projections'!$D14/'Economic Projections'!$D13)</f>
        <v>4437463.8671032405</v>
      </c>
      <c r="H16" s="61">
        <f>(H15+5*H91)*('Economic Projections'!$D14/'Economic Projections'!$D13)</f>
        <v>6713712.8228117814</v>
      </c>
      <c r="I16" s="61">
        <f>(I15+5*I91)*('Economic Projections'!$D14/'Economic Projections'!$D13)</f>
        <v>1341556.4114316816</v>
      </c>
      <c r="J16" s="61">
        <f>(J15+5*J91)*('Economic Projections'!$D14/'Economic Projections'!$D13)</f>
        <v>1630478.3647737878</v>
      </c>
      <c r="K16" s="61">
        <f>(K15+5*K91)*('Economic Projections'!$D14/'Economic Projections'!$D13)</f>
        <v>429425.76175167161</v>
      </c>
    </row>
    <row r="17" spans="5:11">
      <c r="E17">
        <v>2050</v>
      </c>
      <c r="F17" s="61">
        <f>(F16+5*F92)*('Economic Projections'!$D15/'Economic Projections'!$D14)</f>
        <v>7562910.3565081898</v>
      </c>
      <c r="G17" s="61">
        <f>(G16+5*G92)*('Economic Projections'!$D15/'Economic Projections'!$D14)</f>
        <v>4462670.1953332229</v>
      </c>
      <c r="H17" s="61">
        <f>(H16+5*H92)*('Economic Projections'!$D15/'Economic Projections'!$D14)</f>
        <v>7678412.2301869709</v>
      </c>
      <c r="I17" s="61">
        <f>(I16+5*I92)*('Economic Projections'!$D15/'Economic Projections'!$D14)</f>
        <v>1442969.9630517873</v>
      </c>
      <c r="J17" s="61">
        <f>(J16+5*J92)*('Economic Projections'!$D15/'Economic Projections'!$D14)</f>
        <v>1770068.8301479402</v>
      </c>
      <c r="K17" s="61">
        <f>(K16+5*K92)*('Economic Projections'!$D15/'Economic Projections'!$D14)</f>
        <v>492528.15464201546</v>
      </c>
    </row>
    <row r="18" spans="5:11">
      <c r="E18">
        <v>2060</v>
      </c>
      <c r="F18" s="61">
        <f>(F17+5*F93)*('Economic Projections'!$D16/'Economic Projections'!$D15)</f>
        <v>7825448.1331911935</v>
      </c>
      <c r="G18" s="61">
        <f>(G17+5*G93)*('Economic Projections'!$D16/'Economic Projections'!$D15)</f>
        <v>4428147.2296153093</v>
      </c>
      <c r="H18" s="61">
        <f>(H17+5*H93)*('Economic Projections'!$D16/'Economic Projections'!$D15)</f>
        <v>8615871.2332399748</v>
      </c>
      <c r="I18" s="61">
        <f>(I17+5*I93)*('Economic Projections'!$D16/'Economic Projections'!$D15)</f>
        <v>1531344.6294635937</v>
      </c>
      <c r="J18" s="61">
        <f>(J17+5*J93)*('Economic Projections'!$D16/'Economic Projections'!$D15)</f>
        <v>1890399.2935981485</v>
      </c>
      <c r="K18" s="61">
        <f>(K17+5*K93)*('Economic Projections'!$D16/'Economic Projections'!$D15)</f>
        <v>552067.22634632431</v>
      </c>
    </row>
    <row r="19" spans="5:11">
      <c r="E19">
        <v>2070</v>
      </c>
      <c r="F19" s="61">
        <f>(F18+5*F94)*('Economic Projections'!$D17/'Economic Projections'!$D16)</f>
        <v>8026822.0113584585</v>
      </c>
      <c r="G19" s="61">
        <f>(G18+5*G94)*('Economic Projections'!$D17/'Economic Projections'!$D16)</f>
        <v>4355755.1916514933</v>
      </c>
      <c r="H19" s="61">
        <f>(H18+5*H94)*('Economic Projections'!$D17/'Economic Projections'!$D16)</f>
        <v>9530102.6580821183</v>
      </c>
      <c r="I19" s="61">
        <f>(I18+5*I94)*('Economic Projections'!$D17/'Economic Projections'!$D16)</f>
        <v>1611026.7057365335</v>
      </c>
      <c r="J19" s="61">
        <f>(J18+5*J94)*('Economic Projections'!$D17/'Economic Projections'!$D16)</f>
        <v>2003041.1922391753</v>
      </c>
      <c r="K19" s="61">
        <f>(K18+5*K94)*('Economic Projections'!$D17/'Economic Projections'!$D16)</f>
        <v>609226.55781533383</v>
      </c>
    </row>
    <row r="20" spans="5:11">
      <c r="E20">
        <v>2080</v>
      </c>
      <c r="F20" s="61">
        <f>(F19+5*F95)*('Economic Projections'!$D18/'Economic Projections'!$D17)</f>
        <v>8185084.6665734183</v>
      </c>
      <c r="G20" s="61">
        <f>(G19+5*G95)*('Economic Projections'!$D18/'Economic Projections'!$D17)</f>
        <v>4259415.4444044894</v>
      </c>
      <c r="H20" s="61">
        <f>(H19+5*H95)*('Economic Projections'!$D18/'Economic Projections'!$D17)</f>
        <v>10429047.758508593</v>
      </c>
      <c r="I20" s="61">
        <f>(I19+5*I95)*('Economic Projections'!$D18/'Economic Projections'!$D17)</f>
        <v>1684913.7219168963</v>
      </c>
      <c r="J20" s="61">
        <f>(J19+5*J95)*('Economic Projections'!$D18/'Economic Projections'!$D17)</f>
        <v>2111303.5889540282</v>
      </c>
      <c r="K20" s="61">
        <f>(K19+5*K95)*('Economic Projections'!$D18/'Economic Projections'!$D17)</f>
        <v>664891.41185036488</v>
      </c>
    </row>
    <row r="21" spans="5:11">
      <c r="E21">
        <v>2090</v>
      </c>
      <c r="F21" s="61">
        <f>(F20+5*F96)*('Economic Projections'!$D19/'Economic Projections'!$D18)</f>
        <v>8323555.4669301109</v>
      </c>
      <c r="G21" s="61">
        <f>(G20+5*G96)*('Economic Projections'!$D19/'Economic Projections'!$D18)</f>
        <v>4153772.4190443461</v>
      </c>
      <c r="H21" s="61">
        <f>(H20+5*H96)*('Economic Projections'!$D19/'Economic Projections'!$D18)</f>
        <v>11334876.088706039</v>
      </c>
      <c r="I21" s="61">
        <f>(I20+5*I96)*('Economic Projections'!$D19/'Economic Projections'!$D18)</f>
        <v>1757351.9730741149</v>
      </c>
      <c r="J21" s="61">
        <f>(J20+5*J96)*('Economic Projections'!$D19/'Economic Projections'!$D18)</f>
        <v>2219644.4582122257</v>
      </c>
      <c r="K21" s="61">
        <f>(K20+5*K96)*('Economic Projections'!$D19/'Economic Projections'!$D18)</f>
        <v>720634.88753965916</v>
      </c>
    </row>
    <row r="22" spans="5:11">
      <c r="E22">
        <v>2100</v>
      </c>
      <c r="F22" s="61">
        <f>(F21+5*F97)*('Economic Projections'!$D20/'Economic Projections'!$D19)</f>
        <v>8443296.639970446</v>
      </c>
      <c r="G22" s="61">
        <f>(G21+5*G97)*('Economic Projections'!$D20/'Economic Projections'!$D19)</f>
        <v>4040665.1618299717</v>
      </c>
      <c r="H22" s="61">
        <f>(H21+5*H97)*('Economic Projections'!$D20/'Economic Projections'!$D19)</f>
        <v>12245636.515004829</v>
      </c>
      <c r="I22" s="61">
        <f>(I21+5*I97)*('Economic Projections'!$D20/'Economic Projections'!$D19)</f>
        <v>1828341.4592081881</v>
      </c>
      <c r="J22" s="61">
        <f>(J21+5*J97)*('Economic Projections'!$D20/'Economic Projections'!$D19)</f>
        <v>2327164.7609756482</v>
      </c>
      <c r="K22" s="61">
        <f>(K21+5*K97)*('Economic Projections'!$D20/'Economic Projections'!$D19)</f>
        <v>776405.88379013108</v>
      </c>
    </row>
    <row r="23" spans="5:11">
      <c r="F23" s="581" t="s">
        <v>239</v>
      </c>
      <c r="G23" s="581"/>
      <c r="H23" s="581"/>
      <c r="I23" s="581"/>
      <c r="J23" s="581"/>
      <c r="K23" s="581"/>
    </row>
    <row r="24" spans="5:11">
      <c r="E24">
        <v>2020</v>
      </c>
      <c r="F24" s="61">
        <f>'Demographic-Economic'!C14</f>
        <v>2791896</v>
      </c>
      <c r="G24" s="61">
        <f>'Demographic-Economic'!D14</f>
        <v>2523732</v>
      </c>
      <c r="H24" s="61">
        <f>'Demographic-Economic'!E14</f>
        <v>2212536</v>
      </c>
      <c r="I24" s="61">
        <f>'Demographic-Economic'!F14</f>
        <v>496548</v>
      </c>
      <c r="J24" s="61">
        <f>'Demographic-Economic'!G14</f>
        <v>566592</v>
      </c>
      <c r="K24" s="61">
        <f>'Demographic-Economic'!H14</f>
        <v>135480</v>
      </c>
    </row>
    <row r="25" spans="5:11">
      <c r="E25">
        <v>2021</v>
      </c>
      <c r="F25" s="322" t="s">
        <v>240</v>
      </c>
      <c r="G25" s="322" t="s">
        <v>240</v>
      </c>
      <c r="H25" s="61">
        <f>H24*'Demographic-Economic'!E$20</f>
        <v>2251692</v>
      </c>
      <c r="I25" s="61">
        <f>I24*('Demographic-Economic'!F$20)</f>
        <v>497628</v>
      </c>
      <c r="J25" s="61">
        <f>J24*('Demographic-Economic'!G$20)</f>
        <v>571248</v>
      </c>
      <c r="K25" s="61">
        <f>K24*('Demographic-Economic'!H$20)</f>
        <v>137808</v>
      </c>
    </row>
    <row r="26" spans="5:11">
      <c r="E26">
        <v>2022</v>
      </c>
      <c r="F26" s="322" t="s">
        <v>240</v>
      </c>
      <c r="G26" s="322" t="s">
        <v>240</v>
      </c>
      <c r="H26" s="61">
        <f>H25*'Demographic-Economic'!E$20</f>
        <v>2291540.9570122249</v>
      </c>
      <c r="I26" s="61">
        <f>I25*('Demographic-Economic'!F$20)</f>
        <v>498710.34901761764</v>
      </c>
      <c r="J26" s="61">
        <f>J25*('Demographic-Economic'!G$20)</f>
        <v>575942.26092849881</v>
      </c>
      <c r="K26" s="61">
        <f>K25*('Demographic-Economic'!H$20)</f>
        <v>140176.00283436669</v>
      </c>
    </row>
    <row r="27" spans="5:11">
      <c r="E27">
        <v>2023</v>
      </c>
      <c r="F27" s="322" t="s">
        <v>240</v>
      </c>
      <c r="G27" s="322" t="s">
        <v>240</v>
      </c>
      <c r="H27" s="61">
        <f>H26*'Demographic-Economic'!E$20</f>
        <v>2332095.1345319445</v>
      </c>
      <c r="I27" s="61">
        <f>I26*('Demographic-Economic'!F$20)</f>
        <v>499795.05216200458</v>
      </c>
      <c r="J27" s="61">
        <f>J26*('Demographic-Economic'!G$20)</f>
        <v>580675.09719671845</v>
      </c>
      <c r="K27" s="61">
        <f>K26*('Demographic-Economic'!H$20)</f>
        <v>142584.69588572782</v>
      </c>
    </row>
    <row r="28" spans="5:11">
      <c r="E28">
        <v>2024</v>
      </c>
      <c r="F28" s="322" t="s">
        <v>240</v>
      </c>
      <c r="G28" s="322" t="s">
        <v>240</v>
      </c>
      <c r="H28" s="61">
        <f>H27*'Demographic-Economic'!E$20</f>
        <v>2373367.0130856642</v>
      </c>
      <c r="I28" s="61">
        <f>I27*('Demographic-Economic'!F$20)</f>
        <v>500882.11455342488</v>
      </c>
      <c r="J28" s="61">
        <f>J27*('Demographic-Economic'!G$20)</f>
        <v>585446.82579957182</v>
      </c>
      <c r="K28" s="61">
        <f>K27*('Demographic-Economic'!H$20)</f>
        <v>145034.77834824607</v>
      </c>
    </row>
    <row r="29" spans="5:11">
      <c r="E29">
        <v>2025</v>
      </c>
      <c r="F29" s="322" t="s">
        <v>240</v>
      </c>
      <c r="G29" s="322" t="s">
        <v>240</v>
      </c>
      <c r="H29" s="61">
        <f>H28*'Demographic-Economic'!E$20</f>
        <v>2415369.2940719994</v>
      </c>
      <c r="I29" s="61">
        <f>I28*('Demographic-Economic'!F$20)</f>
        <v>501971.54132327938</v>
      </c>
      <c r="J29" s="61">
        <f>J28*('Demographic-Economic'!G$20)</f>
        <v>590257.76633689459</v>
      </c>
      <c r="K29" s="61">
        <f>K28*('Demographic-Economic'!H$20)</f>
        <v>147526.96143058085</v>
      </c>
    </row>
    <row r="30" spans="5:11">
      <c r="E30">
        <v>2026</v>
      </c>
      <c r="F30" s="322" t="s">
        <v>240</v>
      </c>
      <c r="G30" s="322" t="s">
        <v>240</v>
      </c>
      <c r="H30" s="61">
        <f>H29*'Demographic-Economic'!E$20</f>
        <v>2458114.9036705247</v>
      </c>
      <c r="I30" s="61">
        <f>I29*('Demographic-Economic'!F$20)</f>
        <v>503063.3376141297</v>
      </c>
      <c r="J30" s="61">
        <f>J29*('Demographic-Economic'!G$20)</f>
        <v>595108.24103485106</v>
      </c>
      <c r="K30" s="61">
        <f>K29*('Demographic-Economic'!H$20)</f>
        <v>150061.96856233751</v>
      </c>
    </row>
    <row r="31" spans="5:11">
      <c r="E31">
        <v>2027</v>
      </c>
      <c r="F31" s="322" t="s">
        <v>240</v>
      </c>
      <c r="G31" s="322" t="s">
        <v>240</v>
      </c>
      <c r="H31" s="61">
        <f>H30*'Demographic-Economic'!E$20</f>
        <v>2501616.9968197993</v>
      </c>
      <c r="I31" s="61">
        <f>I30*('Demographic-Economic'!F$20)</f>
        <v>504157.50857972272</v>
      </c>
      <c r="J31" s="61">
        <f>J30*('Demographic-Economic'!G$20)</f>
        <v>599998.57476751623</v>
      </c>
      <c r="K31" s="61">
        <f>K30*('Demographic-Economic'!H$20)</f>
        <v>152640.53560406412</v>
      </c>
    </row>
    <row r="32" spans="5:11">
      <c r="E32">
        <v>2028</v>
      </c>
      <c r="F32" s="322" t="s">
        <v>240</v>
      </c>
      <c r="G32" s="322" t="s">
        <v>240</v>
      </c>
      <c r="H32" s="61">
        <f>H31*'Demographic-Economic'!E$20</f>
        <v>2545888.9612657907</v>
      </c>
      <c r="I32" s="61">
        <f>I31*('Demographic-Economic'!F$20)</f>
        <v>505254.0593850147</v>
      </c>
      <c r="J32" s="61">
        <f>J31*('Demographic-Economic'!G$20)</f>
        <v>604929.09507863526</v>
      </c>
      <c r="K32" s="61">
        <f>K31*('Demographic-Economic'!H$20)</f>
        <v>155263.41106085671</v>
      </c>
    </row>
    <row r="33" spans="5:11">
      <c r="E33">
        <v>2029</v>
      </c>
      <c r="F33" s="322" t="s">
        <v>240</v>
      </c>
      <c r="G33" s="322" t="s">
        <v>240</v>
      </c>
      <c r="H33" s="61">
        <f>H32*'Demographic-Economic'!E$20</f>
        <v>2590944.421681948</v>
      </c>
      <c r="I33" s="61">
        <f>I32*('Demographic-Economic'!F$20)</f>
        <v>506352.9952061958</v>
      </c>
      <c r="J33" s="61">
        <f>J32*('Demographic-Economic'!G$20)</f>
        <v>609900.13220356137</v>
      </c>
      <c r="K33" s="61">
        <f>K32*('Demographic-Economic'!H$20)</f>
        <v>157931.35629963494</v>
      </c>
    </row>
    <row r="34" spans="5:11">
      <c r="E34">
        <v>2030</v>
      </c>
      <c r="F34" s="322" t="s">
        <v>240</v>
      </c>
      <c r="G34" s="322" t="s">
        <v>240</v>
      </c>
      <c r="H34" s="61">
        <f>H33*'Demographic-Economic'!E$20</f>
        <v>2636797.2438621875</v>
      </c>
      <c r="I34" s="61">
        <f>I33*('Demographic-Economic'!F$20)</f>
        <v>507454.3212307145</v>
      </c>
      <c r="J34" s="61">
        <f>J33*('Demographic-Economic'!G$20)</f>
        <v>614912.01909137436</v>
      </c>
      <c r="K34" s="61">
        <f>K33*('Demographic-Economic'!H$20)</f>
        <v>160645.14577015123</v>
      </c>
    </row>
    <row r="35" spans="5:11">
      <c r="E35">
        <v>2040</v>
      </c>
      <c r="F35" s="322" t="s">
        <v>240</v>
      </c>
      <c r="G35" s="322" t="s">
        <v>240</v>
      </c>
      <c r="H35" s="61">
        <f>H34*('Demographic-Economic'!E$20)^10</f>
        <v>3142412.0128392149</v>
      </c>
      <c r="I35" s="61">
        <f>I34*('Demographic-Economic'!F$20)^10</f>
        <v>518600.1919969974</v>
      </c>
      <c r="J35" s="61">
        <f>J34*('Demographic-Economic'!G$20)^10</f>
        <v>667352.85924091854</v>
      </c>
      <c r="K35" s="61">
        <f>K34*('Demographic-Economic'!H$20)^10</f>
        <v>190484.66828692899</v>
      </c>
    </row>
    <row r="36" spans="5:11">
      <c r="E36">
        <v>2050</v>
      </c>
      <c r="F36" s="322" t="s">
        <v>240</v>
      </c>
      <c r="G36" s="322" t="s">
        <v>240</v>
      </c>
      <c r="H36" s="61">
        <f>H35*('Demographic-Economic'!E$20)^10</f>
        <v>3744980.1198868025</v>
      </c>
      <c r="I36" s="61">
        <f>I35*('Demographic-Economic'!F$20)^10</f>
        <v>529990.87383285083</v>
      </c>
      <c r="J36" s="61">
        <f>J35*('Demographic-Economic'!G$20)^10</f>
        <v>724265.95172934793</v>
      </c>
      <c r="K36" s="61">
        <f>K35*('Demographic-Economic'!H$20)^10</f>
        <v>225866.82391447164</v>
      </c>
    </row>
    <row r="37" spans="5:11">
      <c r="E37">
        <v>2060</v>
      </c>
      <c r="F37" s="322" t="s">
        <v>240</v>
      </c>
      <c r="G37" s="322" t="s">
        <v>240</v>
      </c>
      <c r="H37" s="61">
        <f>H36*('Demographic-Economic'!E$20)^10</f>
        <v>4463092.6947340975</v>
      </c>
      <c r="I37" s="61">
        <f>I36*('Demographic-Economic'!F$20)^10</f>
        <v>541631.74383810314</v>
      </c>
      <c r="J37" s="61">
        <f>J36*('Demographic-Economic'!G$20)^10</f>
        <v>786032.69855033059</v>
      </c>
      <c r="K37" s="61">
        <f>K36*('Demographic-Economic'!H$20)^10</f>
        <v>267821.14594317524</v>
      </c>
    </row>
    <row r="38" spans="5:11">
      <c r="E38">
        <v>2070</v>
      </c>
      <c r="F38" s="322" t="s">
        <v>240</v>
      </c>
      <c r="G38" s="322" t="s">
        <v>240</v>
      </c>
      <c r="H38" s="61">
        <f>H37*('Demographic-Economic'!E$20)^10</f>
        <v>5318905.7789687151</v>
      </c>
      <c r="I38" s="61">
        <f>I37*('Demographic-Economic'!F$20)^10</f>
        <v>553528.29721672973</v>
      </c>
      <c r="J38" s="61">
        <f>J37*('Demographic-Economic'!G$20)^10</f>
        <v>853067.02836860577</v>
      </c>
      <c r="K38" s="61">
        <f>K37*('Demographic-Economic'!H$20)^10</f>
        <v>317568.4014642039</v>
      </c>
    </row>
    <row r="39" spans="5:11">
      <c r="E39">
        <v>2080</v>
      </c>
      <c r="F39" s="322" t="s">
        <v>240</v>
      </c>
      <c r="G39" s="322" t="s">
        <v>240</v>
      </c>
      <c r="H39" s="61">
        <f>H38*('Demographic-Economic'!E$20)^10</f>
        <v>6338823.9099148503</v>
      </c>
      <c r="I39" s="61">
        <f>I38*('Demographic-Economic'!F$20)^10</f>
        <v>565686.14987092617</v>
      </c>
      <c r="J39" s="61">
        <f>J38*('Demographic-Economic'!G$20)^10</f>
        <v>925818.17045496183</v>
      </c>
      <c r="K39" s="61">
        <f>K38*('Demographic-Economic'!H$20)^10</f>
        <v>376556.11267501442</v>
      </c>
    </row>
    <row r="40" spans="5:11">
      <c r="E40">
        <v>2090</v>
      </c>
      <c r="F40" s="322" t="s">
        <v>240</v>
      </c>
      <c r="G40" s="322" t="s">
        <v>240</v>
      </c>
      <c r="H40" s="61">
        <f>H39*('Demographic-Economic'!E$20)^10</f>
        <v>7554314.7840266572</v>
      </c>
      <c r="I40" s="61">
        <f>I39*('Demographic-Economic'!F$20)^10</f>
        <v>578111.04105215799</v>
      </c>
      <c r="J40" s="61">
        <f>J39*('Demographic-Economic'!G$20)^10</f>
        <v>1004773.6651875465</v>
      </c>
      <c r="K40" s="61">
        <f>K39*('Demographic-Economic'!H$20)^10</f>
        <v>446500.67619810445</v>
      </c>
    </row>
    <row r="41" spans="5:11">
      <c r="E41">
        <v>2100</v>
      </c>
      <c r="F41" s="322" t="s">
        <v>240</v>
      </c>
      <c r="G41" s="322" t="s">
        <v>240</v>
      </c>
      <c r="H41" s="61">
        <f>H40*('Demographic-Economic'!E$20)^10</f>
        <v>9002880.1347362734</v>
      </c>
      <c r="I41" s="61">
        <f>I40*('Demographic-Economic'!F$20)^10</f>
        <v>590808.8360704392</v>
      </c>
      <c r="J41" s="61">
        <f>J40*('Demographic-Economic'!G$20)^10</f>
        <v>1090462.6312943252</v>
      </c>
      <c r="K41" s="61">
        <f>K40*('Demographic-Economic'!H$20)^10</f>
        <v>529437.30598107167</v>
      </c>
    </row>
    <row r="42" spans="5:11">
      <c r="F42" s="581" t="s">
        <v>241</v>
      </c>
      <c r="G42" s="581"/>
      <c r="H42" s="581"/>
      <c r="I42" s="581"/>
      <c r="J42" s="581"/>
      <c r="K42" s="581"/>
    </row>
    <row r="43" spans="5:11">
      <c r="E43">
        <v>2020</v>
      </c>
      <c r="F43" s="61">
        <f>F5/'Demographic-Economic'!C$29</f>
        <v>2473101.1764705884</v>
      </c>
      <c r="G43" s="61">
        <f>G5/'Demographic-Economic'!D$29</f>
        <v>1691706.0240963853</v>
      </c>
      <c r="H43" s="61">
        <f>H5/'Demographic-Economic'!E$29</f>
        <v>2021766.8016194331</v>
      </c>
      <c r="I43" s="61">
        <f>I5/'Demographic-Economic'!F$29</f>
        <v>404270.4</v>
      </c>
      <c r="J43" s="61">
        <f>J5/'Demographic-Economic'!G$29</f>
        <v>506668.79999999999</v>
      </c>
      <c r="K43" s="61">
        <f>K5/'Demographic-Economic'!H$29</f>
        <v>116182.64150943396</v>
      </c>
    </row>
    <row r="44" spans="5:11">
      <c r="E44">
        <v>2021</v>
      </c>
      <c r="F44" s="61">
        <f>F6/'Demographic-Economic'!C$29</f>
        <v>2492869.1238288777</v>
      </c>
      <c r="G44" s="61">
        <f>G6/'Demographic-Economic'!D$29</f>
        <v>1698390.1303592552</v>
      </c>
      <c r="H44" s="61">
        <f>H6/'Demographic-Economic'!E$29</f>
        <v>2052330.1827040936</v>
      </c>
      <c r="I44" s="61">
        <f>I6/'Demographic-Economic'!F$29</f>
        <v>412965.48889052792</v>
      </c>
      <c r="J44" s="61">
        <f>J6/'Demographic-Economic'!G$29</f>
        <v>514883.4802473305</v>
      </c>
      <c r="K44" s="61">
        <f>K6/'Demographic-Economic'!H$29</f>
        <v>118281.23967111329</v>
      </c>
    </row>
    <row r="45" spans="5:11">
      <c r="E45">
        <v>2022</v>
      </c>
      <c r="F45" s="61">
        <f>F7/'Demographic-Economic'!C$29</f>
        <v>2512522.7745680213</v>
      </c>
      <c r="G45" s="61">
        <f>G7/'Demographic-Economic'!D$29</f>
        <v>1704915.8686611895</v>
      </c>
      <c r="H45" s="61">
        <f>H7/'Demographic-Economic'!E$29</f>
        <v>2083524.4965290257</v>
      </c>
      <c r="I45" s="61">
        <f>I7/'Demographic-Economic'!F$29</f>
        <v>421388.67473680398</v>
      </c>
      <c r="J45" s="61">
        <f>J7/'Demographic-Economic'!G$29</f>
        <v>522989.12907454558</v>
      </c>
      <c r="K45" s="61">
        <f>K7/'Demographic-Economic'!H$29</f>
        <v>120409.92269845014</v>
      </c>
    </row>
    <row r="46" spans="5:11">
      <c r="E46">
        <v>2023</v>
      </c>
      <c r="F46" s="61">
        <f>F8/'Demographic-Economic'!C$29</f>
        <v>2532062.5766214463</v>
      </c>
      <c r="G46" s="61">
        <f>G8/'Demographic-Economic'!D$29</f>
        <v>1711285.0153821912</v>
      </c>
      <c r="H46" s="61">
        <f>H8/'Demographic-Economic'!E$29</f>
        <v>2115353.8083143211</v>
      </c>
      <c r="I46" s="61">
        <f>I8/'Demographic-Economic'!F$29</f>
        <v>429536.04954154743</v>
      </c>
      <c r="J46" s="61">
        <f>J8/'Demographic-Economic'!G$29</f>
        <v>530983.79765988106</v>
      </c>
      <c r="K46" s="61">
        <f>K8/'Demographic-Economic'!H$29</f>
        <v>122568.32664335097</v>
      </c>
    </row>
    <row r="47" spans="5:11">
      <c r="E47">
        <v>2024</v>
      </c>
      <c r="F47" s="61">
        <f>F9/'Demographic-Economic'!C$29</f>
        <v>2551488.976397262</v>
      </c>
      <c r="G47" s="61">
        <f>G9/'Demographic-Economic'!D$29</f>
        <v>1717499.330500368</v>
      </c>
      <c r="H47" s="61">
        <f>H9/'Demographic-Economic'!E$29</f>
        <v>2147819.7651041956</v>
      </c>
      <c r="I47" s="61">
        <f>I9/'Demographic-Economic'!F$29</f>
        <v>437405.43687165034</v>
      </c>
      <c r="J47" s="61">
        <f>J9/'Demographic-Economic'!G$29</f>
        <v>538866.30376942689</v>
      </c>
      <c r="K47" s="61">
        <f>K9/'Demographic-Economic'!H$29</f>
        <v>124756.00161228726</v>
      </c>
    </row>
    <row r="48" spans="5:11">
      <c r="E48">
        <v>2025</v>
      </c>
      <c r="F48" s="61">
        <f>F10/'Demographic-Economic'!C$29</f>
        <v>2570802.4187830952</v>
      </c>
      <c r="G48" s="61">
        <f>G10/'Demographic-Economic'!D$29</f>
        <v>1723560.557730109</v>
      </c>
      <c r="H48" s="61">
        <f>H10/'Demographic-Economic'!E$29</f>
        <v>2180921.5989052416</v>
      </c>
      <c r="I48" s="61">
        <f>I10/'Demographic-Economic'!F$29</f>
        <v>444996.38631287555</v>
      </c>
      <c r="J48" s="61">
        <f>J10/'Demographic-Economic'!G$29</f>
        <v>546636.22965624626</v>
      </c>
      <c r="K48" s="61">
        <f>K10/'Demographic-Economic'!H$29</f>
        <v>126972.41592012194</v>
      </c>
    </row>
    <row r="49" spans="5:11">
      <c r="E49">
        <v>2026</v>
      </c>
      <c r="F49" s="61">
        <f>F11/'Demographic-Economic'!C$29</f>
        <v>2590003.3471508976</v>
      </c>
      <c r="G49" s="61">
        <f>G11/'Demographic-Economic'!D$29</f>
        <v>1729470.4246591507</v>
      </c>
      <c r="H49" s="61">
        <f>H11/'Demographic-Economic'!E$29</f>
        <v>2214656.1675629783</v>
      </c>
      <c r="I49" s="61">
        <f>I11/'Demographic-Economic'!F$29</f>
        <v>452310.14109761891</v>
      </c>
      <c r="J49" s="61">
        <f>J11/'Demographic-Economic'!G$29</f>
        <v>554293.90811287961</v>
      </c>
      <c r="K49" s="61">
        <f>K11/'Demographic-Economic'!H$29</f>
        <v>129216.96155451152</v>
      </c>
    </row>
    <row r="50" spans="5:11">
      <c r="E50">
        <v>2027</v>
      </c>
      <c r="F50" s="61">
        <f>F12/'Demographic-Economic'!C$29</f>
        <v>2609092.2033617427</v>
      </c>
      <c r="G50" s="61">
        <f>G12/'Demographic-Economic'!D$29</f>
        <v>1735230.6428845495</v>
      </c>
      <c r="H50" s="61">
        <f>H12/'Demographic-Economic'!E$29</f>
        <v>2249018.0329855396</v>
      </c>
      <c r="I50" s="61">
        <f>I12/'Demographic-Economic'!F$29</f>
        <v>459349.57925570774</v>
      </c>
      <c r="J50" s="61">
        <f>J12/'Demographic-Economic'!G$29</f>
        <v>561840.39682400797</v>
      </c>
      <c r="K50" s="61">
        <f>K12/'Demographic-Economic'!H$29</f>
        <v>131488.9608468579</v>
      </c>
    </row>
    <row r="51" spans="5:11">
      <c r="E51">
        <v>2028</v>
      </c>
      <c r="F51" s="61">
        <f>F13/'Demographic-Economic'!C$29</f>
        <v>2628069.4277706146</v>
      </c>
      <c r="G51" s="61">
        <f>G13/'Demographic-Economic'!D$29</f>
        <v>1740842.9081475767</v>
      </c>
      <c r="H51" s="61">
        <f>H13/'Demographic-Economic'!E$29</f>
        <v>2283999.5750539997</v>
      </c>
      <c r="I51" s="61">
        <f>I13/'Demographic-Economic'!F$29</f>
        <v>466119.12954029097</v>
      </c>
      <c r="J51" s="61">
        <f>J13/'Demographic-Economic'!G$29</f>
        <v>569277.44156444212</v>
      </c>
      <c r="K51" s="61">
        <f>K13/'Demographic-Economic'!H$29</f>
        <v>133787.67420202424</v>
      </c>
    </row>
    <row r="52" spans="5:11">
      <c r="E52">
        <v>2029</v>
      </c>
      <c r="F52" s="61">
        <f>F14/'Demographic-Economic'!C$29</f>
        <v>2646935.4592311704</v>
      </c>
      <c r="G52" s="61">
        <f>G14/'Demographic-Economic'!D$29</f>
        <v>1746308.9004675227</v>
      </c>
      <c r="H52" s="61">
        <f>H14/'Demographic-Economic'!E$29</f>
        <v>2319591.138324949</v>
      </c>
      <c r="I52" s="61">
        <f>I14/'Demographic-Economic'!F$29</f>
        <v>472624.66425464069</v>
      </c>
      <c r="J52" s="61">
        <f>J14/'Demographic-Economic'!G$29</f>
        <v>576607.42917379318</v>
      </c>
      <c r="K52" s="61">
        <f>K14/'Demographic-Economic'!H$29</f>
        <v>136112.30870044196</v>
      </c>
    </row>
    <row r="53" spans="5:11">
      <c r="E53">
        <v>2030</v>
      </c>
      <c r="F53" s="61">
        <f>F15/'Demographic-Economic'!C$29</f>
        <v>2665690.7351005008</v>
      </c>
      <c r="G53" s="61">
        <f>G15/'Demographic-Economic'!D$29</f>
        <v>1751630.2842744407</v>
      </c>
      <c r="H53" s="61">
        <f>H15/'Demographic-Economic'!E$29</f>
        <v>2355781.207506706</v>
      </c>
      <c r="I53" s="61">
        <f>I15/'Demographic-Economic'!F$29</f>
        <v>478873.37189848704</v>
      </c>
      <c r="J53" s="61">
        <f>J15/'Demographic-Economic'!G$29</f>
        <v>583833.33158995735</v>
      </c>
      <c r="K53" s="61">
        <f>K15/'Demographic-Economic'!H$29</f>
        <v>138462.02735531339</v>
      </c>
    </row>
    <row r="54" spans="5:11">
      <c r="E54">
        <v>2040</v>
      </c>
      <c r="F54" s="61">
        <f>F16/'Demographic-Economic'!C$29</f>
        <v>2828106.7922273646</v>
      </c>
      <c r="G54" s="61">
        <f>G16/'Demographic-Economic'!D$29</f>
        <v>1782114.0028527069</v>
      </c>
      <c r="H54" s="61">
        <f>H16/'Demographic-Economic'!E$29</f>
        <v>2718102.3574136766</v>
      </c>
      <c r="I54" s="61">
        <f>I16/'Demographic-Economic'!F$29</f>
        <v>536622.56457267259</v>
      </c>
      <c r="J54" s="61">
        <f>J16/'Demographic-Economic'!G$29</f>
        <v>652191.34590951516</v>
      </c>
      <c r="K54" s="61">
        <f>K16/'Demographic-Economic'!H$29</f>
        <v>162047.45726478175</v>
      </c>
    </row>
    <row r="55" spans="5:11">
      <c r="E55">
        <v>2050</v>
      </c>
      <c r="F55" s="61">
        <f>F17/'Demographic-Economic'!C$29</f>
        <v>2965847.1986306631</v>
      </c>
      <c r="G55" s="61">
        <f>G17/'Demographic-Economic'!D$29</f>
        <v>1792237.0262382419</v>
      </c>
      <c r="H55" s="61">
        <f>H17/'Demographic-Economic'!E$29</f>
        <v>3108668.9191040364</v>
      </c>
      <c r="I55" s="61">
        <f>I17/'Demographic-Economic'!F$29</f>
        <v>577187.98522071494</v>
      </c>
      <c r="J55" s="61">
        <f>J17/'Demographic-Economic'!G$29</f>
        <v>708027.53205917613</v>
      </c>
      <c r="K55" s="61">
        <f>K17/'Demographic-Economic'!H$29</f>
        <v>185859.68099698698</v>
      </c>
    </row>
    <row r="56" spans="5:11">
      <c r="E56">
        <v>2060</v>
      </c>
      <c r="F56" s="61">
        <f>F18/'Demographic-Economic'!C$29</f>
        <v>3068803.189486743</v>
      </c>
      <c r="G56" s="61">
        <f>G18/'Demographic-Economic'!D$29</f>
        <v>1778372.3813716101</v>
      </c>
      <c r="H56" s="61">
        <f>H18/'Demographic-Economic'!E$29</f>
        <v>3488206.9770202325</v>
      </c>
      <c r="I56" s="61">
        <f>I18/'Demographic-Economic'!F$29</f>
        <v>612537.85178543744</v>
      </c>
      <c r="J56" s="61">
        <f>J18/'Demographic-Economic'!G$29</f>
        <v>756159.7174392594</v>
      </c>
      <c r="K56" s="61">
        <f>K18/'Demographic-Economic'!H$29</f>
        <v>208327.25522502806</v>
      </c>
    </row>
    <row r="57" spans="5:11">
      <c r="E57">
        <v>2070</v>
      </c>
      <c r="F57" s="61">
        <f>F19/'Demographic-Economic'!C$29</f>
        <v>3147773.337787631</v>
      </c>
      <c r="G57" s="61">
        <f>G19/'Demographic-Economic'!D$29</f>
        <v>1749299.2737556198</v>
      </c>
      <c r="H57" s="61">
        <f>H19/'Demographic-Economic'!E$29</f>
        <v>3858341.157118266</v>
      </c>
      <c r="I57" s="61">
        <f>I19/'Demographic-Economic'!F$29</f>
        <v>644410.68229461345</v>
      </c>
      <c r="J57" s="61">
        <f>J19/'Demographic-Economic'!G$29</f>
        <v>801216.47689567017</v>
      </c>
      <c r="K57" s="61">
        <f>K19/'Demographic-Economic'!H$29</f>
        <v>229896.81426993731</v>
      </c>
    </row>
    <row r="58" spans="5:11">
      <c r="E58">
        <v>2080</v>
      </c>
      <c r="F58" s="61">
        <f>F20/'Demographic-Economic'!C$29</f>
        <v>3209837.1241464387</v>
      </c>
      <c r="G58" s="61">
        <f>G20/'Demographic-Economic'!D$29</f>
        <v>1710608.6122106381</v>
      </c>
      <c r="H58" s="61">
        <f>H20/'Demographic-Economic'!E$29</f>
        <v>4222286.5419063121</v>
      </c>
      <c r="I58" s="61">
        <f>I20/'Demographic-Economic'!F$29</f>
        <v>673965.48876675847</v>
      </c>
      <c r="J58" s="61">
        <f>J20/'Demographic-Economic'!G$29</f>
        <v>844521.43558161124</v>
      </c>
      <c r="K58" s="61">
        <f>K20/'Demographic-Economic'!H$29</f>
        <v>250902.41956617543</v>
      </c>
    </row>
    <row r="59" spans="5:11">
      <c r="E59">
        <v>2090</v>
      </c>
      <c r="F59" s="61">
        <f>F21/'Demographic-Economic'!C$29</f>
        <v>3264139.3987961221</v>
      </c>
      <c r="G59" s="61">
        <f>G21/'Demographic-Economic'!D$29</f>
        <v>1668181.6943953196</v>
      </c>
      <c r="H59" s="61">
        <f>H21/'Demographic-Economic'!E$29</f>
        <v>4589018.6593951574</v>
      </c>
      <c r="I59" s="61">
        <f>I21/'Demographic-Economic'!F$29</f>
        <v>702940.78922964598</v>
      </c>
      <c r="J59" s="61">
        <f>J21/'Demographic-Economic'!G$29</f>
        <v>887857.78328489023</v>
      </c>
      <c r="K59" s="61">
        <f>K21/'Demographic-Economic'!H$29</f>
        <v>271937.69341119216</v>
      </c>
    </row>
    <row r="60" spans="5:11">
      <c r="E60">
        <v>2100</v>
      </c>
      <c r="F60" s="61">
        <f>F22/'Demographic-Economic'!C$29</f>
        <v>3311096.7215570379</v>
      </c>
      <c r="G60" s="61">
        <f>G22/'Demographic-Economic'!D$29</f>
        <v>1622757.0931044063</v>
      </c>
      <c r="H60" s="61">
        <f>H22/'Demographic-Economic'!E$29</f>
        <v>4957747.5769250318</v>
      </c>
      <c r="I60" s="61">
        <f>I22/'Demographic-Economic'!F$29</f>
        <v>731336.58368327527</v>
      </c>
      <c r="J60" s="61">
        <f>J22/'Demographic-Economic'!G$29</f>
        <v>930865.9043902593</v>
      </c>
      <c r="K60" s="61">
        <f>K22/'Demographic-Economic'!H$29</f>
        <v>292983.35237363441</v>
      </c>
    </row>
    <row r="61" spans="5:11">
      <c r="F61" s="581" t="s">
        <v>49</v>
      </c>
      <c r="G61" s="581"/>
      <c r="H61" s="581"/>
      <c r="I61" s="581"/>
      <c r="J61" s="581"/>
      <c r="K61" s="581"/>
    </row>
    <row r="62" spans="5:11">
      <c r="E62">
        <v>2020</v>
      </c>
      <c r="F62" s="322" t="s">
        <v>240</v>
      </c>
      <c r="G62" s="322" t="s">
        <v>240</v>
      </c>
      <c r="H62" s="61">
        <f t="shared" ref="H62:K79" si="0">H24-H43</f>
        <v>190769.1983805669</v>
      </c>
      <c r="I62" s="61">
        <f t="shared" si="0"/>
        <v>92277.599999999977</v>
      </c>
      <c r="J62" s="61">
        <f t="shared" si="0"/>
        <v>59923.200000000012</v>
      </c>
      <c r="K62" s="61">
        <f t="shared" si="0"/>
        <v>19297.358490566039</v>
      </c>
    </row>
    <row r="63" spans="5:11">
      <c r="E63">
        <v>2021</v>
      </c>
      <c r="F63" s="322" t="s">
        <v>240</v>
      </c>
      <c r="G63" s="322" t="s">
        <v>240</v>
      </c>
      <c r="H63" s="61">
        <f t="shared" si="0"/>
        <v>199361.81729590637</v>
      </c>
      <c r="I63" s="61">
        <f t="shared" si="0"/>
        <v>84662.511109472078</v>
      </c>
      <c r="J63" s="61">
        <f t="shared" si="0"/>
        <v>56364.519752669497</v>
      </c>
      <c r="K63" s="61">
        <f t="shared" si="0"/>
        <v>19526.76032888671</v>
      </c>
    </row>
    <row r="64" spans="5:11">
      <c r="E64">
        <v>2022</v>
      </c>
      <c r="F64" s="322" t="s">
        <v>240</v>
      </c>
      <c r="G64" s="322" t="s">
        <v>240</v>
      </c>
      <c r="H64" s="61">
        <f t="shared" si="0"/>
        <v>208016.46048319922</v>
      </c>
      <c r="I64" s="61">
        <f t="shared" si="0"/>
        <v>77321.674280813662</v>
      </c>
      <c r="J64" s="61">
        <f t="shared" si="0"/>
        <v>52953.131853953237</v>
      </c>
      <c r="K64" s="61">
        <f t="shared" si="0"/>
        <v>19766.080135916549</v>
      </c>
    </row>
    <row r="65" spans="5:11">
      <c r="E65">
        <v>2023</v>
      </c>
      <c r="F65" s="322" t="s">
        <v>240</v>
      </c>
      <c r="G65" s="322" t="s">
        <v>240</v>
      </c>
      <c r="H65" s="61">
        <f t="shared" si="0"/>
        <v>216741.32621762343</v>
      </c>
      <c r="I65" s="61">
        <f t="shared" si="0"/>
        <v>70259.002620457148</v>
      </c>
      <c r="J65" s="61">
        <f t="shared" si="0"/>
        <v>49691.299536837381</v>
      </c>
      <c r="K65" s="61">
        <f t="shared" si="0"/>
        <v>20016.369242376852</v>
      </c>
    </row>
    <row r="66" spans="5:11">
      <c r="E66">
        <v>2024</v>
      </c>
      <c r="F66" s="322" t="s">
        <v>240</v>
      </c>
      <c r="G66" s="322" t="s">
        <v>240</v>
      </c>
      <c r="H66" s="61">
        <f t="shared" si="0"/>
        <v>225547.24798146868</v>
      </c>
      <c r="I66" s="61">
        <f t="shared" si="0"/>
        <v>63476.677681774541</v>
      </c>
      <c r="J66" s="61">
        <f t="shared" si="0"/>
        <v>46580.52203014493</v>
      </c>
      <c r="K66" s="61">
        <f t="shared" si="0"/>
        <v>20278.776735958803</v>
      </c>
    </row>
    <row r="67" spans="5:11">
      <c r="E67">
        <v>2025</v>
      </c>
      <c r="F67" s="322" t="s">
        <v>240</v>
      </c>
      <c r="G67" s="322" t="s">
        <v>240</v>
      </c>
      <c r="H67" s="61">
        <f t="shared" si="0"/>
        <v>234447.6951667578</v>
      </c>
      <c r="I67" s="61">
        <f t="shared" si="0"/>
        <v>56975.155010403832</v>
      </c>
      <c r="J67" s="61">
        <f t="shared" si="0"/>
        <v>43621.536680648336</v>
      </c>
      <c r="K67" s="61">
        <f t="shared" si="0"/>
        <v>20554.545510458905</v>
      </c>
    </row>
    <row r="68" spans="5:11">
      <c r="E68">
        <v>2026</v>
      </c>
      <c r="F68" s="322" t="s">
        <v>240</v>
      </c>
      <c r="G68" s="322" t="s">
        <v>240</v>
      </c>
      <c r="H68" s="61">
        <f t="shared" si="0"/>
        <v>243458.73610754637</v>
      </c>
      <c r="I68" s="61">
        <f t="shared" si="0"/>
        <v>50753.196516510798</v>
      </c>
      <c r="J68" s="61">
        <f t="shared" si="0"/>
        <v>40814.332921971451</v>
      </c>
      <c r="K68" s="61">
        <f t="shared" si="0"/>
        <v>20845.007007825989</v>
      </c>
    </row>
    <row r="69" spans="5:11">
      <c r="E69">
        <v>2027</v>
      </c>
      <c r="F69" s="322" t="s">
        <v>240</v>
      </c>
      <c r="G69" s="322" t="s">
        <v>240</v>
      </c>
      <c r="H69" s="61">
        <f t="shared" si="0"/>
        <v>252598.96383425966</v>
      </c>
      <c r="I69" s="61">
        <f t="shared" si="0"/>
        <v>44807.929324014985</v>
      </c>
      <c r="J69" s="61">
        <f t="shared" si="0"/>
        <v>38158.177943508257</v>
      </c>
      <c r="K69" s="61">
        <f t="shared" si="0"/>
        <v>21151.574757206225</v>
      </c>
    </row>
    <row r="70" spans="5:11">
      <c r="E70">
        <v>2028</v>
      </c>
      <c r="F70" s="322" t="s">
        <v>240</v>
      </c>
      <c r="G70" s="322" t="s">
        <v>240</v>
      </c>
      <c r="H70" s="61">
        <f t="shared" si="0"/>
        <v>261889.38621179108</v>
      </c>
      <c r="I70" s="61">
        <f t="shared" si="0"/>
        <v>39134.929844723723</v>
      </c>
      <c r="J70" s="61">
        <f t="shared" si="0"/>
        <v>35651.653514193138</v>
      </c>
      <c r="K70" s="61">
        <f t="shared" si="0"/>
        <v>21475.736858832475</v>
      </c>
    </row>
    <row r="71" spans="5:11">
      <c r="E71">
        <v>2029</v>
      </c>
      <c r="F71" s="322" t="s">
        <v>240</v>
      </c>
      <c r="G71" s="322" t="s">
        <v>240</v>
      </c>
      <c r="H71" s="61">
        <f t="shared" si="0"/>
        <v>271353.28335699905</v>
      </c>
      <c r="I71" s="61">
        <f t="shared" si="0"/>
        <v>33728.330951555108</v>
      </c>
      <c r="J71" s="61">
        <f t="shared" si="0"/>
        <v>33292.703029768192</v>
      </c>
      <c r="K71" s="61">
        <f t="shared" si="0"/>
        <v>21819.047599192971</v>
      </c>
    </row>
    <row r="72" spans="5:11">
      <c r="E72">
        <v>2030</v>
      </c>
      <c r="F72" s="322" t="s">
        <v>240</v>
      </c>
      <c r="G72" s="322" t="s">
        <v>240</v>
      </c>
      <c r="H72" s="61">
        <f t="shared" si="0"/>
        <v>281016.03635548148</v>
      </c>
      <c r="I72" s="61">
        <f t="shared" si="0"/>
        <v>28580.949332227465</v>
      </c>
      <c r="J72" s="61">
        <f t="shared" si="0"/>
        <v>31078.687501417007</v>
      </c>
      <c r="K72" s="61">
        <f t="shared" si="0"/>
        <v>22183.118414837838</v>
      </c>
    </row>
    <row r="73" spans="5:11">
      <c r="E73">
        <v>2040</v>
      </c>
      <c r="F73" s="322" t="s">
        <v>240</v>
      </c>
      <c r="G73" s="322" t="s">
        <v>240</v>
      </c>
      <c r="H73" s="61">
        <f t="shared" si="0"/>
        <v>424309.65542553831</v>
      </c>
      <c r="I73" s="61">
        <f t="shared" si="0"/>
        <v>-18022.372575675196</v>
      </c>
      <c r="J73" s="61">
        <f t="shared" si="0"/>
        <v>15161.513331403374</v>
      </c>
      <c r="K73" s="61">
        <f t="shared" si="0"/>
        <v>28437.211022147239</v>
      </c>
    </row>
    <row r="74" spans="5:11">
      <c r="E74">
        <v>2050</v>
      </c>
      <c r="F74" s="322" t="s">
        <v>240</v>
      </c>
      <c r="G74" s="322" t="s">
        <v>240</v>
      </c>
      <c r="H74" s="61">
        <f t="shared" si="0"/>
        <v>636311.2007827661</v>
      </c>
      <c r="I74" s="61">
        <f t="shared" si="0"/>
        <v>-47197.111387864104</v>
      </c>
      <c r="J74" s="61">
        <f t="shared" si="0"/>
        <v>16238.419670171803</v>
      </c>
      <c r="K74" s="61">
        <f t="shared" si="0"/>
        <v>40007.142917484656</v>
      </c>
    </row>
    <row r="75" spans="5:11">
      <c r="E75">
        <v>2060</v>
      </c>
      <c r="F75" s="322" t="s">
        <v>240</v>
      </c>
      <c r="G75" s="322" t="s">
        <v>240</v>
      </c>
      <c r="H75" s="61">
        <f t="shared" si="0"/>
        <v>974885.71771386499</v>
      </c>
      <c r="I75" s="61">
        <f t="shared" si="0"/>
        <v>-70906.107947334298</v>
      </c>
      <c r="J75" s="61">
        <f t="shared" si="0"/>
        <v>29872.981111071189</v>
      </c>
      <c r="K75" s="61">
        <f t="shared" si="0"/>
        <v>59493.890718147188</v>
      </c>
    </row>
    <row r="76" spans="5:11">
      <c r="E76" s="338">
        <v>2070</v>
      </c>
      <c r="F76" s="340" t="s">
        <v>240</v>
      </c>
      <c r="G76" s="340" t="s">
        <v>240</v>
      </c>
      <c r="H76" s="339">
        <f t="shared" si="0"/>
        <v>1460564.6218504491</v>
      </c>
      <c r="I76" s="339">
        <f t="shared" si="0"/>
        <v>-90882.385077883722</v>
      </c>
      <c r="J76" s="339">
        <f t="shared" si="0"/>
        <v>51850.551472935593</v>
      </c>
      <c r="K76" s="339">
        <f t="shared" si="0"/>
        <v>87671.587194266584</v>
      </c>
    </row>
    <row r="77" spans="5:11">
      <c r="E77" s="338">
        <v>2080</v>
      </c>
      <c r="F77" s="340" t="s">
        <v>240</v>
      </c>
      <c r="G77" s="340" t="s">
        <v>240</v>
      </c>
      <c r="H77" s="339">
        <f t="shared" si="0"/>
        <v>2116537.3680085381</v>
      </c>
      <c r="I77" s="339">
        <f t="shared" si="0"/>
        <v>-108279.3388958323</v>
      </c>
      <c r="J77" s="339">
        <f t="shared" si="0"/>
        <v>81296.734873350593</v>
      </c>
      <c r="K77" s="339">
        <f t="shared" si="0"/>
        <v>125653.69310883898</v>
      </c>
    </row>
    <row r="78" spans="5:11">
      <c r="E78" s="338">
        <v>2090</v>
      </c>
      <c r="F78" s="340" t="s">
        <v>240</v>
      </c>
      <c r="G78" s="340" t="s">
        <v>240</v>
      </c>
      <c r="H78" s="339">
        <f t="shared" si="0"/>
        <v>2965296.1246314999</v>
      </c>
      <c r="I78" s="339">
        <f t="shared" si="0"/>
        <v>-124829.74817748799</v>
      </c>
      <c r="J78" s="339">
        <f t="shared" si="0"/>
        <v>116915.88190265629</v>
      </c>
      <c r="K78" s="339">
        <f t="shared" si="0"/>
        <v>174562.9827869123</v>
      </c>
    </row>
    <row r="79" spans="5:11">
      <c r="E79" s="338">
        <v>2100</v>
      </c>
      <c r="F79" s="340" t="s">
        <v>240</v>
      </c>
      <c r="G79" s="340" t="s">
        <v>240</v>
      </c>
      <c r="H79" s="339">
        <f t="shared" si="0"/>
        <v>4045132.5578112416</v>
      </c>
      <c r="I79" s="339">
        <f t="shared" si="0"/>
        <v>-140527.74761283607</v>
      </c>
      <c r="J79" s="339">
        <f t="shared" si="0"/>
        <v>159596.72690406593</v>
      </c>
      <c r="K79" s="339">
        <f t="shared" si="0"/>
        <v>236453.95360743726</v>
      </c>
    </row>
    <row r="80" spans="5:11">
      <c r="F80" s="581" t="s">
        <v>242</v>
      </c>
      <c r="G80" s="581"/>
      <c r="H80" s="581"/>
      <c r="I80" s="581"/>
      <c r="J80" s="581"/>
      <c r="K80" s="581"/>
    </row>
    <row r="81" spans="5:12">
      <c r="E81">
        <v>2020</v>
      </c>
      <c r="F81" s="61">
        <f t="shared" ref="F81:F98" si="1">-F5*$C$4</f>
        <v>-31532.04</v>
      </c>
      <c r="G81" s="61">
        <f t="shared" ref="G81:G98" si="2">-G5*$C$3</f>
        <v>-54760.523999999998</v>
      </c>
      <c r="H81" s="61">
        <f>-(SUM($F81:$G81))*(H62/SUM($H62:$K62))</f>
        <v>45441.475607032611</v>
      </c>
      <c r="I81" s="61">
        <f>-(SUM($F81:$G81))*(I62/SUM($H62:$K62))</f>
        <v>21980.646483141398</v>
      </c>
      <c r="J81" s="61">
        <f>-(SUM($F81:$G81))*(J62/SUM($H62:$K62))</f>
        <v>14273.785570263848</v>
      </c>
      <c r="K81" s="61">
        <f>-(SUM($F81:$G81))*(K62/SUM($H62:$K62))</f>
        <v>4596.6563395621397</v>
      </c>
      <c r="L81" s="61"/>
    </row>
    <row r="82" spans="5:12">
      <c r="E82">
        <v>2021</v>
      </c>
      <c r="F82" s="61">
        <f t="shared" si="1"/>
        <v>-31784.081328818189</v>
      </c>
      <c r="G82" s="61">
        <f t="shared" si="2"/>
        <v>-54976.888519729095</v>
      </c>
      <c r="H82" s="61">
        <f t="shared" ref="H82:K98" si="3">-SUM($F82:$G82)*(MAX(H63,0)/SUM(MAX($H63,0)+MAX($I63,0)+MAX($J63,0)+MAX($K63,0)))</f>
        <v>48058.000852134806</v>
      </c>
      <c r="I82" s="61">
        <f t="shared" si="3"/>
        <v>20408.677480120597</v>
      </c>
      <c r="J82" s="61">
        <f t="shared" si="3"/>
        <v>13587.186227759074</v>
      </c>
      <c r="K82" s="61">
        <f t="shared" si="3"/>
        <v>4707.1052885327945</v>
      </c>
      <c r="L82" s="61"/>
    </row>
    <row r="83" spans="5:12">
      <c r="E83">
        <v>2022</v>
      </c>
      <c r="F83" s="61">
        <f t="shared" si="1"/>
        <v>-32034.665375742272</v>
      </c>
      <c r="G83" s="61">
        <f t="shared" si="2"/>
        <v>-55188.126668562698</v>
      </c>
      <c r="H83" s="61">
        <f t="shared" si="3"/>
        <v>50672.822772688225</v>
      </c>
      <c r="I83" s="61">
        <f t="shared" si="3"/>
        <v>18835.564686649632</v>
      </c>
      <c r="J83" s="61">
        <f t="shared" si="3"/>
        <v>12899.386228672432</v>
      </c>
      <c r="K83" s="61">
        <f t="shared" si="3"/>
        <v>4815.0183562946859</v>
      </c>
      <c r="L83" s="61"/>
    </row>
    <row r="84" spans="5:12">
      <c r="E84">
        <v>2023</v>
      </c>
      <c r="F84" s="61">
        <f t="shared" si="1"/>
        <v>-32283.797851923438</v>
      </c>
      <c r="G84" s="61">
        <f t="shared" si="2"/>
        <v>-55394.295947921528</v>
      </c>
      <c r="H84" s="61">
        <f t="shared" si="3"/>
        <v>53274.573200907151</v>
      </c>
      <c r="I84" s="61">
        <f t="shared" si="3"/>
        <v>17269.518662850754</v>
      </c>
      <c r="J84" s="61">
        <f t="shared" si="3"/>
        <v>12214.019452687993</v>
      </c>
      <c r="K84" s="61">
        <f t="shared" si="3"/>
        <v>4919.9824833990751</v>
      </c>
      <c r="L84" s="61"/>
    </row>
    <row r="85" spans="5:12">
      <c r="E85">
        <v>2024</v>
      </c>
      <c r="F85" s="61">
        <f t="shared" si="1"/>
        <v>-32531.48444906509</v>
      </c>
      <c r="G85" s="61">
        <f t="shared" si="2"/>
        <v>-55595.453328296913</v>
      </c>
      <c r="H85" s="61">
        <f t="shared" si="3"/>
        <v>55851.995610611433</v>
      </c>
      <c r="I85" s="61">
        <f t="shared" si="3"/>
        <v>15718.653874020913</v>
      </c>
      <c r="J85" s="61">
        <f t="shared" si="3"/>
        <v>11534.679031780501</v>
      </c>
      <c r="K85" s="61">
        <f t="shared" si="3"/>
        <v>5021.6092609491616</v>
      </c>
      <c r="L85" s="61"/>
    </row>
    <row r="86" spans="5:12">
      <c r="E86">
        <v>2025</v>
      </c>
      <c r="F86" s="61">
        <f t="shared" si="1"/>
        <v>-32777.730839484466</v>
      </c>
      <c r="G86" s="61">
        <f t="shared" si="2"/>
        <v>-55791.655253723635</v>
      </c>
      <c r="H86" s="61">
        <f t="shared" si="3"/>
        <v>58394.124789954636</v>
      </c>
      <c r="I86" s="61">
        <f t="shared" si="3"/>
        <v>14190.859540069669</v>
      </c>
      <c r="J86" s="61">
        <f t="shared" si="3"/>
        <v>10864.860303478617</v>
      </c>
      <c r="K86" s="61">
        <f t="shared" si="3"/>
        <v>5119.541459705184</v>
      </c>
      <c r="L86" s="61"/>
    </row>
    <row r="87" spans="5:12">
      <c r="E87">
        <v>2026</v>
      </c>
      <c r="F87" s="61">
        <f t="shared" si="1"/>
        <v>-33022.542676173944</v>
      </c>
      <c r="G87" s="61">
        <f t="shared" si="2"/>
        <v>-55982.95764621671</v>
      </c>
      <c r="H87" s="61">
        <f t="shared" si="3"/>
        <v>60890.463171145137</v>
      </c>
      <c r="I87" s="61">
        <f t="shared" si="3"/>
        <v>12693.67323890704</v>
      </c>
      <c r="J87" s="61">
        <f t="shared" si="3"/>
        <v>10207.904942636094</v>
      </c>
      <c r="K87" s="61">
        <f t="shared" si="3"/>
        <v>5213.458969702373</v>
      </c>
      <c r="L87" s="61"/>
    </row>
    <row r="88" spans="5:12">
      <c r="E88">
        <v>2027</v>
      </c>
      <c r="F88" s="61">
        <f t="shared" si="1"/>
        <v>-33265.925592862222</v>
      </c>
      <c r="G88" s="61">
        <f t="shared" si="2"/>
        <v>-56169.415910172873</v>
      </c>
      <c r="H88" s="61">
        <f t="shared" si="3"/>
        <v>63331.147722106041</v>
      </c>
      <c r="I88" s="61">
        <f t="shared" si="3"/>
        <v>11234.161645266424</v>
      </c>
      <c r="J88" s="61">
        <f t="shared" si="3"/>
        <v>9566.9482070099039</v>
      </c>
      <c r="K88" s="61">
        <f t="shared" si="3"/>
        <v>5303.083928652738</v>
      </c>
      <c r="L88" s="61"/>
    </row>
    <row r="89" spans="5:12">
      <c r="E89">
        <v>2028</v>
      </c>
      <c r="F89" s="61">
        <f t="shared" si="1"/>
        <v>-33507.885204075334</v>
      </c>
      <c r="G89" s="61">
        <f t="shared" si="2"/>
        <v>-56351.084936737061</v>
      </c>
      <c r="H89" s="61">
        <f t="shared" si="3"/>
        <v>65707.101525232341</v>
      </c>
      <c r="I89" s="61">
        <f t="shared" si="3"/>
        <v>9818.8126127821379</v>
      </c>
      <c r="J89" s="61">
        <f t="shared" si="3"/>
        <v>8944.871156806068</v>
      </c>
      <c r="K89" s="61">
        <f t="shared" si="3"/>
        <v>5388.1848459918501</v>
      </c>
      <c r="L89" s="61"/>
    </row>
    <row r="90" spans="5:12">
      <c r="E90">
        <v>2029</v>
      </c>
      <c r="F90" s="61">
        <f t="shared" si="1"/>
        <v>-33748.427105197421</v>
      </c>
      <c r="G90" s="61">
        <f t="shared" si="2"/>
        <v>-56528.019108133718</v>
      </c>
      <c r="H90" s="61">
        <f t="shared" si="3"/>
        <v>68010.164745923394</v>
      </c>
      <c r="I90" s="61">
        <f t="shared" si="3"/>
        <v>8453.4423768236447</v>
      </c>
      <c r="J90" s="61">
        <f t="shared" si="3"/>
        <v>8344.2595198405797</v>
      </c>
      <c r="K90" s="61">
        <f t="shared" si="3"/>
        <v>5468.5795707435036</v>
      </c>
      <c r="L90" s="61"/>
    </row>
    <row r="91" spans="5:12">
      <c r="E91">
        <v>2030</v>
      </c>
      <c r="F91" s="61">
        <f t="shared" si="1"/>
        <v>-33987.556872531386</v>
      </c>
      <c r="G91" s="61">
        <f t="shared" si="2"/>
        <v>-56700.272301963647</v>
      </c>
      <c r="H91" s="61">
        <f t="shared" si="3"/>
        <v>70233.200600288837</v>
      </c>
      <c r="I91" s="61">
        <f t="shared" si="3"/>
        <v>7143.1209899273344</v>
      </c>
      <c r="J91" s="61">
        <f t="shared" si="3"/>
        <v>7767.3705813697889</v>
      </c>
      <c r="K91" s="61">
        <f t="shared" si="3"/>
        <v>5544.1370029090767</v>
      </c>
      <c r="L91" s="61"/>
    </row>
    <row r="92" spans="5:12">
      <c r="E92">
        <v>2040</v>
      </c>
      <c r="F92" s="61">
        <f t="shared" si="1"/>
        <v>-36058.361600898897</v>
      </c>
      <c r="G92" s="61">
        <f t="shared" si="2"/>
        <v>-57687.030272342126</v>
      </c>
      <c r="H92" s="61">
        <f t="shared" si="3"/>
        <v>85010.392295702637</v>
      </c>
      <c r="I92" s="61">
        <f t="shared" si="3"/>
        <v>0</v>
      </c>
      <c r="J92" s="61">
        <f t="shared" si="3"/>
        <v>3037.6075105019886</v>
      </c>
      <c r="K92" s="61">
        <f t="shared" si="3"/>
        <v>5697.3920670364123</v>
      </c>
      <c r="L92" s="61"/>
    </row>
    <row r="93" spans="5:12">
      <c r="E93">
        <v>2050</v>
      </c>
      <c r="F93" s="61">
        <f t="shared" si="1"/>
        <v>-37814.551782540948</v>
      </c>
      <c r="G93" s="61">
        <f t="shared" si="2"/>
        <v>-58014.712539331893</v>
      </c>
      <c r="H93" s="61">
        <f t="shared" si="3"/>
        <v>88046.550804046608</v>
      </c>
      <c r="I93" s="61">
        <f t="shared" si="3"/>
        <v>0</v>
      </c>
      <c r="J93" s="61">
        <f t="shared" si="3"/>
        <v>2246.9144668652743</v>
      </c>
      <c r="K93" s="61">
        <f t="shared" si="3"/>
        <v>5535.7990509609617</v>
      </c>
      <c r="L93" s="61"/>
    </row>
    <row r="94" spans="5:12">
      <c r="E94">
        <v>2060</v>
      </c>
      <c r="F94" s="61">
        <f t="shared" si="1"/>
        <v>-39127.240665955971</v>
      </c>
      <c r="G94" s="61">
        <f t="shared" si="2"/>
        <v>-57565.913984999017</v>
      </c>
      <c r="H94" s="61">
        <f t="shared" si="3"/>
        <v>88573.686732004848</v>
      </c>
      <c r="I94" s="61">
        <f t="shared" si="3"/>
        <v>0</v>
      </c>
      <c r="J94" s="61">
        <f t="shared" si="3"/>
        <v>2714.123330156041</v>
      </c>
      <c r="K94" s="61">
        <f t="shared" si="3"/>
        <v>5405.344588794107</v>
      </c>
      <c r="L94" s="61"/>
    </row>
    <row r="95" spans="5:12">
      <c r="E95" s="338">
        <v>2070</v>
      </c>
      <c r="F95" s="339">
        <f t="shared" si="1"/>
        <v>-40134.110056792291</v>
      </c>
      <c r="G95" s="339">
        <f t="shared" si="2"/>
        <v>-56624.81749146941</v>
      </c>
      <c r="H95" s="339">
        <f t="shared" si="3"/>
        <v>88321.877233370731</v>
      </c>
      <c r="I95" s="339">
        <f t="shared" si="3"/>
        <v>0</v>
      </c>
      <c r="J95" s="339">
        <f t="shared" si="3"/>
        <v>3135.4573246291443</v>
      </c>
      <c r="K95" s="339">
        <f t="shared" si="3"/>
        <v>5301.5929902618363</v>
      </c>
      <c r="L95" s="61"/>
    </row>
    <row r="96" spans="5:12">
      <c r="E96" s="338">
        <v>2080</v>
      </c>
      <c r="F96" s="339">
        <f t="shared" si="1"/>
        <v>-40925.423332867089</v>
      </c>
      <c r="G96" s="339">
        <f t="shared" si="2"/>
        <v>-55372.400777258357</v>
      </c>
      <c r="H96" s="339">
        <f t="shared" si="3"/>
        <v>87720.68591825194</v>
      </c>
      <c r="I96" s="339">
        <f t="shared" si="3"/>
        <v>0</v>
      </c>
      <c r="J96" s="339">
        <f t="shared" si="3"/>
        <v>3369.373701497444</v>
      </c>
      <c r="K96" s="339">
        <f t="shared" si="3"/>
        <v>5207.7644903760647</v>
      </c>
      <c r="L96" s="61"/>
    </row>
    <row r="97" spans="5:12">
      <c r="E97" s="338">
        <v>2090</v>
      </c>
      <c r="F97" s="339">
        <f t="shared" si="1"/>
        <v>-41617.777334650556</v>
      </c>
      <c r="G97" s="339">
        <f t="shared" si="2"/>
        <v>-53999.041447576499</v>
      </c>
      <c r="H97" s="339">
        <f t="shared" si="3"/>
        <v>87059.186807264647</v>
      </c>
      <c r="I97" s="339">
        <f t="shared" si="3"/>
        <v>0</v>
      </c>
      <c r="J97" s="339">
        <f t="shared" si="3"/>
        <v>3432.5750871051205</v>
      </c>
      <c r="K97" s="339">
        <f t="shared" si="3"/>
        <v>5125.0568878572649</v>
      </c>
      <c r="L97" s="61"/>
    </row>
    <row r="98" spans="5:12">
      <c r="E98" s="338">
        <v>2100</v>
      </c>
      <c r="F98" s="339">
        <f t="shared" si="1"/>
        <v>-42216.483199852228</v>
      </c>
      <c r="G98" s="339">
        <f t="shared" si="2"/>
        <v>-52528.647103789626</v>
      </c>
      <c r="H98" s="339">
        <f t="shared" si="3"/>
        <v>86296.059117360492</v>
      </c>
      <c r="I98" s="339">
        <f t="shared" si="3"/>
        <v>0</v>
      </c>
      <c r="J98" s="339">
        <f t="shared" si="3"/>
        <v>3404.7261450691831</v>
      </c>
      <c r="K98" s="339">
        <f t="shared" si="3"/>
        <v>5044.3450412121656</v>
      </c>
      <c r="L98" s="61"/>
    </row>
    <row r="99" spans="5:12">
      <c r="F99" s="581" t="s">
        <v>243</v>
      </c>
      <c r="G99" s="581"/>
      <c r="H99" s="581"/>
      <c r="I99" s="581"/>
      <c r="J99" s="581"/>
      <c r="K99" s="581"/>
    </row>
    <row r="100" spans="5:12">
      <c r="E100">
        <v>2020</v>
      </c>
      <c r="F100" s="61">
        <f>'Demographic-Economic'!C$56</f>
        <v>360376.14999999997</v>
      </c>
      <c r="G100" s="61">
        <f>'Demographic-Economic'!D$56</f>
        <v>314308.30000000005</v>
      </c>
      <c r="H100" s="61">
        <f>'Demographic-Economic'!E$56</f>
        <v>303256</v>
      </c>
      <c r="I100" s="61">
        <f>'Demographic-Economic'!F$56</f>
        <v>191633.7</v>
      </c>
      <c r="J100" s="61">
        <f>'Demographic-Economic'!G$56</f>
        <v>208903.4</v>
      </c>
      <c r="K100" s="61">
        <f>'Demographic-Economic'!H$56</f>
        <v>249034.95</v>
      </c>
    </row>
    <row r="101" spans="5:12">
      <c r="E101">
        <v>2021</v>
      </c>
      <c r="F101" s="61">
        <f t="shared" ref="F101:F110" si="4">(1+$C$6)*F100</f>
        <v>373904.37035754166</v>
      </c>
      <c r="G101" s="61">
        <f t="shared" ref="G101:G110" si="5">(1+$C$6)*G100</f>
        <v>326107.17165841674</v>
      </c>
      <c r="H101" s="61">
        <f t="shared" ref="H101:H110" si="6">(1+$C$6)*H100</f>
        <v>314639.97752666665</v>
      </c>
      <c r="I101" s="61">
        <f t="shared" ref="I101:I110" si="7">(1+$C$6)*I100</f>
        <v>198827.46940325003</v>
      </c>
      <c r="J101" s="61">
        <f t="shared" ref="J101:J110" si="8">(1+$C$6)*J100</f>
        <v>216745.45954983332</v>
      </c>
      <c r="K101" s="61">
        <f t="shared" ref="K101:K110" si="9">(1+$C$6)*K100</f>
        <v>258383.514493875</v>
      </c>
    </row>
    <row r="102" spans="5:12">
      <c r="E102">
        <v>2022</v>
      </c>
      <c r="F102" s="61">
        <f t="shared" si="4"/>
        <v>387940.42883378849</v>
      </c>
      <c r="G102" s="61">
        <f t="shared" si="5"/>
        <v>338348.96312649734</v>
      </c>
      <c r="H102" s="61">
        <f t="shared" si="6"/>
        <v>326451.30008303648</v>
      </c>
      <c r="I102" s="61">
        <f t="shared" si="7"/>
        <v>206291.2869150902</v>
      </c>
      <c r="J102" s="61">
        <f t="shared" si="8"/>
        <v>224881.90348011776</v>
      </c>
      <c r="K102" s="61">
        <f t="shared" si="9"/>
        <v>268083.01630837965</v>
      </c>
    </row>
    <row r="103" spans="5:12">
      <c r="E103">
        <v>2023</v>
      </c>
      <c r="F103" s="61">
        <f t="shared" si="4"/>
        <v>402503.38924851822</v>
      </c>
      <c r="G103" s="61">
        <f t="shared" si="5"/>
        <v>351050.30124479678</v>
      </c>
      <c r="H103" s="61">
        <f t="shared" si="6"/>
        <v>338706.00984540361</v>
      </c>
      <c r="I103" s="61">
        <f t="shared" si="7"/>
        <v>214035.28991647693</v>
      </c>
      <c r="J103" s="61">
        <f t="shared" si="8"/>
        <v>233323.78273517516</v>
      </c>
      <c r="K103" s="61">
        <f t="shared" si="9"/>
        <v>278146.62933808262</v>
      </c>
    </row>
    <row r="104" spans="5:12">
      <c r="E104">
        <v>2024</v>
      </c>
      <c r="F104" s="61">
        <f t="shared" si="4"/>
        <v>417613.03106141655</v>
      </c>
      <c r="G104" s="61">
        <f t="shared" si="5"/>
        <v>364228.43701160874</v>
      </c>
      <c r="H104" s="61">
        <f t="shared" si="6"/>
        <v>351420.75119999185</v>
      </c>
      <c r="I104" s="61">
        <f t="shared" si="7"/>
        <v>222069.99633719987</v>
      </c>
      <c r="J104" s="61">
        <f t="shared" si="8"/>
        <v>242082.56310256803</v>
      </c>
      <c r="K104" s="61">
        <f t="shared" si="9"/>
        <v>288588.02201457648</v>
      </c>
    </row>
    <row r="105" spans="5:12">
      <c r="E105">
        <v>2025</v>
      </c>
      <c r="F105" s="61">
        <f t="shared" si="4"/>
        <v>433289.8762366029</v>
      </c>
      <c r="G105" s="61">
        <f t="shared" si="5"/>
        <v>377901.26901332702</v>
      </c>
      <c r="H105" s="61">
        <f t="shared" si="6"/>
        <v>364612.79334941355</v>
      </c>
      <c r="I105" s="61">
        <f t="shared" si="7"/>
        <v>230406.31894136808</v>
      </c>
      <c r="J105" s="61">
        <f t="shared" si="8"/>
        <v>251170.14078596918</v>
      </c>
      <c r="K105" s="61">
        <f t="shared" si="9"/>
        <v>299421.37587098533</v>
      </c>
    </row>
    <row r="106" spans="5:12">
      <c r="E106">
        <v>2026</v>
      </c>
      <c r="F106" s="61">
        <f t="shared" si="4"/>
        <v>449555.21711562813</v>
      </c>
      <c r="G106" s="61">
        <f t="shared" si="5"/>
        <v>392087.36773436313</v>
      </c>
      <c r="H106" s="61">
        <f t="shared" si="6"/>
        <v>378300.05376775609</v>
      </c>
      <c r="I106" s="61">
        <f t="shared" si="7"/>
        <v>239055.58014916125</v>
      </c>
      <c r="J106" s="61">
        <f t="shared" si="8"/>
        <v>260598.85856262382</v>
      </c>
      <c r="K106" s="61">
        <f t="shared" si="9"/>
        <v>310661.4048033689</v>
      </c>
    </row>
    <row r="107" spans="5:12">
      <c r="E107">
        <v>2027</v>
      </c>
      <c r="F107" s="61">
        <f t="shared" si="4"/>
        <v>466431.14533680119</v>
      </c>
      <c r="G107" s="61">
        <f t="shared" si="5"/>
        <v>406806.00077963801</v>
      </c>
      <c r="H107" s="61">
        <f t="shared" si="6"/>
        <v>392501.12253615283</v>
      </c>
      <c r="I107" s="61">
        <f t="shared" si="7"/>
        <v>248029.52741497732</v>
      </c>
      <c r="J107" s="61">
        <f t="shared" si="8"/>
        <v>270381.52254734928</v>
      </c>
      <c r="K107" s="61">
        <f t="shared" si="9"/>
        <v>322323.37505518337</v>
      </c>
    </row>
    <row r="108" spans="5:12">
      <c r="E108">
        <v>2028</v>
      </c>
      <c r="F108" s="61">
        <f t="shared" si="4"/>
        <v>483940.58184012357</v>
      </c>
      <c r="G108" s="61">
        <f t="shared" si="5"/>
        <v>422077.15904390498</v>
      </c>
      <c r="H108" s="61">
        <f t="shared" si="6"/>
        <v>407235.28759189125</v>
      </c>
      <c r="I108" s="61">
        <f t="shared" si="7"/>
        <v>257340.34918286273</v>
      </c>
      <c r="J108" s="61">
        <f t="shared" si="8"/>
        <v>280531.4195858413</v>
      </c>
      <c r="K108" s="61">
        <f t="shared" si="9"/>
        <v>334423.12595194241</v>
      </c>
    </row>
    <row r="109" spans="5:12">
      <c r="E109">
        <v>2029</v>
      </c>
      <c r="F109" s="61">
        <f t="shared" si="4"/>
        <v>502107.30799858359</v>
      </c>
      <c r="G109" s="61">
        <f t="shared" si="5"/>
        <v>437921.5838634473</v>
      </c>
      <c r="H109" s="61">
        <f t="shared" si="6"/>
        <v>422522.56092535116</v>
      </c>
      <c r="I109" s="61">
        <f t="shared" si="7"/>
        <v>267000.69144089642</v>
      </c>
      <c r="J109" s="61">
        <f t="shared" si="8"/>
        <v>291062.33530091081</v>
      </c>
      <c r="K109" s="61">
        <f t="shared" si="9"/>
        <v>346977.09141424001</v>
      </c>
    </row>
    <row r="110" spans="5:12">
      <c r="E110">
        <v>2030</v>
      </c>
      <c r="F110" s="61">
        <f t="shared" si="4"/>
        <v>520955.99791809375</v>
      </c>
      <c r="G110" s="61">
        <f t="shared" si="5"/>
        <v>454360.79518702789</v>
      </c>
      <c r="H110" s="61">
        <f t="shared" si="6"/>
        <v>438383.70576035476</v>
      </c>
      <c r="I110" s="61">
        <f t="shared" si="7"/>
        <v>277023.67489701149</v>
      </c>
      <c r="J110" s="61">
        <f t="shared" si="8"/>
        <v>301988.57281616091</v>
      </c>
      <c r="K110" s="61">
        <f t="shared" si="9"/>
        <v>360002.32227835443</v>
      </c>
    </row>
    <row r="111" spans="5:12">
      <c r="E111">
        <v>2040</v>
      </c>
      <c r="F111" s="61">
        <f t="shared" ref="F111:K117" si="10">(1+$C$6)^10*F110</f>
        <v>753088.54863685335</v>
      </c>
      <c r="G111" s="61">
        <f t="shared" si="10"/>
        <v>656819.2192283445</v>
      </c>
      <c r="H111" s="61">
        <f t="shared" si="10"/>
        <v>633722.90565126925</v>
      </c>
      <c r="I111" s="61">
        <f t="shared" si="10"/>
        <v>400462.53061671875</v>
      </c>
      <c r="J111" s="61">
        <f t="shared" si="10"/>
        <v>436551.52626305615</v>
      </c>
      <c r="K111" s="61">
        <f t="shared" si="10"/>
        <v>520415.59646872128</v>
      </c>
    </row>
    <row r="112" spans="5:12">
      <c r="E112">
        <v>2050</v>
      </c>
      <c r="F112" s="61">
        <f t="shared" si="10"/>
        <v>1088656.9390782407</v>
      </c>
      <c r="G112" s="61">
        <f t="shared" si="10"/>
        <v>949491.00212343538</v>
      </c>
      <c r="H112" s="61">
        <f t="shared" si="10"/>
        <v>916103.21248259919</v>
      </c>
      <c r="I112" s="61">
        <f t="shared" si="10"/>
        <v>578904.45099165954</v>
      </c>
      <c r="J112" s="61">
        <f t="shared" si="10"/>
        <v>631074.32610908733</v>
      </c>
      <c r="K112" s="61">
        <f t="shared" si="10"/>
        <v>752307.34994672297</v>
      </c>
    </row>
    <row r="113" spans="5:11">
      <c r="E113">
        <v>2060</v>
      </c>
      <c r="F113" s="61">
        <f t="shared" si="10"/>
        <v>1573751.0989225074</v>
      </c>
      <c r="G113" s="61">
        <f t="shared" si="10"/>
        <v>1372574.2742006241</v>
      </c>
      <c r="H113" s="61">
        <f t="shared" si="10"/>
        <v>1324309.2342677063</v>
      </c>
      <c r="I113" s="61">
        <f t="shared" si="10"/>
        <v>836858.22706521023</v>
      </c>
      <c r="J113" s="61">
        <f t="shared" si="10"/>
        <v>912274.45356372278</v>
      </c>
      <c r="K113" s="61">
        <f t="shared" si="10"/>
        <v>1087527.6464122604</v>
      </c>
    </row>
    <row r="114" spans="5:11">
      <c r="E114">
        <v>2070</v>
      </c>
      <c r="F114" s="61">
        <f t="shared" si="10"/>
        <v>2274998.1490558456</v>
      </c>
      <c r="G114" s="61">
        <f t="shared" si="10"/>
        <v>1984179.0327492247</v>
      </c>
      <c r="H114" s="61">
        <f t="shared" si="10"/>
        <v>1914407.5952031778</v>
      </c>
      <c r="I114" s="61">
        <f t="shared" si="10"/>
        <v>1209753.5111486246</v>
      </c>
      <c r="J114" s="61">
        <f t="shared" si="10"/>
        <v>1318774.420370141</v>
      </c>
      <c r="K114" s="61">
        <f t="shared" si="10"/>
        <v>1572118.6052412598</v>
      </c>
    </row>
    <row r="115" spans="5:11">
      <c r="E115">
        <v>2080</v>
      </c>
      <c r="F115" s="61">
        <f t="shared" si="10"/>
        <v>3288713.5594383939</v>
      </c>
      <c r="G115" s="61">
        <f t="shared" si="10"/>
        <v>2868308.482828374</v>
      </c>
      <c r="H115" s="61">
        <f t="shared" si="10"/>
        <v>2767447.6215505656</v>
      </c>
      <c r="I115" s="61">
        <f t="shared" si="10"/>
        <v>1748807.0385216936</v>
      </c>
      <c r="J115" s="61">
        <f t="shared" si="10"/>
        <v>1906406.5260500249</v>
      </c>
      <c r="K115" s="61">
        <f t="shared" si="10"/>
        <v>2272638.2332434109</v>
      </c>
    </row>
    <row r="116" spans="5:11">
      <c r="E116">
        <v>2090</v>
      </c>
      <c r="F116" s="61">
        <f t="shared" si="10"/>
        <v>4754129.967324405</v>
      </c>
      <c r="G116" s="61">
        <f t="shared" si="10"/>
        <v>4146396.7801664718</v>
      </c>
      <c r="H116" s="61">
        <f t="shared" si="10"/>
        <v>4000593.3727049646</v>
      </c>
      <c r="I116" s="61">
        <f t="shared" si="10"/>
        <v>2528057.1866902271</v>
      </c>
      <c r="J116" s="61">
        <f t="shared" si="10"/>
        <v>2755881.3595626606</v>
      </c>
      <c r="K116" s="61">
        <f t="shared" si="10"/>
        <v>3285302.0897918325</v>
      </c>
    </row>
    <row r="117" spans="5:11">
      <c r="E117">
        <v>2100</v>
      </c>
      <c r="F117" s="61">
        <f t="shared" si="10"/>
        <v>6872520.6186918877</v>
      </c>
      <c r="G117" s="61">
        <f t="shared" si="10"/>
        <v>5993987.8717723014</v>
      </c>
      <c r="H117" s="61">
        <f t="shared" si="10"/>
        <v>5783215.9890215481</v>
      </c>
      <c r="I117" s="61">
        <f t="shared" si="10"/>
        <v>3654533.0607650261</v>
      </c>
      <c r="J117" s="61">
        <f t="shared" si="10"/>
        <v>3983873.3051974699</v>
      </c>
      <c r="K117" s="61">
        <f t="shared" si="10"/>
        <v>4749198.3824398573</v>
      </c>
    </row>
    <row r="118" spans="5:11">
      <c r="F118" s="581" t="s">
        <v>244</v>
      </c>
      <c r="G118" s="581"/>
      <c r="H118" s="581"/>
      <c r="I118" s="581"/>
      <c r="J118" s="581"/>
      <c r="K118" s="581"/>
    </row>
    <row r="119" spans="5:11">
      <c r="E119">
        <v>2020</v>
      </c>
      <c r="F119" s="320" t="s">
        <v>240</v>
      </c>
      <c r="G119" s="320" t="s">
        <v>240</v>
      </c>
      <c r="H119" s="61">
        <f>H81*H100/'Demographic-Economic'!E$29</f>
        <v>5579109363.0308828</v>
      </c>
      <c r="I119" s="61">
        <f>I81*I100/'Demographic-Economic'!F$29</f>
        <v>1684893045.5825496</v>
      </c>
      <c r="J119" s="61">
        <f>J81*J100/'Demographic-Economic'!G$29</f>
        <v>1192736934.5996227</v>
      </c>
      <c r="K119" s="61">
        <f>K81*K100/'Demographic-Economic'!H$29</f>
        <v>431972861.01510966</v>
      </c>
    </row>
    <row r="120" spans="5:11">
      <c r="E120">
        <v>2021</v>
      </c>
      <c r="F120" s="320" t="s">
        <v>240</v>
      </c>
      <c r="G120" s="320" t="s">
        <v>240</v>
      </c>
      <c r="H120" s="61">
        <f>H82*H101/'Demographic-Economic'!E$29</f>
        <v>6121849517.4462433</v>
      </c>
      <c r="I120" s="61">
        <f>I82*I101/'Demographic-Economic'!F$29</f>
        <v>1623122278.8957903</v>
      </c>
      <c r="J120" s="61">
        <f>J82*J101/'Demographic-Economic'!G$29</f>
        <v>1177984369.1699226</v>
      </c>
      <c r="K120" s="61">
        <f>K82*K101/'Demographic-Economic'!H$29</f>
        <v>458957889.63917321</v>
      </c>
    </row>
    <row r="121" spans="5:11">
      <c r="E121">
        <v>2022</v>
      </c>
      <c r="F121" s="320" t="s">
        <v>240</v>
      </c>
      <c r="G121" s="320" t="s">
        <v>240</v>
      </c>
      <c r="H121" s="61">
        <f>H83*H102/'Demographic-Economic'!E$29</f>
        <v>6697250555.879096</v>
      </c>
      <c r="I121" s="61">
        <f>I83*I102/'Demographic-Economic'!F$29</f>
        <v>1554245151.5925519</v>
      </c>
      <c r="J121" s="61">
        <f>J83*J102/'Demographic-Economic'!G$29</f>
        <v>1160335411.5316298</v>
      </c>
      <c r="K121" s="61">
        <f>K83*K102/'Demographic-Economic'!H$29</f>
        <v>487103639.44743228</v>
      </c>
    </row>
    <row r="122" spans="5:11">
      <c r="E122">
        <v>2023</v>
      </c>
      <c r="F122" s="320" t="s">
        <v>240</v>
      </c>
      <c r="G122" s="320" t="s">
        <v>240</v>
      </c>
      <c r="H122" s="61">
        <f>H84*H103/'Demographic-Economic'!E$29</f>
        <v>7305432435.2615919</v>
      </c>
      <c r="I122" s="61">
        <f>I84*I103/'Demographic-Economic'!F$29</f>
        <v>1478514573.488508</v>
      </c>
      <c r="J122" s="61">
        <f>J84*J103/'Demographic-Economic'!G$29</f>
        <v>1139928488.4408705</v>
      </c>
      <c r="K122" s="61">
        <f>K84*K103/'Demographic-Economic'!H$29</f>
        <v>516406243.07919317</v>
      </c>
    </row>
    <row r="123" spans="5:11">
      <c r="E123">
        <v>2024</v>
      </c>
      <c r="F123" s="320" t="s">
        <v>240</v>
      </c>
      <c r="G123" s="320" t="s">
        <v>240</v>
      </c>
      <c r="H123" s="61">
        <f>H85*H104/'Demographic-Economic'!E$29</f>
        <v>7946376620.8500872</v>
      </c>
      <c r="I123" s="61">
        <f>I85*I104/'Demographic-Economic'!F$29</f>
        <v>1396256563.2918146</v>
      </c>
      <c r="J123" s="61">
        <f>J85*J104/'Demographic-Economic'!G$29</f>
        <v>1116937865.8315485</v>
      </c>
      <c r="K123" s="61">
        <f>K85*K104/'Demographic-Economic'!H$29</f>
        <v>546858975.07448971</v>
      </c>
    </row>
    <row r="124" spans="5:11">
      <c r="E124">
        <v>2025</v>
      </c>
      <c r="F124" s="320" t="s">
        <v>240</v>
      </c>
      <c r="G124" s="320" t="s">
        <v>240</v>
      </c>
      <c r="H124" s="61">
        <f>H86*H105/'Demographic-Economic'!E$29</f>
        <v>8619937228.6880951</v>
      </c>
      <c r="I124" s="61">
        <f>I86*I105/'Demographic-Economic'!F$29</f>
        <v>1307865483.6965792</v>
      </c>
      <c r="J124" s="61">
        <f>J86*J105/'Demographic-Economic'!G$29</f>
        <v>1091571396.8178449</v>
      </c>
      <c r="K124" s="61">
        <f>K86*K105/'Demographic-Economic'!H$29</f>
        <v>578452885.92206752</v>
      </c>
    </row>
    <row r="125" spans="5:11">
      <c r="E125">
        <v>2026</v>
      </c>
      <c r="F125" s="320" t="s">
        <v>240</v>
      </c>
      <c r="G125" s="320" t="s">
        <v>240</v>
      </c>
      <c r="H125" s="61">
        <f>H87*H106/'Demographic-Economic'!E$29</f>
        <v>9325856474.327034</v>
      </c>
      <c r="I125" s="61">
        <f>I87*I106/'Demographic-Economic'!F$29</f>
        <v>1213797368.1403222</v>
      </c>
      <c r="J125" s="61">
        <f>J87*J106/'Demographic-Economic'!G$29</f>
        <v>1064067350.5466928</v>
      </c>
      <c r="K125" s="61">
        <f>K87*K106/'Demographic-Economic'!H$29</f>
        <v>611177542.41979754</v>
      </c>
    </row>
    <row r="126" spans="5:11">
      <c r="E126">
        <v>2027</v>
      </c>
      <c r="F126" s="320" t="s">
        <v>240</v>
      </c>
      <c r="G126" s="320" t="s">
        <v>240</v>
      </c>
      <c r="H126" s="61">
        <f>H88*H107/'Demographic-Economic'!E$29</f>
        <v>10063784037.420866</v>
      </c>
      <c r="I126" s="61">
        <f>I88*I107/'Demographic-Economic'!F$29</f>
        <v>1114561521.5115581</v>
      </c>
      <c r="J126" s="61">
        <f>J88*J107/'Demographic-Economic'!G$29</f>
        <v>1034690408.9371884</v>
      </c>
      <c r="K126" s="61">
        <f>K88*K107/'Demographic-Economic'!H$29</f>
        <v>645021852.86198175</v>
      </c>
    </row>
    <row r="127" spans="5:11">
      <c r="E127">
        <v>2028</v>
      </c>
      <c r="F127" s="320" t="s">
        <v>240</v>
      </c>
      <c r="G127" s="320" t="s">
        <v>240</v>
      </c>
      <c r="H127" s="61">
        <f>H89*H108/'Demographic-Economic'!E$29</f>
        <v>10833299751.602262</v>
      </c>
      <c r="I127" s="61">
        <f>I89*I108/'Demographic-Economic'!F$29</f>
        <v>1010710666.5337808</v>
      </c>
      <c r="J127" s="61">
        <f>J89*J108/'Demographic-Economic'!G$29</f>
        <v>1003726961.4525011</v>
      </c>
      <c r="K127" s="61">
        <f>K89*K108/'Demographic-Economic'!H$29</f>
        <v>679974950.71829426</v>
      </c>
    </row>
    <row r="128" spans="5:11">
      <c r="E128">
        <v>2029</v>
      </c>
      <c r="F128" s="320" t="s">
        <v>240</v>
      </c>
      <c r="G128" s="320" t="s">
        <v>240</v>
      </c>
      <c r="H128" s="61">
        <f>H90*H109/'Demographic-Economic'!E$29</f>
        <v>11633938857.248011</v>
      </c>
      <c r="I128" s="61">
        <f>I90*I109/'Demographic-Economic'!F$29</f>
        <v>902829983.8670752</v>
      </c>
      <c r="J128" s="61">
        <f>J90*J109/'Demographic-Economic'!G$29</f>
        <v>971479864.88066232</v>
      </c>
      <c r="K128" s="61">
        <f>K90*K109/'Demographic-Economic'!H$29</f>
        <v>716027107.02789211</v>
      </c>
    </row>
    <row r="129" spans="5:12">
      <c r="E129">
        <v>2030</v>
      </c>
      <c r="F129" s="320" t="s">
        <v>240</v>
      </c>
      <c r="G129" s="320" t="s">
        <v>240</v>
      </c>
      <c r="H129" s="61">
        <f>H91*H110/'Demographic-Economic'!E$29</f>
        <v>12465218925.734814</v>
      </c>
      <c r="I129" s="61">
        <f>I91*I110/'Demographic-Economic'!F$29</f>
        <v>791525450.74545944</v>
      </c>
      <c r="J129" s="61">
        <f>J91*J110/'Demographic-Economic'!G$29</f>
        <v>938262862.5608387</v>
      </c>
      <c r="K129" s="61">
        <f>K91*K110/'Demographic-Economic'!H$29</f>
        <v>753170640.02891457</v>
      </c>
    </row>
    <row r="130" spans="5:12">
      <c r="E130">
        <v>2040</v>
      </c>
      <c r="F130" s="320" t="s">
        <v>240</v>
      </c>
      <c r="G130" s="320" t="s">
        <v>240</v>
      </c>
      <c r="H130" s="61">
        <f>H92*H111/'Demographic-Economic'!E$29</f>
        <v>21810944459.994717</v>
      </c>
      <c r="I130" s="61">
        <f>I92*I111/'Demographic-Economic'!F$29</f>
        <v>0</v>
      </c>
      <c r="J130" s="61">
        <f>J92*J111/'Demographic-Economic'!G$29</f>
        <v>530428877.95910615</v>
      </c>
      <c r="K130" s="61">
        <f>K92*K111/'Demographic-Economic'!H$29</f>
        <v>1118872336.1822324</v>
      </c>
    </row>
    <row r="131" spans="5:12">
      <c r="E131">
        <v>2050</v>
      </c>
      <c r="F131" s="320" t="s">
        <v>240</v>
      </c>
      <c r="G131" s="320" t="s">
        <v>240</v>
      </c>
      <c r="H131" s="61">
        <f>H93*H112/'Demographic-Economic'!E$29</f>
        <v>32655760339.918812</v>
      </c>
      <c r="I131" s="61">
        <f>I93*I112/'Demographic-Economic'!F$29</f>
        <v>0</v>
      </c>
      <c r="J131" s="61">
        <f>J93*J112/'Demographic-Economic'!G$29</f>
        <v>567188013.20070481</v>
      </c>
      <c r="K131" s="61">
        <f>K93*K112/'Demographic-Economic'!H$29</f>
        <v>1571555590.1381228</v>
      </c>
    </row>
    <row r="132" spans="5:12">
      <c r="E132">
        <v>2060</v>
      </c>
      <c r="F132" s="320" t="s">
        <v>240</v>
      </c>
      <c r="G132" s="320" t="s">
        <v>240</v>
      </c>
      <c r="H132" s="61">
        <f>H94*H113/'Demographic-Economic'!E$29</f>
        <v>47489453948.311348</v>
      </c>
      <c r="I132" s="61">
        <f>I94*I113/'Demographic-Economic'!F$29</f>
        <v>0</v>
      </c>
      <c r="J132" s="61">
        <f>J94*J113/'Demographic-Economic'!G$29</f>
        <v>990410151.16906142</v>
      </c>
      <c r="K132" s="61">
        <f>K94*K113/'Demographic-Economic'!H$29</f>
        <v>2218287425.9239631</v>
      </c>
    </row>
    <row r="133" spans="5:12">
      <c r="E133">
        <v>2070</v>
      </c>
      <c r="F133" s="341" t="s">
        <v>240</v>
      </c>
      <c r="G133" s="341" t="s">
        <v>240</v>
      </c>
      <c r="H133" s="339">
        <f>H95*H114/'Demographic-Economic'!E$29</f>
        <v>68455090120.715614</v>
      </c>
      <c r="I133" s="339">
        <f>I95*I114/'Demographic-Economic'!F$29</f>
        <v>0</v>
      </c>
      <c r="J133" s="339">
        <f>J95*J114/'Demographic-Economic'!G$29</f>
        <v>1653984366.3532453</v>
      </c>
      <c r="K133" s="339">
        <f>K95*K114/'Demographic-Economic'!H$29</f>
        <v>3145182255.6253881</v>
      </c>
    </row>
    <row r="134" spans="5:12">
      <c r="E134">
        <v>2080</v>
      </c>
      <c r="F134" s="341" t="s">
        <v>240</v>
      </c>
      <c r="G134" s="341" t="s">
        <v>240</v>
      </c>
      <c r="H134" s="339">
        <f>H96*H115/'Demographic-Economic'!E$29</f>
        <v>98284373929.251221</v>
      </c>
      <c r="I134" s="339">
        <f>I96*I115/'Demographic-Economic'!F$29</f>
        <v>0</v>
      </c>
      <c r="J134" s="339">
        <f>J96*J115/'Demographic-Economic'!G$29</f>
        <v>2569358405.2944221</v>
      </c>
      <c r="K134" s="339">
        <f>K96*K115/'Demographic-Economic'!H$29</f>
        <v>4466175354.9268045</v>
      </c>
    </row>
    <row r="135" spans="5:12">
      <c r="E135">
        <v>2090</v>
      </c>
      <c r="F135" s="341" t="s">
        <v>240</v>
      </c>
      <c r="G135" s="341" t="s">
        <v>240</v>
      </c>
      <c r="H135" s="339">
        <f>H97*H116/'Demographic-Economic'!E$29</f>
        <v>141007451730.45602</v>
      </c>
      <c r="I135" s="339">
        <f>I97*I116/'Demographic-Economic'!F$29</f>
        <v>0</v>
      </c>
      <c r="J135" s="339">
        <f>J97*J116/'Demographic-Economic'!G$29</f>
        <v>3783907879.1408706</v>
      </c>
      <c r="K135" s="339">
        <f>K97*K116/'Demographic-Economic'!H$29</f>
        <v>6353720793.9545279</v>
      </c>
    </row>
    <row r="136" spans="5:12">
      <c r="E136">
        <v>2100</v>
      </c>
      <c r="F136" s="341" t="s">
        <v>240</v>
      </c>
      <c r="G136" s="341" t="s">
        <v>240</v>
      </c>
      <c r="H136" s="339">
        <f>H98*H117/'Demographic-Economic'!E$29</f>
        <v>202052125051.44449</v>
      </c>
      <c r="I136" s="339">
        <f>I98*I117/'Demographic-Economic'!F$29</f>
        <v>0</v>
      </c>
      <c r="J136" s="339">
        <f>J98*J117/'Demographic-Economic'!G$29</f>
        <v>5425599040.3396025</v>
      </c>
      <c r="K136" s="339">
        <f>K98*K117/'Demographic-Economic'!H$29</f>
        <v>9040224645.3559742</v>
      </c>
    </row>
    <row r="137" spans="5:12">
      <c r="F137" s="581" t="s">
        <v>363</v>
      </c>
      <c r="G137" s="581"/>
      <c r="H137" s="581"/>
      <c r="I137" s="581"/>
      <c r="J137" s="581"/>
      <c r="K137" s="581"/>
    </row>
    <row r="138" spans="5:12">
      <c r="E138">
        <v>2020</v>
      </c>
      <c r="H138" s="62">
        <f>('Demographic-Economic'!E$23*1000/'Voluntary Costs (1)'!H5)*$C$5*(1+'Inflation-Interest'!$C$65)*(1+'Inflation-Interest'!$C$66)*(1+'Inflation-Interest'!$C$67)</f>
        <v>3679.8913927982917</v>
      </c>
      <c r="I138" s="62">
        <f>('Demographic-Economic'!F$23*1000/'Voluntary Costs (1)'!I5)*$C$5*(1+'Inflation-Interest'!$C$65)*(1+'Inflation-Interest'!$C$66)*(1+'Inflation-Interest'!$C$67)</f>
        <v>1725.8329281201045</v>
      </c>
      <c r="J138" s="62">
        <f>('Demographic-Economic'!G$23*1000/'Voluntary Costs (1)'!J5)*$C$5*(1+'Inflation-Interest'!$C$65)*(1+'Inflation-Interest'!$C$66)*(1+'Inflation-Interest'!$C$67)</f>
        <v>1973.4851002516943</v>
      </c>
      <c r="K138" s="62">
        <f>('Demographic-Economic'!H$23*1000/'Voluntary Costs (1)'!K5)*$C$5*(1+'Inflation-Interest'!$C$65)*(1+'Inflation-Interest'!$C$66)*(1+'Inflation-Interest'!$C$67)</f>
        <v>593.7313408971421</v>
      </c>
      <c r="L138" s="329">
        <f t="shared" ref="L138:L155" si="11">AVERAGE(H138:K138)</f>
        <v>1993.2351905168082</v>
      </c>
    </row>
    <row r="139" spans="5:12">
      <c r="E139">
        <v>2021</v>
      </c>
      <c r="F139" s="320" t="s">
        <v>240</v>
      </c>
      <c r="G139" s="320" t="s">
        <v>240</v>
      </c>
      <c r="H139" s="62">
        <f t="shared" ref="H139:H148" si="12">H138*(1+$C$6)</f>
        <v>3818.0314491077788</v>
      </c>
      <c r="I139" s="62">
        <f t="shared" ref="I139:I148" si="13">I138*(1+$C$6)</f>
        <v>1790.6192580476265</v>
      </c>
      <c r="J139" s="62">
        <f t="shared" ref="J139:J148" si="14">J138*(1+$C$6)</f>
        <v>2047.568086344226</v>
      </c>
      <c r="K139" s="62">
        <f t="shared" ref="K139:K148" si="15">K138*(1+$C$6)</f>
        <v>616.01952065830346</v>
      </c>
      <c r="L139" s="329">
        <f t="shared" si="11"/>
        <v>2068.0595785394835</v>
      </c>
    </row>
    <row r="140" spans="5:12">
      <c r="E140">
        <v>2022</v>
      </c>
      <c r="F140" s="320" t="s">
        <v>240</v>
      </c>
      <c r="G140" s="320" t="s">
        <v>240</v>
      </c>
      <c r="H140" s="62">
        <f t="shared" si="12"/>
        <v>3961.3571680144105</v>
      </c>
      <c r="I140" s="62">
        <f t="shared" si="13"/>
        <v>1857.8376128120194</v>
      </c>
      <c r="J140" s="62">
        <f t="shared" si="14"/>
        <v>2124.4320859988497</v>
      </c>
      <c r="K140" s="62">
        <f t="shared" si="15"/>
        <v>639.14438011421566</v>
      </c>
      <c r="L140" s="329">
        <f t="shared" si="11"/>
        <v>2145.6928117348739</v>
      </c>
    </row>
    <row r="141" spans="5:12">
      <c r="E141">
        <v>2023</v>
      </c>
      <c r="F141" s="320" t="s">
        <v>240</v>
      </c>
      <c r="G141" s="320" t="s">
        <v>240</v>
      </c>
      <c r="H141" s="62">
        <f t="shared" si="12"/>
        <v>4110.063214970698</v>
      </c>
      <c r="I141" s="62">
        <f t="shared" si="13"/>
        <v>1927.579288598972</v>
      </c>
      <c r="J141" s="62">
        <f t="shared" si="14"/>
        <v>2204.181496147175</v>
      </c>
      <c r="K141" s="62">
        <f t="shared" si="15"/>
        <v>663.1373275233866</v>
      </c>
      <c r="L141" s="329">
        <f t="shared" si="11"/>
        <v>2226.2403318100583</v>
      </c>
    </row>
    <row r="142" spans="5:12">
      <c r="E142">
        <v>2024</v>
      </c>
      <c r="F142" s="320" t="s">
        <v>240</v>
      </c>
      <c r="G142" s="320" t="s">
        <v>240</v>
      </c>
      <c r="H142" s="62">
        <f t="shared" si="12"/>
        <v>4264.3515630080192</v>
      </c>
      <c r="I142" s="62">
        <f t="shared" si="13"/>
        <v>1999.9390087769036</v>
      </c>
      <c r="J142" s="62">
        <f t="shared" si="14"/>
        <v>2286.9246326946268</v>
      </c>
      <c r="K142" s="62">
        <f t="shared" si="15"/>
        <v>688.03095018417491</v>
      </c>
      <c r="L142" s="329">
        <f t="shared" si="11"/>
        <v>2309.811538665931</v>
      </c>
    </row>
    <row r="143" spans="5:12">
      <c r="E143">
        <v>2025</v>
      </c>
      <c r="F143" s="320" t="s">
        <v>240</v>
      </c>
      <c r="G143" s="320" t="s">
        <v>240</v>
      </c>
      <c r="H143" s="62">
        <f t="shared" si="12"/>
        <v>4424.4317670570381</v>
      </c>
      <c r="I143" s="62">
        <f t="shared" si="13"/>
        <v>2075.0150525505478</v>
      </c>
      <c r="J143" s="62">
        <f t="shared" si="14"/>
        <v>2372.7738776354558</v>
      </c>
      <c r="K143" s="62">
        <f t="shared" si="15"/>
        <v>713.85905869496366</v>
      </c>
      <c r="L143" s="329">
        <f t="shared" si="11"/>
        <v>2396.5199389845011</v>
      </c>
    </row>
    <row r="144" spans="5:12">
      <c r="E144">
        <v>2026</v>
      </c>
      <c r="F144" s="320" t="s">
        <v>240</v>
      </c>
      <c r="G144" s="320" t="s">
        <v>240</v>
      </c>
      <c r="H144" s="62">
        <f t="shared" si="12"/>
        <v>4590.5212485658867</v>
      </c>
      <c r="I144" s="62">
        <f t="shared" si="13"/>
        <v>2152.9093884440849</v>
      </c>
      <c r="J144" s="62">
        <f t="shared" si="14"/>
        <v>2461.8458316903261</v>
      </c>
      <c r="K144" s="62">
        <f t="shared" si="15"/>
        <v>740.65673287582365</v>
      </c>
      <c r="L144" s="329">
        <f t="shared" si="11"/>
        <v>2486.4833003940298</v>
      </c>
    </row>
    <row r="145" spans="5:12">
      <c r="E145">
        <v>2027</v>
      </c>
      <c r="F145" s="320" t="s">
        <v>240</v>
      </c>
      <c r="G145" s="320" t="s">
        <v>240</v>
      </c>
      <c r="H145" s="62">
        <f t="shared" si="12"/>
        <v>4762.8455908026763</v>
      </c>
      <c r="I145" s="62">
        <f t="shared" si="13"/>
        <v>2233.727812795119</v>
      </c>
      <c r="J145" s="62">
        <f t="shared" si="14"/>
        <v>2554.2614726737879</v>
      </c>
      <c r="K145" s="62">
        <f t="shared" si="15"/>
        <v>768.46036941403804</v>
      </c>
      <c r="L145" s="329">
        <f t="shared" si="11"/>
        <v>2579.8238114214055</v>
      </c>
    </row>
    <row r="146" spans="5:12">
      <c r="E146">
        <v>2028</v>
      </c>
      <c r="F146" s="320" t="s">
        <v>240</v>
      </c>
      <c r="G146" s="320" t="s">
        <v>240</v>
      </c>
      <c r="H146" s="62">
        <f t="shared" si="12"/>
        <v>4941.6388452434167</v>
      </c>
      <c r="I146" s="62">
        <f t="shared" si="13"/>
        <v>2317.5800934476038</v>
      </c>
      <c r="J146" s="62">
        <f t="shared" si="14"/>
        <v>2650.1463198067349</v>
      </c>
      <c r="K146" s="62">
        <f t="shared" si="15"/>
        <v>797.30773129819988</v>
      </c>
      <c r="L146" s="329">
        <f t="shared" si="11"/>
        <v>2676.668247448989</v>
      </c>
    </row>
    <row r="147" spans="5:12">
      <c r="E147">
        <v>2029</v>
      </c>
      <c r="F147" s="320" t="s">
        <v>240</v>
      </c>
      <c r="G147" s="320" t="s">
        <v>240</v>
      </c>
      <c r="H147" s="62">
        <f t="shared" si="12"/>
        <v>5127.1438494614831</v>
      </c>
      <c r="I147" s="62">
        <f t="shared" si="13"/>
        <v>2404.5801188388823</v>
      </c>
      <c r="J147" s="62">
        <f t="shared" si="14"/>
        <v>2749.6306041970133</v>
      </c>
      <c r="K147" s="62">
        <f t="shared" si="15"/>
        <v>827.23799910802495</v>
      </c>
      <c r="L147" s="329">
        <f t="shared" si="11"/>
        <v>2777.1481429013511</v>
      </c>
    </row>
    <row r="148" spans="5:12">
      <c r="E148">
        <v>2030</v>
      </c>
      <c r="F148" s="320" t="s">
        <v>240</v>
      </c>
      <c r="G148" s="320" t="s">
        <v>240</v>
      </c>
      <c r="H148" s="62">
        <f t="shared" si="12"/>
        <v>5319.6125569503929</v>
      </c>
      <c r="I148" s="62">
        <f t="shared" si="13"/>
        <v>2494.8460526833283</v>
      </c>
      <c r="J148" s="62">
        <f t="shared" si="14"/>
        <v>2852.8494457197326</v>
      </c>
      <c r="K148" s="62">
        <f t="shared" si="15"/>
        <v>858.29182422954091</v>
      </c>
      <c r="L148" s="329">
        <f t="shared" si="11"/>
        <v>2881.3999698957487</v>
      </c>
    </row>
    <row r="149" spans="5:12">
      <c r="E149">
        <v>2040</v>
      </c>
      <c r="F149" s="320" t="s">
        <v>240</v>
      </c>
      <c r="G149" s="320" t="s">
        <v>240</v>
      </c>
      <c r="H149" s="62">
        <f t="shared" ref="H149:K155" si="16">H148*(1+$C$6)^10</f>
        <v>7689.9763431728625</v>
      </c>
      <c r="I149" s="62">
        <f t="shared" si="16"/>
        <v>3606.5233923711676</v>
      </c>
      <c r="J149" s="62">
        <f t="shared" si="16"/>
        <v>4124.049357608721</v>
      </c>
      <c r="K149" s="62">
        <f t="shared" si="16"/>
        <v>1240.7376953120836</v>
      </c>
      <c r="L149" s="329">
        <f t="shared" si="11"/>
        <v>4165.3216971162083</v>
      </c>
    </row>
    <row r="150" spans="5:12">
      <c r="E150">
        <v>2050</v>
      </c>
      <c r="F150" s="320" t="s">
        <v>240</v>
      </c>
      <c r="G150" s="320" t="s">
        <v>240</v>
      </c>
      <c r="H150" s="62">
        <f t="shared" si="16"/>
        <v>11116.549471501243</v>
      </c>
      <c r="I150" s="62">
        <f t="shared" si="16"/>
        <v>5213.5525419417208</v>
      </c>
      <c r="J150" s="62">
        <f t="shared" si="16"/>
        <v>5961.6826711660169</v>
      </c>
      <c r="K150" s="62">
        <f t="shared" si="16"/>
        <v>1793.5974514847956</v>
      </c>
      <c r="L150" s="329">
        <f t="shared" si="11"/>
        <v>6021.3455340234441</v>
      </c>
    </row>
    <row r="151" spans="5:12">
      <c r="E151">
        <v>2060</v>
      </c>
      <c r="F151" s="320" t="s">
        <v>240</v>
      </c>
      <c r="G151" s="320" t="s">
        <v>240</v>
      </c>
      <c r="H151" s="62">
        <f t="shared" si="16"/>
        <v>16069.96779151947</v>
      </c>
      <c r="I151" s="62">
        <f t="shared" si="16"/>
        <v>7536.6570933888497</v>
      </c>
      <c r="J151" s="62">
        <f t="shared" si="16"/>
        <v>8618.1461931603953</v>
      </c>
      <c r="K151" s="62">
        <f t="shared" si="16"/>
        <v>2592.8057397849766</v>
      </c>
      <c r="L151" s="329">
        <f t="shared" si="11"/>
        <v>8704.3942044634223</v>
      </c>
    </row>
    <row r="152" spans="5:12">
      <c r="E152">
        <v>2070</v>
      </c>
      <c r="F152" s="320" t="s">
        <v>240</v>
      </c>
      <c r="G152" s="320" t="s">
        <v>240</v>
      </c>
      <c r="H152" s="62">
        <f t="shared" si="16"/>
        <v>23230.577571081361</v>
      </c>
      <c r="I152" s="62">
        <f t="shared" si="16"/>
        <v>10894.912765600246</v>
      </c>
      <c r="J152" s="62">
        <f t="shared" si="16"/>
        <v>12458.302110896893</v>
      </c>
      <c r="K152" s="62">
        <f t="shared" si="16"/>
        <v>3748.1328927495456</v>
      </c>
      <c r="L152" s="329">
        <f t="shared" si="11"/>
        <v>12582.981335082011</v>
      </c>
    </row>
    <row r="153" spans="5:12">
      <c r="E153">
        <v>2080</v>
      </c>
      <c r="F153" s="320" t="s">
        <v>240</v>
      </c>
      <c r="G153" s="320" t="s">
        <v>240</v>
      </c>
      <c r="H153" s="62">
        <f t="shared" si="16"/>
        <v>33581.880268037661</v>
      </c>
      <c r="I153" s="62">
        <f t="shared" si="16"/>
        <v>15749.572084706093</v>
      </c>
      <c r="J153" s="62">
        <f t="shared" si="16"/>
        <v>18009.591390960213</v>
      </c>
      <c r="K153" s="62">
        <f t="shared" si="16"/>
        <v>5418.2617564230359</v>
      </c>
      <c r="L153" s="329">
        <f t="shared" si="11"/>
        <v>18189.826375031749</v>
      </c>
    </row>
    <row r="154" spans="5:12">
      <c r="E154">
        <v>2090</v>
      </c>
      <c r="F154" s="320" t="s">
        <v>240</v>
      </c>
      <c r="G154" s="320" t="s">
        <v>240</v>
      </c>
      <c r="H154" s="62">
        <f t="shared" si="16"/>
        <v>48545.615316112082</v>
      </c>
      <c r="I154" s="62">
        <f t="shared" si="16"/>
        <v>22767.416884194521</v>
      </c>
      <c r="J154" s="62">
        <f t="shared" si="16"/>
        <v>26034.477184949086</v>
      </c>
      <c r="K154" s="62">
        <f t="shared" si="16"/>
        <v>7832.5825954320417</v>
      </c>
      <c r="L154" s="329">
        <f t="shared" si="11"/>
        <v>26295.022995171934</v>
      </c>
    </row>
    <row r="155" spans="5:12">
      <c r="E155">
        <v>2100</v>
      </c>
      <c r="F155" s="320" t="s">
        <v>240</v>
      </c>
      <c r="G155" s="320" t="s">
        <v>240</v>
      </c>
      <c r="H155" s="62">
        <f t="shared" si="16"/>
        <v>70177.034389076725</v>
      </c>
      <c r="I155" s="62">
        <f t="shared" si="16"/>
        <v>32912.340017292532</v>
      </c>
      <c r="J155" s="62">
        <f t="shared" si="16"/>
        <v>37635.1682600555</v>
      </c>
      <c r="K155" s="62">
        <f t="shared" si="16"/>
        <v>11322.699580089284</v>
      </c>
      <c r="L155" s="329">
        <f t="shared" si="11"/>
        <v>38011.81056162851</v>
      </c>
    </row>
    <row r="156" spans="5:12">
      <c r="F156" s="581" t="s">
        <v>364</v>
      </c>
      <c r="G156" s="581"/>
      <c r="H156" s="581"/>
      <c r="I156" s="581"/>
      <c r="J156" s="581"/>
      <c r="K156" s="581"/>
    </row>
    <row r="157" spans="5:12">
      <c r="E157">
        <v>2020</v>
      </c>
      <c r="F157" s="320" t="s">
        <v>240</v>
      </c>
      <c r="G157" s="320" t="s">
        <v>240</v>
      </c>
      <c r="H157" s="63">
        <f>'Demographic-Economic'!E$22*1000/H5*(1+'Inflation-Interest'!$C$65)*(1+'Inflation-Interest'!$C$66)*(1+'Inflation-Interest'!$C$67)*$C$5</f>
        <v>918.50338180980054</v>
      </c>
      <c r="I157" s="63">
        <f>'Demographic-Economic'!F$22*1000/I5*(1+'Inflation-Interest'!$C$65)*(1+'Inflation-Interest'!$C$66)*(1+'Inflation-Interest'!$C$67)*$C$5</f>
        <v>719.11413961221217</v>
      </c>
      <c r="J157" s="63">
        <f>'Demographic-Economic'!G$22*1000/J5*(1+'Inflation-Interest'!$C$65)*(1+'Inflation-Interest'!$C$66)*(1+'Inflation-Interest'!$C$67)*$C$5</f>
        <v>540.13575753906809</v>
      </c>
      <c r="K157" s="63">
        <f>'Demographic-Economic'!H$22*1000/K5*(1+'Inflation-Interest'!$C$65)*(1+'Inflation-Interest'!$C$66)*(1+'Inflation-Interest'!$C$67)*$C$5</f>
        <v>128.59741636960283</v>
      </c>
      <c r="L157" s="63">
        <f t="shared" ref="L157:L174" si="17">AVERAGE(H157:K157)</f>
        <v>576.58767383267093</v>
      </c>
    </row>
    <row r="158" spans="5:12">
      <c r="E158">
        <v>2021</v>
      </c>
      <c r="F158" s="320" t="s">
        <v>240</v>
      </c>
      <c r="G158" s="320" t="s">
        <v>240</v>
      </c>
      <c r="H158" s="63">
        <f t="shared" ref="H158:H167" si="18">H157*(1+$C$6)</f>
        <v>952.98323334345559</v>
      </c>
      <c r="I158" s="63">
        <f t="shared" ref="I158:I167" si="19">I157*(1+$C$6)</f>
        <v>746.10908515147162</v>
      </c>
      <c r="J158" s="63">
        <f t="shared" ref="J158:J167" si="20">J157*(1+$C$6)</f>
        <v>560.41200376395341</v>
      </c>
      <c r="K158" s="63">
        <f>K157*(1+$C$6)</f>
        <v>133.42485621560408</v>
      </c>
      <c r="L158" s="63">
        <f t="shared" si="17"/>
        <v>598.23229461862115</v>
      </c>
    </row>
    <row r="159" spans="5:12">
      <c r="E159">
        <v>2022</v>
      </c>
      <c r="F159" s="320" t="s">
        <v>240</v>
      </c>
      <c r="G159" s="320" t="s">
        <v>240</v>
      </c>
      <c r="H159" s="63">
        <f t="shared" si="18"/>
        <v>988.75742977047446</v>
      </c>
      <c r="I159" s="63">
        <f t="shared" si="19"/>
        <v>774.11739845048692</v>
      </c>
      <c r="J159" s="63">
        <f t="shared" si="20"/>
        <v>581.44940337524906</v>
      </c>
      <c r="K159" s="63">
        <f t="shared" ref="K159:K167" si="21">K158*(1+$C$6)</f>
        <v>138.43351413055768</v>
      </c>
      <c r="L159" s="63">
        <f t="shared" si="17"/>
        <v>620.689436431692</v>
      </c>
    </row>
    <row r="160" spans="5:12">
      <c r="E160">
        <v>2023</v>
      </c>
      <c r="F160" s="320" t="s">
        <v>240</v>
      </c>
      <c r="G160" s="320" t="s">
        <v>240</v>
      </c>
      <c r="H160" s="63">
        <f t="shared" si="18"/>
        <v>1025.8745597195332</v>
      </c>
      <c r="I160" s="63">
        <f t="shared" si="19"/>
        <v>803.17712049048612</v>
      </c>
      <c r="J160" s="63">
        <f t="shared" si="20"/>
        <v>603.2765294367864</v>
      </c>
      <c r="K160" s="63">
        <f t="shared" si="21"/>
        <v>143.63019288975704</v>
      </c>
      <c r="L160" s="63">
        <f t="shared" si="17"/>
        <v>643.98960063414063</v>
      </c>
    </row>
    <row r="161" spans="5:12">
      <c r="E161">
        <v>2024</v>
      </c>
      <c r="F161" s="320" t="s">
        <v>240</v>
      </c>
      <c r="G161" s="320" t="s">
        <v>240</v>
      </c>
      <c r="H161" s="63">
        <f t="shared" si="18"/>
        <v>1064.3850357959379</v>
      </c>
      <c r="I161" s="63">
        <f t="shared" si="19"/>
        <v>833.3277202794319</v>
      </c>
      <c r="J161" s="63">
        <f t="shared" si="20"/>
        <v>625.92302762140218</v>
      </c>
      <c r="K161" s="63">
        <f t="shared" si="21"/>
        <v>149.02195063901112</v>
      </c>
      <c r="L161" s="63">
        <f t="shared" si="17"/>
        <v>668.16443358394577</v>
      </c>
    </row>
    <row r="162" spans="5:12">
      <c r="E162">
        <v>2025</v>
      </c>
      <c r="F162" s="320" t="s">
        <v>240</v>
      </c>
      <c r="G162" s="320" t="s">
        <v>240</v>
      </c>
      <c r="H162" s="63">
        <f t="shared" si="18"/>
        <v>1104.3411630521875</v>
      </c>
      <c r="I162" s="63">
        <f t="shared" si="19"/>
        <v>864.61014845895488</v>
      </c>
      <c r="J162" s="63">
        <f t="shared" si="20"/>
        <v>649.41965647578661</v>
      </c>
      <c r="K162" s="63">
        <f t="shared" si="21"/>
        <v>154.61611048104075</v>
      </c>
      <c r="L162" s="63">
        <f t="shared" si="17"/>
        <v>693.24676961699242</v>
      </c>
    </row>
    <row r="163" spans="5:12">
      <c r="E163">
        <v>2026</v>
      </c>
      <c r="F163" s="320" t="s">
        <v>240</v>
      </c>
      <c r="G163" s="320" t="s">
        <v>240</v>
      </c>
      <c r="H163" s="63">
        <f t="shared" si="18"/>
        <v>1145.7972100288641</v>
      </c>
      <c r="I163" s="63">
        <f t="shared" si="19"/>
        <v>897.06689292364706</v>
      </c>
      <c r="J163" s="63">
        <f t="shared" si="20"/>
        <v>673.79832919684054</v>
      </c>
      <c r="K163" s="63">
        <f t="shared" si="21"/>
        <v>160.4202704217403</v>
      </c>
      <c r="L163" s="63">
        <f t="shared" si="17"/>
        <v>719.27067564277309</v>
      </c>
    </row>
    <row r="164" spans="5:12">
      <c r="E164">
        <v>2027</v>
      </c>
      <c r="F164" s="320" t="s">
        <v>240</v>
      </c>
      <c r="G164" s="320" t="s">
        <v>240</v>
      </c>
      <c r="H164" s="63">
        <f t="shared" si="18"/>
        <v>1188.8094824623392</v>
      </c>
      <c r="I164" s="63">
        <f t="shared" si="19"/>
        <v>930.74203652825668</v>
      </c>
      <c r="J164" s="63">
        <f t="shared" si="20"/>
        <v>699.09215697628224</v>
      </c>
      <c r="K164" s="63">
        <f t="shared" si="21"/>
        <v>166.44231368981374</v>
      </c>
      <c r="L164" s="63">
        <f t="shared" si="17"/>
        <v>746.27149741417293</v>
      </c>
    </row>
    <row r="165" spans="5:12">
      <c r="E165">
        <v>2028</v>
      </c>
      <c r="F165" s="320" t="s">
        <v>240</v>
      </c>
      <c r="G165" s="320" t="s">
        <v>240</v>
      </c>
      <c r="H165" s="63">
        <f t="shared" si="18"/>
        <v>1233.4363997594069</v>
      </c>
      <c r="I165" s="63">
        <f t="shared" si="19"/>
        <v>965.6813169611637</v>
      </c>
      <c r="J165" s="63">
        <f t="shared" si="20"/>
        <v>725.33549397237437</v>
      </c>
      <c r="K165" s="63">
        <f t="shared" si="21"/>
        <v>172.69041944380129</v>
      </c>
      <c r="L165" s="63">
        <f t="shared" si="17"/>
        <v>774.28590753418655</v>
      </c>
    </row>
    <row r="166" spans="5:12">
      <c r="E166">
        <v>2029</v>
      </c>
      <c r="F166" s="320" t="s">
        <v>240</v>
      </c>
      <c r="G166" s="320" t="s">
        <v>240</v>
      </c>
      <c r="H166" s="63">
        <f t="shared" si="18"/>
        <v>1279.7385743427085</v>
      </c>
      <c r="I166" s="63">
        <f t="shared" si="19"/>
        <v>1001.932188865455</v>
      </c>
      <c r="J166" s="63">
        <f t="shared" si="20"/>
        <v>752.5639839698523</v>
      </c>
      <c r="K166" s="63">
        <f t="shared" si="21"/>
        <v>179.17307388103873</v>
      </c>
      <c r="L166" s="63">
        <f t="shared" si="17"/>
        <v>803.35195526476366</v>
      </c>
    </row>
    <row r="167" spans="5:12">
      <c r="E167">
        <v>2030</v>
      </c>
      <c r="F167" s="320" t="s">
        <v>240</v>
      </c>
      <c r="G167" s="320" t="s">
        <v>240</v>
      </c>
      <c r="H167" s="63">
        <f t="shared" si="18"/>
        <v>1327.7788939747218</v>
      </c>
      <c r="I167" s="63">
        <f t="shared" si="19"/>
        <v>1039.5438882919734</v>
      </c>
      <c r="J167" s="63">
        <f t="shared" si="20"/>
        <v>780.8146087914273</v>
      </c>
      <c r="K167" s="63">
        <f t="shared" si="21"/>
        <v>185.89908176363804</v>
      </c>
      <c r="L167" s="63">
        <f t="shared" si="17"/>
        <v>833.50911820544013</v>
      </c>
    </row>
    <row r="168" spans="5:12">
      <c r="E168">
        <v>2040</v>
      </c>
      <c r="F168" s="320" t="s">
        <v>240</v>
      </c>
      <c r="G168" s="320" t="s">
        <v>240</v>
      </c>
      <c r="H168" s="63">
        <f t="shared" ref="H168:K174" si="22">H167*(1+$C$6)^10</f>
        <v>1919.4232990312598</v>
      </c>
      <c r="I168" s="63">
        <f t="shared" si="22"/>
        <v>1502.7537857452567</v>
      </c>
      <c r="J168" s="63">
        <f t="shared" si="22"/>
        <v>1128.7374420087569</v>
      </c>
      <c r="K168" s="63">
        <f t="shared" si="22"/>
        <v>268.7337706788681</v>
      </c>
      <c r="L168" s="63">
        <f t="shared" si="17"/>
        <v>1204.9120743660355</v>
      </c>
    </row>
    <row r="169" spans="5:12">
      <c r="E169">
        <v>2050</v>
      </c>
      <c r="F169" s="320" t="s">
        <v>240</v>
      </c>
      <c r="G169" s="320" t="s">
        <v>240</v>
      </c>
      <c r="H169" s="63">
        <f t="shared" si="22"/>
        <v>2774.6982706099443</v>
      </c>
      <c r="I169" s="63">
        <f t="shared" si="22"/>
        <v>2172.365174771176</v>
      </c>
      <c r="J169" s="63">
        <f t="shared" si="22"/>
        <v>1631.6910552742977</v>
      </c>
      <c r="K169" s="63">
        <f t="shared" si="22"/>
        <v>388.47873167606105</v>
      </c>
      <c r="L169" s="63">
        <f t="shared" si="17"/>
        <v>1741.8083080828696</v>
      </c>
    </row>
    <row r="170" spans="5:12">
      <c r="E170">
        <v>2060</v>
      </c>
      <c r="F170" s="320" t="s">
        <v>240</v>
      </c>
      <c r="G170" s="320" t="s">
        <v>240</v>
      </c>
      <c r="H170" s="63">
        <f t="shared" si="22"/>
        <v>4011.0748352442656</v>
      </c>
      <c r="I170" s="63">
        <f t="shared" si="22"/>
        <v>3140.3484039258215</v>
      </c>
      <c r="J170" s="63">
        <f t="shared" si="22"/>
        <v>2358.7555447119612</v>
      </c>
      <c r="K170" s="63">
        <f t="shared" si="22"/>
        <v>561.58079642689393</v>
      </c>
      <c r="L170" s="63">
        <f t="shared" si="17"/>
        <v>2517.9398950772356</v>
      </c>
    </row>
    <row r="171" spans="5:12">
      <c r="E171">
        <v>2070</v>
      </c>
      <c r="F171" s="320" t="s">
        <v>240</v>
      </c>
      <c r="G171" s="320" t="s">
        <v>240</v>
      </c>
      <c r="H171" s="63">
        <f t="shared" si="22"/>
        <v>5798.3678817780547</v>
      </c>
      <c r="I171" s="63">
        <f t="shared" si="22"/>
        <v>4539.6548483512843</v>
      </c>
      <c r="J171" s="63">
        <f t="shared" si="22"/>
        <v>3409.7923756615328</v>
      </c>
      <c r="K171" s="63">
        <f t="shared" si="22"/>
        <v>811.81533299084981</v>
      </c>
      <c r="L171" s="63">
        <f t="shared" si="17"/>
        <v>3639.90760969543</v>
      </c>
    </row>
    <row r="172" spans="5:12">
      <c r="E172">
        <v>2080</v>
      </c>
      <c r="F172" s="320" t="s">
        <v>240</v>
      </c>
      <c r="G172" s="320" t="s">
        <v>240</v>
      </c>
      <c r="H172" s="63">
        <f t="shared" si="22"/>
        <v>8382.0600396222417</v>
      </c>
      <c r="I172" s="63">
        <f t="shared" si="22"/>
        <v>6562.4776271308647</v>
      </c>
      <c r="J172" s="63">
        <f t="shared" si="22"/>
        <v>4929.1602392562936</v>
      </c>
      <c r="K172" s="63">
        <f t="shared" si="22"/>
        <v>1173.5517650750689</v>
      </c>
      <c r="L172" s="63">
        <f t="shared" si="17"/>
        <v>5261.812417771117</v>
      </c>
    </row>
    <row r="173" spans="5:12">
      <c r="E173">
        <v>2090</v>
      </c>
      <c r="F173" s="320" t="s">
        <v>240</v>
      </c>
      <c r="G173" s="320" t="s">
        <v>240</v>
      </c>
      <c r="H173" s="63">
        <f t="shared" si="22"/>
        <v>12117.018433519483</v>
      </c>
      <c r="I173" s="63">
        <f t="shared" si="22"/>
        <v>9486.6491055446495</v>
      </c>
      <c r="J173" s="63">
        <f t="shared" si="22"/>
        <v>7125.5425514145509</v>
      </c>
      <c r="K173" s="63">
        <f t="shared" si="22"/>
        <v>1696.4741725644801</v>
      </c>
      <c r="L173" s="63">
        <f t="shared" si="17"/>
        <v>7606.421065760791</v>
      </c>
    </row>
    <row r="174" spans="5:12">
      <c r="E174">
        <v>2100</v>
      </c>
      <c r="F174" s="320" t="s">
        <v>240</v>
      </c>
      <c r="G174" s="320" t="s">
        <v>240</v>
      </c>
      <c r="H174" s="63">
        <f t="shared" si="22"/>
        <v>17516.235272023638</v>
      </c>
      <c r="I174" s="63">
        <f t="shared" si="22"/>
        <v>13713.800848579478</v>
      </c>
      <c r="J174" s="63">
        <f t="shared" si="22"/>
        <v>10300.609878261945</v>
      </c>
      <c r="K174" s="63">
        <f t="shared" si="22"/>
        <v>2452.4053423363375</v>
      </c>
      <c r="L174" s="63">
        <f t="shared" si="17"/>
        <v>10995.762835300349</v>
      </c>
    </row>
    <row r="175" spans="5:12">
      <c r="F175" s="581" t="s">
        <v>248</v>
      </c>
      <c r="G175" s="581"/>
      <c r="H175" s="581"/>
      <c r="I175" s="581"/>
      <c r="J175" s="581"/>
      <c r="K175" s="581"/>
    </row>
    <row r="176" spans="5:12">
      <c r="E176">
        <v>2020</v>
      </c>
      <c r="F176" s="320" t="s">
        <v>240</v>
      </c>
      <c r="G176" s="320" t="s">
        <v>240</v>
      </c>
      <c r="H176" s="179">
        <f>'Demographic-Economic'!E30*$C$5</f>
        <v>17979</v>
      </c>
      <c r="I176" s="179">
        <f>'Demographic-Economic'!F30*$C$5</f>
        <v>12153.75</v>
      </c>
      <c r="J176" s="179">
        <f>'Demographic-Economic'!G30*$C$5</f>
        <v>15379.5</v>
      </c>
      <c r="K176" s="179">
        <f>'Demographic-Economic'!H30*$C$5</f>
        <v>17335</v>
      </c>
      <c r="L176" s="330">
        <f t="shared" ref="L176:L193" si="23">AVERAGE(H176:K176)</f>
        <v>15711.8125</v>
      </c>
    </row>
    <row r="177" spans="5:12">
      <c r="E177">
        <v>2021</v>
      </c>
      <c r="F177" s="320" t="s">
        <v>240</v>
      </c>
      <c r="G177" s="320" t="s">
        <v>240</v>
      </c>
      <c r="H177" s="179">
        <f t="shared" ref="H177:H186" si="24">H176*(1+$C$6)</f>
        <v>18653.916677500001</v>
      </c>
      <c r="I177" s="179">
        <f t="shared" ref="I177:I186" si="25">I176*(1+$C$6)</f>
        <v>12609.991646875</v>
      </c>
      <c r="J177" s="179">
        <f t="shared" ref="J177:J186" si="26">J176*(1+$C$6)</f>
        <v>15956.833613750001</v>
      </c>
      <c r="K177" s="179">
        <f t="shared" ref="K177:K186" si="27">K176*(1+$C$6)</f>
        <v>17985.741454166666</v>
      </c>
      <c r="L177" s="330">
        <f t="shared" si="23"/>
        <v>16301.620848072916</v>
      </c>
    </row>
    <row r="178" spans="5:12">
      <c r="E178">
        <v>2022</v>
      </c>
      <c r="F178" s="320" t="s">
        <v>240</v>
      </c>
      <c r="G178" s="320" t="s">
        <v>240</v>
      </c>
      <c r="H178" s="179">
        <f t="shared" si="24"/>
        <v>19354.169164642786</v>
      </c>
      <c r="I178" s="179">
        <f t="shared" si="25"/>
        <v>13083.360224972315</v>
      </c>
      <c r="J178" s="179">
        <f t="shared" si="26"/>
        <v>16555.839850248831</v>
      </c>
      <c r="K178" s="179">
        <f t="shared" si="27"/>
        <v>18660.911200238203</v>
      </c>
      <c r="L178" s="330">
        <f t="shared" si="23"/>
        <v>16913.570110025532</v>
      </c>
    </row>
    <row r="179" spans="5:12">
      <c r="E179">
        <v>2023</v>
      </c>
      <c r="F179" s="320" t="s">
        <v>240</v>
      </c>
      <c r="G179" s="320" t="s">
        <v>240</v>
      </c>
      <c r="H179" s="179">
        <f t="shared" si="24"/>
        <v>20080.708546609174</v>
      </c>
      <c r="I179" s="179">
        <f t="shared" si="25"/>
        <v>13574.498665017589</v>
      </c>
      <c r="J179" s="179">
        <f t="shared" si="26"/>
        <v>17177.332281693965</v>
      </c>
      <c r="K179" s="179">
        <f t="shared" si="27"/>
        <v>19361.42625593581</v>
      </c>
      <c r="L179" s="330">
        <f t="shared" si="23"/>
        <v>17548.491437314136</v>
      </c>
    </row>
    <row r="180" spans="5:12">
      <c r="E180">
        <v>2024</v>
      </c>
      <c r="F180" s="320" t="s">
        <v>240</v>
      </c>
      <c r="G180" s="320" t="s">
        <v>240</v>
      </c>
      <c r="H180" s="179">
        <f t="shared" si="24"/>
        <v>20834.521611525095</v>
      </c>
      <c r="I180" s="179">
        <f t="shared" si="25"/>
        <v>14084.074032820128</v>
      </c>
      <c r="J180" s="179">
        <f t="shared" si="26"/>
        <v>17822.155021105187</v>
      </c>
      <c r="K180" s="179">
        <f t="shared" si="27"/>
        <v>20088.238063061763</v>
      </c>
      <c r="L180" s="330">
        <f t="shared" si="23"/>
        <v>18207.247182128041</v>
      </c>
    </row>
    <row r="181" spans="5:12">
      <c r="E181">
        <v>2025</v>
      </c>
      <c r="F181" s="320" t="s">
        <v>240</v>
      </c>
      <c r="G181" s="320" t="s">
        <v>240</v>
      </c>
      <c r="H181" s="179">
        <f t="shared" si="24"/>
        <v>21616.632190720404</v>
      </c>
      <c r="I181" s="179">
        <f t="shared" si="25"/>
        <v>14612.778435283835</v>
      </c>
      <c r="J181" s="179">
        <f t="shared" si="26"/>
        <v>18491.183868801625</v>
      </c>
      <c r="K181" s="179">
        <f>K180*(1+$C$6)</f>
        <v>20842.333779750716</v>
      </c>
      <c r="L181" s="330">
        <f t="shared" si="23"/>
        <v>18890.732068639143</v>
      </c>
    </row>
    <row r="182" spans="5:12">
      <c r="E182">
        <v>2026</v>
      </c>
      <c r="F182" s="320" t="s">
        <v>240</v>
      </c>
      <c r="G182" s="320" t="s">
        <v>240</v>
      </c>
      <c r="H182" s="179">
        <f t="shared" si="24"/>
        <v>22428.102549299889</v>
      </c>
      <c r="I182" s="179">
        <f t="shared" si="25"/>
        <v>15161.329960429028</v>
      </c>
      <c r="J182" s="179">
        <f t="shared" si="26"/>
        <v>19185.327501916548</v>
      </c>
      <c r="K182" s="179">
        <f t="shared" si="27"/>
        <v>21624.737621231074</v>
      </c>
      <c r="L182" s="330">
        <f t="shared" si="23"/>
        <v>19599.874408219137</v>
      </c>
    </row>
    <row r="183" spans="5:12">
      <c r="E183">
        <v>2027</v>
      </c>
      <c r="F183" s="320" t="s">
        <v>240</v>
      </c>
      <c r="G183" s="320" t="s">
        <v>240</v>
      </c>
      <c r="H183" s="179">
        <f t="shared" si="24"/>
        <v>23270.034828915148</v>
      </c>
      <c r="I183" s="179">
        <f t="shared" si="25"/>
        <v>15730.473652701899</v>
      </c>
      <c r="J183" s="179">
        <f t="shared" si="26"/>
        <v>19905.528708565576</v>
      </c>
      <c r="K183" s="179">
        <f t="shared" si="27"/>
        <v>22436.512250917403</v>
      </c>
      <c r="L183" s="330">
        <f t="shared" si="23"/>
        <v>20335.63736027501</v>
      </c>
    </row>
    <row r="184" spans="5:12">
      <c r="E184">
        <v>2028</v>
      </c>
      <c r="F184" s="320" t="s">
        <v>240</v>
      </c>
      <c r="G184" s="320" t="s">
        <v>240</v>
      </c>
      <c r="H184" s="179">
        <f t="shared" si="24"/>
        <v>24143.572544696934</v>
      </c>
      <c r="I184" s="179">
        <f t="shared" si="25"/>
        <v>16320.982524896284</v>
      </c>
      <c r="J184" s="179">
        <f t="shared" si="26"/>
        <v>20652.765668344538</v>
      </c>
      <c r="K184" s="179">
        <f t="shared" si="27"/>
        <v>23278.7602237233</v>
      </c>
      <c r="L184" s="330">
        <f t="shared" si="23"/>
        <v>21099.020240415266</v>
      </c>
    </row>
    <row r="185" spans="5:12">
      <c r="E185">
        <v>2029</v>
      </c>
      <c r="F185" s="320" t="s">
        <v>240</v>
      </c>
      <c r="G185" s="320" t="s">
        <v>240</v>
      </c>
      <c r="H185" s="179">
        <f t="shared" si="24"/>
        <v>25049.902138381069</v>
      </c>
      <c r="I185" s="179">
        <f t="shared" si="25"/>
        <v>16933.65860806212</v>
      </c>
      <c r="J185" s="179">
        <f t="shared" si="26"/>
        <v>21428.053280896136</v>
      </c>
      <c r="K185" s="179">
        <f t="shared" si="27"/>
        <v>24152.625483555021</v>
      </c>
      <c r="L185" s="330">
        <f t="shared" si="23"/>
        <v>21891.059877723586</v>
      </c>
    </row>
    <row r="186" spans="5:12">
      <c r="E186">
        <v>2030</v>
      </c>
      <c r="F186" s="320" t="s">
        <v>240</v>
      </c>
      <c r="G186" s="320" t="s">
        <v>240</v>
      </c>
      <c r="H186" s="179">
        <f t="shared" si="24"/>
        <v>25990.254589737444</v>
      </c>
      <c r="I186" s="179">
        <f t="shared" si="25"/>
        <v>17569.334040826598</v>
      </c>
      <c r="J186" s="179">
        <f t="shared" si="26"/>
        <v>22232.44454434991</v>
      </c>
      <c r="K186" s="179">
        <f t="shared" si="27"/>
        <v>25059.294917019775</v>
      </c>
      <c r="L186" s="330">
        <f t="shared" si="23"/>
        <v>22712.832022983435</v>
      </c>
    </row>
    <row r="187" spans="5:12">
      <c r="E187">
        <v>2040</v>
      </c>
      <c r="F187" s="320" t="s">
        <v>240</v>
      </c>
      <c r="G187" s="320" t="s">
        <v>240</v>
      </c>
      <c r="H187" s="330">
        <f t="shared" ref="H187:K193" si="28">H186*($C$6+1)^10</f>
        <v>37571.240538370781</v>
      </c>
      <c r="I187" s="330">
        <f t="shared" si="28"/>
        <v>25398.045758564091</v>
      </c>
      <c r="J187" s="330">
        <f t="shared" si="28"/>
        <v>32138.989591182682</v>
      </c>
      <c r="K187" s="330">
        <f t="shared" si="28"/>
        <v>36225.454960379189</v>
      </c>
      <c r="L187" s="330">
        <f t="shared" si="23"/>
        <v>32833.432712124188</v>
      </c>
    </row>
    <row r="188" spans="5:12">
      <c r="E188">
        <v>2050</v>
      </c>
      <c r="F188" s="320" t="s">
        <v>240</v>
      </c>
      <c r="G188" s="320" t="s">
        <v>240</v>
      </c>
      <c r="H188" s="330">
        <f t="shared" si="28"/>
        <v>54312.592849686895</v>
      </c>
      <c r="I188" s="330">
        <f t="shared" si="28"/>
        <v>36715.149638293675</v>
      </c>
      <c r="J188" s="330">
        <f t="shared" si="28"/>
        <v>46459.787626217236</v>
      </c>
      <c r="K188" s="330">
        <f t="shared" si="28"/>
        <v>52367.139276340306</v>
      </c>
      <c r="L188" s="330">
        <f t="shared" si="23"/>
        <v>47463.667347634531</v>
      </c>
    </row>
    <row r="189" spans="5:12">
      <c r="E189">
        <v>2060</v>
      </c>
      <c r="F189" s="320" t="s">
        <v>240</v>
      </c>
      <c r="G189" s="320" t="s">
        <v>240</v>
      </c>
      <c r="H189" s="330">
        <f t="shared" si="28"/>
        <v>78513.71686924278</v>
      </c>
      <c r="I189" s="330">
        <f t="shared" si="28"/>
        <v>53075.036787338518</v>
      </c>
      <c r="J189" s="330">
        <f t="shared" si="28"/>
        <v>67161.78366930972</v>
      </c>
      <c r="K189" s="330">
        <f t="shared" si="28"/>
        <v>75701.389505997198</v>
      </c>
      <c r="L189" s="330">
        <f t="shared" si="23"/>
        <v>68612.981707972052</v>
      </c>
    </row>
    <row r="190" spans="5:12">
      <c r="E190">
        <v>2070</v>
      </c>
      <c r="F190" s="320" t="s">
        <v>240</v>
      </c>
      <c r="G190" s="320" t="s">
        <v>240</v>
      </c>
      <c r="H190" s="330">
        <f t="shared" si="28"/>
        <v>113498.6089447791</v>
      </c>
      <c r="I190" s="330">
        <f t="shared" si="28"/>
        <v>76724.718753134686</v>
      </c>
      <c r="J190" s="330">
        <f t="shared" si="28"/>
        <v>97088.372894278335</v>
      </c>
      <c r="K190" s="330">
        <f t="shared" si="28"/>
        <v>109433.13788629767</v>
      </c>
      <c r="L190" s="330">
        <f t="shared" si="23"/>
        <v>99186.209619622445</v>
      </c>
    </row>
    <row r="191" spans="5:12">
      <c r="E191">
        <v>2080</v>
      </c>
      <c r="F191" s="320" t="s">
        <v>240</v>
      </c>
      <c r="G191" s="320" t="s">
        <v>240</v>
      </c>
      <c r="H191" s="330">
        <f t="shared" si="28"/>
        <v>164072.40347382281</v>
      </c>
      <c r="I191" s="330">
        <f t="shared" si="28"/>
        <v>110912.45195616961</v>
      </c>
      <c r="J191" s="330">
        <f t="shared" si="28"/>
        <v>140349.93766203115</v>
      </c>
      <c r="K191" s="330">
        <f t="shared" si="28"/>
        <v>158195.40097996098</v>
      </c>
      <c r="L191" s="330">
        <f t="shared" si="23"/>
        <v>143382.54851799615</v>
      </c>
    </row>
    <row r="192" spans="5:12">
      <c r="E192">
        <v>2090</v>
      </c>
      <c r="F192" s="320" t="s">
        <v>240</v>
      </c>
      <c r="G192" s="320" t="s">
        <v>240</v>
      </c>
      <c r="H192" s="330">
        <f t="shared" si="28"/>
        <v>237181.35254656972</v>
      </c>
      <c r="I192" s="330">
        <f t="shared" si="28"/>
        <v>160333.8819463191</v>
      </c>
      <c r="J192" s="330">
        <f t="shared" si="28"/>
        <v>202888.40377607039</v>
      </c>
      <c r="K192" s="330">
        <f t="shared" si="28"/>
        <v>228685.61913314345</v>
      </c>
      <c r="L192" s="330">
        <f t="shared" si="23"/>
        <v>207272.31435052567</v>
      </c>
    </row>
    <row r="193" spans="5:12">
      <c r="E193">
        <v>2100</v>
      </c>
      <c r="F193" s="320" t="s">
        <v>240</v>
      </c>
      <c r="G193" s="320" t="s">
        <v>240</v>
      </c>
      <c r="H193" s="330">
        <f t="shared" si="28"/>
        <v>342866.88562342839</v>
      </c>
      <c r="I193" s="330">
        <f t="shared" si="28"/>
        <v>231776.98487934488</v>
      </c>
      <c r="J193" s="330">
        <f t="shared" si="28"/>
        <v>293293.35710804368</v>
      </c>
      <c r="K193" s="330">
        <f t="shared" si="28"/>
        <v>330585.54214818013</v>
      </c>
      <c r="L193" s="330">
        <f t="shared" si="23"/>
        <v>299630.69243974925</v>
      </c>
    </row>
    <row r="194" spans="5:12">
      <c r="F194" s="581" t="s">
        <v>249</v>
      </c>
      <c r="G194" s="581"/>
      <c r="H194" s="581"/>
      <c r="I194" s="581"/>
      <c r="J194" s="581"/>
      <c r="K194" s="581"/>
    </row>
    <row r="195" spans="5:12">
      <c r="E195">
        <v>2020</v>
      </c>
      <c r="F195" s="320" t="s">
        <v>240</v>
      </c>
      <c r="G195" s="320" t="s">
        <v>240</v>
      </c>
      <c r="H195" s="179">
        <f t="shared" ref="H195:K212" si="29">SUM($L138, $L157, $L176)*H81</f>
        <v>830744487.46575165</v>
      </c>
      <c r="I195" s="179">
        <f t="shared" si="29"/>
        <v>401842164.07746184</v>
      </c>
      <c r="J195" s="179">
        <f t="shared" si="29"/>
        <v>260948143.06447688</v>
      </c>
      <c r="K195" s="179">
        <f t="shared" si="29"/>
        <v>84034395.095100448</v>
      </c>
      <c r="L195" s="194">
        <f t="shared" ref="L195:L212" si="30">SUM(H195:K195)/(SUM(F233:K233)*1000)</f>
        <v>1.2163789388555267E-3</v>
      </c>
    </row>
    <row r="196" spans="5:12">
      <c r="E196">
        <v>2021</v>
      </c>
      <c r="F196" s="320" t="s">
        <v>240</v>
      </c>
      <c r="G196" s="320" t="s">
        <v>240</v>
      </c>
      <c r="H196" s="179">
        <f t="shared" si="29"/>
        <v>911559965.72013903</v>
      </c>
      <c r="I196" s="179">
        <f t="shared" si="29"/>
        <v>387110013.19868052</v>
      </c>
      <c r="J196" s="179">
        <f t="shared" si="29"/>
        <v>257720562.49524623</v>
      </c>
      <c r="K196" s="179">
        <f t="shared" si="29"/>
        <v>89283962.282535002</v>
      </c>
      <c r="L196" s="194">
        <f t="shared" si="30"/>
        <v>1.2275161823679425E-3</v>
      </c>
    </row>
    <row r="197" spans="5:12">
      <c r="E197">
        <v>2022</v>
      </c>
      <c r="F197" s="320" t="s">
        <v>240</v>
      </c>
      <c r="G197" s="320" t="s">
        <v>240</v>
      </c>
      <c r="H197" s="179">
        <f t="shared" si="29"/>
        <v>997238738.02161586</v>
      </c>
      <c r="I197" s="179">
        <f t="shared" si="29"/>
        <v>370683015.67291021</v>
      </c>
      <c r="J197" s="179">
        <f t="shared" si="29"/>
        <v>253859306.43019271</v>
      </c>
      <c r="K197" s="179">
        <f>SUM($L140, $L159, $L178)*K83</f>
        <v>94759331.855699852</v>
      </c>
      <c r="L197" s="194">
        <f t="shared" si="30"/>
        <v>1.2399441531148706E-3</v>
      </c>
    </row>
    <row r="198" spans="5:12">
      <c r="E198">
        <v>2023</v>
      </c>
      <c r="F198" s="320" t="s">
        <v>240</v>
      </c>
      <c r="G198" s="320" t="s">
        <v>240</v>
      </c>
      <c r="H198" s="179">
        <f t="shared" si="29"/>
        <v>1087798666.2821176</v>
      </c>
      <c r="I198" s="179">
        <f t="shared" si="29"/>
        <v>352621489.76659107</v>
      </c>
      <c r="J198" s="179">
        <f t="shared" si="29"/>
        <v>249394660.00924432</v>
      </c>
      <c r="K198" s="179">
        <f t="shared" si="29"/>
        <v>100459751.47261739</v>
      </c>
      <c r="L198" s="194">
        <f t="shared" si="30"/>
        <v>1.2536197445181701E-3</v>
      </c>
    </row>
    <row r="199" spans="5:12">
      <c r="E199">
        <v>2024</v>
      </c>
      <c r="F199" s="320" t="s">
        <v>240</v>
      </c>
      <c r="G199" s="320" t="s">
        <v>240</v>
      </c>
      <c r="H199" s="179">
        <f t="shared" si="29"/>
        <v>1183236990.6281393</v>
      </c>
      <c r="I199" s="179">
        <f t="shared" si="29"/>
        <v>333003190.00756001</v>
      </c>
      <c r="J199" s="179">
        <f t="shared" si="29"/>
        <v>244364749.30239376</v>
      </c>
      <c r="K199" s="179">
        <f t="shared" si="29"/>
        <v>106383912.78729877</v>
      </c>
      <c r="L199" s="194">
        <f t="shared" si="30"/>
        <v>1.2685077566721376E-3</v>
      </c>
    </row>
    <row r="200" spans="5:12">
      <c r="E200">
        <v>2025</v>
      </c>
      <c r="F200" s="320" t="s">
        <v>240</v>
      </c>
      <c r="G200" s="320" t="s">
        <v>240</v>
      </c>
      <c r="H200" s="179">
        <f t="shared" si="29"/>
        <v>1283531988.5436351</v>
      </c>
      <c r="I200" s="179">
        <f t="shared" si="29"/>
        <v>311922170.76849502</v>
      </c>
      <c r="J200" s="179">
        <f t="shared" si="29"/>
        <v>238815048.61550209</v>
      </c>
      <c r="K200" s="179">
        <f t="shared" si="29"/>
        <v>112530074.79508255</v>
      </c>
      <c r="L200" s="194">
        <f t="shared" si="30"/>
        <v>1.2845798572063785E-3</v>
      </c>
    </row>
    <row r="201" spans="5:12">
      <c r="E201">
        <v>2026</v>
      </c>
      <c r="F201" s="320" t="s">
        <v>240</v>
      </c>
      <c r="G201" s="320" t="s">
        <v>240</v>
      </c>
      <c r="H201" s="179">
        <f t="shared" si="29"/>
        <v>1388645275.2263584</v>
      </c>
      <c r="I201" s="179">
        <f t="shared" si="29"/>
        <v>289487194.71768844</v>
      </c>
      <c r="J201" s="179">
        <f t="shared" si="29"/>
        <v>232797686.70356819</v>
      </c>
      <c r="K201" s="179">
        <f t="shared" si="29"/>
        <v>118896207.85959816</v>
      </c>
      <c r="L201" s="194">
        <f t="shared" si="30"/>
        <v>1.3018137205866467E-3</v>
      </c>
    </row>
    <row r="202" spans="5:12">
      <c r="E202">
        <v>2027</v>
      </c>
      <c r="F202" s="320" t="s">
        <v>240</v>
      </c>
      <c r="G202" s="320" t="s">
        <v>240</v>
      </c>
      <c r="H202" s="179">
        <f t="shared" si="29"/>
        <v>1498524687.0284252</v>
      </c>
      <c r="I202" s="179">
        <f t="shared" si="29"/>
        <v>265819729.61186969</v>
      </c>
      <c r="J202" s="179">
        <f t="shared" si="29"/>
        <v>226370570.93349519</v>
      </c>
      <c r="K202" s="179">
        <f t="shared" si="29"/>
        <v>125480154.24163781</v>
      </c>
      <c r="L202" s="194">
        <f t="shared" si="30"/>
        <v>1.3201923119190951E-3</v>
      </c>
    </row>
    <row r="203" spans="5:12">
      <c r="E203">
        <v>2028</v>
      </c>
      <c r="F203" s="320" t="s">
        <v>240</v>
      </c>
      <c r="G203" s="320" t="s">
        <v>240</v>
      </c>
      <c r="H203" s="179">
        <f t="shared" si="29"/>
        <v>1613107660.0402999</v>
      </c>
      <c r="I203" s="179">
        <f t="shared" si="29"/>
        <v>241051598.23701677</v>
      </c>
      <c r="J203" s="179">
        <f t="shared" si="29"/>
        <v>219596357.86972702</v>
      </c>
      <c r="K203" s="179">
        <f t="shared" si="29"/>
        <v>132279800.00677383</v>
      </c>
      <c r="L203" s="194">
        <f t="shared" si="30"/>
        <v>1.3397032885350451E-3</v>
      </c>
    </row>
    <row r="204" spans="5:12">
      <c r="E204">
        <v>2029</v>
      </c>
      <c r="F204" s="320" t="s">
        <v>240</v>
      </c>
      <c r="G204" s="320" t="s">
        <v>240</v>
      </c>
      <c r="H204" s="179">
        <f t="shared" si="29"/>
        <v>1732324990.295927</v>
      </c>
      <c r="I204" s="179">
        <f t="shared" si="29"/>
        <v>215322364.50399104</v>
      </c>
      <c r="J204" s="179">
        <f t="shared" si="29"/>
        <v>212541306.81400791</v>
      </c>
      <c r="K204" s="179">
        <f t="shared" si="29"/>
        <v>139293252.51911831</v>
      </c>
      <c r="L204" s="194">
        <f t="shared" si="30"/>
        <v>1.3603384981667049E-3</v>
      </c>
    </row>
    <row r="205" spans="5:12">
      <c r="E205">
        <v>2030</v>
      </c>
      <c r="F205" s="320" t="s">
        <v>240</v>
      </c>
      <c r="G205" s="320" t="s">
        <v>240</v>
      </c>
      <c r="H205" s="179">
        <f t="shared" si="29"/>
        <v>1856104842.8673065</v>
      </c>
      <c r="I205" s="179">
        <f t="shared" si="29"/>
        <v>188776552.24695411</v>
      </c>
      <c r="J205" s="179">
        <f t="shared" si="29"/>
        <v>205274058.83829564</v>
      </c>
      <c r="K205" s="179">
        <f t="shared" si="29"/>
        <v>146519017.3972657</v>
      </c>
      <c r="L205" s="194">
        <f t="shared" si="30"/>
        <v>1.3820935568023514E-3</v>
      </c>
    </row>
    <row r="206" spans="5:12">
      <c r="E206">
        <v>2040</v>
      </c>
      <c r="F206" s="320" t="s">
        <v>240</v>
      </c>
      <c r="G206" s="320" t="s">
        <v>240</v>
      </c>
      <c r="H206" s="179">
        <f t="shared" si="29"/>
        <v>3247708674.9055691</v>
      </c>
      <c r="I206" s="179">
        <f t="shared" si="29"/>
        <v>0</v>
      </c>
      <c r="J206" s="179">
        <f t="shared" si="29"/>
        <v>116047744.23931599</v>
      </c>
      <c r="K206" s="179">
        <f t="shared" si="29"/>
        <v>217661266.35540414</v>
      </c>
      <c r="L206" s="194">
        <f t="shared" si="30"/>
        <v>1.7536946992367148E-3</v>
      </c>
    </row>
    <row r="207" spans="5:12">
      <c r="E207">
        <v>2050</v>
      </c>
      <c r="F207" s="320" t="s">
        <v>240</v>
      </c>
      <c r="G207" s="320" t="s">
        <v>240</v>
      </c>
      <c r="H207" s="179">
        <f t="shared" si="29"/>
        <v>4862531117.6285152</v>
      </c>
      <c r="I207" s="179">
        <f t="shared" si="29"/>
        <v>0</v>
      </c>
      <c r="J207" s="179">
        <f t="shared" si="29"/>
        <v>124089943.4902104</v>
      </c>
      <c r="K207" s="179">
        <f t="shared" si="29"/>
        <v>305724584.32975811</v>
      </c>
      <c r="L207" s="194">
        <f t="shared" si="30"/>
        <v>2.3175200973075188E-3</v>
      </c>
    </row>
    <row r="208" spans="5:12">
      <c r="E208">
        <v>2060</v>
      </c>
      <c r="F208" s="320" t="s">
        <v>240</v>
      </c>
      <c r="G208" s="320" t="s">
        <v>240</v>
      </c>
      <c r="H208" s="179">
        <f t="shared" si="29"/>
        <v>7071308252.4853058</v>
      </c>
      <c r="I208" s="179">
        <f t="shared" si="29"/>
        <v>0</v>
      </c>
      <c r="J208" s="179">
        <f t="shared" si="29"/>
        <v>216682893.20354563</v>
      </c>
      <c r="K208" s="179">
        <f t="shared" si="29"/>
        <v>431537392.29480749</v>
      </c>
      <c r="L208" s="194">
        <f t="shared" si="30"/>
        <v>3.0934097452776921E-3</v>
      </c>
    </row>
    <row r="209" spans="5:12">
      <c r="E209">
        <v>2070</v>
      </c>
      <c r="F209" s="320" t="s">
        <v>240</v>
      </c>
      <c r="G209" s="320" t="s">
        <v>240</v>
      </c>
      <c r="H209" s="179">
        <f t="shared" si="29"/>
        <v>10193148235.018909</v>
      </c>
      <c r="I209" s="179">
        <f t="shared" si="29"/>
        <v>0</v>
      </c>
      <c r="J209" s="179">
        <f t="shared" si="29"/>
        <v>361860303.42259449</v>
      </c>
      <c r="K209" s="179">
        <f t="shared" si="29"/>
        <v>611852067.96145976</v>
      </c>
      <c r="L209" s="194">
        <f t="shared" si="30"/>
        <v>4.1093211398895105E-3</v>
      </c>
    </row>
    <row r="210" spans="5:12">
      <c r="E210">
        <v>2080</v>
      </c>
      <c r="F210" s="320" t="s">
        <v>240</v>
      </c>
      <c r="G210" s="320" t="s">
        <v>240</v>
      </c>
      <c r="H210" s="179">
        <f t="shared" si="29"/>
        <v>14634809345.517414</v>
      </c>
      <c r="I210" s="179">
        <f t="shared" si="29"/>
        <v>0</v>
      </c>
      <c r="J210" s="179">
        <f t="shared" si="29"/>
        <v>562126723.23570478</v>
      </c>
      <c r="K210" s="179">
        <f t="shared" si="29"/>
        <v>868833156.45792818</v>
      </c>
      <c r="L210" s="194">
        <f t="shared" si="30"/>
        <v>5.450814856600282E-3</v>
      </c>
    </row>
    <row r="211" spans="5:12">
      <c r="E211">
        <v>2090</v>
      </c>
      <c r="F211" s="320" t="s">
        <v>240</v>
      </c>
      <c r="G211" s="320" t="s">
        <v>240</v>
      </c>
      <c r="H211" s="179">
        <f t="shared" si="29"/>
        <v>20996391286.553272</v>
      </c>
      <c r="I211" s="179">
        <f t="shared" si="29"/>
        <v>0</v>
      </c>
      <c r="J211" s="179">
        <f t="shared" si="29"/>
        <v>827847034.78668106</v>
      </c>
      <c r="K211" s="179">
        <f t="shared" si="29"/>
        <v>1236029231.7170689</v>
      </c>
      <c r="L211" s="194">
        <f t="shared" si="30"/>
        <v>7.2132287195794016E-3</v>
      </c>
    </row>
    <row r="212" spans="5:12">
      <c r="E212">
        <v>2100</v>
      </c>
      <c r="F212" s="320" t="s">
        <v>240</v>
      </c>
      <c r="G212" s="320" t="s">
        <v>240</v>
      </c>
      <c r="H212" s="179">
        <f t="shared" si="29"/>
        <v>30086108399.216015</v>
      </c>
      <c r="I212" s="179">
        <f t="shared" si="29"/>
        <v>0</v>
      </c>
      <c r="J212" s="179">
        <f t="shared" si="29"/>
        <v>1187017818.8657181</v>
      </c>
      <c r="K212" s="179">
        <f>SUM($L155, $L174, $L193)*K98</f>
        <v>1758651707.4500558</v>
      </c>
      <c r="L212" s="194">
        <f t="shared" si="30"/>
        <v>9.4849110772046857E-3</v>
      </c>
    </row>
    <row r="213" spans="5:12">
      <c r="F213" s="581" t="s">
        <v>250</v>
      </c>
      <c r="G213" s="581"/>
      <c r="H213" s="581"/>
      <c r="I213" s="581"/>
      <c r="J213" s="581"/>
      <c r="K213" s="581"/>
    </row>
    <row r="214" spans="5:12">
      <c r="E214">
        <v>2020</v>
      </c>
      <c r="F214" s="320" t="s">
        <v>240</v>
      </c>
      <c r="G214" s="320" t="s">
        <v>240</v>
      </c>
      <c r="H214" s="330">
        <f t="shared" ref="H214:K231" si="31">H195+H119</f>
        <v>6409853850.4966345</v>
      </c>
      <c r="I214" s="330">
        <f t="shared" si="31"/>
        <v>2086735209.6600113</v>
      </c>
      <c r="J214" s="330">
        <f t="shared" si="31"/>
        <v>1453685077.6640997</v>
      </c>
      <c r="K214" s="330">
        <f t="shared" si="31"/>
        <v>516007256.11021012</v>
      </c>
      <c r="L214" s="194">
        <f t="shared" ref="L214:L231" si="32">SUM(H214:K214)/(SUM(F233:K233)*1000)</f>
        <v>8.0699878894766926E-3</v>
      </c>
    </row>
    <row r="215" spans="5:12">
      <c r="E215">
        <v>2021</v>
      </c>
      <c r="F215" s="320" t="s">
        <v>240</v>
      </c>
      <c r="G215" s="320" t="s">
        <v>240</v>
      </c>
      <c r="H215" s="330">
        <f t="shared" si="31"/>
        <v>7033409483.1663818</v>
      </c>
      <c r="I215" s="330">
        <f t="shared" si="31"/>
        <v>2010232292.094471</v>
      </c>
      <c r="J215" s="330">
        <f t="shared" si="31"/>
        <v>1435704931.6651688</v>
      </c>
      <c r="K215" s="330">
        <f t="shared" si="31"/>
        <v>548241851.92170823</v>
      </c>
      <c r="L215" s="194">
        <f t="shared" si="32"/>
        <v>8.2255290326699905E-3</v>
      </c>
    </row>
    <row r="216" spans="5:12">
      <c r="E216">
        <v>2022</v>
      </c>
      <c r="F216" s="320" t="s">
        <v>240</v>
      </c>
      <c r="G216" s="320" t="s">
        <v>240</v>
      </c>
      <c r="H216" s="330">
        <f t="shared" si="31"/>
        <v>7694489293.900712</v>
      </c>
      <c r="I216" s="330">
        <f t="shared" si="31"/>
        <v>1924928167.2654622</v>
      </c>
      <c r="J216" s="330">
        <f t="shared" si="31"/>
        <v>1414194717.9618225</v>
      </c>
      <c r="K216" s="330">
        <f t="shared" si="31"/>
        <v>581862971.30313218</v>
      </c>
      <c r="L216" s="194">
        <f t="shared" si="32"/>
        <v>8.3904466016156802E-3</v>
      </c>
    </row>
    <row r="217" spans="5:12">
      <c r="E217">
        <v>2023</v>
      </c>
      <c r="F217" s="320" t="s">
        <v>240</v>
      </c>
      <c r="G217" s="320" t="s">
        <v>240</v>
      </c>
      <c r="H217" s="330">
        <f t="shared" si="31"/>
        <v>8393231101.5437098</v>
      </c>
      <c r="I217" s="330">
        <f t="shared" si="31"/>
        <v>1831136063.2550991</v>
      </c>
      <c r="J217" s="330">
        <f t="shared" si="31"/>
        <v>1389323148.4501147</v>
      </c>
      <c r="K217" s="330">
        <f t="shared" si="31"/>
        <v>616865994.5518105</v>
      </c>
      <c r="L217" s="194">
        <f t="shared" si="32"/>
        <v>8.564310275070942E-3</v>
      </c>
    </row>
    <row r="218" spans="5:12">
      <c r="E218">
        <v>2024</v>
      </c>
      <c r="F218" s="320" t="s">
        <v>240</v>
      </c>
      <c r="G218" s="320" t="s">
        <v>240</v>
      </c>
      <c r="H218" s="330">
        <f t="shared" si="31"/>
        <v>9129613611.4782257</v>
      </c>
      <c r="I218" s="330">
        <f t="shared" si="31"/>
        <v>1729259753.2993746</v>
      </c>
      <c r="J218" s="330">
        <f t="shared" si="31"/>
        <v>1361302615.1339421</v>
      </c>
      <c r="K218" s="330">
        <f t="shared" si="31"/>
        <v>653242887.86178851</v>
      </c>
      <c r="L218" s="194">
        <f t="shared" si="32"/>
        <v>8.7467216273353146E-3</v>
      </c>
    </row>
    <row r="219" spans="5:12">
      <c r="E219">
        <v>2025</v>
      </c>
      <c r="F219" s="320" t="s">
        <v>240</v>
      </c>
      <c r="G219" s="320" t="s">
        <v>240</v>
      </c>
      <c r="H219" s="330">
        <f t="shared" si="31"/>
        <v>9903469217.2317295</v>
      </c>
      <c r="I219" s="330">
        <f t="shared" si="31"/>
        <v>1619787654.4650743</v>
      </c>
      <c r="J219" s="330">
        <f t="shared" si="31"/>
        <v>1330386445.433347</v>
      </c>
      <c r="K219" s="330">
        <f t="shared" si="31"/>
        <v>690982960.71715009</v>
      </c>
      <c r="L219" s="194">
        <f t="shared" si="32"/>
        <v>8.9373127699004969E-3</v>
      </c>
    </row>
    <row r="220" spans="5:12">
      <c r="E220">
        <v>2026</v>
      </c>
      <c r="F220" s="320" t="s">
        <v>240</v>
      </c>
      <c r="G220" s="320" t="s">
        <v>240</v>
      </c>
      <c r="H220" s="330">
        <f t="shared" si="31"/>
        <v>10714501749.553392</v>
      </c>
      <c r="I220" s="330">
        <f t="shared" si="31"/>
        <v>1503284562.8580108</v>
      </c>
      <c r="J220" s="330">
        <f t="shared" si="31"/>
        <v>1296865037.2502611</v>
      </c>
      <c r="K220" s="330">
        <f t="shared" si="31"/>
        <v>730073750.2793957</v>
      </c>
      <c r="L220" s="194">
        <f t="shared" si="32"/>
        <v>9.1357462418172105E-3</v>
      </c>
    </row>
    <row r="221" spans="5:12">
      <c r="E221">
        <v>2027</v>
      </c>
      <c r="F221" s="320" t="s">
        <v>240</v>
      </c>
      <c r="G221" s="320" t="s">
        <v>240</v>
      </c>
      <c r="H221" s="330">
        <f t="shared" si="31"/>
        <v>11562308724.449291</v>
      </c>
      <c r="I221" s="330">
        <f t="shared" si="31"/>
        <v>1380381251.1234279</v>
      </c>
      <c r="J221" s="330">
        <f t="shared" si="31"/>
        <v>1261060979.8706837</v>
      </c>
      <c r="K221" s="330">
        <f t="shared" si="31"/>
        <v>770502007.10361958</v>
      </c>
      <c r="L221" s="194">
        <f t="shared" si="32"/>
        <v>9.3417158215981459E-3</v>
      </c>
    </row>
    <row r="222" spans="5:12">
      <c r="E222">
        <v>2028</v>
      </c>
      <c r="F222" s="320" t="s">
        <v>240</v>
      </c>
      <c r="G222" s="320" t="s">
        <v>240</v>
      </c>
      <c r="H222" s="330">
        <f t="shared" si="31"/>
        <v>12446407411.642563</v>
      </c>
      <c r="I222" s="330">
        <f t="shared" si="31"/>
        <v>1251762264.7707975</v>
      </c>
      <c r="J222" s="330">
        <f t="shared" si="31"/>
        <v>1223323319.322228</v>
      </c>
      <c r="K222" s="330">
        <f t="shared" si="31"/>
        <v>812254750.72506809</v>
      </c>
      <c r="L222" s="194">
        <f t="shared" si="32"/>
        <v>9.5549479589336177E-3</v>
      </c>
    </row>
    <row r="223" spans="5:12">
      <c r="E223">
        <v>2029</v>
      </c>
      <c r="F223" s="320" t="s">
        <v>240</v>
      </c>
      <c r="G223" s="320" t="s">
        <v>240</v>
      </c>
      <c r="H223" s="330">
        <f t="shared" si="31"/>
        <v>13366263847.543938</v>
      </c>
      <c r="I223" s="330">
        <f t="shared" si="31"/>
        <v>1118152348.3710663</v>
      </c>
      <c r="J223" s="330">
        <f t="shared" si="31"/>
        <v>1184021171.6946702</v>
      </c>
      <c r="K223" s="330">
        <f t="shared" si="31"/>
        <v>855320359.54701042</v>
      </c>
      <c r="L223" s="194">
        <f t="shared" si="32"/>
        <v>9.7752035501899037E-3</v>
      </c>
    </row>
    <row r="224" spans="5:12">
      <c r="E224">
        <v>2030</v>
      </c>
      <c r="F224" s="320" t="s">
        <v>240</v>
      </c>
      <c r="G224" s="320" t="s">
        <v>240</v>
      </c>
      <c r="H224" s="330">
        <f t="shared" si="31"/>
        <v>14321323768.602119</v>
      </c>
      <c r="I224" s="330">
        <f t="shared" si="31"/>
        <v>980302002.99241352</v>
      </c>
      <c r="J224" s="330">
        <f t="shared" si="31"/>
        <v>1143536921.3991344</v>
      </c>
      <c r="K224" s="330">
        <f t="shared" si="31"/>
        <v>899689657.42618024</v>
      </c>
      <c r="L224" s="194">
        <f t="shared" si="32"/>
        <v>1.0002279810533506E-2</v>
      </c>
    </row>
    <row r="225" spans="5:12">
      <c r="E225">
        <v>2040</v>
      </c>
      <c r="F225" s="320" t="s">
        <v>240</v>
      </c>
      <c r="G225" s="320" t="s">
        <v>240</v>
      </c>
      <c r="H225" s="330">
        <f t="shared" si="31"/>
        <v>25058653134.900284</v>
      </c>
      <c r="I225" s="330">
        <f t="shared" si="31"/>
        <v>0</v>
      </c>
      <c r="J225" s="330">
        <f t="shared" si="31"/>
        <v>646476622.19842219</v>
      </c>
      <c r="K225" s="330">
        <f t="shared" si="31"/>
        <v>1336533602.5376365</v>
      </c>
      <c r="L225" s="194">
        <f t="shared" si="32"/>
        <v>1.3241354641301339E-2</v>
      </c>
    </row>
    <row r="226" spans="5:12">
      <c r="E226">
        <v>2050</v>
      </c>
      <c r="F226" s="320" t="s">
        <v>240</v>
      </c>
      <c r="G226" s="320" t="s">
        <v>240</v>
      </c>
      <c r="H226" s="330">
        <f t="shared" si="31"/>
        <v>37518291457.547325</v>
      </c>
      <c r="I226" s="330">
        <f t="shared" si="31"/>
        <v>0</v>
      </c>
      <c r="J226" s="330">
        <f t="shared" si="31"/>
        <v>691277956.69091523</v>
      </c>
      <c r="K226" s="330">
        <f t="shared" si="31"/>
        <v>1877280174.467881</v>
      </c>
      <c r="L226" s="194">
        <f t="shared" si="32"/>
        <v>1.7554046123096214E-2</v>
      </c>
    </row>
    <row r="227" spans="5:12">
      <c r="E227">
        <v>2060</v>
      </c>
      <c r="F227" s="320" t="s">
        <v>240</v>
      </c>
      <c r="G227" s="320" t="s">
        <v>240</v>
      </c>
      <c r="H227" s="330">
        <f t="shared" si="31"/>
        <v>54560762200.796654</v>
      </c>
      <c r="I227" s="330">
        <f t="shared" si="31"/>
        <v>0</v>
      </c>
      <c r="J227" s="330">
        <f t="shared" si="31"/>
        <v>1207093044.372607</v>
      </c>
      <c r="K227" s="330">
        <f t="shared" si="31"/>
        <v>2649824818.2187705</v>
      </c>
      <c r="L227" s="194">
        <f t="shared" si="32"/>
        <v>2.3409437495492475E-2</v>
      </c>
    </row>
    <row r="228" spans="5:12">
      <c r="E228">
        <v>2070</v>
      </c>
      <c r="F228" s="320" t="s">
        <v>240</v>
      </c>
      <c r="G228" s="320" t="s">
        <v>240</v>
      </c>
      <c r="H228" s="330">
        <f t="shared" si="31"/>
        <v>78648238355.734528</v>
      </c>
      <c r="I228" s="330">
        <f t="shared" si="31"/>
        <v>0</v>
      </c>
      <c r="J228" s="330">
        <f t="shared" si="31"/>
        <v>2015844669.7758398</v>
      </c>
      <c r="K228" s="330">
        <f t="shared" si="31"/>
        <v>3757034323.5868478</v>
      </c>
      <c r="L228" s="194">
        <f t="shared" si="32"/>
        <v>3.1066339448781302E-2</v>
      </c>
    </row>
    <row r="229" spans="5:12">
      <c r="E229">
        <v>2080</v>
      </c>
      <c r="F229" s="320" t="s">
        <v>240</v>
      </c>
      <c r="G229" s="320" t="s">
        <v>240</v>
      </c>
      <c r="H229" s="330">
        <f t="shared" si="31"/>
        <v>112919183274.76863</v>
      </c>
      <c r="I229" s="330">
        <f t="shared" si="31"/>
        <v>0</v>
      </c>
      <c r="J229" s="330">
        <f t="shared" si="31"/>
        <v>3131485128.530127</v>
      </c>
      <c r="K229" s="330">
        <f t="shared" si="31"/>
        <v>5335008511.3847332</v>
      </c>
      <c r="L229" s="194">
        <f t="shared" si="32"/>
        <v>4.1183888666018541E-2</v>
      </c>
    </row>
    <row r="230" spans="5:12">
      <c r="E230">
        <v>2090</v>
      </c>
      <c r="F230" s="320" t="s">
        <v>240</v>
      </c>
      <c r="G230" s="320" t="s">
        <v>240</v>
      </c>
      <c r="H230" s="330">
        <f t="shared" si="31"/>
        <v>162003843017.00931</v>
      </c>
      <c r="I230" s="330">
        <f t="shared" si="31"/>
        <v>0</v>
      </c>
      <c r="J230" s="330">
        <f t="shared" si="31"/>
        <v>4611754913.9275513</v>
      </c>
      <c r="K230" s="330">
        <f t="shared" si="31"/>
        <v>7589750025.6715965</v>
      </c>
      <c r="L230" s="194">
        <f t="shared" si="32"/>
        <v>5.4491259309710396E-2</v>
      </c>
    </row>
    <row r="231" spans="5:12">
      <c r="E231">
        <v>2100</v>
      </c>
      <c r="F231" s="320" t="s">
        <v>240</v>
      </c>
      <c r="G231" s="320" t="s">
        <v>240</v>
      </c>
      <c r="H231" s="330">
        <f t="shared" si="31"/>
        <v>232138233450.66049</v>
      </c>
      <c r="I231" s="330">
        <f t="shared" si="31"/>
        <v>0</v>
      </c>
      <c r="J231" s="330">
        <f t="shared" si="31"/>
        <v>6612616859.2053204</v>
      </c>
      <c r="K231" s="330">
        <f t="shared" si="31"/>
        <v>10798876352.80603</v>
      </c>
      <c r="L231" s="194">
        <f t="shared" si="32"/>
        <v>7.1656965364454303E-2</v>
      </c>
    </row>
    <row r="232" spans="5:12">
      <c r="F232" s="581" t="s">
        <v>251</v>
      </c>
      <c r="G232" s="581"/>
      <c r="H232" s="581"/>
      <c r="I232" s="581"/>
      <c r="J232" s="581"/>
      <c r="K232" s="581"/>
    </row>
    <row r="233" spans="5:12">
      <c r="E233">
        <v>2020</v>
      </c>
      <c r="F233" s="61">
        <f>'Demographic-Economic'!C$38</f>
        <v>531771287</v>
      </c>
      <c r="G233" s="61">
        <f>'Demographic-Economic'!D$38</f>
        <v>222153795</v>
      </c>
      <c r="H233" s="61">
        <f>'Demographic-Economic'!E$38</f>
        <v>417708522</v>
      </c>
      <c r="I233" s="61">
        <f>'Demographic-Economic'!F$38</f>
        <v>45815957</v>
      </c>
      <c r="J233" s="61">
        <f>'Demographic-Economic'!G$38</f>
        <v>69643447</v>
      </c>
      <c r="K233" s="61">
        <f>'Demographic-Economic'!H$38</f>
        <v>9845914</v>
      </c>
    </row>
    <row r="234" spans="5:12">
      <c r="E234">
        <v>2021</v>
      </c>
      <c r="F234" s="61">
        <f>F$233*'Economic Projections'!$J4</f>
        <v>549695364.36366522</v>
      </c>
      <c r="G234" s="61">
        <f>G$233*'Economic Projections'!$J4</f>
        <v>229641792.01216632</v>
      </c>
      <c r="H234" s="61">
        <f>H$233*'Economic Projections'!$J4</f>
        <v>431787958.11628336</v>
      </c>
      <c r="I234" s="61">
        <f>I$233*'Economic Projections'!$J4</f>
        <v>47360246.392515399</v>
      </c>
      <c r="J234" s="61">
        <f>J$233*'Economic Projections'!$J4</f>
        <v>71990874.479476377</v>
      </c>
      <c r="K234" s="61">
        <f>K$233*'Economic Projections'!$J4</f>
        <v>10177783.975995893</v>
      </c>
    </row>
    <row r="235" spans="5:12">
      <c r="E235">
        <v>2022</v>
      </c>
      <c r="F235" s="61">
        <f>F$233*'Economic Projections'!$J5</f>
        <v>567619441.72733057</v>
      </c>
      <c r="G235" s="61">
        <f>G$233*'Economic Projections'!$J5</f>
        <v>237129789.02433264</v>
      </c>
      <c r="H235" s="61">
        <f>H$233*'Economic Projections'!$J5</f>
        <v>445867394.23256671</v>
      </c>
      <c r="I235" s="61">
        <f>I$233*'Economic Projections'!$J5</f>
        <v>48904535.785030797</v>
      </c>
      <c r="J235" s="61">
        <f>J$233*'Economic Projections'!$J5</f>
        <v>74338301.95895277</v>
      </c>
      <c r="K235" s="61">
        <f>K$233*'Economic Projections'!$J5</f>
        <v>10509653.951991785</v>
      </c>
    </row>
    <row r="236" spans="5:12">
      <c r="E236">
        <v>2023</v>
      </c>
      <c r="F236" s="61">
        <f>F$233*'Economic Projections'!$J6</f>
        <v>585543519.09099591</v>
      </c>
      <c r="G236" s="61">
        <f>G$233*'Economic Projections'!$J6</f>
        <v>244617786.03649899</v>
      </c>
      <c r="H236" s="61">
        <f>H$233*'Economic Projections'!$J6</f>
        <v>459946830.34885013</v>
      </c>
      <c r="I236" s="61">
        <f>I$233*'Economic Projections'!$J6</f>
        <v>50448825.177546203</v>
      </c>
      <c r="J236" s="61">
        <f>J$233*'Economic Projections'!$J6</f>
        <v>76685729.438429162</v>
      </c>
      <c r="K236" s="61">
        <f>K$233*'Economic Projections'!$J6</f>
        <v>10841523.92798768</v>
      </c>
    </row>
    <row r="237" spans="5:12">
      <c r="E237">
        <v>2024</v>
      </c>
      <c r="F237" s="61">
        <f>F$233*'Economic Projections'!$J7</f>
        <v>603467596.45466125</v>
      </c>
      <c r="G237" s="61">
        <f>G$233*'Economic Projections'!$J7</f>
        <v>252105783.04866531</v>
      </c>
      <c r="H237" s="61">
        <f>H$233*'Economic Projections'!$J7</f>
        <v>474026266.46513349</v>
      </c>
      <c r="I237" s="61">
        <f>I$233*'Economic Projections'!$J7</f>
        <v>51993114.570061602</v>
      </c>
      <c r="J237" s="61">
        <f>J$233*'Economic Projections'!$J7</f>
        <v>79033156.917905554</v>
      </c>
      <c r="K237" s="61">
        <f>K$233*'Economic Projections'!$J7</f>
        <v>11173393.903983572</v>
      </c>
    </row>
    <row r="238" spans="5:12">
      <c r="E238">
        <v>2025</v>
      </c>
      <c r="F238" s="61">
        <f>F$233*'Economic Projections'!$J8</f>
        <v>621391673.81832647</v>
      </c>
      <c r="G238" s="61">
        <f>G$233*'Economic Projections'!$J8</f>
        <v>259593780.06083164</v>
      </c>
      <c r="H238" s="61">
        <f>H$233*'Economic Projections'!$J8</f>
        <v>488105702.58141685</v>
      </c>
      <c r="I238" s="61">
        <f>I$233*'Economic Projections'!$J8</f>
        <v>53537403.962577</v>
      </c>
      <c r="J238" s="61">
        <f>J$233*'Economic Projections'!$J8</f>
        <v>81380584.397381932</v>
      </c>
      <c r="K238" s="61">
        <f>K$233*'Economic Projections'!$J8</f>
        <v>11505263.879979467</v>
      </c>
    </row>
    <row r="239" spans="5:12">
      <c r="E239">
        <v>2026</v>
      </c>
      <c r="F239" s="61">
        <f>F$233*'Economic Projections'!$J9</f>
        <v>639315751.18199182</v>
      </c>
      <c r="G239" s="61">
        <f>G$233*'Economic Projections'!$J9</f>
        <v>267081777.07299793</v>
      </c>
      <c r="H239" s="61">
        <f>H$233*'Economic Projections'!$J9</f>
        <v>502185138.6977002</v>
      </c>
      <c r="I239" s="61">
        <f>I$233*'Economic Projections'!$J9</f>
        <v>55081693.355092399</v>
      </c>
      <c r="J239" s="61">
        <f>J$233*'Economic Projections'!$J9</f>
        <v>83728011.876858309</v>
      </c>
      <c r="K239" s="61">
        <f>K$233*'Economic Projections'!$J9</f>
        <v>11837133.85597536</v>
      </c>
    </row>
    <row r="240" spans="5:12">
      <c r="E240">
        <v>2027</v>
      </c>
      <c r="F240" s="61">
        <f>F$233*'Economic Projections'!$J10</f>
        <v>657239828.54565716</v>
      </c>
      <c r="G240" s="61">
        <f>G$233*'Economic Projections'!$J10</f>
        <v>274569774.08516431</v>
      </c>
      <c r="H240" s="61">
        <f>H$233*'Economic Projections'!$J10</f>
        <v>516264574.81398362</v>
      </c>
      <c r="I240" s="61">
        <f>I$233*'Economic Projections'!$J10</f>
        <v>56625982.747607812</v>
      </c>
      <c r="J240" s="61">
        <f>J$233*'Economic Projections'!$J10</f>
        <v>86075439.356334716</v>
      </c>
      <c r="K240" s="61">
        <f>K$233*'Economic Projections'!$J10</f>
        <v>12169003.831971254</v>
      </c>
    </row>
    <row r="241" spans="5:11">
      <c r="E241">
        <v>2028</v>
      </c>
      <c r="F241" s="61">
        <f>F$233*'Economic Projections'!$J11</f>
        <v>675163905.90932238</v>
      </c>
      <c r="G241" s="61">
        <f>G$233*'Economic Projections'!$J11</f>
        <v>282057771.09733063</v>
      </c>
      <c r="H241" s="61">
        <f>H$233*'Economic Projections'!$J11</f>
        <v>530344010.93026698</v>
      </c>
      <c r="I241" s="61">
        <f>I$233*'Economic Projections'!$J11</f>
        <v>58170272.140123211</v>
      </c>
      <c r="J241" s="61">
        <f>J$233*'Economic Projections'!$J11</f>
        <v>88422866.835811093</v>
      </c>
      <c r="K241" s="61">
        <f>K$233*'Economic Projections'!$J11</f>
        <v>12500873.807967147</v>
      </c>
    </row>
    <row r="242" spans="5:11">
      <c r="E242">
        <v>2029</v>
      </c>
      <c r="F242" s="61">
        <f>F$233*'Economic Projections'!$J12</f>
        <v>693087983.27298772</v>
      </c>
      <c r="G242" s="61">
        <f>G$233*'Economic Projections'!$J12</f>
        <v>289545768.10949695</v>
      </c>
      <c r="H242" s="61">
        <f>H$233*'Economic Projections'!$J12</f>
        <v>544423447.04655027</v>
      </c>
      <c r="I242" s="61">
        <f>I$233*'Economic Projections'!$J12</f>
        <v>59714561.532638609</v>
      </c>
      <c r="J242" s="61">
        <f>J$233*'Economic Projections'!$J12</f>
        <v>90770294.315287471</v>
      </c>
      <c r="K242" s="61">
        <f>K$233*'Economic Projections'!$J12</f>
        <v>12832743.78396304</v>
      </c>
    </row>
    <row r="243" spans="5:11">
      <c r="E243">
        <v>2030</v>
      </c>
      <c r="F243" s="61">
        <f>F$233*'Economic Projections'!$J13</f>
        <v>711012060.63665283</v>
      </c>
      <c r="G243" s="61">
        <f>G$233*'Economic Projections'!$J13</f>
        <v>297033765.12166321</v>
      </c>
      <c r="H243" s="61">
        <f>H$233*'Economic Projections'!$J13</f>
        <v>558502883.16283357</v>
      </c>
      <c r="I243" s="61">
        <f>I$233*'Economic Projections'!$J13</f>
        <v>61258850.925153993</v>
      </c>
      <c r="J243" s="61">
        <f>J$233*'Economic Projections'!$J13</f>
        <v>93117721.794763848</v>
      </c>
      <c r="K243" s="61">
        <f>K$233*'Economic Projections'!$J13</f>
        <v>13164613.75995893</v>
      </c>
    </row>
    <row r="244" spans="5:11">
      <c r="E244">
        <v>2040</v>
      </c>
      <c r="F244" s="61">
        <f>F$233*'Economic Projections'!$J14</f>
        <v>837348688.78018475</v>
      </c>
      <c r="G244" s="61">
        <f>G$233*'Economic Projections'!$J14</f>
        <v>349812397.73254621</v>
      </c>
      <c r="H244" s="61">
        <f>H$233*'Economic Projections'!$J14</f>
        <v>657740821.55174541</v>
      </c>
      <c r="I244" s="61">
        <f>I$233*'Economic Projections'!$J14</f>
        <v>72143668.635420948</v>
      </c>
      <c r="J244" s="61">
        <f>J$233*'Economic Projections'!$J14</f>
        <v>109663403.14568788</v>
      </c>
      <c r="K244" s="61">
        <f>K$233*'Economic Projections'!$J14</f>
        <v>15503776.490554415</v>
      </c>
    </row>
    <row r="245" spans="5:11">
      <c r="E245">
        <v>2050</v>
      </c>
      <c r="F245" s="61">
        <f>F$233*'Economic Projections'!$J15</f>
        <v>936332399.59445584</v>
      </c>
      <c r="G245" s="61">
        <f>G$233*'Economic Projections'!$J15</f>
        <v>391164023.02361393</v>
      </c>
      <c r="H245" s="61">
        <f>H$233*'Economic Projections'!$J15</f>
        <v>735492931.44763863</v>
      </c>
      <c r="I245" s="61">
        <f>I$233*'Economic Projections'!$J15</f>
        <v>80671833.937371656</v>
      </c>
      <c r="J245" s="61">
        <f>J$233*'Economic Projections'!$J15</f>
        <v>122626808.62936345</v>
      </c>
      <c r="K245" s="61">
        <f>K$233*'Economic Projections'!$J15</f>
        <v>17336491.283367556</v>
      </c>
    </row>
    <row r="246" spans="5:11">
      <c r="E246">
        <v>2060</v>
      </c>
      <c r="F246" s="61">
        <f>F$233*'Economic Projections'!$J16</f>
        <v>1023195656.0233059</v>
      </c>
      <c r="G246" s="61">
        <f>G$233*'Economic Projections'!$J16</f>
        <v>427452183.99332643</v>
      </c>
      <c r="H246" s="61">
        <f>H$233*'Economic Projections'!$J16</f>
        <v>803724374.82566726</v>
      </c>
      <c r="I246" s="61">
        <f>I$233*'Economic Projections'!$J16</f>
        <v>88155734.100308001</v>
      </c>
      <c r="J246" s="61">
        <f>J$233*'Economic Projections'!$J16</f>
        <v>134002858.33952771</v>
      </c>
      <c r="K246" s="61">
        <f>K$233*'Economic Projections'!$J16</f>
        <v>18944792.019917861</v>
      </c>
    </row>
    <row r="247" spans="5:11">
      <c r="E247">
        <v>2070</v>
      </c>
      <c r="F247" s="61">
        <f>F$233*'Economic Projections'!$J17</f>
        <v>1114208257.1967146</v>
      </c>
      <c r="G247" s="61">
        <f>G$233*'Economic Projections'!$J17</f>
        <v>465473783.19917864</v>
      </c>
      <c r="H247" s="61">
        <f>H$233*'Economic Projections'!$J17</f>
        <v>875215145.48008204</v>
      </c>
      <c r="I247" s="61">
        <f>I$233*'Economic Projections'!$J17</f>
        <v>95997130.43696098</v>
      </c>
      <c r="J247" s="61">
        <f>J$233*'Economic Projections'!$J17</f>
        <v>145922327.14332649</v>
      </c>
      <c r="K247" s="61">
        <f>K$233*'Economic Projections'!$J17</f>
        <v>20629919.190143738</v>
      </c>
    </row>
    <row r="248" spans="5:11">
      <c r="E248">
        <v>2080</v>
      </c>
      <c r="F248" s="61">
        <f>F$233*'Economic Projections'!$J18</f>
        <v>1208496656.8526695</v>
      </c>
      <c r="G248" s="61">
        <f>G$233*'Economic Projections'!$J18</f>
        <v>504863886.27566731</v>
      </c>
      <c r="H248" s="61">
        <f>H$233*'Economic Projections'!$J18</f>
        <v>949279069.24743319</v>
      </c>
      <c r="I248" s="61">
        <f>I$233*'Economic Projections'!$J18</f>
        <v>104120760.5949692</v>
      </c>
      <c r="J248" s="61">
        <f>J$233*'Economic Projections'!$J18</f>
        <v>158270811.02104723</v>
      </c>
      <c r="K248" s="61">
        <f>K$233*'Economic Projections'!$J18</f>
        <v>22375698.808008213</v>
      </c>
    </row>
    <row r="249" spans="5:11">
      <c r="E249">
        <v>2090</v>
      </c>
      <c r="F249" s="61">
        <f>F$233*'Economic Projections'!$J19</f>
        <v>1310810762.7908623</v>
      </c>
      <c r="G249" s="61">
        <f>G$233*'Economic Projections'!$J19</f>
        <v>547606823.83521557</v>
      </c>
      <c r="H249" s="61">
        <f>H$233*'Economic Projections'!$J19</f>
        <v>1029647218.1414784</v>
      </c>
      <c r="I249" s="61">
        <f>I$233*'Economic Projections'!$J19</f>
        <v>112935863.61529773</v>
      </c>
      <c r="J249" s="61">
        <f>J$233*'Economic Projections'!$J19</f>
        <v>171670381.82987681</v>
      </c>
      <c r="K249" s="61">
        <f>K$233*'Economic Projections'!$J19</f>
        <v>24270076.922587268</v>
      </c>
    </row>
    <row r="250" spans="5:11">
      <c r="E250">
        <v>2100</v>
      </c>
      <c r="F250" s="61">
        <f>F$233*'Economic Projections'!$J20</f>
        <v>1427920558.5418892</v>
      </c>
      <c r="G250" s="61">
        <f>G$233*'Economic Projections'!$J20</f>
        <v>596530837.21047235</v>
      </c>
      <c r="H250" s="61">
        <f>H$233*'Economic Projections'!$J20</f>
        <v>1121637441.9289529</v>
      </c>
      <c r="I250" s="61">
        <f>I$233*'Economic Projections'!$J20</f>
        <v>123025722.72874744</v>
      </c>
      <c r="J250" s="61">
        <f>J$233*'Economic Projections'!$J20</f>
        <v>187007670.72258729</v>
      </c>
      <c r="K250" s="61">
        <f>K$233*'Economic Projections'!$J20</f>
        <v>26438401.925667353</v>
      </c>
    </row>
  </sheetData>
  <mergeCells count="15">
    <mergeCell ref="F61:K61"/>
    <mergeCell ref="B2:C2"/>
    <mergeCell ref="F2:K2"/>
    <mergeCell ref="F4:K4"/>
    <mergeCell ref="F23:K23"/>
    <mergeCell ref="F42:K42"/>
    <mergeCell ref="F194:K194"/>
    <mergeCell ref="F213:K213"/>
    <mergeCell ref="F232:K232"/>
    <mergeCell ref="F80:K80"/>
    <mergeCell ref="F99:K99"/>
    <mergeCell ref="F118:K118"/>
    <mergeCell ref="F137:K137"/>
    <mergeCell ref="F156:K156"/>
    <mergeCell ref="F175:K175"/>
  </mergeCells>
  <pageMargins left="0.7" right="0.7" top="0.75" bottom="0.75" header="0.3" footer="0.3"/>
  <pageSetup paperSize="9" orientation="portrait" horizontalDpi="0"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F1525-CC43-FB41-8162-27CCF9BC4DCE}">
  <sheetPr>
    <tabColor theme="9" tint="0.79998168889431442"/>
  </sheetPr>
  <dimension ref="A1"/>
  <sheetViews>
    <sheetView workbookViewId="0">
      <selection activeCell="T42" sqref="T42"/>
    </sheetView>
  </sheetViews>
  <sheetFormatPr defaultColWidth="11.42578125" defaultRowHeight="1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4B3DEA-7FEB-5642-AD88-C548B0784A90}">
  <sheetPr>
    <tabColor theme="9" tint="0.79998168889431442"/>
  </sheetPr>
  <dimension ref="B2:L269"/>
  <sheetViews>
    <sheetView topLeftCell="A241" workbookViewId="0">
      <selection activeCell="K269" sqref="K269"/>
    </sheetView>
  </sheetViews>
  <sheetFormatPr defaultColWidth="11.42578125" defaultRowHeight="15"/>
  <cols>
    <col min="1" max="1" width="2" customWidth="1"/>
    <col min="2" max="2" width="33.140625" bestFit="1" customWidth="1"/>
    <col min="6" max="11" width="15.7109375" customWidth="1"/>
  </cols>
  <sheetData>
    <row r="2" spans="2:11">
      <c r="B2" s="582" t="s">
        <v>228</v>
      </c>
      <c r="C2" s="582"/>
      <c r="F2" s="582" t="s">
        <v>204</v>
      </c>
      <c r="G2" s="582"/>
      <c r="H2" s="582"/>
      <c r="I2" s="582"/>
      <c r="J2" s="582"/>
      <c r="K2" s="582"/>
    </row>
    <row r="3" spans="2:11">
      <c r="B3" t="s">
        <v>229</v>
      </c>
      <c r="C3" s="59">
        <v>1.2999999999999999E-2</v>
      </c>
      <c r="F3" s="185" t="s">
        <v>230</v>
      </c>
      <c r="G3" s="185" t="s">
        <v>3</v>
      </c>
      <c r="H3" s="185" t="s">
        <v>231</v>
      </c>
      <c r="I3" s="185" t="s">
        <v>5</v>
      </c>
      <c r="J3" s="185" t="s">
        <v>232</v>
      </c>
      <c r="K3" s="185" t="s">
        <v>233</v>
      </c>
    </row>
    <row r="4" spans="2:11">
      <c r="B4" t="s">
        <v>234</v>
      </c>
      <c r="C4" s="59">
        <f>0.05/10</f>
        <v>5.0000000000000001E-3</v>
      </c>
      <c r="F4" s="581" t="s">
        <v>235</v>
      </c>
      <c r="G4" s="581"/>
      <c r="H4" s="581"/>
      <c r="I4" s="581"/>
      <c r="J4" s="581"/>
      <c r="K4" s="581"/>
    </row>
    <row r="5" spans="2:11">
      <c r="B5" t="s">
        <v>236</v>
      </c>
      <c r="C5">
        <v>0.25</v>
      </c>
      <c r="E5">
        <v>2020</v>
      </c>
      <c r="F5" s="61">
        <f>'Demographic-Economic'!C10</f>
        <v>6306408</v>
      </c>
      <c r="G5" s="61">
        <f>'Demographic-Economic'!D10</f>
        <v>4212348</v>
      </c>
      <c r="H5" s="61">
        <f>'Demographic-Economic'!E10</f>
        <v>4993764</v>
      </c>
      <c r="I5" s="61">
        <f>'Demographic-Economic'!F10</f>
        <v>1010676</v>
      </c>
      <c r="J5" s="61">
        <f>'Demographic-Economic'!G10</f>
        <v>1266672</v>
      </c>
      <c r="K5" s="61">
        <f>'Demographic-Economic'!H10</f>
        <v>307884</v>
      </c>
    </row>
    <row r="6" spans="2:11">
      <c r="B6" t="s">
        <v>237</v>
      </c>
      <c r="C6" s="180">
        <f>'Inflation-Interest'!C70</f>
        <v>3.7539166666666658E-2</v>
      </c>
      <c r="E6">
        <v>2021</v>
      </c>
      <c r="F6" s="61">
        <f>(F5+0.5*F81)*('Economic Projections'!$E4/'Economic Projections'!$E3)</f>
        <v>6332301.8606622526</v>
      </c>
      <c r="G6" s="61">
        <f>(G5+0.5*G81)*('Economic Projections'!$E4/'Economic Projections'!$E3)</f>
        <v>4212682.75613245</v>
      </c>
      <c r="H6" s="61">
        <f>(H5+0.5*H81)*('Economic Projections'!$E4/'Economic Projections'!$E3)</f>
        <v>5049706.491034003</v>
      </c>
      <c r="I6" s="61">
        <f>(I5+0.5*I81)*('Economic Projections'!$E4/'Economic Projections'!$E3)</f>
        <v>1028432.3253822434</v>
      </c>
      <c r="J6" s="61">
        <f>(J5+0.5*J81)*('Economic Projections'!$E4/'Economic Projections'!$E3)</f>
        <v>1282244.7132671527</v>
      </c>
      <c r="K6" s="61">
        <f>(K5+0.5*K81)*('Economic Projections'!$E4/'Economic Projections'!$E3)</f>
        <v>312236.51577355445</v>
      </c>
    </row>
    <row r="7" spans="2:11">
      <c r="E7">
        <v>2022</v>
      </c>
      <c r="F7" s="61">
        <f>(F6+0.5*F82)*('Economic Projections'!$E5/'Economic Projections'!$E4)</f>
        <v>6358026.8369711917</v>
      </c>
      <c r="G7" s="61">
        <f>(G6+0.5*G82)*('Economic Projections'!$E5/'Economic Projections'!$E4)</f>
        <v>4212835.188732177</v>
      </c>
      <c r="H7" s="61">
        <f>(H6+0.5*H82)*('Economic Projections'!$E5/'Economic Projections'!$E4)</f>
        <v>5107173.6449785195</v>
      </c>
      <c r="I7" s="61">
        <f>(I6+0.5*I82)*('Economic Projections'!$E5/'Economic Projections'!$E4)</f>
        <v>1045287.6988392994</v>
      </c>
      <c r="J7" s="61">
        <f>(J6+0.5*J82)*('Economic Projections'!$E5/'Economic Projections'!$E4)</f>
        <v>1297505.8249991394</v>
      </c>
      <c r="K7" s="61">
        <f>(K6+0.5*K82)*('Economic Projections'!$E5/'Economic Projections'!$E4)</f>
        <v>316628.12998297985</v>
      </c>
    </row>
    <row r="8" spans="2:11">
      <c r="E8">
        <v>2023</v>
      </c>
      <c r="F8" s="61">
        <f>(F7+0.5*F83)*('Economic Projections'!$E6/'Economic Projections'!$E5)</f>
        <v>6383583.6115119578</v>
      </c>
      <c r="G8" s="61">
        <f>(G7+0.5*G83)*('Economic Projections'!$E6/'Economic Projections'!$E5)</f>
        <v>4212807.6538616624</v>
      </c>
      <c r="H8" s="61">
        <f>(H7+0.5*H83)*('Economic Projections'!$E6/'Economic Projections'!$E5)</f>
        <v>5166075.7641805634</v>
      </c>
      <c r="I8" s="61">
        <f>(I7+0.5*I83)*('Economic Projections'!$E6/'Economic Projections'!$E5)</f>
        <v>1061308.20263663</v>
      </c>
      <c r="J8" s="61">
        <f>(J7+0.5*J83)*('Economic Projections'!$E6/'Economic Projections'!$E5)</f>
        <v>1312477.9000136582</v>
      </c>
      <c r="K8" s="61">
        <f>(K7+0.5*K83)*('Economic Projections'!$E6/'Economic Projections'!$E5)</f>
        <v>321056.85455048969</v>
      </c>
    </row>
    <row r="9" spans="2:11">
      <c r="E9">
        <v>2024</v>
      </c>
      <c r="F9" s="61">
        <f>(F8+0.5*F84)*('Economic Projections'!$E7/'Economic Projections'!$E6)</f>
        <v>6408972.8645122899</v>
      </c>
      <c r="G9" s="61">
        <f>(G8+0.5*G84)*('Economic Projections'!$E7/'Economic Projections'!$E6)</f>
        <v>4212602.4846577402</v>
      </c>
      <c r="H9" s="61">
        <f>(H8+0.5*H84)*('Economic Projections'!$E7/'Economic Projections'!$E6)</f>
        <v>5226328.1589526515</v>
      </c>
      <c r="I9" s="61">
        <f>(I8+0.5*I84)*('Economic Projections'!$E7/'Economic Projections'!$E6)</f>
        <v>1076556.0974682006</v>
      </c>
      <c r="J9" s="61">
        <f>(J8+0.5*J84)*('Economic Projections'!$E7/'Economic Projections'!$E6)</f>
        <v>1327182.2267880545</v>
      </c>
      <c r="K9" s="61">
        <f>(K8+0.5*K84)*('Economic Projections'!$E7/'Economic Projections'!$E6)</f>
        <v>325520.81662768131</v>
      </c>
    </row>
    <row r="10" spans="2:11">
      <c r="E10">
        <v>2025</v>
      </c>
      <c r="F10" s="61">
        <f>(F9+0.5*F85)*('Economic Projections'!$E8/'Economic Projections'!$E7)</f>
        <v>6434195.2738500489</v>
      </c>
      <c r="G10" s="61">
        <f>(G9+0.5*G85)*('Economic Projections'!$E8/'Economic Projections'!$E7)</f>
        <v>4212221.9915300943</v>
      </c>
      <c r="H10" s="61">
        <f>(H9+0.5*H85)*('Economic Projections'!$E8/'Economic Projections'!$E7)</f>
        <v>5287851.1140182903</v>
      </c>
      <c r="I10" s="61">
        <f>(I9+0.5*I85)*('Economic Projections'!$E8/'Economic Projections'!$E7)</f>
        <v>1091089.8521123256</v>
      </c>
      <c r="J10" s="61">
        <f>(J9+0.5*J85)*('Economic Projections'!$E8/'Economic Projections'!$E7)</f>
        <v>1341638.8225990292</v>
      </c>
      <c r="K10" s="61">
        <f>(K9+0.5*K85)*('Economic Projections'!$E8/'Economic Projections'!$E7)</f>
        <v>330018.25714848842</v>
      </c>
    </row>
    <row r="11" spans="2:11">
      <c r="E11">
        <v>2026</v>
      </c>
      <c r="F11" s="61">
        <f>(F10+0.5*F86)*('Economic Projections'!$E9/'Economic Projections'!$E8)</f>
        <v>6459251.5150607135</v>
      </c>
      <c r="G11" s="61">
        <f>(G10+0.5*G86)*('Economic Projections'!$E9/'Economic Projections'!$E8)</f>
        <v>4211668.4623581292</v>
      </c>
      <c r="H11" s="61">
        <f>(H10+0.5*H86)*('Economic Projections'!$E9/'Economic Projections'!$E8)</f>
        <v>5350569.8038434256</v>
      </c>
      <c r="I11" s="61">
        <f>(I10+0.5*I86)*('Economic Projections'!$E9/'Economic Projections'!$E8)</f>
        <v>1104964.2116503473</v>
      </c>
      <c r="J11" s="61">
        <f>(J10+0.5*J86)*('Economic Projections'!$E9/'Economic Projections'!$E8)</f>
        <v>1355866.4522909562</v>
      </c>
      <c r="K11" s="61">
        <f>(K10+0.5*K86)*('Economic Projections'!$E9/'Economic Projections'!$E8)</f>
        <v>334547.52830635599</v>
      </c>
    </row>
    <row r="12" spans="2:11">
      <c r="E12">
        <v>2027</v>
      </c>
      <c r="F12" s="61">
        <f>(F11+0.5*F87)*('Economic Projections'!$E10/'Economic Projections'!$E9)</f>
        <v>6484142.261344865</v>
      </c>
      <c r="G12" s="61">
        <f>(G11+0.5*G87)*('Economic Projections'!$E10/'Economic Projections'!$E9)</f>
        <v>4210944.1626862586</v>
      </c>
      <c r="H12" s="61">
        <f>(H11+0.5*H87)*('Economic Projections'!$E10/'Economic Projections'!$E9)</f>
        <v>5414414.1662279824</v>
      </c>
      <c r="I12" s="61">
        <f>(I11+0.5*I87)*('Economic Projections'!$E10/'Economic Projections'!$E9)</f>
        <v>1118230.2971072684</v>
      </c>
      <c r="J12" s="61">
        <f>(J11+0.5*J87)*('Economic Projections'!$E10/'Economic Projections'!$E9)</f>
        <v>1369882.6582343541</v>
      </c>
      <c r="K12" s="61">
        <f>(K11+0.5*K87)*('Economic Projections'!$E10/'Economic Projections'!$E9)</f>
        <v>339107.09016085503</v>
      </c>
    </row>
    <row r="13" spans="2:11">
      <c r="E13">
        <v>2028</v>
      </c>
      <c r="F13" s="61">
        <f>(F12+0.5*F88)*('Economic Projections'!$E11/'Economic Projections'!$E10)</f>
        <v>6508868.1835756265</v>
      </c>
      <c r="G13" s="61">
        <f>(G12+0.5*G88)*('Economic Projections'!$E11/'Economic Projections'!$E10)</f>
        <v>4210051.3359175874</v>
      </c>
      <c r="H13" s="61">
        <f>(H12+0.5*H88)*('Economic Projections'!$E11/'Economic Projections'!$E10)</f>
        <v>5479318.7428430449</v>
      </c>
      <c r="I13" s="61">
        <f>(I12+0.5*I88)*('Economic Projections'!$E11/'Economic Projections'!$E10)</f>
        <v>1130935.7299053122</v>
      </c>
      <c r="J13" s="61">
        <f>(J12+0.5*J88)*('Economic Projections'!$E11/'Economic Projections'!$E10)</f>
        <v>1383703.7992078168</v>
      </c>
      <c r="K13" s="61">
        <f>(K12+0.5*K88)*('Economic Projections'!$E11/'Economic Projections'!$E10)</f>
        <v>343695.50656385155</v>
      </c>
    </row>
    <row r="14" spans="2:11">
      <c r="E14">
        <v>2029</v>
      </c>
      <c r="F14" s="61">
        <f>(F13+0.5*F89)*('Economic Projections'!$E12/'Economic Projections'!$E11)</f>
        <v>6533429.9503061008</v>
      </c>
      <c r="G14" s="61">
        <f>(G13+0.5*G89)*('Economic Projections'!$E12/'Economic Projections'!$E11)</f>
        <v>4208992.2035060357</v>
      </c>
      <c r="H14" s="61">
        <f>(H13+0.5*H89)*('Economic Projections'!$E12/'Economic Projections'!$E11)</f>
        <v>5545222.494587712</v>
      </c>
      <c r="I14" s="61">
        <f>(I13+0.5*I89)*('Economic Projections'!$E12/'Economic Projections'!$E11)</f>
        <v>1143124.7751455123</v>
      </c>
      <c r="J14" s="61">
        <f>(J13+0.5*J89)*('Economic Projections'!$E12/'Economic Projections'!$E11)</f>
        <v>1397345.0961420778</v>
      </c>
      <c r="K14" s="61">
        <f>(K13+0.5*K89)*('Economic Projections'!$E12/'Economic Projections'!$E11)</f>
        <v>348311.4405774569</v>
      </c>
    </row>
    <row r="15" spans="2:11">
      <c r="E15">
        <v>2030</v>
      </c>
      <c r="F15" s="61">
        <f>(F14+0.5*F90)*('Economic Projections'!$E13/'Economic Projections'!$E12)</f>
        <v>6557828.227776777</v>
      </c>
      <c r="G15" s="61">
        <f>(G14+0.5*G90)*('Economic Projections'!$E13/'Economic Projections'!$E12)</f>
        <v>4207768.9651468927</v>
      </c>
      <c r="H15" s="61">
        <f>(H14+0.5*H90)*('Economic Projections'!$E13/'Economic Projections'!$E12)</f>
        <v>5612068.5987603934</v>
      </c>
      <c r="I15" s="61">
        <f>(I14+0.5*I90)*('Economic Projections'!$E13/'Economic Projections'!$E12)</f>
        <v>1154838.4984066451</v>
      </c>
      <c r="J15" s="61">
        <f>(J14+0.5*J90)*('Economic Projections'!$E13/'Economic Projections'!$E12)</f>
        <v>1410820.6828893097</v>
      </c>
      <c r="K15" s="61">
        <f>(K14+0.5*K90)*('Economic Projections'!$E13/'Economic Projections'!$E12)</f>
        <v>352953.64953653829</v>
      </c>
    </row>
    <row r="16" spans="2:11">
      <c r="E16">
        <v>2040</v>
      </c>
      <c r="F16" s="61">
        <f>(F15+5*F91)*('Economic Projections'!$E14/'Economic Projections'!$E13)</f>
        <v>6671877.4143468076</v>
      </c>
      <c r="G16" s="61">
        <f>(G15+5*G91)*('Economic Projections'!$E14/'Economic Projections'!$E13)</f>
        <v>4105318.938169403</v>
      </c>
      <c r="H16" s="61">
        <f>(H15+5*H91)*('Economic Projections'!$E14/'Economic Projections'!$E13)</f>
        <v>6197029.3073781775</v>
      </c>
      <c r="I16" s="61">
        <f>(I15+5*I91)*('Economic Projections'!$E14/'Economic Projections'!$E13)</f>
        <v>1247603.9223306</v>
      </c>
      <c r="J16" s="61">
        <f>(J15+5*J91)*('Economic Projections'!$E14/'Economic Projections'!$E13)</f>
        <v>1519450.8058671574</v>
      </c>
      <c r="K16" s="61">
        <f>(K15+5*K91)*('Economic Projections'!$E14/'Economic Projections'!$E13)</f>
        <v>393966.87018599885</v>
      </c>
    </row>
    <row r="17" spans="5:11">
      <c r="E17">
        <v>2050</v>
      </c>
      <c r="F17" s="61">
        <f>(F16+5*F92)*('Economic Projections'!$E15/'Economic Projections'!$E14)</f>
        <v>6644475.0606807396</v>
      </c>
      <c r="G17" s="61">
        <f>(G16+5*G92)*('Economic Projections'!$E15/'Economic Projections'!$E14)</f>
        <v>3920726.204485286</v>
      </c>
      <c r="H17" s="61">
        <f>(H16+5*H92)*('Economic Projections'!$E15/'Economic Projections'!$E14)</f>
        <v>6701748.2885405095</v>
      </c>
      <c r="I17" s="61">
        <f>(I16+5*I92)*('Economic Projections'!$E15/'Economic Projections'!$E14)</f>
        <v>1285821.2091002993</v>
      </c>
      <c r="J17" s="61">
        <f>(J16+5*J92)*('Economic Projections'!$E15/'Economic Projections'!$E14)</f>
        <v>1586985.6528807818</v>
      </c>
      <c r="K17" s="61">
        <f>(K16+5*K92)*('Economic Projections'!$E15/'Economic Projections'!$E14)</f>
        <v>426960.42669648671</v>
      </c>
    </row>
    <row r="18" spans="5:11">
      <c r="E18">
        <v>2060</v>
      </c>
      <c r="F18" s="61">
        <f>(F17+5*F93)*('Economic Projections'!$E16/'Economic Projections'!$E15)</f>
        <v>6485913.7240054039</v>
      </c>
      <c r="G18" s="61">
        <f>(G17+5*G93)*('Economic Projections'!$E16/'Economic Projections'!$E15)</f>
        <v>3670151.5874422197</v>
      </c>
      <c r="H18" s="61">
        <f>(H17+5*H93)*('Economic Projections'!$E16/'Economic Projections'!$E15)</f>
        <v>7071424.0581660615</v>
      </c>
      <c r="I18" s="61">
        <f>(I17+5*I93)*('Economic Projections'!$E16/'Economic Projections'!$E15)</f>
        <v>1292813.2437966631</v>
      </c>
      <c r="J18" s="61">
        <f>(J17+5*J93)*('Economic Projections'!$E16/'Economic Projections'!$E15)</f>
        <v>1620216.4835358311</v>
      </c>
      <c r="K18" s="61">
        <f>(K17+5*K93)*('Economic Projections'!$E16/'Economic Projections'!$E15)</f>
        <v>450168.27788825548</v>
      </c>
    </row>
    <row r="19" spans="5:11">
      <c r="E19">
        <v>2070</v>
      </c>
      <c r="F19" s="61">
        <f>(F18+5*F94)*('Economic Projections'!$E17/'Economic Projections'!$E16)</f>
        <v>6228062.7884119423</v>
      </c>
      <c r="G19" s="61">
        <f>(G18+5*G94)*('Economic Projections'!$E17/'Economic Projections'!$E16)</f>
        <v>3379658.4484082311</v>
      </c>
      <c r="H19" s="61">
        <f>(H18+5*H94)*('Economic Projections'!$E17/'Economic Projections'!$E16)</f>
        <v>7303816.4248647606</v>
      </c>
      <c r="I19" s="61">
        <f>(I18+5*I94)*('Economic Projections'!$E17/'Economic Projections'!$E16)</f>
        <v>1278446.0115968289</v>
      </c>
      <c r="J19" s="61">
        <f>(J18+5*J94)*('Economic Projections'!$E17/'Economic Projections'!$E16)</f>
        <v>1624955.9718300572</v>
      </c>
      <c r="K19" s="61">
        <f>(K18+5*K94)*('Economic Projections'!$E17/'Economic Projections'!$E16)</f>
        <v>464130.80786831351</v>
      </c>
    </row>
    <row r="20" spans="5:11">
      <c r="E20">
        <v>2080</v>
      </c>
      <c r="F20" s="61">
        <f>(F19+5*F95)*('Economic Projections'!$E18/'Economic Projections'!$E17)</f>
        <v>5885740.1883396534</v>
      </c>
      <c r="G20" s="61">
        <f>(G19+5*G95)*('Economic Projections'!$E18/'Economic Projections'!$E17)</f>
        <v>3062865.4047217383</v>
      </c>
      <c r="H20" s="61">
        <f>(H19+5*H95)*('Economic Projections'!$E18/'Economic Projections'!$E17)</f>
        <v>7391893.9887430388</v>
      </c>
      <c r="I20" s="61">
        <f>(I19+5*I95)*('Economic Projections'!$E18/'Economic Projections'!$E17)</f>
        <v>1244733.3175387816</v>
      </c>
      <c r="J20" s="61">
        <f>(J19+5*J95)*('Economic Projections'!$E18/'Economic Projections'!$E17)</f>
        <v>1601890.2007385534</v>
      </c>
      <c r="K20" s="61">
        <f>(K19+5*K95)*('Economic Projections'!$E18/'Economic Projections'!$E17)</f>
        <v>468713.5091897549</v>
      </c>
    </row>
    <row r="21" spans="5:11">
      <c r="E21">
        <v>2090</v>
      </c>
      <c r="F21" s="61">
        <f>(F20+5*F96)*('Economic Projections'!$E19/'Economic Projections'!$E18)</f>
        <v>5479660.0040039029</v>
      </c>
      <c r="G21" s="61">
        <f>(G20+5*G96)*('Economic Projections'!$E19/'Economic Projections'!$E18)</f>
        <v>2734559.8501509861</v>
      </c>
      <c r="H21" s="61">
        <f>(H20+5*H96)*('Economic Projections'!$E19/'Economic Projections'!$E18)</f>
        <v>7342109.5508628134</v>
      </c>
      <c r="I21" s="61">
        <f>(I20+5*I96)*('Economic Projections'!$E19/'Economic Projections'!$E18)</f>
        <v>1194317.3196402411</v>
      </c>
      <c r="J21" s="61">
        <f>(J20+5*J96)*('Economic Projections'!$E19/'Economic Projections'!$E18)</f>
        <v>1553782.914710585</v>
      </c>
      <c r="K21" s="61">
        <f>(K20+5*K96)*('Economic Projections'!$E19/'Economic Projections'!$E18)</f>
        <v>464497.26924074232</v>
      </c>
    </row>
    <row r="22" spans="5:11">
      <c r="E22">
        <v>2100</v>
      </c>
      <c r="F22" s="61">
        <f>(F21+5*F97)*('Economic Projections'!$E20/'Economic Projections'!$E19)</f>
        <v>5035618.589886345</v>
      </c>
      <c r="G22" s="61">
        <f>(G21+5*G97)*('Economic Projections'!$E20/'Economic Projections'!$E19)</f>
        <v>2409870.157598576</v>
      </c>
      <c r="H22" s="61">
        <f>(H21+5*H97)*('Economic Projections'!$E20/'Economic Projections'!$E19)</f>
        <v>7174838.1006861823</v>
      </c>
      <c r="I22" s="61">
        <f>(I21+5*I97)*('Economic Projections'!$E20/'Economic Projections'!$E19)</f>
        <v>1131258.4516724565</v>
      </c>
      <c r="J22" s="61">
        <f>(J21+5*J97)*('Economic Projections'!$E20/'Economic Projections'!$E19)</f>
        <v>1485789.3731876388</v>
      </c>
      <c r="K22" s="61">
        <f>(K21+5*K97)*('Economic Projections'!$E20/'Economic Projections'!$E19)</f>
        <v>452878.27531317068</v>
      </c>
    </row>
    <row r="23" spans="5:11">
      <c r="F23" s="581" t="s">
        <v>239</v>
      </c>
      <c r="G23" s="581"/>
      <c r="H23" s="581"/>
      <c r="I23" s="581"/>
      <c r="J23" s="581"/>
      <c r="K23" s="581"/>
    </row>
    <row r="24" spans="5:11">
      <c r="E24">
        <v>2020</v>
      </c>
      <c r="F24" s="61">
        <f>'Demographic-Economic'!C14</f>
        <v>2791896</v>
      </c>
      <c r="G24" s="61">
        <f>'Demographic-Economic'!D14</f>
        <v>2523732</v>
      </c>
      <c r="H24" s="61">
        <f>'Demographic-Economic'!E14</f>
        <v>2212536</v>
      </c>
      <c r="I24" s="61">
        <f>'Demographic-Economic'!F14</f>
        <v>496548</v>
      </c>
      <c r="J24" s="61">
        <f>'Demographic-Economic'!G14</f>
        <v>566592</v>
      </c>
      <c r="K24" s="61">
        <f>'Demographic-Economic'!H14</f>
        <v>135480</v>
      </c>
    </row>
    <row r="25" spans="5:11">
      <c r="E25">
        <v>2021</v>
      </c>
      <c r="F25" s="322" t="s">
        <v>240</v>
      </c>
      <c r="G25" s="322" t="s">
        <v>240</v>
      </c>
      <c r="H25" s="61">
        <f>H24*'Demographic-Economic'!E$20</f>
        <v>2251692</v>
      </c>
      <c r="I25" s="61">
        <v>497628</v>
      </c>
      <c r="J25" s="61">
        <f>J24*('Demographic-Economic'!G$20)</f>
        <v>571248</v>
      </c>
      <c r="K25" s="61">
        <f>K24*('Demographic-Economic'!H$20)</f>
        <v>137808</v>
      </c>
    </row>
    <row r="26" spans="5:11">
      <c r="E26">
        <v>2022</v>
      </c>
      <c r="F26" s="322" t="s">
        <v>240</v>
      </c>
      <c r="G26" s="322" t="s">
        <v>240</v>
      </c>
      <c r="H26" s="61">
        <f>H25*'Demographic-Economic'!E$20</f>
        <v>2291540.9570122249</v>
      </c>
      <c r="I26" s="61">
        <f>I25*('Demographic-Economic'!F$20)</f>
        <v>498710.34901761764</v>
      </c>
      <c r="J26" s="61">
        <f>J25*('Demographic-Economic'!G$20)</f>
        <v>575942.26092849881</v>
      </c>
      <c r="K26" s="61">
        <f>K25*('Demographic-Economic'!H$20)</f>
        <v>140176.00283436669</v>
      </c>
    </row>
    <row r="27" spans="5:11">
      <c r="E27">
        <v>2023</v>
      </c>
      <c r="F27" s="322" t="s">
        <v>240</v>
      </c>
      <c r="G27" s="322" t="s">
        <v>240</v>
      </c>
      <c r="H27" s="61">
        <f>H26*'Demographic-Economic'!E$20</f>
        <v>2332095.1345319445</v>
      </c>
      <c r="I27" s="61">
        <f>I26*('Demographic-Economic'!F$20)</f>
        <v>499795.05216200458</v>
      </c>
      <c r="J27" s="61">
        <f>J26*('Demographic-Economic'!G$20)</f>
        <v>580675.09719671845</v>
      </c>
      <c r="K27" s="61">
        <f>K26*('Demographic-Economic'!H$20)</f>
        <v>142584.69588572782</v>
      </c>
    </row>
    <row r="28" spans="5:11">
      <c r="E28">
        <v>2024</v>
      </c>
      <c r="F28" s="322" t="s">
        <v>240</v>
      </c>
      <c r="G28" s="322" t="s">
        <v>240</v>
      </c>
      <c r="H28" s="61">
        <f>H27*'Demographic-Economic'!E$20</f>
        <v>2373367.0130856642</v>
      </c>
      <c r="I28" s="61">
        <f>I27*('Demographic-Economic'!F$20)</f>
        <v>500882.11455342488</v>
      </c>
      <c r="J28" s="61">
        <f>J27*('Demographic-Economic'!G$20)</f>
        <v>585446.82579957182</v>
      </c>
      <c r="K28" s="61">
        <f>K27*('Demographic-Economic'!H$20)</f>
        <v>145034.77834824607</v>
      </c>
    </row>
    <row r="29" spans="5:11">
      <c r="E29">
        <v>2025</v>
      </c>
      <c r="F29" s="322" t="s">
        <v>240</v>
      </c>
      <c r="G29" s="322" t="s">
        <v>240</v>
      </c>
      <c r="H29" s="61">
        <f>H28*'Demographic-Economic'!E$20</f>
        <v>2415369.2940719994</v>
      </c>
      <c r="I29" s="61">
        <f>I28*('Demographic-Economic'!F$20)</f>
        <v>501971.54132327938</v>
      </c>
      <c r="J29" s="61">
        <f>J28*('Demographic-Economic'!G$20)</f>
        <v>590257.76633689459</v>
      </c>
      <c r="K29" s="61">
        <f>K28*('Demographic-Economic'!H$20)</f>
        <v>147526.96143058085</v>
      </c>
    </row>
    <row r="30" spans="5:11">
      <c r="E30">
        <v>2026</v>
      </c>
      <c r="F30" s="322" t="s">
        <v>240</v>
      </c>
      <c r="G30" s="322" t="s">
        <v>240</v>
      </c>
      <c r="H30" s="61">
        <f>H29*'Demographic-Economic'!E$20</f>
        <v>2458114.9036705247</v>
      </c>
      <c r="I30" s="61">
        <f>I29*('Demographic-Economic'!F$20)</f>
        <v>503063.3376141297</v>
      </c>
      <c r="J30" s="61">
        <f>J29*('Demographic-Economic'!G$20)</f>
        <v>595108.24103485106</v>
      </c>
      <c r="K30" s="61">
        <f>K29*('Demographic-Economic'!H$20)</f>
        <v>150061.96856233751</v>
      </c>
    </row>
    <row r="31" spans="5:11">
      <c r="E31">
        <v>2027</v>
      </c>
      <c r="F31" s="322" t="s">
        <v>240</v>
      </c>
      <c r="G31" s="322" t="s">
        <v>240</v>
      </c>
      <c r="H31" s="61">
        <f>H30*'Demographic-Economic'!E$20</f>
        <v>2501616.9968197993</v>
      </c>
      <c r="I31" s="61">
        <f>I30*('Demographic-Economic'!F$20)</f>
        <v>504157.50857972272</v>
      </c>
      <c r="J31" s="61">
        <f>J30*('Demographic-Economic'!G$20)</f>
        <v>599998.57476751623</v>
      </c>
      <c r="K31" s="61">
        <f>K30*('Demographic-Economic'!H$20)</f>
        <v>152640.53560406412</v>
      </c>
    </row>
    <row r="32" spans="5:11">
      <c r="E32">
        <v>2028</v>
      </c>
      <c r="F32" s="322" t="s">
        <v>240</v>
      </c>
      <c r="G32" s="322" t="s">
        <v>240</v>
      </c>
      <c r="H32" s="61">
        <f>H31*'Demographic-Economic'!E$20</f>
        <v>2545888.9612657907</v>
      </c>
      <c r="I32" s="61">
        <f>I31*('Demographic-Economic'!F$20)</f>
        <v>505254.0593850147</v>
      </c>
      <c r="J32" s="61">
        <f>J31*('Demographic-Economic'!G$20)</f>
        <v>604929.09507863526</v>
      </c>
      <c r="K32" s="61">
        <f>K31*('Demographic-Economic'!H$20)</f>
        <v>155263.41106085671</v>
      </c>
    </row>
    <row r="33" spans="5:11">
      <c r="E33">
        <v>2029</v>
      </c>
      <c r="F33" s="322" t="s">
        <v>240</v>
      </c>
      <c r="G33" s="322" t="s">
        <v>240</v>
      </c>
      <c r="H33" s="61">
        <f>H32*'Demographic-Economic'!E$20</f>
        <v>2590944.421681948</v>
      </c>
      <c r="I33" s="61">
        <f>I32*('Demographic-Economic'!F$20)</f>
        <v>506352.9952061958</v>
      </c>
      <c r="J33" s="61">
        <f>J32*('Demographic-Economic'!G$20)</f>
        <v>609900.13220356137</v>
      </c>
      <c r="K33" s="61">
        <f>K32*('Demographic-Economic'!H$20)</f>
        <v>157931.35629963494</v>
      </c>
    </row>
    <row r="34" spans="5:11">
      <c r="E34">
        <v>2030</v>
      </c>
      <c r="F34" s="322" t="s">
        <v>240</v>
      </c>
      <c r="G34" s="322" t="s">
        <v>240</v>
      </c>
      <c r="H34" s="61">
        <f>H33*'Demographic-Economic'!E$20</f>
        <v>2636797.2438621875</v>
      </c>
      <c r="I34" s="61">
        <f>I33*('Demographic-Economic'!F$20)</f>
        <v>507454.3212307145</v>
      </c>
      <c r="J34" s="61">
        <f>J33*('Demographic-Economic'!G$20)</f>
        <v>614912.01909137436</v>
      </c>
      <c r="K34" s="61">
        <f>K33*('Demographic-Economic'!H$20)</f>
        <v>160645.14577015123</v>
      </c>
    </row>
    <row r="35" spans="5:11">
      <c r="E35">
        <v>2040</v>
      </c>
      <c r="F35" s="322" t="s">
        <v>240</v>
      </c>
      <c r="G35" s="322" t="s">
        <v>240</v>
      </c>
      <c r="H35" s="61">
        <f>H34*('Demographic-Economic'!E$20)^10</f>
        <v>3142412.0128392149</v>
      </c>
      <c r="I35" s="61">
        <f>I34*('Demographic-Economic'!F$20)^10</f>
        <v>518600.1919969974</v>
      </c>
      <c r="J35" s="61">
        <f>J34*('Demographic-Economic'!G$20)^10</f>
        <v>667352.85924091854</v>
      </c>
      <c r="K35" s="61">
        <f>K34*('Demographic-Economic'!H$20)^10</f>
        <v>190484.66828692899</v>
      </c>
    </row>
    <row r="36" spans="5:11">
      <c r="E36">
        <v>2050</v>
      </c>
      <c r="F36" s="322" t="s">
        <v>240</v>
      </c>
      <c r="G36" s="322" t="s">
        <v>240</v>
      </c>
      <c r="H36" s="61">
        <f>H35*('Demographic-Economic'!E$20)^10</f>
        <v>3744980.1198868025</v>
      </c>
      <c r="I36" s="61">
        <f>I35*('Demographic-Economic'!F$20)^10</f>
        <v>529990.87383285083</v>
      </c>
      <c r="J36" s="61">
        <f>J35*('Demographic-Economic'!G$20)^10</f>
        <v>724265.95172934793</v>
      </c>
      <c r="K36" s="61">
        <f>K35*('Demographic-Economic'!H$20)^10</f>
        <v>225866.82391447164</v>
      </c>
    </row>
    <row r="37" spans="5:11">
      <c r="E37">
        <v>2060</v>
      </c>
      <c r="F37" s="322" t="s">
        <v>240</v>
      </c>
      <c r="G37" s="322" t="s">
        <v>240</v>
      </c>
      <c r="H37" s="61">
        <f>H36*('Demographic-Economic'!E$20)^10</f>
        <v>4463092.6947340975</v>
      </c>
      <c r="I37" s="61">
        <f>I36*('Demographic-Economic'!F$20)^10</f>
        <v>541631.74383810314</v>
      </c>
      <c r="J37" s="61">
        <f>J36*('Demographic-Economic'!G$20)^10</f>
        <v>786032.69855033059</v>
      </c>
      <c r="K37" s="61">
        <f>K36*('Demographic-Economic'!H$20)^10</f>
        <v>267821.14594317524</v>
      </c>
    </row>
    <row r="38" spans="5:11">
      <c r="E38">
        <v>2070</v>
      </c>
      <c r="F38" s="322" t="s">
        <v>240</v>
      </c>
      <c r="G38" s="322" t="s">
        <v>240</v>
      </c>
      <c r="H38" s="61">
        <f>H37*('Demographic-Economic'!E$20)^10</f>
        <v>5318905.7789687151</v>
      </c>
      <c r="I38" s="61">
        <f>I37*('Demographic-Economic'!F$20)^10</f>
        <v>553528.29721672973</v>
      </c>
      <c r="J38" s="61">
        <f>J37*('Demographic-Economic'!G$20)^10</f>
        <v>853067.02836860577</v>
      </c>
      <c r="K38" s="61">
        <f>K37*('Demographic-Economic'!H$20)^10</f>
        <v>317568.4014642039</v>
      </c>
    </row>
    <row r="39" spans="5:11">
      <c r="E39">
        <v>2080</v>
      </c>
      <c r="F39" s="322" t="s">
        <v>240</v>
      </c>
      <c r="G39" s="322" t="s">
        <v>240</v>
      </c>
      <c r="H39" s="61">
        <f>H38*('Demographic-Economic'!E$20)^10</f>
        <v>6338823.9099148503</v>
      </c>
      <c r="I39" s="61">
        <f>I38*('Demographic-Economic'!F$20)^10</f>
        <v>565686.14987092617</v>
      </c>
      <c r="J39" s="61">
        <f>J38*('Demographic-Economic'!G$20)^10</f>
        <v>925818.17045496183</v>
      </c>
      <c r="K39" s="61">
        <f>K38*('Demographic-Economic'!H$20)^10</f>
        <v>376556.11267501442</v>
      </c>
    </row>
    <row r="40" spans="5:11">
      <c r="E40">
        <v>2090</v>
      </c>
      <c r="F40" s="322" t="s">
        <v>240</v>
      </c>
      <c r="G40" s="322" t="s">
        <v>240</v>
      </c>
      <c r="H40" s="61">
        <f>H39*('Demographic-Economic'!E$20)^10</f>
        <v>7554314.7840266572</v>
      </c>
      <c r="I40" s="61">
        <f>I39*('Demographic-Economic'!F$20)^10</f>
        <v>578111.04105215799</v>
      </c>
      <c r="J40" s="61">
        <f>J39*('Demographic-Economic'!G$20)^10</f>
        <v>1004773.6651875465</v>
      </c>
      <c r="K40" s="61">
        <f>K39*('Demographic-Economic'!H$20)^10</f>
        <v>446500.67619810445</v>
      </c>
    </row>
    <row r="41" spans="5:11">
      <c r="E41">
        <v>2100</v>
      </c>
      <c r="F41" s="322" t="s">
        <v>240</v>
      </c>
      <c r="G41" s="322" t="s">
        <v>240</v>
      </c>
      <c r="H41" s="61">
        <f>H40*('Demographic-Economic'!E$20)^10</f>
        <v>9002880.1347362734</v>
      </c>
      <c r="I41" s="61">
        <f>I40*('Demographic-Economic'!F$20)^10</f>
        <v>590808.8360704392</v>
      </c>
      <c r="J41" s="61">
        <f>J40*('Demographic-Economic'!G$20)^10</f>
        <v>1090462.6312943252</v>
      </c>
      <c r="K41" s="61">
        <f>K40*('Demographic-Economic'!H$20)^10</f>
        <v>529437.30598107167</v>
      </c>
    </row>
    <row r="42" spans="5:11">
      <c r="F42" s="581" t="s">
        <v>241</v>
      </c>
      <c r="G42" s="581"/>
      <c r="H42" s="581"/>
      <c r="I42" s="581"/>
      <c r="J42" s="581"/>
      <c r="K42" s="581"/>
    </row>
    <row r="43" spans="5:11">
      <c r="E43">
        <v>2020</v>
      </c>
      <c r="F43" s="61">
        <f>F5/'Demographic-Economic'!C$29</f>
        <v>2473101.1764705884</v>
      </c>
      <c r="G43" s="61">
        <f>G5/'Demographic-Economic'!D$29</f>
        <v>1691706.0240963853</v>
      </c>
      <c r="H43" s="61">
        <f>H5/'Demographic-Economic'!E$29</f>
        <v>2021766.8016194331</v>
      </c>
      <c r="I43" s="61">
        <f>I5/'Demographic-Economic'!F$29</f>
        <v>404270.4</v>
      </c>
      <c r="J43" s="61">
        <f>J5/'Demographic-Economic'!G$29</f>
        <v>506668.79999999999</v>
      </c>
      <c r="K43" s="61">
        <f>K5/'Demographic-Economic'!H$29</f>
        <v>116182.64150943396</v>
      </c>
    </row>
    <row r="44" spans="5:11">
      <c r="E44">
        <v>2021</v>
      </c>
      <c r="F44" s="61">
        <f>F6/'Demographic-Economic'!C$29</f>
        <v>2483255.6316322563</v>
      </c>
      <c r="G44" s="61">
        <f>G6/'Demographic-Economic'!D$29</f>
        <v>1691840.4643102207</v>
      </c>
      <c r="H44" s="61">
        <f>H6/'Demographic-Economic'!E$29</f>
        <v>2044415.583414576</v>
      </c>
      <c r="I44" s="61">
        <f>I6/'Demographic-Economic'!F$29</f>
        <v>411372.93015289737</v>
      </c>
      <c r="J44" s="61">
        <f>J6/'Demographic-Economic'!G$29</f>
        <v>512897.88530686108</v>
      </c>
      <c r="K44" s="61">
        <f>K6/'Demographic-Economic'!H$29</f>
        <v>117825.10029190734</v>
      </c>
    </row>
    <row r="45" spans="5:11">
      <c r="E45">
        <v>2022</v>
      </c>
      <c r="F45" s="61">
        <f>F7/'Demographic-Economic'!C$29</f>
        <v>2493343.8576357616</v>
      </c>
      <c r="G45" s="61">
        <f>G7/'Demographic-Economic'!D$29</f>
        <v>1691901.6822217577</v>
      </c>
      <c r="H45" s="61">
        <f>H7/'Demographic-Economic'!E$29</f>
        <v>2067681.6376431251</v>
      </c>
      <c r="I45" s="61">
        <f>I7/'Demographic-Economic'!F$29</f>
        <v>418115.07953571976</v>
      </c>
      <c r="J45" s="61">
        <f>J7/'Demographic-Economic'!G$29</f>
        <v>519002.32999965578</v>
      </c>
      <c r="K45" s="61">
        <f>K7/'Demographic-Economic'!H$29</f>
        <v>119482.31320112447</v>
      </c>
    </row>
    <row r="46" spans="5:11">
      <c r="E46">
        <v>2023</v>
      </c>
      <c r="F46" s="61">
        <f>F8/'Demographic-Economic'!C$29</f>
        <v>2503366.1221615523</v>
      </c>
      <c r="G46" s="61">
        <f>G8/'Demographic-Economic'!D$29</f>
        <v>1691890.6240408281</v>
      </c>
      <c r="H46" s="61">
        <f>H8/'Demographic-Economic'!E$29</f>
        <v>2091528.6494658149</v>
      </c>
      <c r="I46" s="61">
        <f>I8/'Demographic-Economic'!F$29</f>
        <v>424523.281054652</v>
      </c>
      <c r="J46" s="61">
        <f>J8/'Demographic-Economic'!G$29</f>
        <v>524991.16000546329</v>
      </c>
      <c r="K46" s="61">
        <f>K8/'Demographic-Economic'!H$29</f>
        <v>121153.53001905272</v>
      </c>
    </row>
    <row r="47" spans="5:11">
      <c r="E47">
        <v>2024</v>
      </c>
      <c r="F47" s="61">
        <f>F9/'Demographic-Economic'!C$29</f>
        <v>2513322.6919656042</v>
      </c>
      <c r="G47" s="61">
        <f>G9/'Demographic-Economic'!D$29</f>
        <v>1691808.2267701766</v>
      </c>
      <c r="H47" s="61">
        <f>H9/'Demographic-Economic'!E$29</f>
        <v>2115922.3315597777</v>
      </c>
      <c r="I47" s="61">
        <f>I9/'Demographic-Economic'!F$29</f>
        <v>430622.43898728024</v>
      </c>
      <c r="J47" s="61">
        <f>J9/'Demographic-Economic'!G$29</f>
        <v>530872.89071522176</v>
      </c>
      <c r="K47" s="61">
        <f>K9/'Demographic-Economic'!H$29</f>
        <v>122838.04401044578</v>
      </c>
    </row>
    <row r="48" spans="5:11">
      <c r="E48">
        <v>2025</v>
      </c>
      <c r="F48" s="61">
        <f>F10/'Demographic-Economic'!C$29</f>
        <v>2523213.8328823722</v>
      </c>
      <c r="G48" s="61">
        <f>G10/'Demographic-Economic'!D$29</f>
        <v>1691655.4182851783</v>
      </c>
      <c r="H48" s="61">
        <f>H10/'Demographic-Economic'!E$29</f>
        <v>2140830.4105337206</v>
      </c>
      <c r="I48" s="61">
        <f>I10/'Demographic-Economic'!F$29</f>
        <v>436435.94084493024</v>
      </c>
      <c r="J48" s="61">
        <f>J10/'Demographic-Economic'!G$29</f>
        <v>536655.52903961169</v>
      </c>
      <c r="K48" s="61">
        <f>K10/'Demographic-Economic'!H$29</f>
        <v>124535.19137678809</v>
      </c>
    </row>
    <row r="49" spans="5:11">
      <c r="E49">
        <v>2026</v>
      </c>
      <c r="F49" s="61">
        <f>F11/'Demographic-Economic'!C$29</f>
        <v>2533039.809827731</v>
      </c>
      <c r="G49" s="61">
        <f>G11/'Demographic-Economic'!D$29</f>
        <v>1691433.1174129031</v>
      </c>
      <c r="H49" s="61">
        <f>H11/'Demographic-Economic'!E$29</f>
        <v>2166222.59264916</v>
      </c>
      <c r="I49" s="61">
        <f>I11/'Demographic-Economic'!F$29</f>
        <v>441985.68466013891</v>
      </c>
      <c r="J49" s="61">
        <f>J11/'Demographic-Economic'!G$29</f>
        <v>542346.58091638249</v>
      </c>
      <c r="K49" s="61">
        <f>K11/'Demographic-Economic'!H$29</f>
        <v>126244.35030428528</v>
      </c>
    </row>
    <row r="50" spans="5:11">
      <c r="E50">
        <v>2027</v>
      </c>
      <c r="F50" s="61">
        <f>F12/'Demographic-Economic'!C$29</f>
        <v>2542800.8868019078</v>
      </c>
      <c r="G50" s="61">
        <f>G12/'Demographic-Economic'!D$29</f>
        <v>1691142.2340105455</v>
      </c>
      <c r="H50" s="61">
        <f>H12/'Demographic-Economic'!E$29</f>
        <v>2192070.5126429074</v>
      </c>
      <c r="I50" s="61">
        <f>I12/'Demographic-Economic'!F$29</f>
        <v>447292.11884290737</v>
      </c>
      <c r="J50" s="61">
        <f>J12/'Demographic-Economic'!G$29</f>
        <v>547953.06329374167</v>
      </c>
      <c r="K50" s="61">
        <f>K12/'Demographic-Economic'!H$29</f>
        <v>127964.93968334152</v>
      </c>
    </row>
    <row r="51" spans="5:11">
      <c r="E51">
        <v>2028</v>
      </c>
      <c r="F51" s="61">
        <f>F13/'Demographic-Economic'!C$29</f>
        <v>2552497.3268924025</v>
      </c>
      <c r="G51" s="61">
        <f>G13/'Demographic-Economic'!D$29</f>
        <v>1690783.6690432075</v>
      </c>
      <c r="H51" s="61">
        <f>H13/'Demographic-Economic'!E$29</f>
        <v>2218347.6691672243</v>
      </c>
      <c r="I51" s="61">
        <f>I13/'Demographic-Economic'!F$29</f>
        <v>452374.29196212487</v>
      </c>
      <c r="J51" s="61">
        <f>J13/'Demographic-Economic'!G$29</f>
        <v>553481.51968312671</v>
      </c>
      <c r="K51" s="61">
        <f>K13/'Demographic-Economic'!H$29</f>
        <v>129696.41757126474</v>
      </c>
    </row>
    <row r="52" spans="5:11">
      <c r="E52">
        <v>2029</v>
      </c>
      <c r="F52" s="61">
        <f>F14/'Demographic-Economic'!C$29</f>
        <v>2562129.3922769022</v>
      </c>
      <c r="G52" s="61">
        <f>G14/'Demographic-Economic'!D$29</f>
        <v>1690358.3146610584</v>
      </c>
      <c r="H52" s="61">
        <f>H14/'Demographic-Economic'!E$29</f>
        <v>2245029.350035511</v>
      </c>
      <c r="I52" s="61">
        <f>I14/'Demographic-Economic'!F$29</f>
        <v>457249.9100582049</v>
      </c>
      <c r="J52" s="61">
        <f>J14/'Demographic-Economic'!G$29</f>
        <v>558938.03845683113</v>
      </c>
      <c r="K52" s="61">
        <f>K14/'Demographic-Economic'!H$29</f>
        <v>131438.27946319128</v>
      </c>
    </row>
    <row r="53" spans="5:11">
      <c r="E53">
        <v>2030</v>
      </c>
      <c r="F53" s="61">
        <f>F15/'Demographic-Economic'!C$29</f>
        <v>2571697.3442261871</v>
      </c>
      <c r="G53" s="61">
        <f>G15/'Demographic-Economic'!D$29</f>
        <v>1689867.0542758603</v>
      </c>
      <c r="H53" s="61">
        <f>H15/'Demographic-Economic'!E$29</f>
        <v>2272092.5501054223</v>
      </c>
      <c r="I53" s="61">
        <f>I15/'Demographic-Economic'!F$29</f>
        <v>461935.39936265803</v>
      </c>
      <c r="J53" s="61">
        <f>J15/'Demographic-Economic'!G$29</f>
        <v>564328.27315572393</v>
      </c>
      <c r="K53" s="61">
        <f>K15/'Demographic-Economic'!H$29</f>
        <v>133190.05642888238</v>
      </c>
    </row>
    <row r="54" spans="5:11">
      <c r="E54">
        <v>2040</v>
      </c>
      <c r="F54" s="61">
        <f>F16/'Demographic-Economic'!C$29</f>
        <v>2616422.5154301208</v>
      </c>
      <c r="G54" s="61">
        <f>G16/'Demographic-Economic'!D$29</f>
        <v>1648722.4651282742</v>
      </c>
      <c r="H54" s="61">
        <f>H16/'Demographic-Economic'!E$29</f>
        <v>2508918.7479263875</v>
      </c>
      <c r="I54" s="61">
        <f>I16/'Demographic-Economic'!F$29</f>
        <v>499041.56893224001</v>
      </c>
      <c r="J54" s="61">
        <f>J16/'Demographic-Economic'!G$29</f>
        <v>607780.32234686299</v>
      </c>
      <c r="K54" s="61">
        <f>K16/'Demographic-Economic'!H$29</f>
        <v>148666.74346641466</v>
      </c>
    </row>
    <row r="55" spans="5:11">
      <c r="E55">
        <v>2050</v>
      </c>
      <c r="F55" s="61">
        <f>F17/'Demographic-Economic'!C$29</f>
        <v>2605676.494384604</v>
      </c>
      <c r="G55" s="61">
        <f>G17/'Demographic-Economic'!D$29</f>
        <v>1574588.837142685</v>
      </c>
      <c r="H55" s="61">
        <f>H17/'Demographic-Economic'!E$29</f>
        <v>2713258.4164131614</v>
      </c>
      <c r="I55" s="61">
        <f>I17/'Demographic-Economic'!F$29</f>
        <v>514328.48364011972</v>
      </c>
      <c r="J55" s="61">
        <f>J17/'Demographic-Economic'!G$29</f>
        <v>634794.26115231274</v>
      </c>
      <c r="K55" s="61">
        <f>K17/'Demographic-Economic'!H$29</f>
        <v>161117.14214961763</v>
      </c>
    </row>
    <row r="56" spans="5:11">
      <c r="E56">
        <v>2060</v>
      </c>
      <c r="F56" s="61">
        <f>F18/'Demographic-Economic'!C$29</f>
        <v>2543495.5780413351</v>
      </c>
      <c r="G56" s="61">
        <f>G18/'Demographic-Economic'!D$29</f>
        <v>1473956.4608201685</v>
      </c>
      <c r="H56" s="61">
        <f>H18/'Demographic-Economic'!E$29</f>
        <v>2862924.719905288</v>
      </c>
      <c r="I56" s="61">
        <f>I18/'Demographic-Economic'!F$29</f>
        <v>517125.29751866526</v>
      </c>
      <c r="J56" s="61">
        <f>J18/'Demographic-Economic'!G$29</f>
        <v>648086.59341433248</v>
      </c>
      <c r="K56" s="61">
        <f>K18/'Demographic-Economic'!H$29</f>
        <v>169874.8218446247</v>
      </c>
    </row>
    <row r="57" spans="5:11">
      <c r="E57">
        <v>2070</v>
      </c>
      <c r="F57" s="61">
        <f>F19/'Demographic-Economic'!C$29</f>
        <v>2442377.5640831147</v>
      </c>
      <c r="G57" s="61">
        <f>G19/'Demographic-Economic'!D$29</f>
        <v>1357292.5495615385</v>
      </c>
      <c r="H57" s="61">
        <f>H19/'Demographic-Economic'!E$29</f>
        <v>2957010.6983258137</v>
      </c>
      <c r="I57" s="61">
        <f>I19/'Demographic-Economic'!F$29</f>
        <v>511378.40463873156</v>
      </c>
      <c r="J57" s="61">
        <f>J19/'Demographic-Economic'!G$29</f>
        <v>649982.38873202284</v>
      </c>
      <c r="K57" s="61">
        <f>K19/'Demographic-Economic'!H$29</f>
        <v>175143.70108238247</v>
      </c>
    </row>
    <row r="58" spans="5:11">
      <c r="E58">
        <v>2080</v>
      </c>
      <c r="F58" s="61">
        <f>F20/'Demographic-Economic'!C$29</f>
        <v>2308133.4071920211</v>
      </c>
      <c r="G58" s="61">
        <f>G20/'Demographic-Economic'!D$29</f>
        <v>1230066.4275990915</v>
      </c>
      <c r="H58" s="61">
        <f>H20/'Demographic-Economic'!E$29</f>
        <v>2992669.631070056</v>
      </c>
      <c r="I58" s="61">
        <f>I20/'Demographic-Economic'!F$29</f>
        <v>497893.32701551262</v>
      </c>
      <c r="J58" s="61">
        <f>J20/'Demographic-Economic'!G$29</f>
        <v>640756.08029542142</v>
      </c>
      <c r="K58" s="61">
        <f>K20/'Demographic-Economic'!H$29</f>
        <v>176873.02233575657</v>
      </c>
    </row>
    <row r="59" spans="5:11">
      <c r="E59">
        <v>2090</v>
      </c>
      <c r="F59" s="61">
        <f>F21/'Demographic-Economic'!C$29</f>
        <v>2148886.276079962</v>
      </c>
      <c r="G59" s="61">
        <f>G21/'Demographic-Economic'!D$29</f>
        <v>1098216.8072895526</v>
      </c>
      <c r="H59" s="61">
        <f>H21/'Demographic-Economic'!E$29</f>
        <v>2972513.9882035679</v>
      </c>
      <c r="I59" s="61">
        <f>I21/'Demographic-Economic'!F$29</f>
        <v>477726.92785609642</v>
      </c>
      <c r="J59" s="61">
        <f>J21/'Demographic-Economic'!G$29</f>
        <v>621513.16588423401</v>
      </c>
      <c r="K59" s="61">
        <f>K21/'Demographic-Economic'!H$29</f>
        <v>175281.98839273295</v>
      </c>
    </row>
    <row r="60" spans="5:11">
      <c r="E60">
        <v>2100</v>
      </c>
      <c r="F60" s="61">
        <f>F22/'Demographic-Economic'!C$29</f>
        <v>1974752.3881907237</v>
      </c>
      <c r="G60" s="61">
        <f>G22/'Demographic-Economic'!D$29</f>
        <v>967819.34040103445</v>
      </c>
      <c r="H60" s="61">
        <f>H22/'Demographic-Economic'!E$29</f>
        <v>2904792.7533142436</v>
      </c>
      <c r="I60" s="61">
        <f>I22/'Demographic-Economic'!F$29</f>
        <v>452503.38066898257</v>
      </c>
      <c r="J60" s="61">
        <f>J22/'Demographic-Economic'!G$29</f>
        <v>594315.74927505548</v>
      </c>
      <c r="K60" s="61">
        <f>K22/'Demographic-Economic'!H$29</f>
        <v>170897.46238232858</v>
      </c>
    </row>
    <row r="61" spans="5:11">
      <c r="F61" s="581" t="s">
        <v>49</v>
      </c>
      <c r="G61" s="581"/>
      <c r="H61" s="581"/>
      <c r="I61" s="581"/>
      <c r="J61" s="581"/>
      <c r="K61" s="581"/>
    </row>
    <row r="62" spans="5:11">
      <c r="E62">
        <v>2020</v>
      </c>
      <c r="F62" s="322" t="s">
        <v>240</v>
      </c>
      <c r="G62" s="322" t="s">
        <v>240</v>
      </c>
      <c r="H62" s="61">
        <f>H24-H43</f>
        <v>190769.1983805669</v>
      </c>
      <c r="I62" s="61">
        <f t="shared" ref="H62:K77" si="0">I24-I43</f>
        <v>92277.599999999977</v>
      </c>
      <c r="J62" s="61">
        <f t="shared" si="0"/>
        <v>59923.200000000012</v>
      </c>
      <c r="K62" s="61">
        <f t="shared" si="0"/>
        <v>19297.358490566039</v>
      </c>
    </row>
    <row r="63" spans="5:11">
      <c r="E63">
        <v>2021</v>
      </c>
      <c r="F63" s="322" t="s">
        <v>240</v>
      </c>
      <c r="G63" s="322" t="s">
        <v>240</v>
      </c>
      <c r="H63" s="61">
        <f t="shared" si="0"/>
        <v>207276.41658542398</v>
      </c>
      <c r="I63" s="61">
        <f t="shared" si="0"/>
        <v>86255.069847102626</v>
      </c>
      <c r="J63" s="61">
        <f t="shared" si="0"/>
        <v>58350.114693138923</v>
      </c>
      <c r="K63" s="61">
        <f t="shared" si="0"/>
        <v>19982.899708092664</v>
      </c>
    </row>
    <row r="64" spans="5:11">
      <c r="E64">
        <v>2022</v>
      </c>
      <c r="F64" s="322" t="s">
        <v>240</v>
      </c>
      <c r="G64" s="322" t="s">
        <v>240</v>
      </c>
      <c r="H64" s="61">
        <f t="shared" si="0"/>
        <v>223859.3193690998</v>
      </c>
      <c r="I64" s="61">
        <f t="shared" si="0"/>
        <v>80595.269481897878</v>
      </c>
      <c r="J64" s="61">
        <f t="shared" si="0"/>
        <v>56939.930928843038</v>
      </c>
      <c r="K64" s="61">
        <f t="shared" si="0"/>
        <v>20693.689633242218</v>
      </c>
    </row>
    <row r="65" spans="5:11">
      <c r="E65">
        <v>2023</v>
      </c>
      <c r="F65" s="322" t="s">
        <v>240</v>
      </c>
      <c r="G65" s="322" t="s">
        <v>240</v>
      </c>
      <c r="H65" s="61">
        <f t="shared" si="0"/>
        <v>240566.48506612959</v>
      </c>
      <c r="I65" s="61">
        <f t="shared" si="0"/>
        <v>75271.771107352572</v>
      </c>
      <c r="J65" s="61">
        <f t="shared" si="0"/>
        <v>55683.937191255158</v>
      </c>
      <c r="K65" s="61">
        <f t="shared" si="0"/>
        <v>21431.165866675103</v>
      </c>
    </row>
    <row r="66" spans="5:11">
      <c r="E66">
        <v>2024</v>
      </c>
      <c r="F66" s="322" t="s">
        <v>240</v>
      </c>
      <c r="G66" s="322" t="s">
        <v>240</v>
      </c>
      <c r="H66" s="61">
        <f t="shared" si="0"/>
        <v>257444.68152588652</v>
      </c>
      <c r="I66" s="61">
        <f t="shared" si="0"/>
        <v>70259.675566144637</v>
      </c>
      <c r="J66" s="61">
        <f t="shared" si="0"/>
        <v>54573.935084350058</v>
      </c>
      <c r="K66" s="61">
        <f t="shared" si="0"/>
        <v>22196.734337800284</v>
      </c>
    </row>
    <row r="67" spans="5:11">
      <c r="E67">
        <v>2025</v>
      </c>
      <c r="F67" s="322" t="s">
        <v>240</v>
      </c>
      <c r="G67" s="322" t="s">
        <v>240</v>
      </c>
      <c r="H67" s="61">
        <f t="shared" si="0"/>
        <v>274538.88353827875</v>
      </c>
      <c r="I67" s="61">
        <f t="shared" si="0"/>
        <v>65535.600478349137</v>
      </c>
      <c r="J67" s="61">
        <f t="shared" si="0"/>
        <v>53602.237297282903</v>
      </c>
      <c r="K67" s="61">
        <f t="shared" si="0"/>
        <v>22991.770053792759</v>
      </c>
    </row>
    <row r="68" spans="5:11">
      <c r="E68">
        <v>2026</v>
      </c>
      <c r="F68" s="322" t="s">
        <v>240</v>
      </c>
      <c r="G68" s="322" t="s">
        <v>240</v>
      </c>
      <c r="H68" s="61">
        <f t="shared" si="0"/>
        <v>291892.31102136476</v>
      </c>
      <c r="I68" s="61">
        <f t="shared" si="0"/>
        <v>61077.652953990793</v>
      </c>
      <c r="J68" s="61">
        <f t="shared" si="0"/>
        <v>52761.660118468571</v>
      </c>
      <c r="K68" s="61">
        <f t="shared" si="0"/>
        <v>23817.618258052229</v>
      </c>
    </row>
    <row r="69" spans="5:11">
      <c r="E69">
        <v>2027</v>
      </c>
      <c r="F69" s="322" t="s">
        <v>240</v>
      </c>
      <c r="G69" s="322" t="s">
        <v>240</v>
      </c>
      <c r="H69" s="61">
        <f t="shared" si="0"/>
        <v>309546.48417689186</v>
      </c>
      <c r="I69" s="61">
        <f t="shared" si="0"/>
        <v>56865.389736815356</v>
      </c>
      <c r="J69" s="61">
        <f t="shared" si="0"/>
        <v>52045.511473774561</v>
      </c>
      <c r="K69" s="61">
        <f t="shared" si="0"/>
        <v>24675.595920722597</v>
      </c>
    </row>
    <row r="70" spans="5:11">
      <c r="E70">
        <v>2028</v>
      </c>
      <c r="F70" s="322" t="s">
        <v>240</v>
      </c>
      <c r="G70" s="322" t="s">
        <v>240</v>
      </c>
      <c r="H70" s="61">
        <f t="shared" si="0"/>
        <v>327541.29209856642</v>
      </c>
      <c r="I70" s="61">
        <f t="shared" si="0"/>
        <v>52879.767422889825</v>
      </c>
      <c r="J70" s="61">
        <f t="shared" si="0"/>
        <v>51447.575395508553</v>
      </c>
      <c r="K70" s="61">
        <f t="shared" si="0"/>
        <v>25566.993489591972</v>
      </c>
    </row>
    <row r="71" spans="5:11">
      <c r="E71">
        <v>2029</v>
      </c>
      <c r="F71" s="322" t="s">
        <v>240</v>
      </c>
      <c r="G71" s="322" t="s">
        <v>240</v>
      </c>
      <c r="H71" s="61">
        <f t="shared" si="0"/>
        <v>345915.07164643705</v>
      </c>
      <c r="I71" s="61">
        <f t="shared" si="0"/>
        <v>49103.085147990903</v>
      </c>
      <c r="J71" s="61">
        <f t="shared" si="0"/>
        <v>50962.093746730243</v>
      </c>
      <c r="K71" s="61">
        <f t="shared" si="0"/>
        <v>26493.076836443652</v>
      </c>
    </row>
    <row r="72" spans="5:11">
      <c r="E72">
        <v>2030</v>
      </c>
      <c r="F72" s="322" t="s">
        <v>240</v>
      </c>
      <c r="G72" s="322" t="s">
        <v>240</v>
      </c>
      <c r="H72" s="61">
        <f t="shared" si="0"/>
        <v>364704.69375676522</v>
      </c>
      <c r="I72" s="61">
        <f>I34-I53</f>
        <v>45518.921868056466</v>
      </c>
      <c r="J72" s="61">
        <f t="shared" si="0"/>
        <v>50583.745935650426</v>
      </c>
      <c r="K72" s="61">
        <f t="shared" si="0"/>
        <v>27455.089341268846</v>
      </c>
    </row>
    <row r="73" spans="5:11">
      <c r="E73">
        <v>2040</v>
      </c>
      <c r="F73" s="322" t="s">
        <v>240</v>
      </c>
      <c r="G73" s="322" t="s">
        <v>240</v>
      </c>
      <c r="H73" s="61">
        <f t="shared" si="0"/>
        <v>633493.26491282741</v>
      </c>
      <c r="I73" s="61">
        <f t="shared" si="0"/>
        <v>19558.623064757383</v>
      </c>
      <c r="J73" s="61">
        <f t="shared" si="0"/>
        <v>59572.536894055549</v>
      </c>
      <c r="K73" s="61">
        <f t="shared" si="0"/>
        <v>41817.924820514338</v>
      </c>
    </row>
    <row r="74" spans="5:11">
      <c r="E74">
        <v>2050</v>
      </c>
      <c r="F74" s="322" t="s">
        <v>240</v>
      </c>
      <c r="G74" s="322" t="s">
        <v>240</v>
      </c>
      <c r="H74" s="61">
        <f t="shared" si="0"/>
        <v>1031721.7034736411</v>
      </c>
      <c r="I74" s="61">
        <f t="shared" si="0"/>
        <v>15662.390192731109</v>
      </c>
      <c r="J74" s="61">
        <f t="shared" si="0"/>
        <v>89471.690577035188</v>
      </c>
      <c r="K74" s="61">
        <f t="shared" si="0"/>
        <v>64749.681764854002</v>
      </c>
    </row>
    <row r="75" spans="5:11">
      <c r="E75">
        <v>2060</v>
      </c>
      <c r="F75" s="322" t="s">
        <v>240</v>
      </c>
      <c r="G75" s="322" t="s">
        <v>240</v>
      </c>
      <c r="H75" s="61">
        <f t="shared" si="0"/>
        <v>1600167.9748288095</v>
      </c>
      <c r="I75" s="61">
        <f t="shared" si="0"/>
        <v>24506.446319437877</v>
      </c>
      <c r="J75" s="61">
        <f t="shared" si="0"/>
        <v>137946.10513599811</v>
      </c>
      <c r="K75" s="61">
        <f t="shared" si="0"/>
        <v>97946.32409855054</v>
      </c>
    </row>
    <row r="76" spans="5:11">
      <c r="E76">
        <v>2070</v>
      </c>
      <c r="F76" s="322" t="s">
        <v>240</v>
      </c>
      <c r="G76" s="322" t="s">
        <v>240</v>
      </c>
      <c r="H76" s="61">
        <f t="shared" si="0"/>
        <v>2361895.0806429014</v>
      </c>
      <c r="I76" s="61">
        <f>I38-I57</f>
        <v>42149.892577998166</v>
      </c>
      <c r="J76" s="61">
        <f t="shared" si="0"/>
        <v>203084.63963658293</v>
      </c>
      <c r="K76" s="61">
        <f t="shared" si="0"/>
        <v>142424.70038182143</v>
      </c>
    </row>
    <row r="77" spans="5:11">
      <c r="E77">
        <v>2080</v>
      </c>
      <c r="F77" s="322" t="s">
        <v>240</v>
      </c>
      <c r="G77" s="322" t="s">
        <v>240</v>
      </c>
      <c r="H77" s="61">
        <f t="shared" si="0"/>
        <v>3346154.2788447943</v>
      </c>
      <c r="I77" s="61">
        <f t="shared" si="0"/>
        <v>67792.822855413542</v>
      </c>
      <c r="J77" s="61">
        <f t="shared" si="0"/>
        <v>285062.09015954041</v>
      </c>
      <c r="K77" s="61">
        <f t="shared" si="0"/>
        <v>199683.09033925785</v>
      </c>
    </row>
    <row r="78" spans="5:11">
      <c r="E78">
        <v>2090</v>
      </c>
      <c r="F78" s="322" t="s">
        <v>240</v>
      </c>
      <c r="G78" s="322" t="s">
        <v>240</v>
      </c>
      <c r="H78" s="61">
        <f t="shared" ref="H78:K79" si="1">H40-H59</f>
        <v>4581800.7958230898</v>
      </c>
      <c r="I78" s="61">
        <f t="shared" si="1"/>
        <v>100384.11319606157</v>
      </c>
      <c r="J78" s="61">
        <f t="shared" si="1"/>
        <v>383260.49930331251</v>
      </c>
      <c r="K78" s="61">
        <f t="shared" si="1"/>
        <v>271218.68780537148</v>
      </c>
    </row>
    <row r="79" spans="5:11">
      <c r="E79">
        <v>2100</v>
      </c>
      <c r="F79" s="322" t="s">
        <v>240</v>
      </c>
      <c r="G79" s="322" t="s">
        <v>240</v>
      </c>
      <c r="H79" s="61">
        <f t="shared" si="1"/>
        <v>6098087.3814220298</v>
      </c>
      <c r="I79" s="61">
        <f t="shared" si="1"/>
        <v>138305.45540145662</v>
      </c>
      <c r="J79" s="61">
        <f t="shared" si="1"/>
        <v>496146.88201926975</v>
      </c>
      <c r="K79" s="61">
        <f t="shared" si="1"/>
        <v>358539.84359874309</v>
      </c>
    </row>
    <row r="80" spans="5:11">
      <c r="F80" s="581" t="s">
        <v>242</v>
      </c>
      <c r="G80" s="581"/>
      <c r="H80" s="581"/>
      <c r="I80" s="581"/>
      <c r="J80" s="581"/>
      <c r="K80" s="581"/>
    </row>
    <row r="81" spans="5:12">
      <c r="E81">
        <v>2020</v>
      </c>
      <c r="F81" s="61">
        <f>-F5*$C$4</f>
        <v>-31532.04</v>
      </c>
      <c r="G81" s="61">
        <f t="shared" ref="G81:G98" si="2">-G5*$C$3</f>
        <v>-54760.523999999998</v>
      </c>
      <c r="H81" s="61">
        <f t="shared" ref="H81:K98" si="3">-(SUM($F81:$G81))*(MAX(H62,0)/SUM(MAX($H62,0)+MAX($I62,0)+MAX($J62,0)+MAX($K62,0)))</f>
        <v>45441.475607032611</v>
      </c>
      <c r="I81" s="61">
        <f t="shared" si="3"/>
        <v>21980.646483141398</v>
      </c>
      <c r="J81" s="61">
        <f t="shared" si="3"/>
        <v>14273.785570263848</v>
      </c>
      <c r="K81" s="61">
        <f t="shared" si="3"/>
        <v>4596.6563395621397</v>
      </c>
      <c r="L81" s="61"/>
    </row>
    <row r="82" spans="5:12">
      <c r="E82">
        <v>2021</v>
      </c>
      <c r="F82" s="61">
        <f t="shared" ref="F82:F98" si="4">-F6*$C$4</f>
        <v>-31661.509303311264</v>
      </c>
      <c r="G82" s="61">
        <f t="shared" si="2"/>
        <v>-54764.875829721845</v>
      </c>
      <c r="H82" s="61">
        <f t="shared" si="3"/>
        <v>48173.868085395377</v>
      </c>
      <c r="I82" s="61">
        <f t="shared" si="3"/>
        <v>20046.855426017089</v>
      </c>
      <c r="J82" s="61">
        <f t="shared" si="3"/>
        <v>13561.363006468702</v>
      </c>
      <c r="K82" s="61">
        <f t="shared" si="3"/>
        <v>4644.2986151519417</v>
      </c>
      <c r="L82" s="61"/>
    </row>
    <row r="83" spans="5:12">
      <c r="E83">
        <v>2022</v>
      </c>
      <c r="F83" s="61">
        <f t="shared" si="4"/>
        <v>-31790.13418485596</v>
      </c>
      <c r="G83" s="61">
        <f t="shared" si="2"/>
        <v>-54766.8574535183</v>
      </c>
      <c r="H83" s="61">
        <f t="shared" si="3"/>
        <v>50712.345362782231</v>
      </c>
      <c r="I83" s="61">
        <f t="shared" si="3"/>
        <v>18257.784183796091</v>
      </c>
      <c r="J83" s="61">
        <f t="shared" si="3"/>
        <v>12898.982496392933</v>
      </c>
      <c r="K83" s="61">
        <f t="shared" si="3"/>
        <v>4687.8795954029965</v>
      </c>
      <c r="L83" s="61"/>
    </row>
    <row r="84" spans="5:12">
      <c r="E84">
        <v>2023</v>
      </c>
      <c r="F84" s="61">
        <f t="shared" si="4"/>
        <v>-31917.918057559789</v>
      </c>
      <c r="G84" s="61">
        <f t="shared" si="2"/>
        <v>-54766.499500201608</v>
      </c>
      <c r="H84" s="61">
        <f t="shared" si="3"/>
        <v>53068.297170592923</v>
      </c>
      <c r="I84" s="61">
        <f t="shared" si="3"/>
        <v>16604.743244196179</v>
      </c>
      <c r="J84" s="61">
        <f t="shared" si="3"/>
        <v>12283.721590236655</v>
      </c>
      <c r="K84" s="61">
        <f t="shared" si="3"/>
        <v>4727.6555527356359</v>
      </c>
      <c r="L84" s="61"/>
    </row>
    <row r="85" spans="5:12">
      <c r="E85">
        <v>2024</v>
      </c>
      <c r="F85" s="61">
        <f t="shared" si="4"/>
        <v>-32044.864322561451</v>
      </c>
      <c r="G85" s="61">
        <f t="shared" si="2"/>
        <v>-54763.832300550617</v>
      </c>
      <c r="H85" s="61">
        <f t="shared" si="3"/>
        <v>55252.947131040783</v>
      </c>
      <c r="I85" s="61">
        <f t="shared" si="3"/>
        <v>15079.1778509121</v>
      </c>
      <c r="J85" s="61">
        <f t="shared" si="3"/>
        <v>11712.693896320576</v>
      </c>
      <c r="K85" s="61">
        <f t="shared" si="3"/>
        <v>4763.8777448386181</v>
      </c>
      <c r="L85" s="61"/>
    </row>
    <row r="86" spans="5:12">
      <c r="E86">
        <v>2025</v>
      </c>
      <c r="F86" s="61">
        <f t="shared" si="4"/>
        <v>-32170.976369250246</v>
      </c>
      <c r="G86" s="61">
        <f t="shared" si="2"/>
        <v>-54758.885889891222</v>
      </c>
      <c r="H86" s="61">
        <f t="shared" si="3"/>
        <v>57277.254760547759</v>
      </c>
      <c r="I86" s="61">
        <f t="shared" si="3"/>
        <v>13672.74185756825</v>
      </c>
      <c r="J86" s="61">
        <f t="shared" si="3"/>
        <v>11183.075278237349</v>
      </c>
      <c r="K86" s="61">
        <f t="shared" si="3"/>
        <v>4796.7903627881024</v>
      </c>
      <c r="L86" s="61"/>
    </row>
    <row r="87" spans="5:12">
      <c r="E87">
        <v>2026</v>
      </c>
      <c r="F87" s="61">
        <f t="shared" si="4"/>
        <v>-32296.257575303567</v>
      </c>
      <c r="G87" s="61">
        <f t="shared" si="2"/>
        <v>-54751.690010655679</v>
      </c>
      <c r="H87" s="61">
        <f t="shared" si="3"/>
        <v>59151.836589012397</v>
      </c>
      <c r="I87" s="61">
        <f t="shared" si="3"/>
        <v>12377.357026408396</v>
      </c>
      <c r="J87" s="61">
        <f t="shared" si="3"/>
        <v>10692.125073703059</v>
      </c>
      <c r="K87" s="61">
        <f t="shared" si="3"/>
        <v>4826.6288968353947</v>
      </c>
      <c r="L87" s="61"/>
    </row>
    <row r="88" spans="5:12">
      <c r="E88">
        <v>2027</v>
      </c>
      <c r="F88" s="61">
        <f t="shared" si="4"/>
        <v>-32420.711306724326</v>
      </c>
      <c r="G88" s="61">
        <f t="shared" si="2"/>
        <v>-54742.274114921362</v>
      </c>
      <c r="H88" s="61">
        <f t="shared" si="3"/>
        <v>60886.904892476268</v>
      </c>
      <c r="I88" s="61">
        <f t="shared" si="3"/>
        <v>11185.25893061183</v>
      </c>
      <c r="J88" s="61">
        <f t="shared" si="3"/>
        <v>10237.202711606687</v>
      </c>
      <c r="K88" s="61">
        <f t="shared" si="3"/>
        <v>4853.618886950906</v>
      </c>
      <c r="L88" s="61"/>
    </row>
    <row r="89" spans="5:12">
      <c r="E89">
        <v>2028</v>
      </c>
      <c r="F89" s="61">
        <f t="shared" si="4"/>
        <v>-32544.340917878133</v>
      </c>
      <c r="G89" s="61">
        <f t="shared" si="2"/>
        <v>-54730.667366928632</v>
      </c>
      <c r="H89" s="61">
        <f t="shared" si="3"/>
        <v>62492.222306986689</v>
      </c>
      <c r="I89" s="61">
        <f t="shared" si="3"/>
        <v>10089.030791081277</v>
      </c>
      <c r="J89" s="61">
        <f t="shared" si="3"/>
        <v>9815.7801667463427</v>
      </c>
      <c r="K89" s="61">
        <f t="shared" si="3"/>
        <v>4877.9750199924656</v>
      </c>
      <c r="L89" s="61"/>
    </row>
    <row r="90" spans="5:12">
      <c r="E90">
        <v>2029</v>
      </c>
      <c r="F90" s="61">
        <f t="shared" si="4"/>
        <v>-32667.149751530505</v>
      </c>
      <c r="G90" s="61">
        <f t="shared" si="2"/>
        <v>-54716.898645578462</v>
      </c>
      <c r="H90" s="61">
        <f t="shared" si="3"/>
        <v>63977.070472559841</v>
      </c>
      <c r="I90" s="61">
        <f t="shared" si="3"/>
        <v>9081.6266662819689</v>
      </c>
      <c r="J90" s="61">
        <f t="shared" si="3"/>
        <v>9425.4507256516772</v>
      </c>
      <c r="K90" s="61">
        <f t="shared" si="3"/>
        <v>4899.9005326154784</v>
      </c>
      <c r="L90" s="61"/>
    </row>
    <row r="91" spans="5:12">
      <c r="E91">
        <v>2030</v>
      </c>
      <c r="F91" s="61">
        <f t="shared" si="4"/>
        <v>-32789.141138883882</v>
      </c>
      <c r="G91" s="61">
        <f t="shared" si="2"/>
        <v>-54700.996546909606</v>
      </c>
      <c r="H91" s="61">
        <f t="shared" si="3"/>
        <v>65350.230828738837</v>
      </c>
      <c r="I91" s="61">
        <f t="shared" si="3"/>
        <v>8156.385432035966</v>
      </c>
      <c r="J91" s="61">
        <f t="shared" si="3"/>
        <v>9063.9345466765499</v>
      </c>
      <c r="K91" s="61">
        <f t="shared" si="3"/>
        <v>4919.5868783421283</v>
      </c>
      <c r="L91" s="61"/>
    </row>
    <row r="92" spans="5:12">
      <c r="E92">
        <v>2040</v>
      </c>
      <c r="F92" s="61">
        <f>-F16*$C$4</f>
        <v>-33359.38707173404</v>
      </c>
      <c r="G92" s="61">
        <f t="shared" si="2"/>
        <v>-53369.146196202237</v>
      </c>
      <c r="H92" s="61">
        <f t="shared" si="3"/>
        <v>72824.572644184707</v>
      </c>
      <c r="I92" s="61">
        <f t="shared" si="3"/>
        <v>2248.4033297428186</v>
      </c>
      <c r="J92" s="61">
        <f t="shared" si="3"/>
        <v>6848.2883416866398</v>
      </c>
      <c r="K92" s="61">
        <f t="shared" si="3"/>
        <v>4807.2689523221106</v>
      </c>
      <c r="L92" s="61"/>
    </row>
    <row r="93" spans="5:12">
      <c r="E93">
        <v>2050</v>
      </c>
      <c r="F93" s="61">
        <f t="shared" si="4"/>
        <v>-33222.3753034037</v>
      </c>
      <c r="G93" s="61">
        <f t="shared" si="2"/>
        <v>-50969.440658308718</v>
      </c>
      <c r="H93" s="61">
        <f t="shared" si="3"/>
        <v>72288.722246841062</v>
      </c>
      <c r="I93" s="61">
        <f t="shared" si="3"/>
        <v>1097.402691590187</v>
      </c>
      <c r="J93" s="61">
        <f t="shared" si="3"/>
        <v>6268.9329567291061</v>
      </c>
      <c r="K93" s="61">
        <f t="shared" si="3"/>
        <v>4536.7580665520663</v>
      </c>
      <c r="L93" s="61"/>
    </row>
    <row r="94" spans="5:12">
      <c r="E94">
        <v>2060</v>
      </c>
      <c r="F94" s="61">
        <f t="shared" si="4"/>
        <v>-32429.568620027021</v>
      </c>
      <c r="G94" s="61">
        <f t="shared" si="2"/>
        <v>-47711.970636748854</v>
      </c>
      <c r="H94" s="61">
        <f t="shared" si="3"/>
        <v>68925.19048471401</v>
      </c>
      <c r="I94" s="61">
        <f t="shared" si="3"/>
        <v>1055.5838557207596</v>
      </c>
      <c r="J94" s="61">
        <f t="shared" si="3"/>
        <v>5941.8521821999611</v>
      </c>
      <c r="K94" s="61">
        <f t="shared" si="3"/>
        <v>4218.9127341411559</v>
      </c>
      <c r="L94" s="61"/>
    </row>
    <row r="95" spans="5:12">
      <c r="E95">
        <v>2070</v>
      </c>
      <c r="F95" s="61">
        <f t="shared" si="4"/>
        <v>-31140.313942059711</v>
      </c>
      <c r="G95" s="61">
        <f t="shared" si="2"/>
        <v>-43935.559829307</v>
      </c>
      <c r="H95" s="61">
        <f t="shared" si="3"/>
        <v>64490.938070124066</v>
      </c>
      <c r="I95" s="61">
        <f t="shared" si="3"/>
        <v>1150.891982538933</v>
      </c>
      <c r="J95" s="61">
        <f t="shared" si="3"/>
        <v>5545.1738839437912</v>
      </c>
      <c r="K95" s="61">
        <f t="shared" si="3"/>
        <v>3888.869834759917</v>
      </c>
      <c r="L95" s="61"/>
    </row>
    <row r="96" spans="5:12">
      <c r="E96">
        <v>2080</v>
      </c>
      <c r="F96" s="61">
        <f t="shared" si="4"/>
        <v>-29428.700941698269</v>
      </c>
      <c r="G96" s="61">
        <f t="shared" si="2"/>
        <v>-39817.250261382593</v>
      </c>
      <c r="H96" s="61">
        <f t="shared" si="3"/>
        <v>59432.142661994134</v>
      </c>
      <c r="I96" s="61">
        <f t="shared" si="3"/>
        <v>1204.090542051518</v>
      </c>
      <c r="J96" s="61">
        <f t="shared" si="3"/>
        <v>5063.081196524191</v>
      </c>
      <c r="K96" s="61">
        <f t="shared" si="3"/>
        <v>3546.63680251101</v>
      </c>
      <c r="L96" s="61"/>
    </row>
    <row r="97" spans="5:12">
      <c r="E97">
        <v>2090</v>
      </c>
      <c r="F97" s="61">
        <f t="shared" si="4"/>
        <v>-27398.300020019517</v>
      </c>
      <c r="G97" s="61">
        <f t="shared" si="2"/>
        <v>-35549.278051962821</v>
      </c>
      <c r="H97" s="61">
        <f t="shared" si="3"/>
        <v>54043.73558279805</v>
      </c>
      <c r="I97" s="61">
        <f t="shared" si="3"/>
        <v>1184.0611829364859</v>
      </c>
      <c r="J97" s="61">
        <f t="shared" si="3"/>
        <v>4520.674295260028</v>
      </c>
      <c r="K97" s="61">
        <f t="shared" si="3"/>
        <v>3199.1070109877614</v>
      </c>
      <c r="L97" s="61"/>
    </row>
    <row r="98" spans="5:12">
      <c r="E98">
        <v>2100</v>
      </c>
      <c r="F98" s="61">
        <f t="shared" si="4"/>
        <v>-25178.092949431724</v>
      </c>
      <c r="G98" s="61">
        <f t="shared" si="2"/>
        <v>-31328.312048781489</v>
      </c>
      <c r="H98" s="61">
        <f t="shared" si="3"/>
        <v>48593.587514407402</v>
      </c>
      <c r="I98" s="61">
        <f t="shared" si="3"/>
        <v>1102.1092074288085</v>
      </c>
      <c r="J98" s="61">
        <f t="shared" si="3"/>
        <v>3953.6260180288814</v>
      </c>
      <c r="K98" s="61">
        <f t="shared" si="3"/>
        <v>2857.0822583481258</v>
      </c>
      <c r="L98" s="61"/>
    </row>
    <row r="99" spans="5:12">
      <c r="F99" s="581" t="s">
        <v>243</v>
      </c>
      <c r="G99" s="581"/>
      <c r="H99" s="581"/>
      <c r="I99" s="581"/>
      <c r="J99" s="581"/>
      <c r="K99" s="581"/>
    </row>
    <row r="100" spans="5:12">
      <c r="E100">
        <v>2020</v>
      </c>
      <c r="F100" s="61">
        <f>'Demographic-Economic'!C$56</f>
        <v>360376.14999999997</v>
      </c>
      <c r="G100" s="61">
        <f>'Demographic-Economic'!D$56</f>
        <v>314308.30000000005</v>
      </c>
      <c r="H100" s="61">
        <f>'Demographic-Economic'!E$56</f>
        <v>303256</v>
      </c>
      <c r="I100" s="61">
        <f>'Demographic-Economic'!F$56</f>
        <v>191633.7</v>
      </c>
      <c r="J100" s="61">
        <f>'Demographic-Economic'!G$56</f>
        <v>208903.4</v>
      </c>
      <c r="K100" s="61">
        <f>'Demographic-Economic'!H$56</f>
        <v>249034.95</v>
      </c>
    </row>
    <row r="101" spans="5:12">
      <c r="E101">
        <v>2021</v>
      </c>
      <c r="F101" s="61">
        <f>(1+$C$6)*F100</f>
        <v>373904.37035754166</v>
      </c>
      <c r="G101" s="61">
        <f t="shared" ref="G101:K110" si="5">(1+$C$6)*G100</f>
        <v>326107.17165841674</v>
      </c>
      <c r="H101" s="61">
        <f>(1+$C$6)*H100</f>
        <v>314639.97752666665</v>
      </c>
      <c r="I101" s="61">
        <f t="shared" si="5"/>
        <v>198827.46940325003</v>
      </c>
      <c r="J101" s="61">
        <f t="shared" si="5"/>
        <v>216745.45954983332</v>
      </c>
      <c r="K101" s="61">
        <f t="shared" si="5"/>
        <v>258383.514493875</v>
      </c>
    </row>
    <row r="102" spans="5:12">
      <c r="E102">
        <v>2022</v>
      </c>
      <c r="F102" s="61">
        <f t="shared" ref="F102:F110" si="6">(1+$C$6)*F101</f>
        <v>387940.42883378849</v>
      </c>
      <c r="G102" s="61">
        <f t="shared" si="5"/>
        <v>338348.96312649734</v>
      </c>
      <c r="H102" s="61">
        <f t="shared" si="5"/>
        <v>326451.30008303648</v>
      </c>
      <c r="I102" s="61">
        <f t="shared" si="5"/>
        <v>206291.2869150902</v>
      </c>
      <c r="J102" s="61">
        <f t="shared" si="5"/>
        <v>224881.90348011776</v>
      </c>
      <c r="K102" s="61">
        <f t="shared" si="5"/>
        <v>268083.01630837965</v>
      </c>
    </row>
    <row r="103" spans="5:12">
      <c r="E103">
        <v>2023</v>
      </c>
      <c r="F103" s="61">
        <f t="shared" si="6"/>
        <v>402503.38924851822</v>
      </c>
      <c r="G103" s="61">
        <f t="shared" si="5"/>
        <v>351050.30124479678</v>
      </c>
      <c r="H103" s="61">
        <f t="shared" si="5"/>
        <v>338706.00984540361</v>
      </c>
      <c r="I103" s="61">
        <f t="shared" si="5"/>
        <v>214035.28991647693</v>
      </c>
      <c r="J103" s="61">
        <f t="shared" si="5"/>
        <v>233323.78273517516</v>
      </c>
      <c r="K103" s="61">
        <f t="shared" si="5"/>
        <v>278146.62933808262</v>
      </c>
    </row>
    <row r="104" spans="5:12">
      <c r="E104">
        <v>2024</v>
      </c>
      <c r="F104" s="61">
        <f t="shared" si="6"/>
        <v>417613.03106141655</v>
      </c>
      <c r="G104" s="61">
        <f t="shared" si="5"/>
        <v>364228.43701160874</v>
      </c>
      <c r="H104" s="61">
        <f t="shared" si="5"/>
        <v>351420.75119999185</v>
      </c>
      <c r="I104" s="61">
        <f t="shared" si="5"/>
        <v>222069.99633719987</v>
      </c>
      <c r="J104" s="61">
        <f t="shared" si="5"/>
        <v>242082.56310256803</v>
      </c>
      <c r="K104" s="61">
        <f t="shared" si="5"/>
        <v>288588.02201457648</v>
      </c>
    </row>
    <row r="105" spans="5:12">
      <c r="E105">
        <v>2025</v>
      </c>
      <c r="F105" s="61">
        <f t="shared" si="6"/>
        <v>433289.8762366029</v>
      </c>
      <c r="G105" s="61">
        <f t="shared" si="5"/>
        <v>377901.26901332702</v>
      </c>
      <c r="H105" s="61">
        <f t="shared" si="5"/>
        <v>364612.79334941355</v>
      </c>
      <c r="I105" s="61">
        <f t="shared" si="5"/>
        <v>230406.31894136808</v>
      </c>
      <c r="J105" s="61">
        <f t="shared" si="5"/>
        <v>251170.14078596918</v>
      </c>
      <c r="K105" s="61">
        <f t="shared" si="5"/>
        <v>299421.37587098533</v>
      </c>
    </row>
    <row r="106" spans="5:12">
      <c r="E106">
        <v>2026</v>
      </c>
      <c r="F106" s="61">
        <f t="shared" si="6"/>
        <v>449555.21711562813</v>
      </c>
      <c r="G106" s="61">
        <f t="shared" si="5"/>
        <v>392087.36773436313</v>
      </c>
      <c r="H106" s="61">
        <f t="shared" si="5"/>
        <v>378300.05376775609</v>
      </c>
      <c r="I106" s="61">
        <f t="shared" si="5"/>
        <v>239055.58014916125</v>
      </c>
      <c r="J106" s="61">
        <f t="shared" si="5"/>
        <v>260598.85856262382</v>
      </c>
      <c r="K106" s="61">
        <f t="shared" si="5"/>
        <v>310661.4048033689</v>
      </c>
    </row>
    <row r="107" spans="5:12">
      <c r="E107">
        <v>2027</v>
      </c>
      <c r="F107" s="61">
        <f t="shared" si="6"/>
        <v>466431.14533680119</v>
      </c>
      <c r="G107" s="61">
        <f t="shared" si="5"/>
        <v>406806.00077963801</v>
      </c>
      <c r="H107" s="61">
        <f t="shared" si="5"/>
        <v>392501.12253615283</v>
      </c>
      <c r="I107" s="61">
        <f t="shared" si="5"/>
        <v>248029.52741497732</v>
      </c>
      <c r="J107" s="61">
        <f t="shared" si="5"/>
        <v>270381.52254734928</v>
      </c>
      <c r="K107" s="61">
        <f t="shared" si="5"/>
        <v>322323.37505518337</v>
      </c>
    </row>
    <row r="108" spans="5:12">
      <c r="E108">
        <v>2028</v>
      </c>
      <c r="F108" s="61">
        <f t="shared" si="6"/>
        <v>483940.58184012357</v>
      </c>
      <c r="G108" s="61">
        <f t="shared" si="5"/>
        <v>422077.15904390498</v>
      </c>
      <c r="H108" s="61">
        <f t="shared" si="5"/>
        <v>407235.28759189125</v>
      </c>
      <c r="I108" s="61">
        <f t="shared" si="5"/>
        <v>257340.34918286273</v>
      </c>
      <c r="J108" s="61">
        <f t="shared" si="5"/>
        <v>280531.4195858413</v>
      </c>
      <c r="K108" s="61">
        <f t="shared" si="5"/>
        <v>334423.12595194241</v>
      </c>
    </row>
    <row r="109" spans="5:12">
      <c r="E109">
        <v>2029</v>
      </c>
      <c r="F109" s="61">
        <f t="shared" si="6"/>
        <v>502107.30799858359</v>
      </c>
      <c r="G109" s="61">
        <f t="shared" si="5"/>
        <v>437921.5838634473</v>
      </c>
      <c r="H109" s="61">
        <f t="shared" si="5"/>
        <v>422522.56092535116</v>
      </c>
      <c r="I109" s="61">
        <f t="shared" si="5"/>
        <v>267000.69144089642</v>
      </c>
      <c r="J109" s="61">
        <f t="shared" si="5"/>
        <v>291062.33530091081</v>
      </c>
      <c r="K109" s="61">
        <f t="shared" si="5"/>
        <v>346977.09141424001</v>
      </c>
    </row>
    <row r="110" spans="5:12">
      <c r="E110">
        <v>2030</v>
      </c>
      <c r="F110" s="61">
        <f t="shared" si="6"/>
        <v>520955.99791809375</v>
      </c>
      <c r="G110" s="61">
        <f t="shared" si="5"/>
        <v>454360.79518702789</v>
      </c>
      <c r="H110" s="61">
        <f t="shared" si="5"/>
        <v>438383.70576035476</v>
      </c>
      <c r="I110" s="61">
        <f t="shared" si="5"/>
        <v>277023.67489701149</v>
      </c>
      <c r="J110" s="61">
        <f t="shared" si="5"/>
        <v>301988.57281616091</v>
      </c>
      <c r="K110" s="61">
        <f t="shared" si="5"/>
        <v>360002.32227835443</v>
      </c>
    </row>
    <row r="111" spans="5:12">
      <c r="E111">
        <v>2040</v>
      </c>
      <c r="F111" s="61">
        <f>(1+$C$6)^10*F110</f>
        <v>753088.54863685335</v>
      </c>
      <c r="G111" s="61">
        <f t="shared" ref="G111:K117" si="7">(1+$C$6)^10*G110</f>
        <v>656819.2192283445</v>
      </c>
      <c r="H111" s="61">
        <f t="shared" si="7"/>
        <v>633722.90565126925</v>
      </c>
      <c r="I111" s="61">
        <f t="shared" si="7"/>
        <v>400462.53061671875</v>
      </c>
      <c r="J111" s="61">
        <f t="shared" si="7"/>
        <v>436551.52626305615</v>
      </c>
      <c r="K111" s="61">
        <f t="shared" si="7"/>
        <v>520415.59646872128</v>
      </c>
    </row>
    <row r="112" spans="5:12">
      <c r="E112">
        <v>2050</v>
      </c>
      <c r="F112" s="61">
        <f t="shared" ref="F112:F117" si="8">(1+$C$6)^10*F111</f>
        <v>1088656.9390782407</v>
      </c>
      <c r="G112" s="61">
        <f t="shared" si="7"/>
        <v>949491.00212343538</v>
      </c>
      <c r="H112" s="61">
        <f t="shared" si="7"/>
        <v>916103.21248259919</v>
      </c>
      <c r="I112" s="61">
        <f t="shared" si="7"/>
        <v>578904.45099165954</v>
      </c>
      <c r="J112" s="61">
        <f t="shared" si="7"/>
        <v>631074.32610908733</v>
      </c>
      <c r="K112" s="61">
        <f t="shared" si="7"/>
        <v>752307.34994672297</v>
      </c>
    </row>
    <row r="113" spans="5:11">
      <c r="E113">
        <v>2060</v>
      </c>
      <c r="F113" s="61">
        <f t="shared" si="8"/>
        <v>1573751.0989225074</v>
      </c>
      <c r="G113" s="61">
        <f t="shared" si="7"/>
        <v>1372574.2742006241</v>
      </c>
      <c r="H113" s="61">
        <f t="shared" si="7"/>
        <v>1324309.2342677063</v>
      </c>
      <c r="I113" s="61">
        <f t="shared" si="7"/>
        <v>836858.22706521023</v>
      </c>
      <c r="J113" s="61">
        <f t="shared" si="7"/>
        <v>912274.45356372278</v>
      </c>
      <c r="K113" s="61">
        <f t="shared" si="7"/>
        <v>1087527.6464122604</v>
      </c>
    </row>
    <row r="114" spans="5:11">
      <c r="E114">
        <v>2070</v>
      </c>
      <c r="F114" s="61">
        <f t="shared" si="8"/>
        <v>2274998.1490558456</v>
      </c>
      <c r="G114" s="61">
        <f t="shared" si="7"/>
        <v>1984179.0327492247</v>
      </c>
      <c r="H114" s="61">
        <f t="shared" si="7"/>
        <v>1914407.5952031778</v>
      </c>
      <c r="I114" s="61">
        <f t="shared" si="7"/>
        <v>1209753.5111486246</v>
      </c>
      <c r="J114" s="61">
        <f t="shared" si="7"/>
        <v>1318774.420370141</v>
      </c>
      <c r="K114" s="61">
        <f t="shared" si="7"/>
        <v>1572118.6052412598</v>
      </c>
    </row>
    <row r="115" spans="5:11">
      <c r="E115">
        <v>2080</v>
      </c>
      <c r="F115" s="61">
        <f t="shared" si="8"/>
        <v>3288713.5594383939</v>
      </c>
      <c r="G115" s="61">
        <f t="shared" si="7"/>
        <v>2868308.482828374</v>
      </c>
      <c r="H115" s="61">
        <f t="shared" si="7"/>
        <v>2767447.6215505656</v>
      </c>
      <c r="I115" s="61">
        <f t="shared" si="7"/>
        <v>1748807.0385216936</v>
      </c>
      <c r="J115" s="61">
        <f t="shared" si="7"/>
        <v>1906406.5260500249</v>
      </c>
      <c r="K115" s="61">
        <f t="shared" si="7"/>
        <v>2272638.2332434109</v>
      </c>
    </row>
    <row r="116" spans="5:11">
      <c r="E116">
        <v>2090</v>
      </c>
      <c r="F116" s="61">
        <f t="shared" si="8"/>
        <v>4754129.967324405</v>
      </c>
      <c r="G116" s="61">
        <f t="shared" si="7"/>
        <v>4146396.7801664718</v>
      </c>
      <c r="H116" s="61">
        <f t="shared" si="7"/>
        <v>4000593.3727049646</v>
      </c>
      <c r="I116" s="61">
        <f t="shared" si="7"/>
        <v>2528057.1866902271</v>
      </c>
      <c r="J116" s="61">
        <f t="shared" si="7"/>
        <v>2755881.3595626606</v>
      </c>
      <c r="K116" s="61">
        <f t="shared" si="7"/>
        <v>3285302.0897918325</v>
      </c>
    </row>
    <row r="117" spans="5:11">
      <c r="E117">
        <v>2100</v>
      </c>
      <c r="F117" s="61">
        <f t="shared" si="8"/>
        <v>6872520.6186918877</v>
      </c>
      <c r="G117" s="61">
        <f t="shared" si="7"/>
        <v>5993987.8717723014</v>
      </c>
      <c r="H117" s="61">
        <f t="shared" si="7"/>
        <v>5783215.9890215481</v>
      </c>
      <c r="I117" s="61">
        <f t="shared" si="7"/>
        <v>3654533.0607650261</v>
      </c>
      <c r="J117" s="61">
        <f t="shared" si="7"/>
        <v>3983873.3051974699</v>
      </c>
      <c r="K117" s="61">
        <f t="shared" si="7"/>
        <v>4749198.3824398573</v>
      </c>
    </row>
    <row r="118" spans="5:11">
      <c r="F118" s="581" t="s">
        <v>244</v>
      </c>
      <c r="G118" s="581"/>
      <c r="H118" s="581"/>
      <c r="I118" s="581"/>
      <c r="J118" s="581"/>
      <c r="K118" s="581"/>
    </row>
    <row r="119" spans="5:11">
      <c r="E119">
        <v>2020</v>
      </c>
      <c r="F119" s="320" t="s">
        <v>240</v>
      </c>
      <c r="G119" s="320" t="s">
        <v>240</v>
      </c>
      <c r="H119" s="61">
        <f>H81*H100/'Demographic-Economic'!E$29</f>
        <v>5579109363.0308828</v>
      </c>
      <c r="I119" s="61">
        <f>I81*I100/'Demographic-Economic'!F$29</f>
        <v>1684893045.5825496</v>
      </c>
      <c r="J119" s="61">
        <f>J81*J100/'Demographic-Economic'!G$29</f>
        <v>1192736934.5996227</v>
      </c>
      <c r="K119" s="61">
        <f>K81*K100/'Demographic-Economic'!H$29</f>
        <v>431972861.01510966</v>
      </c>
    </row>
    <row r="120" spans="5:11">
      <c r="E120">
        <v>2021</v>
      </c>
      <c r="F120" s="320" t="s">
        <v>240</v>
      </c>
      <c r="G120" s="320" t="s">
        <v>240</v>
      </c>
      <c r="H120" s="61">
        <f>H82*H101/'Demographic-Economic'!E$29</f>
        <v>6136609219.3366013</v>
      </c>
      <c r="I120" s="61">
        <f>I82*I101/'Demographic-Economic'!F$29</f>
        <v>1594346213.5391159</v>
      </c>
      <c r="J120" s="61">
        <f>J82*J101/'Demographic-Economic'!G$29</f>
        <v>1175745542.7836671</v>
      </c>
      <c r="K120" s="61">
        <f>K82*K101/'Demographic-Economic'!H$29</f>
        <v>452834037.18565863</v>
      </c>
    </row>
    <row r="121" spans="5:11">
      <c r="E121">
        <v>2022</v>
      </c>
      <c r="F121" s="320" t="s">
        <v>240</v>
      </c>
      <c r="G121" s="320" t="s">
        <v>240</v>
      </c>
      <c r="H121" s="61">
        <f>H83*H102/'Demographic-Economic'!E$29</f>
        <v>6702474119.0041313</v>
      </c>
      <c r="I121" s="61">
        <f>I83*I102/'Demographic-Economic'!F$29</f>
        <v>1506568718.19731</v>
      </c>
      <c r="J121" s="61">
        <f>J83*J102/'Demographic-Economic'!G$29</f>
        <v>1160299094.6982255</v>
      </c>
      <c r="K121" s="61">
        <f>K83*K102/'Demographic-Economic'!H$29</f>
        <v>474241849.82118553</v>
      </c>
    </row>
    <row r="122" spans="5:11">
      <c r="E122">
        <v>2023</v>
      </c>
      <c r="F122" s="320" t="s">
        <v>240</v>
      </c>
      <c r="G122" s="320" t="s">
        <v>240</v>
      </c>
      <c r="H122" s="61">
        <f>H84*H103/'Demographic-Economic'!E$29</f>
        <v>7277146228.3164568</v>
      </c>
      <c r="I122" s="61">
        <f>I84*I103/'Demographic-Economic'!F$29</f>
        <v>1421600413.7040763</v>
      </c>
      <c r="J122" s="61">
        <f>J84*J103/'Demographic-Economic'!G$29</f>
        <v>1146433754.9999032</v>
      </c>
      <c r="K122" s="61">
        <f>K84*K103/'Demographic-Economic'!H$29</f>
        <v>496219417.60939133</v>
      </c>
    </row>
    <row r="123" spans="5:11">
      <c r="E123">
        <v>2024</v>
      </c>
      <c r="F123" s="320" t="s">
        <v>240</v>
      </c>
      <c r="G123" s="320" t="s">
        <v>240</v>
      </c>
      <c r="H123" s="61">
        <f>H85*H104/'Demographic-Economic'!E$29</f>
        <v>7861146634.3335161</v>
      </c>
      <c r="I123" s="61">
        <f>I85*I104/'Demographic-Economic'!F$29</f>
        <v>1339453188.0480142</v>
      </c>
      <c r="J123" s="61">
        <f>J85*J104/'Demographic-Economic'!G$29</f>
        <v>1134175583.7028356</v>
      </c>
      <c r="K123" s="61">
        <f>K85*K104/'Demographic-Economic'!H$29</f>
        <v>518791719.05744833</v>
      </c>
    </row>
    <row r="124" spans="5:11">
      <c r="E124">
        <v>2025</v>
      </c>
      <c r="F124" s="320" t="s">
        <v>240</v>
      </c>
      <c r="G124" s="320" t="s">
        <v>240</v>
      </c>
      <c r="H124" s="61">
        <f>H86*H105/'Demographic-Economic'!E$29</f>
        <v>8455068766.6515436</v>
      </c>
      <c r="I124" s="61">
        <f>I86*I105/'Demographic-Economic'!F$29</f>
        <v>1260114448.4951453</v>
      </c>
      <c r="J124" s="61">
        <f>J86*J105/'Demographic-Economic'!G$29</f>
        <v>1123541836.8219867</v>
      </c>
      <c r="K124" s="61">
        <f>K86*K105/'Demographic-Economic'!H$29</f>
        <v>541985498.1851685</v>
      </c>
    </row>
    <row r="125" spans="5:11">
      <c r="E125">
        <v>2026</v>
      </c>
      <c r="F125" s="320" t="s">
        <v>240</v>
      </c>
      <c r="G125" s="320" t="s">
        <v>240</v>
      </c>
      <c r="H125" s="61">
        <f>H87*H106/'Demographic-Economic'!E$29</f>
        <v>9059572049.4270897</v>
      </c>
      <c r="I125" s="61">
        <f>I87*I106/'Demographic-Economic'!F$29</f>
        <v>1183550505.8645425</v>
      </c>
      <c r="J125" s="61">
        <f>J87*J106/'Demographic-Economic'!G$29</f>
        <v>1114542235.926331</v>
      </c>
      <c r="K125" s="61">
        <f>K87*K106/'Demographic-Economic'!H$29</f>
        <v>565829174.92657304</v>
      </c>
    </row>
    <row r="126" spans="5:11">
      <c r="E126">
        <v>2027</v>
      </c>
      <c r="F126" s="320" t="s">
        <v>240</v>
      </c>
      <c r="G126" s="320" t="s">
        <v>240</v>
      </c>
      <c r="H126" s="61">
        <f>H88*H107/'Demographic-Economic'!E$29</f>
        <v>9675375918.2384243</v>
      </c>
      <c r="I126" s="61">
        <f>I88*I107/'Demographic-Economic'!F$29</f>
        <v>1109709794.6295228</v>
      </c>
      <c r="J126" s="61">
        <f>J88*J107/'Demographic-Economic'!G$29</f>
        <v>1107180182.3160274</v>
      </c>
      <c r="K126" s="61">
        <f>K88*K107/'Demographic-Economic'!H$29</f>
        <v>590352762.5938108</v>
      </c>
    </row>
    <row r="127" spans="5:11">
      <c r="E127">
        <v>2028</v>
      </c>
      <c r="F127" s="320" t="s">
        <v>240</v>
      </c>
      <c r="G127" s="320" t="s">
        <v>240</v>
      </c>
      <c r="H127" s="61">
        <f>H89*H108/'Demographic-Economic'!E$29</f>
        <v>10303254300.988714</v>
      </c>
      <c r="I127" s="61">
        <f>I89*I108/'Demographic-Economic'!F$29</f>
        <v>1038525882.6774038</v>
      </c>
      <c r="J127" s="61">
        <f>J89*J108/'Demographic-Economic'!G$29</f>
        <v>1101453897.8079591</v>
      </c>
      <c r="K127" s="61">
        <f>K89*K108/'Demographic-Economic'!H$29</f>
        <v>615587794.15146005</v>
      </c>
    </row>
    <row r="128" spans="5:11">
      <c r="E128">
        <v>2029</v>
      </c>
      <c r="F128" s="320" t="s">
        <v>240</v>
      </c>
      <c r="G128" s="320" t="s">
        <v>240</v>
      </c>
      <c r="H128" s="61">
        <f>H90*H109/'Demographic-Economic'!E$29</f>
        <v>10944030630.189331</v>
      </c>
      <c r="I128" s="61">
        <f>I90*I109/'Demographic-Economic'!F$29</f>
        <v>969920239.72214758</v>
      </c>
      <c r="J128" s="61">
        <f>J90*J109/'Demographic-Economic'!G$29</f>
        <v>1097357479.7887368</v>
      </c>
      <c r="K128" s="61">
        <f>K90*K109/'Demographic-Economic'!H$29</f>
        <v>641567258.50037897</v>
      </c>
    </row>
    <row r="129" spans="5:12">
      <c r="E129">
        <v>2030</v>
      </c>
      <c r="F129" s="320" t="s">
        <v>240</v>
      </c>
      <c r="G129" s="320" t="s">
        <v>240</v>
      </c>
      <c r="H129" s="61">
        <f>H91*H110/'Demographic-Economic'!E$29</f>
        <v>11598573426.314619</v>
      </c>
      <c r="I129" s="61">
        <f>I91*I110/'Demographic-Economic'!F$29</f>
        <v>903804746.50362074</v>
      </c>
      <c r="J129" s="61">
        <f>J91*J110/'Demographic-Economic'!G$29</f>
        <v>1094881863.1399791</v>
      </c>
      <c r="K129" s="61">
        <f>K91*K110/'Demographic-Economic'!H$29</f>
        <v>668325547.49180627</v>
      </c>
    </row>
    <row r="130" spans="5:12">
      <c r="E130">
        <v>2040</v>
      </c>
      <c r="F130" s="320" t="s">
        <v>240</v>
      </c>
      <c r="G130" s="320" t="s">
        <v>240</v>
      </c>
      <c r="H130" s="61">
        <f>H92*H111/'Demographic-Economic'!E$29</f>
        <v>18684453351.775166</v>
      </c>
      <c r="I130" s="61">
        <f>I92*I111/'Demographic-Economic'!F$29</f>
        <v>360160514.91034639</v>
      </c>
      <c r="J130" s="61">
        <f>J92*J111/'Demographic-Economic'!G$29</f>
        <v>1195852291.1411185</v>
      </c>
      <c r="K130" s="61">
        <f>K92*K111/'Demographic-Economic'!H$29</f>
        <v>944067071.39934957</v>
      </c>
    </row>
    <row r="131" spans="5:12">
      <c r="E131">
        <v>2050</v>
      </c>
      <c r="F131" s="320" t="s">
        <v>240</v>
      </c>
      <c r="G131" s="320" t="s">
        <v>240</v>
      </c>
      <c r="H131" s="61">
        <f>H93*H112/'Demographic-Economic'!E$29</f>
        <v>26811307966.232155</v>
      </c>
      <c r="I131" s="61">
        <f>I93*I112/'Demographic-Economic'!F$29</f>
        <v>254116521.07671466</v>
      </c>
      <c r="J131" s="61">
        <f>J93*J112/'Demographic-Economic'!G$29</f>
        <v>1582465056.4363475</v>
      </c>
      <c r="K131" s="61">
        <f>K93*K112/'Demographic-Economic'!H$29</f>
        <v>1287938278.6404543</v>
      </c>
    </row>
    <row r="132" spans="5:12">
      <c r="E132">
        <v>2060</v>
      </c>
      <c r="F132" s="320" t="s">
        <v>240</v>
      </c>
      <c r="G132" s="320" t="s">
        <v>240</v>
      </c>
      <c r="H132" s="61">
        <f>H94*H113/'Demographic-Economic'!E$29</f>
        <v>36954763656.909882</v>
      </c>
      <c r="I132" s="61">
        <f>I94*I113/'Demographic-Economic'!F$29</f>
        <v>353349613.60685343</v>
      </c>
      <c r="J132" s="61">
        <f>J94*J113/'Demographic-Economic'!G$29</f>
        <v>2168239981.0691533</v>
      </c>
      <c r="K132" s="61">
        <f>K94*K113/'Demographic-Economic'!H$29</f>
        <v>1731390277.8034892</v>
      </c>
    </row>
    <row r="133" spans="5:12">
      <c r="E133">
        <v>2070</v>
      </c>
      <c r="F133" s="320" t="s">
        <v>240</v>
      </c>
      <c r="G133" s="320" t="s">
        <v>240</v>
      </c>
      <c r="H133" s="61">
        <f>H95*H114/'Demographic-Economic'!E$29</f>
        <v>49984591766.487152</v>
      </c>
      <c r="I133" s="61">
        <f>I95*I114/'Demographic-Economic'!F$29</f>
        <v>556918246.73171031</v>
      </c>
      <c r="J133" s="61">
        <f>J95*J114/'Demographic-Economic'!G$29</f>
        <v>2925133389.8598471</v>
      </c>
      <c r="K133" s="61">
        <f>K95*K114/'Demographic-Economic'!H$29</f>
        <v>2307080988.9009695</v>
      </c>
    </row>
    <row r="134" spans="5:12">
      <c r="E134">
        <v>2080</v>
      </c>
      <c r="F134" s="320" t="s">
        <v>240</v>
      </c>
      <c r="G134" s="320" t="s">
        <v>240</v>
      </c>
      <c r="H134" s="61">
        <f>H96*H115/'Demographic-Economic'!E$29</f>
        <v>66589207228.173912</v>
      </c>
      <c r="I134" s="61">
        <f>I96*I115/'Demographic-Economic'!F$29</f>
        <v>842288805.98283839</v>
      </c>
      <c r="J134" s="61">
        <f>J96*J115/'Demographic-Economic'!G$29</f>
        <v>3860916413.9899545</v>
      </c>
      <c r="K134" s="61">
        <f>K96*K115/'Demographic-Economic'!H$29</f>
        <v>3041593357.2885594</v>
      </c>
    </row>
    <row r="135" spans="5:12">
      <c r="E135">
        <v>2090</v>
      </c>
      <c r="F135" s="320" t="s">
        <v>240</v>
      </c>
      <c r="G135" s="320" t="s">
        <v>240</v>
      </c>
      <c r="H135" s="61">
        <f>H97*H116/'Demographic-Economic'!E$29</f>
        <v>87533202594.640213</v>
      </c>
      <c r="I135" s="61">
        <f>I97*I116/'Demographic-Economic'!F$29</f>
        <v>1197349753.201406</v>
      </c>
      <c r="J135" s="61">
        <f>J97*J116/'Demographic-Economic'!G$29</f>
        <v>4983376809.1844711</v>
      </c>
      <c r="K135" s="61">
        <f>K97*K116/'Demographic-Economic'!H$29</f>
        <v>3966050169.307848</v>
      </c>
    </row>
    <row r="136" spans="5:12">
      <c r="E136">
        <v>2100</v>
      </c>
      <c r="F136" s="320" t="s">
        <v>240</v>
      </c>
      <c r="G136" s="320" t="s">
        <v>240</v>
      </c>
      <c r="H136" s="61">
        <f>H98*H117/'Demographic-Economic'!E$29</f>
        <v>113776199302.5258</v>
      </c>
      <c r="I136" s="61">
        <f>I98*I117/'Demographic-Economic'!F$29</f>
        <v>1611077814.0488484</v>
      </c>
      <c r="J136" s="61">
        <f>J98*J117/'Demographic-Economic'!G$29</f>
        <v>6300298060.7837725</v>
      </c>
      <c r="K136" s="61">
        <f>K98*K117/'Demographic-Economic'!H$29</f>
        <v>5120320920.6960506</v>
      </c>
    </row>
    <row r="137" spans="5:12">
      <c r="F137" s="581" t="s">
        <v>363</v>
      </c>
      <c r="G137" s="581"/>
      <c r="H137" s="581"/>
      <c r="I137" s="581"/>
      <c r="J137" s="581"/>
      <c r="K137" s="581"/>
    </row>
    <row r="138" spans="5:12">
      <c r="E138">
        <v>2020</v>
      </c>
      <c r="H138" s="170">
        <f>('Demographic-Economic'!E$23*1000/'Voluntary Costs (1)'!H5)*$C$5*(1+'Inflation-Interest'!$C$65)*(1+'Inflation-Interest'!$C$66)*(1+'Inflation-Interest'!$C$67)</f>
        <v>3679.8913927982917</v>
      </c>
      <c r="I138" s="170">
        <f>('Demographic-Economic'!F$23*1000/'Voluntary Costs (1)'!I5)*$C$5*(1+'Inflation-Interest'!$C$65)*(1+'Inflation-Interest'!$C$66)*(1+'Inflation-Interest'!$C$67)</f>
        <v>1725.8329281201045</v>
      </c>
      <c r="J138" s="170">
        <f>('Demographic-Economic'!G$23*1000/'Voluntary Costs (1)'!J5)*$C$5*(1+'Inflation-Interest'!$C$65)*(1+'Inflation-Interest'!$C$66)*(1+'Inflation-Interest'!$C$67)</f>
        <v>1973.4851002516943</v>
      </c>
      <c r="K138" s="170">
        <f>('Demographic-Economic'!H$23*1000/'Voluntary Costs (1)'!K5)*$C$5*(1+'Inflation-Interest'!$C$65)*(1+'Inflation-Interest'!$C$66)*(1+'Inflation-Interest'!$C$67)</f>
        <v>593.7313408971421</v>
      </c>
      <c r="L138" s="329">
        <f>AVERAGE(H138:K138)</f>
        <v>1993.2351905168082</v>
      </c>
    </row>
    <row r="139" spans="5:12">
      <c r="E139">
        <v>2021</v>
      </c>
      <c r="F139" s="320" t="s">
        <v>240</v>
      </c>
      <c r="G139" s="320" t="s">
        <v>240</v>
      </c>
      <c r="H139" s="170">
        <f t="shared" ref="H139:H148" si="9">H138*(1+$C$6)</f>
        <v>3818.0314491077788</v>
      </c>
      <c r="I139" s="170">
        <f t="shared" ref="I139:I148" si="10">I138*(1+$C$6)</f>
        <v>1790.6192580476265</v>
      </c>
      <c r="J139" s="170">
        <f t="shared" ref="J139:J148" si="11">J138*(1+$C$6)</f>
        <v>2047.568086344226</v>
      </c>
      <c r="K139" s="170">
        <f t="shared" ref="K139:K148" si="12">K138*(1+$C$6)</f>
        <v>616.01952065830346</v>
      </c>
      <c r="L139" s="329">
        <f t="shared" ref="L139:L155" si="13">AVERAGE(H139:K139)</f>
        <v>2068.0595785394835</v>
      </c>
    </row>
    <row r="140" spans="5:12">
      <c r="E140">
        <v>2022</v>
      </c>
      <c r="F140" s="320" t="s">
        <v>240</v>
      </c>
      <c r="G140" s="320" t="s">
        <v>240</v>
      </c>
      <c r="H140" s="170">
        <f t="shared" si="9"/>
        <v>3961.3571680144105</v>
      </c>
      <c r="I140" s="170">
        <f t="shared" si="10"/>
        <v>1857.8376128120194</v>
      </c>
      <c r="J140" s="170">
        <f t="shared" si="11"/>
        <v>2124.4320859988497</v>
      </c>
      <c r="K140" s="170">
        <f t="shared" si="12"/>
        <v>639.14438011421566</v>
      </c>
      <c r="L140" s="329">
        <f t="shared" si="13"/>
        <v>2145.6928117348739</v>
      </c>
    </row>
    <row r="141" spans="5:12">
      <c r="E141">
        <v>2023</v>
      </c>
      <c r="F141" s="320" t="s">
        <v>240</v>
      </c>
      <c r="G141" s="320" t="s">
        <v>240</v>
      </c>
      <c r="H141" s="170">
        <f t="shared" si="9"/>
        <v>4110.063214970698</v>
      </c>
      <c r="I141" s="170">
        <f t="shared" si="10"/>
        <v>1927.579288598972</v>
      </c>
      <c r="J141" s="170">
        <f t="shared" si="11"/>
        <v>2204.181496147175</v>
      </c>
      <c r="K141" s="170">
        <f t="shared" si="12"/>
        <v>663.1373275233866</v>
      </c>
      <c r="L141" s="329">
        <f t="shared" si="13"/>
        <v>2226.2403318100583</v>
      </c>
    </row>
    <row r="142" spans="5:12">
      <c r="E142">
        <v>2024</v>
      </c>
      <c r="F142" s="320" t="s">
        <v>240</v>
      </c>
      <c r="G142" s="320" t="s">
        <v>240</v>
      </c>
      <c r="H142" s="170">
        <f t="shared" si="9"/>
        <v>4264.3515630080192</v>
      </c>
      <c r="I142" s="170">
        <f t="shared" si="10"/>
        <v>1999.9390087769036</v>
      </c>
      <c r="J142" s="170">
        <f t="shared" si="11"/>
        <v>2286.9246326946268</v>
      </c>
      <c r="K142" s="170">
        <f t="shared" si="12"/>
        <v>688.03095018417491</v>
      </c>
      <c r="L142" s="329">
        <f t="shared" si="13"/>
        <v>2309.811538665931</v>
      </c>
    </row>
    <row r="143" spans="5:12">
      <c r="E143">
        <v>2025</v>
      </c>
      <c r="F143" s="320" t="s">
        <v>240</v>
      </c>
      <c r="G143" s="320" t="s">
        <v>240</v>
      </c>
      <c r="H143" s="170">
        <f t="shared" si="9"/>
        <v>4424.4317670570381</v>
      </c>
      <c r="I143" s="170">
        <f t="shared" si="10"/>
        <v>2075.0150525505478</v>
      </c>
      <c r="J143" s="170">
        <f t="shared" si="11"/>
        <v>2372.7738776354558</v>
      </c>
      <c r="K143" s="170">
        <f t="shared" si="12"/>
        <v>713.85905869496366</v>
      </c>
      <c r="L143" s="329">
        <f t="shared" si="13"/>
        <v>2396.5199389845011</v>
      </c>
    </row>
    <row r="144" spans="5:12">
      <c r="E144">
        <v>2026</v>
      </c>
      <c r="F144" s="320" t="s">
        <v>240</v>
      </c>
      <c r="G144" s="320" t="s">
        <v>240</v>
      </c>
      <c r="H144" s="170">
        <f t="shared" si="9"/>
        <v>4590.5212485658867</v>
      </c>
      <c r="I144" s="170">
        <f t="shared" si="10"/>
        <v>2152.9093884440849</v>
      </c>
      <c r="J144" s="170">
        <f t="shared" si="11"/>
        <v>2461.8458316903261</v>
      </c>
      <c r="K144" s="170">
        <f t="shared" si="12"/>
        <v>740.65673287582365</v>
      </c>
      <c r="L144" s="329">
        <f t="shared" si="13"/>
        <v>2486.4833003940298</v>
      </c>
    </row>
    <row r="145" spans="5:12">
      <c r="E145">
        <v>2027</v>
      </c>
      <c r="F145" s="320" t="s">
        <v>240</v>
      </c>
      <c r="G145" s="320" t="s">
        <v>240</v>
      </c>
      <c r="H145" s="170">
        <f t="shared" si="9"/>
        <v>4762.8455908026763</v>
      </c>
      <c r="I145" s="170">
        <f t="shared" si="10"/>
        <v>2233.727812795119</v>
      </c>
      <c r="J145" s="170">
        <f t="shared" si="11"/>
        <v>2554.2614726737879</v>
      </c>
      <c r="K145" s="170">
        <f t="shared" si="12"/>
        <v>768.46036941403804</v>
      </c>
      <c r="L145" s="329">
        <f t="shared" si="13"/>
        <v>2579.8238114214055</v>
      </c>
    </row>
    <row r="146" spans="5:12">
      <c r="E146">
        <v>2028</v>
      </c>
      <c r="F146" s="320" t="s">
        <v>240</v>
      </c>
      <c r="G146" s="320" t="s">
        <v>240</v>
      </c>
      <c r="H146" s="170">
        <f t="shared" si="9"/>
        <v>4941.6388452434167</v>
      </c>
      <c r="I146" s="170">
        <f t="shared" si="10"/>
        <v>2317.5800934476038</v>
      </c>
      <c r="J146" s="170">
        <f t="shared" si="11"/>
        <v>2650.1463198067349</v>
      </c>
      <c r="K146" s="170">
        <f t="shared" si="12"/>
        <v>797.30773129819988</v>
      </c>
      <c r="L146" s="329">
        <f t="shared" si="13"/>
        <v>2676.668247448989</v>
      </c>
    </row>
    <row r="147" spans="5:12">
      <c r="E147">
        <v>2029</v>
      </c>
      <c r="F147" s="320" t="s">
        <v>240</v>
      </c>
      <c r="G147" s="320" t="s">
        <v>240</v>
      </c>
      <c r="H147" s="170">
        <f t="shared" si="9"/>
        <v>5127.1438494614831</v>
      </c>
      <c r="I147" s="170">
        <f t="shared" si="10"/>
        <v>2404.5801188388823</v>
      </c>
      <c r="J147" s="170">
        <f t="shared" si="11"/>
        <v>2749.6306041970133</v>
      </c>
      <c r="K147" s="170">
        <f t="shared" si="12"/>
        <v>827.23799910802495</v>
      </c>
      <c r="L147" s="329">
        <f t="shared" si="13"/>
        <v>2777.1481429013511</v>
      </c>
    </row>
    <row r="148" spans="5:12">
      <c r="E148">
        <v>2030</v>
      </c>
      <c r="F148" s="320" t="s">
        <v>240</v>
      </c>
      <c r="G148" s="320" t="s">
        <v>240</v>
      </c>
      <c r="H148" s="170">
        <f t="shared" si="9"/>
        <v>5319.6125569503929</v>
      </c>
      <c r="I148" s="170">
        <f t="shared" si="10"/>
        <v>2494.8460526833283</v>
      </c>
      <c r="J148" s="170">
        <f t="shared" si="11"/>
        <v>2852.8494457197326</v>
      </c>
      <c r="K148" s="170">
        <f t="shared" si="12"/>
        <v>858.29182422954091</v>
      </c>
      <c r="L148" s="329">
        <f t="shared" si="13"/>
        <v>2881.3999698957487</v>
      </c>
    </row>
    <row r="149" spans="5:12">
      <c r="E149">
        <v>2040</v>
      </c>
      <c r="F149" s="320" t="s">
        <v>240</v>
      </c>
      <c r="G149" s="320" t="s">
        <v>240</v>
      </c>
      <c r="H149" s="170">
        <f t="shared" ref="H149:K155" si="14">H148*(1+$C$6)^10</f>
        <v>7689.9763431728625</v>
      </c>
      <c r="I149" s="170">
        <f t="shared" si="14"/>
        <v>3606.5233923711676</v>
      </c>
      <c r="J149" s="170">
        <f t="shared" si="14"/>
        <v>4124.049357608721</v>
      </c>
      <c r="K149" s="170">
        <f t="shared" si="14"/>
        <v>1240.7376953120836</v>
      </c>
      <c r="L149" s="329">
        <f t="shared" si="13"/>
        <v>4165.3216971162083</v>
      </c>
    </row>
    <row r="150" spans="5:12">
      <c r="E150">
        <v>2050</v>
      </c>
      <c r="F150" s="320" t="s">
        <v>240</v>
      </c>
      <c r="G150" s="320" t="s">
        <v>240</v>
      </c>
      <c r="H150" s="170">
        <f t="shared" si="14"/>
        <v>11116.549471501243</v>
      </c>
      <c r="I150" s="170">
        <f t="shared" si="14"/>
        <v>5213.5525419417208</v>
      </c>
      <c r="J150" s="170">
        <f t="shared" si="14"/>
        <v>5961.6826711660169</v>
      </c>
      <c r="K150" s="170">
        <f t="shared" si="14"/>
        <v>1793.5974514847956</v>
      </c>
      <c r="L150" s="329">
        <f t="shared" si="13"/>
        <v>6021.3455340234441</v>
      </c>
    </row>
    <row r="151" spans="5:12">
      <c r="E151">
        <v>2060</v>
      </c>
      <c r="F151" s="320" t="s">
        <v>240</v>
      </c>
      <c r="G151" s="320" t="s">
        <v>240</v>
      </c>
      <c r="H151" s="170">
        <f t="shared" si="14"/>
        <v>16069.96779151947</v>
      </c>
      <c r="I151" s="170">
        <f t="shared" si="14"/>
        <v>7536.6570933888497</v>
      </c>
      <c r="J151" s="170">
        <f t="shared" si="14"/>
        <v>8618.1461931603953</v>
      </c>
      <c r="K151" s="170">
        <f t="shared" si="14"/>
        <v>2592.8057397849766</v>
      </c>
      <c r="L151" s="329">
        <f t="shared" si="13"/>
        <v>8704.3942044634223</v>
      </c>
    </row>
    <row r="152" spans="5:12">
      <c r="E152">
        <v>2070</v>
      </c>
      <c r="F152" s="320" t="s">
        <v>240</v>
      </c>
      <c r="G152" s="320" t="s">
        <v>240</v>
      </c>
      <c r="H152" s="170">
        <f t="shared" si="14"/>
        <v>23230.577571081361</v>
      </c>
      <c r="I152" s="170">
        <f t="shared" si="14"/>
        <v>10894.912765600246</v>
      </c>
      <c r="J152" s="170">
        <f t="shared" si="14"/>
        <v>12458.302110896893</v>
      </c>
      <c r="K152" s="170">
        <f t="shared" si="14"/>
        <v>3748.1328927495456</v>
      </c>
      <c r="L152" s="329">
        <f t="shared" si="13"/>
        <v>12582.981335082011</v>
      </c>
    </row>
    <row r="153" spans="5:12">
      <c r="E153">
        <v>2080</v>
      </c>
      <c r="F153" s="320" t="s">
        <v>240</v>
      </c>
      <c r="G153" s="320" t="s">
        <v>240</v>
      </c>
      <c r="H153" s="170">
        <f t="shared" si="14"/>
        <v>33581.880268037661</v>
      </c>
      <c r="I153" s="170">
        <f t="shared" si="14"/>
        <v>15749.572084706093</v>
      </c>
      <c r="J153" s="170">
        <f t="shared" si="14"/>
        <v>18009.591390960213</v>
      </c>
      <c r="K153" s="170">
        <f t="shared" si="14"/>
        <v>5418.2617564230359</v>
      </c>
      <c r="L153" s="329">
        <f t="shared" si="13"/>
        <v>18189.826375031749</v>
      </c>
    </row>
    <row r="154" spans="5:12">
      <c r="E154">
        <v>2090</v>
      </c>
      <c r="F154" s="320" t="s">
        <v>240</v>
      </c>
      <c r="G154" s="320" t="s">
        <v>240</v>
      </c>
      <c r="H154" s="170">
        <f t="shared" si="14"/>
        <v>48545.615316112082</v>
      </c>
      <c r="I154" s="170">
        <f t="shared" si="14"/>
        <v>22767.416884194521</v>
      </c>
      <c r="J154" s="170">
        <f t="shared" si="14"/>
        <v>26034.477184949086</v>
      </c>
      <c r="K154" s="170">
        <f t="shared" si="14"/>
        <v>7832.5825954320417</v>
      </c>
      <c r="L154" s="329">
        <f t="shared" si="13"/>
        <v>26295.022995171934</v>
      </c>
    </row>
    <row r="155" spans="5:12">
      <c r="E155">
        <v>2100</v>
      </c>
      <c r="F155" s="320" t="s">
        <v>240</v>
      </c>
      <c r="G155" s="320" t="s">
        <v>240</v>
      </c>
      <c r="H155" s="170">
        <f t="shared" si="14"/>
        <v>70177.034389076725</v>
      </c>
      <c r="I155" s="170">
        <f t="shared" si="14"/>
        <v>32912.340017292532</v>
      </c>
      <c r="J155" s="170">
        <f t="shared" si="14"/>
        <v>37635.1682600555</v>
      </c>
      <c r="K155" s="170">
        <f t="shared" si="14"/>
        <v>11322.699580089284</v>
      </c>
      <c r="L155" s="329">
        <f t="shared" si="13"/>
        <v>38011.81056162851</v>
      </c>
    </row>
    <row r="156" spans="5:12">
      <c r="F156" s="581" t="s">
        <v>364</v>
      </c>
      <c r="G156" s="581"/>
      <c r="H156" s="581"/>
      <c r="I156" s="581"/>
      <c r="J156" s="581"/>
      <c r="K156" s="581"/>
    </row>
    <row r="157" spans="5:12">
      <c r="E157">
        <v>2020</v>
      </c>
      <c r="F157" s="320" t="s">
        <v>240</v>
      </c>
      <c r="G157" s="320" t="s">
        <v>240</v>
      </c>
      <c r="H157" s="63">
        <f>'Demographic-Economic'!E$22*1000/H5*(1+'Inflation-Interest'!$C$65)*(1+'Inflation-Interest'!$C$66)*(1+'Inflation-Interest'!$C$67)*$C$5</f>
        <v>918.50338180980054</v>
      </c>
      <c r="I157" s="63">
        <f>'Demographic-Economic'!F$22*1000/I5*(1+'Inflation-Interest'!$C$65)*(1+'Inflation-Interest'!$C$66)*(1+'Inflation-Interest'!$C$67)*$C$5</f>
        <v>719.11413961221217</v>
      </c>
      <c r="J157" s="63">
        <f>'Demographic-Economic'!G$22*1000/J5*(1+'Inflation-Interest'!$C$65)*(1+'Inflation-Interest'!$C$66)*(1+'Inflation-Interest'!$C$67)*$C$5</f>
        <v>540.13575753906809</v>
      </c>
      <c r="K157" s="63">
        <f>'Demographic-Economic'!H$22*1000/K5*(1+'Inflation-Interest'!$C$65)*(1+'Inflation-Interest'!$C$66)*(1+'Inflation-Interest'!$C$67)*$C$5</f>
        <v>128.59741636960283</v>
      </c>
      <c r="L157" s="63">
        <f>AVERAGE(H157:K157)</f>
        <v>576.58767383267093</v>
      </c>
    </row>
    <row r="158" spans="5:12">
      <c r="E158">
        <v>2021</v>
      </c>
      <c r="F158" s="320" t="s">
        <v>240</v>
      </c>
      <c r="G158" s="320" t="s">
        <v>240</v>
      </c>
      <c r="H158" s="63">
        <f t="shared" ref="H158:H167" si="15">H157*(1+$C$6)</f>
        <v>952.98323334345559</v>
      </c>
      <c r="I158" s="63">
        <f t="shared" ref="I158:I167" si="16">I157*(1+$C$6)</f>
        <v>746.10908515147162</v>
      </c>
      <c r="J158" s="63">
        <f t="shared" ref="J158:J167" si="17">J157*(1+$C$6)</f>
        <v>560.41200376395341</v>
      </c>
      <c r="K158" s="63">
        <f t="shared" ref="K158:K167" si="18">K157*(1+$C$6)</f>
        <v>133.42485621560408</v>
      </c>
      <c r="L158" s="63">
        <f t="shared" ref="L158:L174" si="19">AVERAGE(H158:K158)</f>
        <v>598.23229461862115</v>
      </c>
    </row>
    <row r="159" spans="5:12">
      <c r="E159">
        <v>2022</v>
      </c>
      <c r="F159" s="320" t="s">
        <v>240</v>
      </c>
      <c r="G159" s="320" t="s">
        <v>240</v>
      </c>
      <c r="H159" s="63">
        <f t="shared" si="15"/>
        <v>988.75742977047446</v>
      </c>
      <c r="I159" s="63">
        <f t="shared" si="16"/>
        <v>774.11739845048692</v>
      </c>
      <c r="J159" s="63">
        <f t="shared" si="17"/>
        <v>581.44940337524906</v>
      </c>
      <c r="K159" s="63">
        <f t="shared" si="18"/>
        <v>138.43351413055768</v>
      </c>
      <c r="L159" s="63">
        <f t="shared" si="19"/>
        <v>620.689436431692</v>
      </c>
    </row>
    <row r="160" spans="5:12">
      <c r="E160">
        <v>2023</v>
      </c>
      <c r="F160" s="320" t="s">
        <v>240</v>
      </c>
      <c r="G160" s="320" t="s">
        <v>240</v>
      </c>
      <c r="H160" s="63">
        <f t="shared" si="15"/>
        <v>1025.8745597195332</v>
      </c>
      <c r="I160" s="63">
        <f t="shared" si="16"/>
        <v>803.17712049048612</v>
      </c>
      <c r="J160" s="63">
        <f t="shared" si="17"/>
        <v>603.2765294367864</v>
      </c>
      <c r="K160" s="63">
        <f t="shared" si="18"/>
        <v>143.63019288975704</v>
      </c>
      <c r="L160" s="63">
        <f t="shared" si="19"/>
        <v>643.98960063414063</v>
      </c>
    </row>
    <row r="161" spans="5:12">
      <c r="E161">
        <v>2024</v>
      </c>
      <c r="F161" s="320" t="s">
        <v>240</v>
      </c>
      <c r="G161" s="320" t="s">
        <v>240</v>
      </c>
      <c r="H161" s="63">
        <f t="shared" si="15"/>
        <v>1064.3850357959379</v>
      </c>
      <c r="I161" s="63">
        <f t="shared" si="16"/>
        <v>833.3277202794319</v>
      </c>
      <c r="J161" s="63">
        <f t="shared" si="17"/>
        <v>625.92302762140218</v>
      </c>
      <c r="K161" s="63">
        <f t="shared" si="18"/>
        <v>149.02195063901112</v>
      </c>
      <c r="L161" s="63">
        <f t="shared" si="19"/>
        <v>668.16443358394577</v>
      </c>
    </row>
    <row r="162" spans="5:12">
      <c r="E162">
        <v>2025</v>
      </c>
      <c r="F162" s="320" t="s">
        <v>240</v>
      </c>
      <c r="G162" s="320" t="s">
        <v>240</v>
      </c>
      <c r="H162" s="63">
        <f t="shared" si="15"/>
        <v>1104.3411630521875</v>
      </c>
      <c r="I162" s="63">
        <f t="shared" si="16"/>
        <v>864.61014845895488</v>
      </c>
      <c r="J162" s="63">
        <f t="shared" si="17"/>
        <v>649.41965647578661</v>
      </c>
      <c r="K162" s="63">
        <f t="shared" si="18"/>
        <v>154.61611048104075</v>
      </c>
      <c r="L162" s="63">
        <f t="shared" si="19"/>
        <v>693.24676961699242</v>
      </c>
    </row>
    <row r="163" spans="5:12">
      <c r="E163">
        <v>2026</v>
      </c>
      <c r="F163" s="320" t="s">
        <v>240</v>
      </c>
      <c r="G163" s="320" t="s">
        <v>240</v>
      </c>
      <c r="H163" s="63">
        <f t="shared" si="15"/>
        <v>1145.7972100288641</v>
      </c>
      <c r="I163" s="63">
        <f t="shared" si="16"/>
        <v>897.06689292364706</v>
      </c>
      <c r="J163" s="63">
        <f t="shared" si="17"/>
        <v>673.79832919684054</v>
      </c>
      <c r="K163" s="63">
        <f t="shared" si="18"/>
        <v>160.4202704217403</v>
      </c>
      <c r="L163" s="63">
        <f t="shared" si="19"/>
        <v>719.27067564277309</v>
      </c>
    </row>
    <row r="164" spans="5:12">
      <c r="E164">
        <v>2027</v>
      </c>
      <c r="F164" s="320" t="s">
        <v>240</v>
      </c>
      <c r="G164" s="320" t="s">
        <v>240</v>
      </c>
      <c r="H164" s="63">
        <f t="shared" si="15"/>
        <v>1188.8094824623392</v>
      </c>
      <c r="I164" s="63">
        <f t="shared" si="16"/>
        <v>930.74203652825668</v>
      </c>
      <c r="J164" s="63">
        <f t="shared" si="17"/>
        <v>699.09215697628224</v>
      </c>
      <c r="K164" s="63">
        <f t="shared" si="18"/>
        <v>166.44231368981374</v>
      </c>
      <c r="L164" s="63">
        <f t="shared" si="19"/>
        <v>746.27149741417293</v>
      </c>
    </row>
    <row r="165" spans="5:12">
      <c r="E165">
        <v>2028</v>
      </c>
      <c r="F165" s="320" t="s">
        <v>240</v>
      </c>
      <c r="G165" s="320" t="s">
        <v>240</v>
      </c>
      <c r="H165" s="63">
        <f t="shared" si="15"/>
        <v>1233.4363997594069</v>
      </c>
      <c r="I165" s="63">
        <f t="shared" si="16"/>
        <v>965.6813169611637</v>
      </c>
      <c r="J165" s="63">
        <f t="shared" si="17"/>
        <v>725.33549397237437</v>
      </c>
      <c r="K165" s="63">
        <f t="shared" si="18"/>
        <v>172.69041944380129</v>
      </c>
      <c r="L165" s="63">
        <f t="shared" si="19"/>
        <v>774.28590753418655</v>
      </c>
    </row>
    <row r="166" spans="5:12">
      <c r="E166">
        <v>2029</v>
      </c>
      <c r="F166" s="320" t="s">
        <v>240</v>
      </c>
      <c r="G166" s="320" t="s">
        <v>240</v>
      </c>
      <c r="H166" s="63">
        <f t="shared" si="15"/>
        <v>1279.7385743427085</v>
      </c>
      <c r="I166" s="63">
        <f t="shared" si="16"/>
        <v>1001.932188865455</v>
      </c>
      <c r="J166" s="63">
        <f t="shared" si="17"/>
        <v>752.5639839698523</v>
      </c>
      <c r="K166" s="63">
        <f t="shared" si="18"/>
        <v>179.17307388103873</v>
      </c>
      <c r="L166" s="63">
        <f t="shared" si="19"/>
        <v>803.35195526476366</v>
      </c>
    </row>
    <row r="167" spans="5:12">
      <c r="E167">
        <v>2030</v>
      </c>
      <c r="F167" s="320" t="s">
        <v>240</v>
      </c>
      <c r="G167" s="320" t="s">
        <v>240</v>
      </c>
      <c r="H167" s="63">
        <f t="shared" si="15"/>
        <v>1327.7788939747218</v>
      </c>
      <c r="I167" s="63">
        <f t="shared" si="16"/>
        <v>1039.5438882919734</v>
      </c>
      <c r="J167" s="63">
        <f t="shared" si="17"/>
        <v>780.8146087914273</v>
      </c>
      <c r="K167" s="63">
        <f t="shared" si="18"/>
        <v>185.89908176363804</v>
      </c>
      <c r="L167" s="63">
        <f t="shared" si="19"/>
        <v>833.50911820544013</v>
      </c>
    </row>
    <row r="168" spans="5:12">
      <c r="E168">
        <v>2040</v>
      </c>
      <c r="F168" s="320" t="s">
        <v>240</v>
      </c>
      <c r="G168" s="320" t="s">
        <v>240</v>
      </c>
      <c r="H168" s="63">
        <f t="shared" ref="H168:K174" si="20">H167*(1+$C$6)^10</f>
        <v>1919.4232990312598</v>
      </c>
      <c r="I168" s="63">
        <f t="shared" si="20"/>
        <v>1502.7537857452567</v>
      </c>
      <c r="J168" s="63">
        <f t="shared" si="20"/>
        <v>1128.7374420087569</v>
      </c>
      <c r="K168" s="63">
        <f t="shared" si="20"/>
        <v>268.7337706788681</v>
      </c>
      <c r="L168" s="63">
        <f t="shared" si="19"/>
        <v>1204.9120743660355</v>
      </c>
    </row>
    <row r="169" spans="5:12">
      <c r="E169">
        <v>2050</v>
      </c>
      <c r="F169" s="320" t="s">
        <v>240</v>
      </c>
      <c r="G169" s="320" t="s">
        <v>240</v>
      </c>
      <c r="H169" s="63">
        <f t="shared" si="20"/>
        <v>2774.6982706099443</v>
      </c>
      <c r="I169" s="63">
        <f t="shared" si="20"/>
        <v>2172.365174771176</v>
      </c>
      <c r="J169" s="63">
        <f t="shared" si="20"/>
        <v>1631.6910552742977</v>
      </c>
      <c r="K169" s="63">
        <f t="shared" si="20"/>
        <v>388.47873167606105</v>
      </c>
      <c r="L169" s="63">
        <f t="shared" si="19"/>
        <v>1741.8083080828696</v>
      </c>
    </row>
    <row r="170" spans="5:12">
      <c r="E170">
        <v>2060</v>
      </c>
      <c r="F170" s="320" t="s">
        <v>240</v>
      </c>
      <c r="G170" s="320" t="s">
        <v>240</v>
      </c>
      <c r="H170" s="63">
        <f t="shared" si="20"/>
        <v>4011.0748352442656</v>
      </c>
      <c r="I170" s="63">
        <f t="shared" si="20"/>
        <v>3140.3484039258215</v>
      </c>
      <c r="J170" s="63">
        <f t="shared" si="20"/>
        <v>2358.7555447119612</v>
      </c>
      <c r="K170" s="63">
        <f t="shared" si="20"/>
        <v>561.58079642689393</v>
      </c>
      <c r="L170" s="63">
        <f t="shared" si="19"/>
        <v>2517.9398950772356</v>
      </c>
    </row>
    <row r="171" spans="5:12">
      <c r="E171">
        <v>2070</v>
      </c>
      <c r="F171" s="320" t="s">
        <v>240</v>
      </c>
      <c r="G171" s="320" t="s">
        <v>240</v>
      </c>
      <c r="H171" s="63">
        <f t="shared" si="20"/>
        <v>5798.3678817780547</v>
      </c>
      <c r="I171" s="63">
        <f t="shared" si="20"/>
        <v>4539.6548483512843</v>
      </c>
      <c r="J171" s="63">
        <f t="shared" si="20"/>
        <v>3409.7923756615328</v>
      </c>
      <c r="K171" s="63">
        <f t="shared" si="20"/>
        <v>811.81533299084981</v>
      </c>
      <c r="L171" s="63">
        <f t="shared" si="19"/>
        <v>3639.90760969543</v>
      </c>
    </row>
    <row r="172" spans="5:12">
      <c r="E172">
        <v>2080</v>
      </c>
      <c r="F172" s="320" t="s">
        <v>240</v>
      </c>
      <c r="G172" s="320" t="s">
        <v>240</v>
      </c>
      <c r="H172" s="63">
        <f t="shared" si="20"/>
        <v>8382.0600396222417</v>
      </c>
      <c r="I172" s="63">
        <f t="shared" si="20"/>
        <v>6562.4776271308647</v>
      </c>
      <c r="J172" s="63">
        <f t="shared" si="20"/>
        <v>4929.1602392562936</v>
      </c>
      <c r="K172" s="63">
        <f t="shared" si="20"/>
        <v>1173.5517650750689</v>
      </c>
      <c r="L172" s="63">
        <f t="shared" si="19"/>
        <v>5261.812417771117</v>
      </c>
    </row>
    <row r="173" spans="5:12">
      <c r="E173">
        <v>2090</v>
      </c>
      <c r="F173" s="320" t="s">
        <v>240</v>
      </c>
      <c r="G173" s="320" t="s">
        <v>240</v>
      </c>
      <c r="H173" s="63">
        <f t="shared" si="20"/>
        <v>12117.018433519483</v>
      </c>
      <c r="I173" s="63">
        <f t="shared" si="20"/>
        <v>9486.6491055446495</v>
      </c>
      <c r="J173" s="63">
        <f t="shared" si="20"/>
        <v>7125.5425514145509</v>
      </c>
      <c r="K173" s="63">
        <f t="shared" si="20"/>
        <v>1696.4741725644801</v>
      </c>
      <c r="L173" s="63">
        <f t="shared" si="19"/>
        <v>7606.421065760791</v>
      </c>
    </row>
    <row r="174" spans="5:12">
      <c r="E174">
        <v>2100</v>
      </c>
      <c r="F174" s="320" t="s">
        <v>240</v>
      </c>
      <c r="G174" s="320" t="s">
        <v>240</v>
      </c>
      <c r="H174" s="63">
        <f t="shared" si="20"/>
        <v>17516.235272023638</v>
      </c>
      <c r="I174" s="63">
        <f t="shared" si="20"/>
        <v>13713.800848579478</v>
      </c>
      <c r="J174" s="63">
        <f t="shared" si="20"/>
        <v>10300.609878261945</v>
      </c>
      <c r="K174" s="63">
        <f t="shared" si="20"/>
        <v>2452.4053423363375</v>
      </c>
      <c r="L174" s="63">
        <f t="shared" si="19"/>
        <v>10995.762835300349</v>
      </c>
    </row>
    <row r="175" spans="5:12">
      <c r="F175" s="581" t="s">
        <v>247</v>
      </c>
      <c r="G175" s="581"/>
      <c r="H175" s="581"/>
      <c r="I175" s="581"/>
      <c r="J175" s="581"/>
      <c r="K175" s="581"/>
      <c r="L175" s="63"/>
    </row>
    <row r="176" spans="5:12">
      <c r="E176">
        <v>2020</v>
      </c>
      <c r="F176" s="320" t="s">
        <v>240</v>
      </c>
      <c r="G176" s="320" t="s">
        <v>240</v>
      </c>
      <c r="H176" s="63">
        <f>('Demographic-Economic'!E$24*1000*(1+'Inflation-Interest'!$C$65)*(1+'Inflation-Interest'!$C$66)*(1+'Inflation-Interest'!$C$67))*$C$5/H5</f>
        <v>206.13165593491917</v>
      </c>
      <c r="I176" s="63">
        <f>('Demographic-Economic'!F$24*1000*(1+'Inflation-Interest'!$C$65)*(1+'Inflation-Interest'!$C$66)*(1+'Inflation-Interest'!$C$67))*$C$5/I5</f>
        <v>579.22367593505658</v>
      </c>
      <c r="J176" s="63">
        <f>('Demographic-Economic'!G$24*1000*(1+'Inflation-Interest'!$C$65)*(1+'Inflation-Interest'!$C$66)*(1+'Inflation-Interest'!$C$67))*$C$5/J5</f>
        <v>477.32507030724815</v>
      </c>
      <c r="K176" s="63">
        <f>('Demographic-Economic'!H$24*1000)*$C$5/K5</f>
        <v>161.65030819710586</v>
      </c>
      <c r="L176" s="63">
        <f t="shared" ref="L176:L193" si="21">AVERAGE(H176:K176)</f>
        <v>356.08267759358245</v>
      </c>
    </row>
    <row r="177" spans="5:12">
      <c r="E177">
        <v>2021</v>
      </c>
      <c r="F177" s="320" t="s">
        <v>240</v>
      </c>
      <c r="G177" s="320" t="s">
        <v>240</v>
      </c>
      <c r="H177" s="63">
        <f t="shared" ref="H177:H186" si="22">H176*(1+$C$6)</f>
        <v>213.86966652233608</v>
      </c>
      <c r="I177" s="63">
        <f t="shared" ref="I177:I186" si="23">I176*(1+$C$6)</f>
        <v>600.96725004326197</v>
      </c>
      <c r="J177" s="63">
        <f t="shared" ref="J177:J186" si="24">J176*(1+$C$6)</f>
        <v>495.24345567569031</v>
      </c>
      <c r="K177" s="63">
        <f t="shared" ref="K177:K186" si="25">K176*(1+$C$6)</f>
        <v>167.71852605823506</v>
      </c>
      <c r="L177" s="63">
        <f t="shared" si="21"/>
        <v>369.44972457488086</v>
      </c>
    </row>
    <row r="178" spans="5:12">
      <c r="E178">
        <v>2022</v>
      </c>
      <c r="F178" s="320" t="s">
        <v>240</v>
      </c>
      <c r="G178" s="320" t="s">
        <v>240</v>
      </c>
      <c r="H178" s="63">
        <f t="shared" si="22"/>
        <v>221.89815557886249</v>
      </c>
      <c r="I178" s="63">
        <f t="shared" si="23"/>
        <v>623.52705980384428</v>
      </c>
      <c r="J178" s="63">
        <f t="shared" si="24"/>
        <v>513.83448229887597</v>
      </c>
      <c r="K178" s="63">
        <f t="shared" si="25"/>
        <v>174.01453976102283</v>
      </c>
      <c r="L178" s="63">
        <f t="shared" si="21"/>
        <v>383.31855936065136</v>
      </c>
    </row>
    <row r="179" spans="5:12">
      <c r="E179">
        <v>2023</v>
      </c>
      <c r="F179" s="320" t="s">
        <v>240</v>
      </c>
      <c r="G179" s="320" t="s">
        <v>240</v>
      </c>
      <c r="H179" s="63">
        <f t="shared" si="22"/>
        <v>230.22802742416334</v>
      </c>
      <c r="I179" s="63">
        <f t="shared" si="23"/>
        <v>646.93374602299741</v>
      </c>
      <c r="J179" s="63">
        <f t="shared" si="24"/>
        <v>533.12340056897381</v>
      </c>
      <c r="K179" s="63">
        <f t="shared" si="25"/>
        <v>180.54690057153516</v>
      </c>
      <c r="L179" s="63">
        <f t="shared" si="21"/>
        <v>397.70801864691742</v>
      </c>
    </row>
    <row r="180" spans="5:12">
      <c r="E180">
        <v>2024</v>
      </c>
      <c r="F180" s="320" t="s">
        <v>240</v>
      </c>
      <c r="G180" s="320" t="s">
        <v>240</v>
      </c>
      <c r="H180" s="63">
        <f t="shared" si="22"/>
        <v>238.87059571697691</v>
      </c>
      <c r="I180" s="63">
        <f t="shared" si="23"/>
        <v>671.21909973724576</v>
      </c>
      <c r="J180" s="63">
        <f t="shared" si="24"/>
        <v>553.13640875683257</v>
      </c>
      <c r="K180" s="63">
        <f t="shared" si="25"/>
        <v>187.3244807632401</v>
      </c>
      <c r="L180" s="63">
        <f t="shared" si="21"/>
        <v>412.63764624357384</v>
      </c>
    </row>
    <row r="181" spans="5:12">
      <c r="E181">
        <v>2025</v>
      </c>
      <c r="F181" s="320" t="s">
        <v>240</v>
      </c>
      <c r="G181" s="320" t="s">
        <v>240</v>
      </c>
      <c r="H181" s="63">
        <f t="shared" si="22"/>
        <v>247.83759882136246</v>
      </c>
      <c r="I181" s="63">
        <f t="shared" si="23"/>
        <v>696.41610539213218</v>
      </c>
      <c r="J181" s="63">
        <f t="shared" si="24"/>
        <v>573.90068859455675</v>
      </c>
      <c r="K181" s="63">
        <f t="shared" si="25"/>
        <v>194.35648566735816</v>
      </c>
      <c r="L181" s="63">
        <f t="shared" si="21"/>
        <v>428.12771961885238</v>
      </c>
    </row>
    <row r="182" spans="5:12">
      <c r="E182">
        <v>2026</v>
      </c>
      <c r="F182" s="320" t="s">
        <v>240</v>
      </c>
      <c r="G182" s="320" t="s">
        <v>240</v>
      </c>
      <c r="H182" s="63">
        <f t="shared" si="22"/>
        <v>257.14121574978407</v>
      </c>
      <c r="I182" s="63">
        <f t="shared" si="23"/>
        <v>722.55898564179836</v>
      </c>
      <c r="J182" s="63">
        <f t="shared" si="24"/>
        <v>595.44444219382262</v>
      </c>
      <c r="K182" s="63">
        <f t="shared" si="25"/>
        <v>201.65246617557273</v>
      </c>
      <c r="L182" s="63">
        <f t="shared" si="21"/>
        <v>444.19927744024443</v>
      </c>
    </row>
    <row r="183" spans="5:12">
      <c r="E183">
        <v>2027</v>
      </c>
      <c r="F183" s="320" t="s">
        <v>240</v>
      </c>
      <c r="G183" s="320" t="s">
        <v>240</v>
      </c>
      <c r="H183" s="63">
        <f t="shared" si="22"/>
        <v>266.79408270468451</v>
      </c>
      <c r="I183" s="63">
        <f t="shared" si="23"/>
        <v>749.68324783030346</v>
      </c>
      <c r="J183" s="63">
        <f t="shared" si="24"/>
        <v>617.79693035007688</v>
      </c>
      <c r="K183" s="63">
        <f t="shared" si="25"/>
        <v>209.22233171208191</v>
      </c>
      <c r="L183" s="63">
        <f t="shared" si="21"/>
        <v>460.87414814928673</v>
      </c>
    </row>
    <row r="184" spans="5:12">
      <c r="E184">
        <v>2028</v>
      </c>
      <c r="F184" s="320" t="s">
        <v>240</v>
      </c>
      <c r="G184" s="320" t="s">
        <v>240</v>
      </c>
      <c r="H184" s="63">
        <f t="shared" si="22"/>
        <v>276.80931024101614</v>
      </c>
      <c r="I184" s="63">
        <f t="shared" si="23"/>
        <v>777.8257322178132</v>
      </c>
      <c r="J184" s="63">
        <f t="shared" si="24"/>
        <v>640.98851228464343</v>
      </c>
      <c r="K184" s="63">
        <f t="shared" si="25"/>
        <v>217.07636369261039</v>
      </c>
      <c r="L184" s="63">
        <f t="shared" si="21"/>
        <v>478.17497960902074</v>
      </c>
    </row>
    <row r="185" spans="5:12">
      <c r="E185">
        <v>2029</v>
      </c>
      <c r="F185" s="320" t="s">
        <v>240</v>
      </c>
      <c r="G185" s="320" t="s">
        <v>240</v>
      </c>
      <c r="H185" s="63">
        <f t="shared" si="22"/>
        <v>287.20050107303871</v>
      </c>
      <c r="I185" s="63">
        <f t="shared" si="23"/>
        <v>807.0246620171597</v>
      </c>
      <c r="J185" s="63">
        <f t="shared" si="24"/>
        <v>665.0506868787154</v>
      </c>
      <c r="K185" s="63">
        <f t="shared" si="25"/>
        <v>225.22522948866123</v>
      </c>
      <c r="L185" s="63">
        <f t="shared" si="21"/>
        <v>496.12526986439372</v>
      </c>
    </row>
    <row r="186" spans="5:12">
      <c r="E186">
        <v>2030</v>
      </c>
      <c r="F186" s="320" t="s">
        <v>240</v>
      </c>
      <c r="G186" s="320" t="s">
        <v>240</v>
      </c>
      <c r="H186" s="63">
        <f t="shared" si="22"/>
        <v>297.98176854956967</v>
      </c>
      <c r="I186" s="63">
        <f t="shared" si="23"/>
        <v>837.31969530873221</v>
      </c>
      <c r="J186" s="63">
        <f t="shared" si="24"/>
        <v>690.01613545523662</v>
      </c>
      <c r="K186" s="63">
        <f t="shared" si="25"/>
        <v>233.67999691597433</v>
      </c>
      <c r="L186" s="63">
        <f t="shared" si="21"/>
        <v>514.74939905737813</v>
      </c>
    </row>
    <row r="187" spans="5:12">
      <c r="E187">
        <v>2040</v>
      </c>
      <c r="F187" s="320" t="s">
        <v>240</v>
      </c>
      <c r="G187" s="320" t="s">
        <v>240</v>
      </c>
      <c r="H187" s="63">
        <f t="shared" ref="H187:K193" si="26">H186*(1+$C$6)^10</f>
        <v>430.75933187071217</v>
      </c>
      <c r="I187" s="63">
        <f t="shared" si="26"/>
        <v>1210.4206048209207</v>
      </c>
      <c r="J187" s="63">
        <f t="shared" si="26"/>
        <v>997.48011744303676</v>
      </c>
      <c r="K187" s="63">
        <f t="shared" si="26"/>
        <v>337.80536249931777</v>
      </c>
      <c r="L187" s="63">
        <f t="shared" si="21"/>
        <v>744.11635415849685</v>
      </c>
    </row>
    <row r="188" spans="5:12">
      <c r="E188">
        <v>2050</v>
      </c>
      <c r="F188" s="320" t="s">
        <v>240</v>
      </c>
      <c r="G188" s="320" t="s">
        <v>240</v>
      </c>
      <c r="H188" s="63">
        <f t="shared" si="26"/>
        <v>622.70119040130214</v>
      </c>
      <c r="I188" s="63">
        <f t="shared" si="26"/>
        <v>1749.771382165844</v>
      </c>
      <c r="J188" s="63">
        <f t="shared" si="26"/>
        <v>1441.9468380079943</v>
      </c>
      <c r="K188" s="63">
        <f t="shared" si="26"/>
        <v>488.32790328359835</v>
      </c>
      <c r="L188" s="63">
        <f t="shared" si="21"/>
        <v>1075.6868284646846</v>
      </c>
    </row>
    <row r="189" spans="5:12">
      <c r="E189">
        <v>2060</v>
      </c>
      <c r="F189" s="320" t="s">
        <v>240</v>
      </c>
      <c r="G189" s="320" t="s">
        <v>240</v>
      </c>
      <c r="H189" s="63">
        <f t="shared" si="26"/>
        <v>900.17033605108259</v>
      </c>
      <c r="I189" s="63">
        <f t="shared" si="26"/>
        <v>2529.4512317885901</v>
      </c>
      <c r="J189" s="63">
        <f t="shared" si="26"/>
        <v>2084.4632863170737</v>
      </c>
      <c r="K189" s="63">
        <f t="shared" si="26"/>
        <v>705.92171586925883</v>
      </c>
      <c r="L189" s="63">
        <f t="shared" si="21"/>
        <v>1555.0016425065014</v>
      </c>
    </row>
    <row r="190" spans="5:12">
      <c r="E190">
        <v>2070</v>
      </c>
      <c r="F190" s="320" t="s">
        <v>240</v>
      </c>
      <c r="G190" s="320" t="s">
        <v>240</v>
      </c>
      <c r="H190" s="63">
        <f t="shared" si="26"/>
        <v>1301.2768345345762</v>
      </c>
      <c r="I190" s="63">
        <f t="shared" si="26"/>
        <v>3656.5482777968982</v>
      </c>
      <c r="J190" s="63">
        <f t="shared" si="26"/>
        <v>3013.2783522076602</v>
      </c>
      <c r="K190" s="63">
        <f t="shared" si="26"/>
        <v>1020.4730583384135</v>
      </c>
      <c r="L190" s="63">
        <f t="shared" si="21"/>
        <v>2247.8941307193872</v>
      </c>
    </row>
    <row r="191" spans="5:12">
      <c r="E191">
        <v>2080</v>
      </c>
      <c r="F191" s="320" t="s">
        <v>240</v>
      </c>
      <c r="G191" s="320" t="s">
        <v>240</v>
      </c>
      <c r="H191" s="63">
        <f t="shared" si="26"/>
        <v>1881.112198747499</v>
      </c>
      <c r="I191" s="63">
        <f t="shared" si="26"/>
        <v>5285.8679937486722</v>
      </c>
      <c r="J191" s="63">
        <f t="shared" si="26"/>
        <v>4355.9637089727803</v>
      </c>
      <c r="K191" s="63">
        <f t="shared" si="26"/>
        <v>1475.1851931800077</v>
      </c>
      <c r="L191" s="63">
        <f t="shared" si="21"/>
        <v>3249.5322736622402</v>
      </c>
    </row>
    <row r="192" spans="5:12">
      <c r="E192">
        <v>2090</v>
      </c>
      <c r="F192" s="320" t="s">
        <v>240</v>
      </c>
      <c r="G192" s="320" t="s">
        <v>240</v>
      </c>
      <c r="H192" s="63">
        <f t="shared" si="26"/>
        <v>2719.3161442409632</v>
      </c>
      <c r="I192" s="63">
        <f t="shared" si="26"/>
        <v>7641.1955551072188</v>
      </c>
      <c r="J192" s="63">
        <f t="shared" si="26"/>
        <v>6296.9356348995798</v>
      </c>
      <c r="K192" s="63">
        <f t="shared" si="26"/>
        <v>2132.5123053428674</v>
      </c>
      <c r="L192" s="63">
        <f t="shared" si="21"/>
        <v>4697.4899098976575</v>
      </c>
    </row>
    <row r="193" spans="5:12">
      <c r="E193">
        <v>2100</v>
      </c>
      <c r="F193" s="320" t="s">
        <v>240</v>
      </c>
      <c r="G193" s="320" t="s">
        <v>240</v>
      </c>
      <c r="H193" s="63">
        <f t="shared" si="26"/>
        <v>3931.0150118919755</v>
      </c>
      <c r="I193" s="63">
        <f t="shared" si="26"/>
        <v>11046.03247384208</v>
      </c>
      <c r="J193" s="63">
        <f t="shared" si="26"/>
        <v>9102.7843754508085</v>
      </c>
      <c r="K193" s="63">
        <f t="shared" si="26"/>
        <v>3082.7375121869422</v>
      </c>
      <c r="L193" s="63">
        <f t="shared" si="21"/>
        <v>6790.6423433429518</v>
      </c>
    </row>
    <row r="194" spans="5:12">
      <c r="F194" s="581" t="s">
        <v>248</v>
      </c>
      <c r="G194" s="581"/>
      <c r="H194" s="581"/>
      <c r="I194" s="581"/>
      <c r="J194" s="581"/>
      <c r="K194" s="581"/>
    </row>
    <row r="195" spans="5:12">
      <c r="E195">
        <v>2020</v>
      </c>
      <c r="F195" s="320" t="s">
        <v>240</v>
      </c>
      <c r="G195" s="320" t="s">
        <v>240</v>
      </c>
      <c r="H195" s="179">
        <f>'Demographic-Economic'!E30*$C$5</f>
        <v>17979</v>
      </c>
      <c r="I195" s="179">
        <f>'Demographic-Economic'!F30*$C$5</f>
        <v>12153.75</v>
      </c>
      <c r="J195" s="179">
        <f>'Demographic-Economic'!G30*$C$5</f>
        <v>15379.5</v>
      </c>
      <c r="K195" s="179">
        <f>'Demographic-Economic'!H30*$C$5</f>
        <v>17335</v>
      </c>
      <c r="L195" s="330">
        <f>AVERAGE(H195:K195)</f>
        <v>15711.8125</v>
      </c>
    </row>
    <row r="196" spans="5:12">
      <c r="E196">
        <v>2021</v>
      </c>
      <c r="F196" s="320" t="s">
        <v>240</v>
      </c>
      <c r="G196" s="320" t="s">
        <v>240</v>
      </c>
      <c r="H196" s="179">
        <f>H195*(1+$C$6)</f>
        <v>18653.916677500001</v>
      </c>
      <c r="I196" s="179">
        <f t="shared" ref="H196:K205" si="27">I195*(1+$C$6)</f>
        <v>12609.991646875</v>
      </c>
      <c r="J196" s="179">
        <f t="shared" si="27"/>
        <v>15956.833613750001</v>
      </c>
      <c r="K196" s="179">
        <f t="shared" si="27"/>
        <v>17985.741454166666</v>
      </c>
      <c r="L196" s="330">
        <f t="shared" ref="L196:L212" si="28">AVERAGE(H196:K196)</f>
        <v>16301.620848072916</v>
      </c>
    </row>
    <row r="197" spans="5:12">
      <c r="E197">
        <v>2022</v>
      </c>
      <c r="F197" s="320" t="s">
        <v>240</v>
      </c>
      <c r="G197" s="320" t="s">
        <v>240</v>
      </c>
      <c r="H197" s="179">
        <f t="shared" si="27"/>
        <v>19354.169164642786</v>
      </c>
      <c r="I197" s="179">
        <f t="shared" si="27"/>
        <v>13083.360224972315</v>
      </c>
      <c r="J197" s="179">
        <f t="shared" si="27"/>
        <v>16555.839850248831</v>
      </c>
      <c r="K197" s="179">
        <f t="shared" si="27"/>
        <v>18660.911200238203</v>
      </c>
      <c r="L197" s="330">
        <f t="shared" si="28"/>
        <v>16913.570110025532</v>
      </c>
    </row>
    <row r="198" spans="5:12">
      <c r="E198">
        <v>2023</v>
      </c>
      <c r="F198" s="320" t="s">
        <v>240</v>
      </c>
      <c r="G198" s="320" t="s">
        <v>240</v>
      </c>
      <c r="H198" s="179">
        <f t="shared" si="27"/>
        <v>20080.708546609174</v>
      </c>
      <c r="I198" s="179">
        <f t="shared" si="27"/>
        <v>13574.498665017589</v>
      </c>
      <c r="J198" s="179">
        <f t="shared" si="27"/>
        <v>17177.332281693965</v>
      </c>
      <c r="K198" s="179">
        <f t="shared" si="27"/>
        <v>19361.42625593581</v>
      </c>
      <c r="L198" s="330">
        <f t="shared" si="28"/>
        <v>17548.491437314136</v>
      </c>
    </row>
    <row r="199" spans="5:12">
      <c r="E199">
        <v>2024</v>
      </c>
      <c r="F199" s="320" t="s">
        <v>240</v>
      </c>
      <c r="G199" s="320" t="s">
        <v>240</v>
      </c>
      <c r="H199" s="179">
        <f t="shared" si="27"/>
        <v>20834.521611525095</v>
      </c>
      <c r="I199" s="179">
        <f t="shared" si="27"/>
        <v>14084.074032820128</v>
      </c>
      <c r="J199" s="179">
        <f t="shared" si="27"/>
        <v>17822.155021105187</v>
      </c>
      <c r="K199" s="179">
        <f t="shared" si="27"/>
        <v>20088.238063061763</v>
      </c>
      <c r="L199" s="330">
        <f t="shared" si="28"/>
        <v>18207.247182128041</v>
      </c>
    </row>
    <row r="200" spans="5:12">
      <c r="E200">
        <v>2025</v>
      </c>
      <c r="F200" s="320" t="s">
        <v>240</v>
      </c>
      <c r="G200" s="320" t="s">
        <v>240</v>
      </c>
      <c r="H200" s="179">
        <f t="shared" si="27"/>
        <v>21616.632190720404</v>
      </c>
      <c r="I200" s="179">
        <f t="shared" si="27"/>
        <v>14612.778435283835</v>
      </c>
      <c r="J200" s="179">
        <f t="shared" si="27"/>
        <v>18491.183868801625</v>
      </c>
      <c r="K200" s="179">
        <f t="shared" si="27"/>
        <v>20842.333779750716</v>
      </c>
      <c r="L200" s="330">
        <f t="shared" si="28"/>
        <v>18890.732068639143</v>
      </c>
    </row>
    <row r="201" spans="5:12">
      <c r="E201">
        <v>2026</v>
      </c>
      <c r="F201" s="320" t="s">
        <v>240</v>
      </c>
      <c r="G201" s="320" t="s">
        <v>240</v>
      </c>
      <c r="H201" s="179">
        <f t="shared" si="27"/>
        <v>22428.102549299889</v>
      </c>
      <c r="I201" s="179">
        <f t="shared" si="27"/>
        <v>15161.329960429028</v>
      </c>
      <c r="J201" s="179">
        <f t="shared" si="27"/>
        <v>19185.327501916548</v>
      </c>
      <c r="K201" s="179">
        <f t="shared" si="27"/>
        <v>21624.737621231074</v>
      </c>
      <c r="L201" s="330">
        <f t="shared" si="28"/>
        <v>19599.874408219137</v>
      </c>
    </row>
    <row r="202" spans="5:12">
      <c r="E202">
        <v>2027</v>
      </c>
      <c r="F202" s="320" t="s">
        <v>240</v>
      </c>
      <c r="G202" s="320" t="s">
        <v>240</v>
      </c>
      <c r="H202" s="179">
        <f t="shared" si="27"/>
        <v>23270.034828915148</v>
      </c>
      <c r="I202" s="179">
        <f t="shared" si="27"/>
        <v>15730.473652701899</v>
      </c>
      <c r="J202" s="179">
        <f t="shared" si="27"/>
        <v>19905.528708565576</v>
      </c>
      <c r="K202" s="179">
        <f t="shared" si="27"/>
        <v>22436.512250917403</v>
      </c>
      <c r="L202" s="330">
        <f t="shared" si="28"/>
        <v>20335.63736027501</v>
      </c>
    </row>
    <row r="203" spans="5:12">
      <c r="E203">
        <v>2028</v>
      </c>
      <c r="F203" s="320" t="s">
        <v>240</v>
      </c>
      <c r="G203" s="320" t="s">
        <v>240</v>
      </c>
      <c r="H203" s="179">
        <f t="shared" si="27"/>
        <v>24143.572544696934</v>
      </c>
      <c r="I203" s="179">
        <f t="shared" si="27"/>
        <v>16320.982524896284</v>
      </c>
      <c r="J203" s="179">
        <f t="shared" si="27"/>
        <v>20652.765668344538</v>
      </c>
      <c r="K203" s="179">
        <f t="shared" si="27"/>
        <v>23278.7602237233</v>
      </c>
      <c r="L203" s="330">
        <f t="shared" si="28"/>
        <v>21099.020240415266</v>
      </c>
    </row>
    <row r="204" spans="5:12">
      <c r="E204">
        <v>2029</v>
      </c>
      <c r="F204" s="320" t="s">
        <v>240</v>
      </c>
      <c r="G204" s="320" t="s">
        <v>240</v>
      </c>
      <c r="H204" s="179">
        <f t="shared" si="27"/>
        <v>25049.902138381069</v>
      </c>
      <c r="I204" s="179">
        <f t="shared" si="27"/>
        <v>16933.65860806212</v>
      </c>
      <c r="J204" s="179">
        <f t="shared" si="27"/>
        <v>21428.053280896136</v>
      </c>
      <c r="K204" s="179">
        <f t="shared" si="27"/>
        <v>24152.625483555021</v>
      </c>
      <c r="L204" s="330">
        <f t="shared" si="28"/>
        <v>21891.059877723586</v>
      </c>
    </row>
    <row r="205" spans="5:12">
      <c r="E205">
        <v>2030</v>
      </c>
      <c r="F205" s="320" t="s">
        <v>240</v>
      </c>
      <c r="G205" s="320" t="s">
        <v>240</v>
      </c>
      <c r="H205" s="179">
        <f t="shared" si="27"/>
        <v>25990.254589737444</v>
      </c>
      <c r="I205" s="179">
        <f t="shared" si="27"/>
        <v>17569.334040826598</v>
      </c>
      <c r="J205" s="179">
        <f t="shared" si="27"/>
        <v>22232.44454434991</v>
      </c>
      <c r="K205" s="179">
        <f t="shared" si="27"/>
        <v>25059.294917019775</v>
      </c>
      <c r="L205" s="330">
        <f t="shared" si="28"/>
        <v>22712.832022983435</v>
      </c>
    </row>
    <row r="206" spans="5:12">
      <c r="E206">
        <v>2040</v>
      </c>
      <c r="F206" s="320" t="s">
        <v>240</v>
      </c>
      <c r="G206" s="320" t="s">
        <v>240</v>
      </c>
      <c r="H206" s="330">
        <f>H205*($C$6+1)^10</f>
        <v>37571.240538370781</v>
      </c>
      <c r="I206" s="330">
        <f t="shared" ref="I206:K212" si="29">I205*($C$6+1)^10</f>
        <v>25398.045758564091</v>
      </c>
      <c r="J206" s="330">
        <f t="shared" si="29"/>
        <v>32138.989591182682</v>
      </c>
      <c r="K206" s="330">
        <f t="shared" si="29"/>
        <v>36225.454960379189</v>
      </c>
      <c r="L206" s="330">
        <f t="shared" si="28"/>
        <v>32833.432712124188</v>
      </c>
    </row>
    <row r="207" spans="5:12">
      <c r="E207">
        <v>2050</v>
      </c>
      <c r="F207" s="320" t="s">
        <v>240</v>
      </c>
      <c r="G207" s="320" t="s">
        <v>240</v>
      </c>
      <c r="H207" s="330">
        <f t="shared" ref="H207:H212" si="30">H206*($C$6+1)^10</f>
        <v>54312.592849686895</v>
      </c>
      <c r="I207" s="330">
        <f t="shared" si="29"/>
        <v>36715.149638293675</v>
      </c>
      <c r="J207" s="330">
        <f t="shared" si="29"/>
        <v>46459.787626217236</v>
      </c>
      <c r="K207" s="330">
        <f t="shared" si="29"/>
        <v>52367.139276340306</v>
      </c>
      <c r="L207" s="330">
        <f t="shared" si="28"/>
        <v>47463.667347634531</v>
      </c>
    </row>
    <row r="208" spans="5:12">
      <c r="E208">
        <v>2060</v>
      </c>
      <c r="F208" s="320" t="s">
        <v>240</v>
      </c>
      <c r="G208" s="320" t="s">
        <v>240</v>
      </c>
      <c r="H208" s="330">
        <f t="shared" si="30"/>
        <v>78513.71686924278</v>
      </c>
      <c r="I208" s="330">
        <f t="shared" si="29"/>
        <v>53075.036787338518</v>
      </c>
      <c r="J208" s="330">
        <f t="shared" si="29"/>
        <v>67161.78366930972</v>
      </c>
      <c r="K208" s="330">
        <f t="shared" si="29"/>
        <v>75701.389505997198</v>
      </c>
      <c r="L208" s="330">
        <f t="shared" si="28"/>
        <v>68612.981707972052</v>
      </c>
    </row>
    <row r="209" spans="5:12">
      <c r="E209">
        <v>2070</v>
      </c>
      <c r="F209" s="320" t="s">
        <v>240</v>
      </c>
      <c r="G209" s="320" t="s">
        <v>240</v>
      </c>
      <c r="H209" s="330">
        <f t="shared" si="30"/>
        <v>113498.6089447791</v>
      </c>
      <c r="I209" s="330">
        <f t="shared" si="29"/>
        <v>76724.718753134686</v>
      </c>
      <c r="J209" s="330">
        <f t="shared" si="29"/>
        <v>97088.372894278335</v>
      </c>
      <c r="K209" s="330">
        <f t="shared" si="29"/>
        <v>109433.13788629767</v>
      </c>
      <c r="L209" s="330">
        <f t="shared" si="28"/>
        <v>99186.209619622445</v>
      </c>
    </row>
    <row r="210" spans="5:12">
      <c r="E210">
        <v>2080</v>
      </c>
      <c r="F210" s="320" t="s">
        <v>240</v>
      </c>
      <c r="G210" s="320" t="s">
        <v>240</v>
      </c>
      <c r="H210" s="330">
        <f t="shared" si="30"/>
        <v>164072.40347382281</v>
      </c>
      <c r="I210" s="330">
        <f t="shared" si="29"/>
        <v>110912.45195616961</v>
      </c>
      <c r="J210" s="330">
        <f t="shared" si="29"/>
        <v>140349.93766203115</v>
      </c>
      <c r="K210" s="330">
        <f t="shared" si="29"/>
        <v>158195.40097996098</v>
      </c>
      <c r="L210" s="330">
        <f t="shared" si="28"/>
        <v>143382.54851799615</v>
      </c>
    </row>
    <row r="211" spans="5:12">
      <c r="E211">
        <v>2090</v>
      </c>
      <c r="F211" s="320" t="s">
        <v>240</v>
      </c>
      <c r="G211" s="320" t="s">
        <v>240</v>
      </c>
      <c r="H211" s="330">
        <f t="shared" si="30"/>
        <v>237181.35254656972</v>
      </c>
      <c r="I211" s="330">
        <f t="shared" si="29"/>
        <v>160333.8819463191</v>
      </c>
      <c r="J211" s="330">
        <f t="shared" si="29"/>
        <v>202888.40377607039</v>
      </c>
      <c r="K211" s="330">
        <f t="shared" si="29"/>
        <v>228685.61913314345</v>
      </c>
      <c r="L211" s="330">
        <f t="shared" si="28"/>
        <v>207272.31435052567</v>
      </c>
    </row>
    <row r="212" spans="5:12">
      <c r="E212">
        <v>2100</v>
      </c>
      <c r="F212" s="320" t="s">
        <v>240</v>
      </c>
      <c r="G212" s="320" t="s">
        <v>240</v>
      </c>
      <c r="H212" s="330">
        <f t="shared" si="30"/>
        <v>342866.88562342839</v>
      </c>
      <c r="I212" s="330">
        <f t="shared" si="29"/>
        <v>231776.98487934488</v>
      </c>
      <c r="J212" s="330">
        <f t="shared" si="29"/>
        <v>293293.35710804368</v>
      </c>
      <c r="K212" s="330">
        <f t="shared" si="29"/>
        <v>330585.54214818013</v>
      </c>
      <c r="L212" s="330">
        <f t="shared" si="28"/>
        <v>299630.69243974925</v>
      </c>
    </row>
    <row r="213" spans="5:12">
      <c r="F213" s="581" t="s">
        <v>249</v>
      </c>
      <c r="G213" s="581"/>
      <c r="H213" s="581"/>
      <c r="I213" s="581"/>
      <c r="J213" s="581"/>
      <c r="K213" s="581"/>
    </row>
    <row r="214" spans="5:12">
      <c r="E214">
        <v>2020</v>
      </c>
      <c r="F214" s="320" t="s">
        <v>240</v>
      </c>
      <c r="G214" s="320" t="s">
        <v>240</v>
      </c>
      <c r="H214" s="179">
        <f t="shared" ref="H214:K231" si="31">SUM($L138, $L157, $L195,$L176)*H81</f>
        <v>846925409.77370727</v>
      </c>
      <c r="I214" s="179">
        <f t="shared" si="31"/>
        <v>409669091.53241676</v>
      </c>
      <c r="J214" s="179">
        <f t="shared" si="31"/>
        <v>266030790.84973305</v>
      </c>
      <c r="K214" s="179">
        <f t="shared" si="31"/>
        <v>85671184.792469248</v>
      </c>
      <c r="L214" s="194">
        <f>SUM(H214:K214)/(SUM(F252:K252)*1000)</f>
        <v>1.2400711010108203E-3</v>
      </c>
    </row>
    <row r="215" spans="5:12">
      <c r="E215">
        <v>2021</v>
      </c>
      <c r="F215" s="320" t="s">
        <v>240</v>
      </c>
      <c r="G215" s="320" t="s">
        <v>240</v>
      </c>
      <c r="H215" s="179">
        <f t="shared" si="31"/>
        <v>931555547.58373201</v>
      </c>
      <c r="I215" s="179">
        <f t="shared" si="31"/>
        <v>387653309.27156317</v>
      </c>
      <c r="J215" s="179">
        <f t="shared" si="31"/>
        <v>262240991.7152293</v>
      </c>
      <c r="K215" s="179">
        <f t="shared" si="31"/>
        <v>89808485.627747521</v>
      </c>
      <c r="L215" s="194">
        <f t="shared" ref="L215:L231" si="32">SUM(H215:K215)/(SUM(F253:K253)*1000)</f>
        <v>1.2125785804401642E-3</v>
      </c>
    </row>
    <row r="216" spans="5:12">
      <c r="E216">
        <v>2022</v>
      </c>
      <c r="F216" s="320" t="s">
        <v>240</v>
      </c>
      <c r="G216" s="320" t="s">
        <v>240</v>
      </c>
      <c r="H216" s="179">
        <f t="shared" si="31"/>
        <v>1017455523.8779998</v>
      </c>
      <c r="I216" s="179">
        <f t="shared" si="31"/>
        <v>366310870.43371069</v>
      </c>
      <c r="J216" s="179">
        <f t="shared" si="31"/>
        <v>258795780.38590229</v>
      </c>
      <c r="K216" s="179">
        <f t="shared" si="31"/>
        <v>94054198.351437882</v>
      </c>
      <c r="L216" s="194">
        <f t="shared" si="32"/>
        <v>1.1897915141241948E-3</v>
      </c>
    </row>
    <row r="217" spans="5:12">
      <c r="E217">
        <v>2023</v>
      </c>
      <c r="F217" s="320" t="s">
        <v>240</v>
      </c>
      <c r="G217" s="320" t="s">
        <v>240</v>
      </c>
      <c r="H217" s="179">
        <f t="shared" si="31"/>
        <v>1104692460.814554</v>
      </c>
      <c r="I217" s="179">
        <f t="shared" si="31"/>
        <v>345651465.25540894</v>
      </c>
      <c r="J217" s="179">
        <f t="shared" si="31"/>
        <v>255703223.10999042</v>
      </c>
      <c r="K217" s="179">
        <f t="shared" si="31"/>
        <v>98412907.98622337</v>
      </c>
      <c r="L217" s="194">
        <f t="shared" si="32"/>
        <v>1.1710229074999364E-3</v>
      </c>
    </row>
    <row r="218" spans="5:12">
      <c r="E218">
        <v>2024</v>
      </c>
      <c r="F218" s="320" t="s">
        <v>240</v>
      </c>
      <c r="G218" s="320" t="s">
        <v>240</v>
      </c>
      <c r="H218" s="179">
        <f t="shared" si="31"/>
        <v>1193345460.9603174</v>
      </c>
      <c r="I218" s="179">
        <f t="shared" si="31"/>
        <v>325677984.21181428</v>
      </c>
      <c r="J218" s="179">
        <f t="shared" si="31"/>
        <v>252969132.37302077</v>
      </c>
      <c r="K218" s="179">
        <f t="shared" si="31"/>
        <v>102889568.4042031</v>
      </c>
      <c r="L218" s="194">
        <f t="shared" si="32"/>
        <v>1.1557255630043918E-3</v>
      </c>
    </row>
    <row r="219" spans="5:12">
      <c r="E219">
        <v>2025</v>
      </c>
      <c r="F219" s="320" t="s">
        <v>240</v>
      </c>
      <c r="G219" s="320" t="s">
        <v>240</v>
      </c>
      <c r="H219" s="179">
        <f t="shared" si="31"/>
        <v>1283504608.694582</v>
      </c>
      <c r="I219" s="179">
        <f t="shared" si="31"/>
        <v>306387365.47422373</v>
      </c>
      <c r="J219" s="179">
        <f t="shared" si="31"/>
        <v>250597356.9962838</v>
      </c>
      <c r="K219" s="179">
        <f t="shared" si="31"/>
        <v>107489483.62345372</v>
      </c>
      <c r="L219" s="194">
        <f t="shared" si="32"/>
        <v>1.1434587811154342E-3</v>
      </c>
    </row>
    <row r="220" spans="5:12">
      <c r="E220">
        <v>2026</v>
      </c>
      <c r="F220" s="320" t="s">
        <v>240</v>
      </c>
      <c r="G220" s="320" t="s">
        <v>240</v>
      </c>
      <c r="H220" s="179">
        <f t="shared" si="31"/>
        <v>1375270006.567353</v>
      </c>
      <c r="I220" s="179">
        <f t="shared" si="31"/>
        <v>287771417.77127957</v>
      </c>
      <c r="J220" s="179">
        <f t="shared" si="31"/>
        <v>248590065.30089673</v>
      </c>
      <c r="K220" s="179">
        <f t="shared" si="31"/>
        <v>112218290.0383857</v>
      </c>
      <c r="L220" s="194">
        <f t="shared" si="32"/>
        <v>1.1338641673859409E-3</v>
      </c>
    </row>
    <row r="221" spans="5:12">
      <c r="E221">
        <v>2027</v>
      </c>
      <c r="F221" s="320" t="s">
        <v>240</v>
      </c>
      <c r="G221" s="320" t="s">
        <v>240</v>
      </c>
      <c r="H221" s="179">
        <f t="shared" si="31"/>
        <v>1468750867.0411017</v>
      </c>
      <c r="I221" s="179">
        <f t="shared" si="31"/>
        <v>269817603.33239383</v>
      </c>
      <c r="J221" s="179">
        <f t="shared" si="31"/>
        <v>246948015.92067477</v>
      </c>
      <c r="K221" s="179">
        <f t="shared" si="31"/>
        <v>117081940.05074321</v>
      </c>
      <c r="L221" s="194">
        <f t="shared" si="32"/>
        <v>1.1266477677399382E-3</v>
      </c>
    </row>
    <row r="222" spans="5:12">
      <c r="E222">
        <v>2028</v>
      </c>
      <c r="F222" s="320" t="s">
        <v>240</v>
      </c>
      <c r="G222" s="320" t="s">
        <v>240</v>
      </c>
      <c r="H222" s="179">
        <f t="shared" si="31"/>
        <v>1564064674.6754365</v>
      </c>
      <c r="I222" s="179">
        <f t="shared" si="31"/>
        <v>252509769.68823195</v>
      </c>
      <c r="J222" s="179">
        <f t="shared" si="31"/>
        <v>245670812.24556315</v>
      </c>
      <c r="K222" s="179">
        <f t="shared" si="31"/>
        <v>122086687.44792646</v>
      </c>
      <c r="L222" s="194">
        <f t="shared" si="32"/>
        <v>1.1215666822701445E-3</v>
      </c>
    </row>
    <row r="223" spans="5:12">
      <c r="E223">
        <v>2029</v>
      </c>
      <c r="F223" s="320" t="s">
        <v>240</v>
      </c>
      <c r="G223" s="320" t="s">
        <v>240</v>
      </c>
      <c r="H223" s="179">
        <f t="shared" si="31"/>
        <v>1661336428.9768622</v>
      </c>
      <c r="I223" s="179">
        <f t="shared" si="31"/>
        <v>235828822.78945723</v>
      </c>
      <c r="J223" s="179">
        <f t="shared" si="31"/>
        <v>244757137.74308729</v>
      </c>
      <c r="K223" s="179">
        <f t="shared" si="31"/>
        <v>127239074.7664616</v>
      </c>
      <c r="L223" s="194">
        <f t="shared" si="32"/>
        <v>1.1184189009650731E-3</v>
      </c>
    </row>
    <row r="224" spans="5:12">
      <c r="E224">
        <v>2030</v>
      </c>
      <c r="F224" s="320" t="s">
        <v>240</v>
      </c>
      <c r="G224" s="320" t="s">
        <v>240</v>
      </c>
      <c r="H224" s="179">
        <f t="shared" si="31"/>
        <v>1760697973.9388855</v>
      </c>
      <c r="I224" s="179">
        <f t="shared" si="31"/>
        <v>219753337.09968948</v>
      </c>
      <c r="J224" s="179">
        <f t="shared" si="31"/>
        <v>244204970.50838119</v>
      </c>
      <c r="K224" s="179">
        <f t="shared" si="31"/>
        <v>132545922.7835519</v>
      </c>
      <c r="L224" s="194">
        <f t="shared" si="32"/>
        <v>1.1170354922270742E-3</v>
      </c>
    </row>
    <row r="225" spans="5:12">
      <c r="E225">
        <v>2040</v>
      </c>
      <c r="F225" s="320" t="s">
        <v>240</v>
      </c>
      <c r="G225" s="320" t="s">
        <v>240</v>
      </c>
      <c r="H225" s="179">
        <f t="shared" si="31"/>
        <v>2836355640.5987425</v>
      </c>
      <c r="I225" s="179">
        <f t="shared" si="31"/>
        <v>87570324.618530869</v>
      </c>
      <c r="J225" s="179">
        <f t="shared" si="31"/>
        <v>266725647.14240855</v>
      </c>
      <c r="K225" s="179">
        <f t="shared" si="31"/>
        <v>187232467.19777128</v>
      </c>
      <c r="L225" s="194">
        <f t="shared" si="32"/>
        <v>1.019981064774586E-3</v>
      </c>
    </row>
    <row r="226" spans="5:12">
      <c r="E226">
        <v>2050</v>
      </c>
      <c r="F226" s="320" t="s">
        <v>240</v>
      </c>
      <c r="G226" s="320" t="s">
        <v>240</v>
      </c>
      <c r="H226" s="179">
        <f t="shared" si="31"/>
        <v>4070036363.9286013</v>
      </c>
      <c r="I226" s="179">
        <f t="shared" si="31"/>
        <v>61786523.84245684</v>
      </c>
      <c r="J226" s="179">
        <f t="shared" si="31"/>
        <v>352956648.06183338</v>
      </c>
      <c r="K226" s="179">
        <f t="shared" si="31"/>
        <v>255430857.41870633</v>
      </c>
      <c r="L226" s="194">
        <f t="shared" si="32"/>
        <v>1.0212134238004743E-3</v>
      </c>
    </row>
    <row r="227" spans="5:12">
      <c r="E227">
        <v>2060</v>
      </c>
      <c r="F227" s="320" t="s">
        <v>240</v>
      </c>
      <c r="G227" s="320" t="s">
        <v>240</v>
      </c>
      <c r="H227" s="179">
        <f t="shared" si="31"/>
        <v>5609843133.8539171</v>
      </c>
      <c r="I227" s="179">
        <f t="shared" si="31"/>
        <v>85914305.112227902</v>
      </c>
      <c r="J227" s="179">
        <f t="shared" si="31"/>
        <v>483609235.35034424</v>
      </c>
      <c r="K227" s="179">
        <f t="shared" si="31"/>
        <v>343378646.72567719</v>
      </c>
      <c r="L227" s="194">
        <f t="shared" si="32"/>
        <v>1.0714815596032262E-3</v>
      </c>
    </row>
    <row r="228" spans="5:12">
      <c r="E228">
        <v>2070</v>
      </c>
      <c r="F228" s="320" t="s">
        <v>240</v>
      </c>
      <c r="G228" s="320" t="s">
        <v>240</v>
      </c>
      <c r="H228" s="179">
        <f t="shared" si="31"/>
        <v>7587809829.4179764</v>
      </c>
      <c r="I228" s="179">
        <f t="shared" si="31"/>
        <v>135410489.58245459</v>
      </c>
      <c r="J228" s="179">
        <f t="shared" si="31"/>
        <v>652428483.15634084</v>
      </c>
      <c r="K228" s="179">
        <f t="shared" si="31"/>
        <v>457552729.74061728</v>
      </c>
      <c r="L228" s="194">
        <f t="shared" si="32"/>
        <v>1.1456277642176499E-3</v>
      </c>
    </row>
    <row r="229" spans="5:12">
      <c r="E229">
        <v>2080</v>
      </c>
      <c r="F229" s="320" t="s">
        <v>240</v>
      </c>
      <c r="G229" s="320" t="s">
        <v>240</v>
      </c>
      <c r="H229" s="179">
        <f t="shared" si="31"/>
        <v>10108439886.826307</v>
      </c>
      <c r="I229" s="179">
        <f t="shared" si="31"/>
        <v>204796198.10859236</v>
      </c>
      <c r="J229" s="179">
        <f t="shared" si="31"/>
        <v>861147682.4629792</v>
      </c>
      <c r="K229" s="179">
        <f t="shared" si="31"/>
        <v>603225179.38621294</v>
      </c>
      <c r="L229" s="194">
        <f t="shared" si="32"/>
        <v>1.2494764720704533E-3</v>
      </c>
    </row>
    <row r="230" spans="5:12">
      <c r="E230">
        <v>2090</v>
      </c>
      <c r="F230" s="320" t="s">
        <v>240</v>
      </c>
      <c r="G230" s="320" t="s">
        <v>240</v>
      </c>
      <c r="H230" s="179">
        <f t="shared" si="31"/>
        <v>13287800731.691845</v>
      </c>
      <c r="I230" s="179">
        <f t="shared" si="31"/>
        <v>291126601.13745534</v>
      </c>
      <c r="J230" s="179">
        <f t="shared" si="31"/>
        <v>1111503832.2298496</v>
      </c>
      <c r="K230" s="179">
        <f t="shared" si="31"/>
        <v>786568434.30516303</v>
      </c>
      <c r="L230" s="194">
        <f t="shared" si="32"/>
        <v>1.3782409588232896E-3</v>
      </c>
    </row>
    <row r="231" spans="5:12">
      <c r="E231">
        <v>2100</v>
      </c>
      <c r="F231" s="320" t="s">
        <v>240</v>
      </c>
      <c r="G231" s="320" t="s">
        <v>240</v>
      </c>
      <c r="H231" s="179">
        <f t="shared" si="31"/>
        <v>17271565754.796124</v>
      </c>
      <c r="I231" s="179">
        <f t="shared" si="31"/>
        <v>391721472.29156977</v>
      </c>
      <c r="J231" s="179">
        <f t="shared" si="31"/>
        <v>1405232978.9401295</v>
      </c>
      <c r="K231" s="179">
        <f t="shared" si="31"/>
        <v>1015489627.6651832</v>
      </c>
      <c r="L231" s="194">
        <f t="shared" si="32"/>
        <v>1.5305461179254054E-3</v>
      </c>
    </row>
    <row r="232" spans="5:12">
      <c r="F232" s="581" t="s">
        <v>250</v>
      </c>
      <c r="G232" s="581"/>
      <c r="H232" s="581"/>
      <c r="I232" s="581"/>
      <c r="J232" s="581"/>
      <c r="K232" s="581"/>
    </row>
    <row r="233" spans="5:12">
      <c r="E233">
        <v>2020</v>
      </c>
      <c r="F233" s="320" t="s">
        <v>240</v>
      </c>
      <c r="G233" s="320" t="s">
        <v>240</v>
      </c>
      <c r="H233" s="330">
        <f t="shared" ref="H233:K250" si="33">H214+H119</f>
        <v>6426034772.8045902</v>
      </c>
      <c r="I233" s="330">
        <f t="shared" si="33"/>
        <v>2094562137.1149664</v>
      </c>
      <c r="J233" s="330">
        <f t="shared" si="33"/>
        <v>1458767725.4493558</v>
      </c>
      <c r="K233" s="330">
        <f t="shared" si="33"/>
        <v>517644045.80757892</v>
      </c>
      <c r="L233" s="194">
        <f>SUM(H233:K233)/(SUM(F252:K252)*1000)</f>
        <v>8.0936800516319841E-3</v>
      </c>
    </row>
    <row r="234" spans="5:12">
      <c r="E234">
        <v>2021</v>
      </c>
      <c r="F234" s="320" t="s">
        <v>240</v>
      </c>
      <c r="G234" s="320" t="s">
        <v>240</v>
      </c>
      <c r="H234" s="330">
        <f t="shared" si="33"/>
        <v>7068164766.9203329</v>
      </c>
      <c r="I234" s="330">
        <f t="shared" si="33"/>
        <v>1981999522.810679</v>
      </c>
      <c r="J234" s="330">
        <f t="shared" si="33"/>
        <v>1437986534.4988964</v>
      </c>
      <c r="K234" s="330">
        <f t="shared" si="33"/>
        <v>542642522.81340611</v>
      </c>
      <c r="L234" s="194">
        <f t="shared" ref="L234:L250" si="34">SUM(H234:K234)/(SUM(F253:K253)*1000)</f>
        <v>8.0033729461119595E-3</v>
      </c>
    </row>
    <row r="235" spans="5:12">
      <c r="E235">
        <v>2022</v>
      </c>
      <c r="F235" s="320" t="s">
        <v>240</v>
      </c>
      <c r="G235" s="320" t="s">
        <v>240</v>
      </c>
      <c r="H235" s="330">
        <f t="shared" si="33"/>
        <v>7719929642.8821316</v>
      </c>
      <c r="I235" s="330">
        <f t="shared" si="33"/>
        <v>1872879588.6310205</v>
      </c>
      <c r="J235" s="330">
        <f t="shared" si="33"/>
        <v>1419094875.0841279</v>
      </c>
      <c r="K235" s="330">
        <f t="shared" si="33"/>
        <v>568296048.1726234</v>
      </c>
      <c r="L235" s="194">
        <f t="shared" si="34"/>
        <v>7.9338327622779804E-3</v>
      </c>
    </row>
    <row r="236" spans="5:12">
      <c r="E236">
        <v>2023</v>
      </c>
      <c r="F236" s="320" t="s">
        <v>240</v>
      </c>
      <c r="G236" s="320" t="s">
        <v>240</v>
      </c>
      <c r="H236" s="330">
        <f t="shared" si="33"/>
        <v>8381838689.131011</v>
      </c>
      <c r="I236" s="330">
        <f t="shared" si="33"/>
        <v>1767251878.9594853</v>
      </c>
      <c r="J236" s="330">
        <f t="shared" si="33"/>
        <v>1402136978.1098936</v>
      </c>
      <c r="K236" s="330">
        <f t="shared" si="33"/>
        <v>594632325.59561467</v>
      </c>
      <c r="L236" s="194">
        <f t="shared" si="34"/>
        <v>7.8821806471538469E-3</v>
      </c>
    </row>
    <row r="237" spans="5:12">
      <c r="E237">
        <v>2024</v>
      </c>
      <c r="F237" s="320" t="s">
        <v>240</v>
      </c>
      <c r="G237" s="320" t="s">
        <v>240</v>
      </c>
      <c r="H237" s="330">
        <f t="shared" si="33"/>
        <v>9054492095.2938328</v>
      </c>
      <c r="I237" s="330">
        <f t="shared" si="33"/>
        <v>1665131172.2598286</v>
      </c>
      <c r="J237" s="330">
        <f t="shared" si="33"/>
        <v>1387144716.0758562</v>
      </c>
      <c r="K237" s="330">
        <f t="shared" si="33"/>
        <v>621681287.46165144</v>
      </c>
      <c r="L237" s="194">
        <f t="shared" si="34"/>
        <v>7.8461434132201958E-3</v>
      </c>
    </row>
    <row r="238" spans="5:12">
      <c r="E238">
        <v>2025</v>
      </c>
      <c r="F238" s="320" t="s">
        <v>240</v>
      </c>
      <c r="G238" s="320" t="s">
        <v>240</v>
      </c>
      <c r="H238" s="330">
        <f t="shared" si="33"/>
        <v>9738573375.3461266</v>
      </c>
      <c r="I238" s="330">
        <f t="shared" si="33"/>
        <v>1566501813.9693689</v>
      </c>
      <c r="J238" s="330">
        <f t="shared" si="33"/>
        <v>1374139193.8182704</v>
      </c>
      <c r="K238" s="330">
        <f t="shared" si="33"/>
        <v>649474981.80862224</v>
      </c>
      <c r="L238" s="194">
        <f t="shared" si="34"/>
        <v>7.8239079292849959E-3</v>
      </c>
    </row>
    <row r="239" spans="5:12">
      <c r="E239">
        <v>2026</v>
      </c>
      <c r="F239" s="320" t="s">
        <v>240</v>
      </c>
      <c r="G239" s="320" t="s">
        <v>240</v>
      </c>
      <c r="H239" s="330">
        <f t="shared" si="33"/>
        <v>10434842055.994442</v>
      </c>
      <c r="I239" s="330">
        <f t="shared" si="33"/>
        <v>1471321923.6358221</v>
      </c>
      <c r="J239" s="330">
        <f t="shared" si="33"/>
        <v>1363132301.2272277</v>
      </c>
      <c r="K239" s="330">
        <f t="shared" si="33"/>
        <v>678047464.96495879</v>
      </c>
      <c r="L239" s="194">
        <f t="shared" si="34"/>
        <v>7.8140153792043109E-3</v>
      </c>
    </row>
    <row r="240" spans="5:12">
      <c r="E240">
        <v>2027</v>
      </c>
      <c r="F240" s="320" t="s">
        <v>240</v>
      </c>
      <c r="G240" s="320" t="s">
        <v>240</v>
      </c>
      <c r="H240" s="330">
        <f t="shared" si="33"/>
        <v>11144126785.279526</v>
      </c>
      <c r="I240" s="330">
        <f t="shared" si="33"/>
        <v>1379527397.9619167</v>
      </c>
      <c r="J240" s="330">
        <f t="shared" si="33"/>
        <v>1354128198.2367022</v>
      </c>
      <c r="K240" s="330">
        <f t="shared" si="33"/>
        <v>707434702.64455402</v>
      </c>
      <c r="L240" s="194">
        <f t="shared" si="34"/>
        <v>7.8152832533004337E-3</v>
      </c>
    </row>
    <row r="241" spans="5:12">
      <c r="E241">
        <v>2028</v>
      </c>
      <c r="F241" s="320" t="s">
        <v>240</v>
      </c>
      <c r="G241" s="320" t="s">
        <v>240</v>
      </c>
      <c r="H241" s="330">
        <f t="shared" si="33"/>
        <v>11867318975.66415</v>
      </c>
      <c r="I241" s="330">
        <f t="shared" si="33"/>
        <v>1291035652.3656359</v>
      </c>
      <c r="J241" s="330">
        <f t="shared" si="33"/>
        <v>1347124710.0535221</v>
      </c>
      <c r="K241" s="330">
        <f t="shared" si="33"/>
        <v>737674481.59938645</v>
      </c>
      <c r="L241" s="194">
        <f t="shared" si="34"/>
        <v>7.8267469847648936E-3</v>
      </c>
    </row>
    <row r="242" spans="5:12">
      <c r="E242">
        <v>2029</v>
      </c>
      <c r="F242" s="320" t="s">
        <v>240</v>
      </c>
      <c r="G242" s="320" t="s">
        <v>240</v>
      </c>
      <c r="H242" s="330">
        <f t="shared" si="33"/>
        <v>12605367059.166193</v>
      </c>
      <c r="I242" s="330">
        <f t="shared" si="33"/>
        <v>1205749062.5116048</v>
      </c>
      <c r="J242" s="330">
        <f t="shared" si="33"/>
        <v>1342114617.5318241</v>
      </c>
      <c r="K242" s="330">
        <f t="shared" si="33"/>
        <v>768806333.26684058</v>
      </c>
      <c r="L242" s="194">
        <f t="shared" si="34"/>
        <v>7.8476157312176911E-3</v>
      </c>
    </row>
    <row r="243" spans="5:12">
      <c r="E243">
        <v>2030</v>
      </c>
      <c r="F243" s="320" t="s">
        <v>240</v>
      </c>
      <c r="G243" s="320" t="s">
        <v>240</v>
      </c>
      <c r="H243" s="330">
        <f t="shared" si="33"/>
        <v>13359271400.253504</v>
      </c>
      <c r="I243" s="330">
        <f t="shared" si="33"/>
        <v>1123558083.6033101</v>
      </c>
      <c r="J243" s="330">
        <f t="shared" si="33"/>
        <v>1339086833.6483603</v>
      </c>
      <c r="K243" s="330">
        <f t="shared" si="33"/>
        <v>800871470.2753582</v>
      </c>
      <c r="L243" s="194">
        <f t="shared" si="34"/>
        <v>7.8772384925642706E-3</v>
      </c>
    </row>
    <row r="244" spans="5:12">
      <c r="E244">
        <v>2040</v>
      </c>
      <c r="F244" s="320" t="s">
        <v>240</v>
      </c>
      <c r="G244" s="320" t="s">
        <v>240</v>
      </c>
      <c r="H244" s="330">
        <f t="shared" si="33"/>
        <v>21520808992.373909</v>
      </c>
      <c r="I244" s="330">
        <f t="shared" si="33"/>
        <v>447730839.52887726</v>
      </c>
      <c r="J244" s="330">
        <f t="shared" si="33"/>
        <v>1462577938.2835271</v>
      </c>
      <c r="K244" s="330">
        <f t="shared" si="33"/>
        <v>1131299538.5971208</v>
      </c>
      <c r="L244" s="194">
        <f t="shared" si="34"/>
        <v>7.4168325407226376E-3</v>
      </c>
    </row>
    <row r="245" spans="5:12">
      <c r="E245">
        <v>2050</v>
      </c>
      <c r="F245" s="320" t="s">
        <v>240</v>
      </c>
      <c r="G245" s="320" t="s">
        <v>240</v>
      </c>
      <c r="H245" s="330">
        <f t="shared" si="33"/>
        <v>30881344330.160755</v>
      </c>
      <c r="I245" s="330">
        <f t="shared" si="33"/>
        <v>315903044.91917151</v>
      </c>
      <c r="J245" s="330">
        <f t="shared" si="33"/>
        <v>1935421704.4981809</v>
      </c>
      <c r="K245" s="330">
        <f t="shared" si="33"/>
        <v>1543369136.0591607</v>
      </c>
      <c r="L245" s="194">
        <f t="shared" si="34"/>
        <v>7.4704776312124908E-3</v>
      </c>
    </row>
    <row r="246" spans="5:12">
      <c r="E246">
        <v>2060</v>
      </c>
      <c r="F246" s="320" t="s">
        <v>240</v>
      </c>
      <c r="G246" s="320" t="s">
        <v>240</v>
      </c>
      <c r="H246" s="330">
        <f t="shared" si="33"/>
        <v>42564606790.763802</v>
      </c>
      <c r="I246" s="330">
        <f t="shared" si="33"/>
        <v>439263918.71908134</v>
      </c>
      <c r="J246" s="330">
        <f t="shared" si="33"/>
        <v>2651849216.4194975</v>
      </c>
      <c r="K246" s="330">
        <f t="shared" si="33"/>
        <v>2074768924.5291665</v>
      </c>
      <c r="L246" s="194">
        <f t="shared" si="34"/>
        <v>7.8406155869831743E-3</v>
      </c>
    </row>
    <row r="247" spans="5:12">
      <c r="E247">
        <v>2070</v>
      </c>
      <c r="F247" s="320" t="s">
        <v>240</v>
      </c>
      <c r="G247" s="320" t="s">
        <v>240</v>
      </c>
      <c r="H247" s="330">
        <f t="shared" si="33"/>
        <v>57572401595.905128</v>
      </c>
      <c r="I247" s="330">
        <f t="shared" si="33"/>
        <v>692328736.31416488</v>
      </c>
      <c r="J247" s="330">
        <f t="shared" si="33"/>
        <v>3577561873.0161877</v>
      </c>
      <c r="K247" s="330">
        <f t="shared" si="33"/>
        <v>2764633718.6415868</v>
      </c>
      <c r="L247" s="194">
        <f t="shared" si="34"/>
        <v>8.3792368861811684E-3</v>
      </c>
    </row>
    <row r="248" spans="5:12">
      <c r="E248">
        <v>2080</v>
      </c>
      <c r="F248" s="320" t="s">
        <v>240</v>
      </c>
      <c r="G248" s="320" t="s">
        <v>240</v>
      </c>
      <c r="H248" s="330">
        <f t="shared" si="33"/>
        <v>76697647115.000214</v>
      </c>
      <c r="I248" s="330">
        <f t="shared" si="33"/>
        <v>1047085004.0914308</v>
      </c>
      <c r="J248" s="330">
        <f t="shared" si="33"/>
        <v>4722064096.4529333</v>
      </c>
      <c r="K248" s="330">
        <f t="shared" si="33"/>
        <v>3644818536.6747723</v>
      </c>
      <c r="L248" s="194">
        <f t="shared" si="34"/>
        <v>9.1355076476938024E-3</v>
      </c>
    </row>
    <row r="249" spans="5:12">
      <c r="E249">
        <v>2090</v>
      </c>
      <c r="F249" s="320" t="s">
        <v>240</v>
      </c>
      <c r="G249" s="320" t="s">
        <v>240</v>
      </c>
      <c r="H249" s="330">
        <f t="shared" si="33"/>
        <v>100821003326.33206</v>
      </c>
      <c r="I249" s="330">
        <f t="shared" si="33"/>
        <v>1488476354.3388615</v>
      </c>
      <c r="J249" s="330">
        <f t="shared" si="33"/>
        <v>6094880641.4143209</v>
      </c>
      <c r="K249" s="330">
        <f t="shared" si="33"/>
        <v>4752618603.6130114</v>
      </c>
      <c r="L249" s="194">
        <f t="shared" si="34"/>
        <v>1.0076732388007997E-2</v>
      </c>
    </row>
    <row r="250" spans="5:12">
      <c r="E250">
        <v>2100</v>
      </c>
      <c r="F250" s="320" t="s">
        <v>240</v>
      </c>
      <c r="G250" s="320" t="s">
        <v>240</v>
      </c>
      <c r="H250" s="330">
        <f t="shared" si="33"/>
        <v>131047765057.32193</v>
      </c>
      <c r="I250" s="330">
        <f t="shared" si="33"/>
        <v>2002799286.3404181</v>
      </c>
      <c r="J250" s="330">
        <f t="shared" si="33"/>
        <v>7705531039.7239017</v>
      </c>
      <c r="K250" s="330">
        <f t="shared" si="33"/>
        <v>6135810548.3612337</v>
      </c>
      <c r="L250" s="194">
        <f t="shared" si="34"/>
        <v>1.1194220588427169E-2</v>
      </c>
    </row>
    <row r="251" spans="5:12">
      <c r="F251" s="581" t="s">
        <v>251</v>
      </c>
      <c r="G251" s="581"/>
      <c r="H251" s="581"/>
      <c r="I251" s="581"/>
      <c r="J251" s="581"/>
      <c r="K251" s="581"/>
    </row>
    <row r="252" spans="5:12">
      <c r="E252">
        <v>2020</v>
      </c>
      <c r="F252" s="61">
        <f>'Demographic-Economic'!C$38</f>
        <v>531771287</v>
      </c>
      <c r="G252" s="61">
        <f>'Demographic-Economic'!D$38</f>
        <v>222153795</v>
      </c>
      <c r="H252" s="61">
        <f>'Demographic-Economic'!E$38</f>
        <v>417708522</v>
      </c>
      <c r="I252" s="61">
        <f>'Demographic-Economic'!F$38</f>
        <v>45815957</v>
      </c>
      <c r="J252" s="61">
        <f>'Demographic-Economic'!G$38</f>
        <v>69643447</v>
      </c>
      <c r="K252" s="61">
        <f>'Demographic-Economic'!H$38</f>
        <v>9845914</v>
      </c>
    </row>
    <row r="253" spans="5:12">
      <c r="E253">
        <v>2021</v>
      </c>
      <c r="F253" s="61">
        <f>F$252*'Economic Projections'!$K4</f>
        <v>565117886.84229636</v>
      </c>
      <c r="G253" s="61">
        <f>G$252*'Economic Projections'!$K4</f>
        <v>236084734.64720312</v>
      </c>
      <c r="H253" s="61">
        <f>H$252*'Economic Projections'!$K4</f>
        <v>443902412.63375854</v>
      </c>
      <c r="I253" s="61">
        <f>I$252*'Economic Projections'!$K4</f>
        <v>48689008.670559369</v>
      </c>
      <c r="J253" s="61">
        <f>J$252*'Economic Projections'!$K4</f>
        <v>74010685.727477908</v>
      </c>
      <c r="K253" s="61">
        <f>K$252*'Economic Projections'!$K4</f>
        <v>10463336.870068694</v>
      </c>
    </row>
    <row r="254" spans="5:12">
      <c r="E254">
        <v>2022</v>
      </c>
      <c r="F254" s="61">
        <f>F$252*'Economic Projections'!$K5</f>
        <v>598464486.68459272</v>
      </c>
      <c r="G254" s="61">
        <f>G$252*'Economic Projections'!$K5</f>
        <v>250015674.29440629</v>
      </c>
      <c r="H254" s="61">
        <f>H$252*'Economic Projections'!$K5</f>
        <v>470096303.26751721</v>
      </c>
      <c r="I254" s="61">
        <f>I$252*'Economic Projections'!$K5</f>
        <v>51562060.341118746</v>
      </c>
      <c r="J254" s="61">
        <f>J$252*'Economic Projections'!$K5</f>
        <v>78377924.454955846</v>
      </c>
      <c r="K254" s="61">
        <f>K$252*'Economic Projections'!$K5</f>
        <v>11080759.740137389</v>
      </c>
    </row>
    <row r="255" spans="5:12">
      <c r="E255">
        <v>2023</v>
      </c>
      <c r="F255" s="61">
        <f>F$252*'Economic Projections'!$K6</f>
        <v>631811086.52688909</v>
      </c>
      <c r="G255" s="61">
        <f>G$252*'Economic Projections'!$K6</f>
        <v>263946613.94160941</v>
      </c>
      <c r="H255" s="61">
        <f>H$252*'Economic Projections'!$K6</f>
        <v>496290193.90127575</v>
      </c>
      <c r="I255" s="61">
        <f>I$252*'Economic Projections'!$K6</f>
        <v>54435112.011678115</v>
      </c>
      <c r="J255" s="61">
        <f>J$252*'Economic Projections'!$K6</f>
        <v>82745163.182433754</v>
      </c>
      <c r="K255" s="61">
        <f>K$252*'Economic Projections'!$K6</f>
        <v>11698182.610206084</v>
      </c>
    </row>
    <row r="256" spans="5:12">
      <c r="E256">
        <v>2024</v>
      </c>
      <c r="F256" s="61">
        <f>F$252*'Economic Projections'!$K7</f>
        <v>665157686.36918545</v>
      </c>
      <c r="G256" s="61">
        <f>G$252*'Economic Projections'!$K7</f>
        <v>277877553.58881259</v>
      </c>
      <c r="H256" s="61">
        <f>H$252*'Economic Projections'!$K7</f>
        <v>522484084.53503436</v>
      </c>
      <c r="I256" s="61">
        <f>I$252*'Economic Projections'!$K7</f>
        <v>57308163.682237491</v>
      </c>
      <c r="J256" s="61">
        <f>J$252*'Economic Projections'!$K7</f>
        <v>87112401.909911677</v>
      </c>
      <c r="K256" s="61">
        <f>K$252*'Economic Projections'!$K7</f>
        <v>12315605.48027478</v>
      </c>
    </row>
    <row r="257" spans="5:11">
      <c r="E257">
        <v>2025</v>
      </c>
      <c r="F257" s="61">
        <f>F$252*'Economic Projections'!$K8</f>
        <v>698504286.21148193</v>
      </c>
      <c r="G257" s="61">
        <f>G$252*'Economic Projections'!$K8</f>
        <v>291808493.23601574</v>
      </c>
      <c r="H257" s="61">
        <f>H$252*'Economic Projections'!$K8</f>
        <v>548677975.16879296</v>
      </c>
      <c r="I257" s="61">
        <f>I$252*'Economic Projections'!$K8</f>
        <v>60181215.352796867</v>
      </c>
      <c r="J257" s="61">
        <f>J$252*'Economic Projections'!$K8</f>
        <v>91479640.637389615</v>
      </c>
      <c r="K257" s="61">
        <f>K$252*'Economic Projections'!$K8</f>
        <v>12933028.350343475</v>
      </c>
    </row>
    <row r="258" spans="5:11">
      <c r="E258">
        <v>2026</v>
      </c>
      <c r="F258" s="61">
        <f>F$252*'Economic Projections'!$K9</f>
        <v>731850886.05377829</v>
      </c>
      <c r="G258" s="61">
        <f>G$252*'Economic Projections'!$K9</f>
        <v>305739432.88321888</v>
      </c>
      <c r="H258" s="61">
        <f>H$252*'Economic Projections'!$K9</f>
        <v>574871865.80255151</v>
      </c>
      <c r="I258" s="61">
        <f>I$252*'Economic Projections'!$K9</f>
        <v>63054267.023356237</v>
      </c>
      <c r="J258" s="61">
        <f>J$252*'Economic Projections'!$K9</f>
        <v>95846879.364867523</v>
      </c>
      <c r="K258" s="61">
        <f>K$252*'Economic Projections'!$K9</f>
        <v>13550451.220412169</v>
      </c>
    </row>
    <row r="259" spans="5:11">
      <c r="E259">
        <v>2027</v>
      </c>
      <c r="F259" s="61">
        <f>F$252*'Economic Projections'!$K10</f>
        <v>765197485.89607453</v>
      </c>
      <c r="G259" s="61">
        <f>G$252*'Economic Projections'!$K10</f>
        <v>319670372.53042197</v>
      </c>
      <c r="H259" s="61">
        <f>H$252*'Economic Projections'!$K10</f>
        <v>601065756.43631005</v>
      </c>
      <c r="I259" s="61">
        <f>I$252*'Economic Projections'!$K10</f>
        <v>65927318.693915598</v>
      </c>
      <c r="J259" s="61">
        <f>J$252*'Economic Projections'!$K10</f>
        <v>100214118.09234543</v>
      </c>
      <c r="K259" s="61">
        <f>K$252*'Economic Projections'!$K10</f>
        <v>14167874.090480864</v>
      </c>
    </row>
    <row r="260" spans="5:11">
      <c r="E260">
        <v>2028</v>
      </c>
      <c r="F260" s="61">
        <f>F$252*'Economic Projections'!$K11</f>
        <v>798544085.73837078</v>
      </c>
      <c r="G260" s="61">
        <f>G$252*'Economic Projections'!$K11</f>
        <v>333601312.17762506</v>
      </c>
      <c r="H260" s="61">
        <f>H$252*'Economic Projections'!$K11</f>
        <v>627259647.0700686</v>
      </c>
      <c r="I260" s="61">
        <f>I$252*'Economic Projections'!$K11</f>
        <v>68800370.364474952</v>
      </c>
      <c r="J260" s="61">
        <f>J$252*'Economic Projections'!$K11</f>
        <v>104581356.81982332</v>
      </c>
      <c r="K260" s="61">
        <f>K$252*'Economic Projections'!$K11</f>
        <v>14785296.960549554</v>
      </c>
    </row>
    <row r="261" spans="5:11">
      <c r="E261">
        <v>2029</v>
      </c>
      <c r="F261" s="61">
        <f>F$252*'Economic Projections'!$K12</f>
        <v>831890685.58066702</v>
      </c>
      <c r="G261" s="61">
        <f>G$252*'Economic Projections'!$K12</f>
        <v>347532251.82482815</v>
      </c>
      <c r="H261" s="61">
        <f>H$252*'Economic Projections'!$K12</f>
        <v>653453537.70382714</v>
      </c>
      <c r="I261" s="61">
        <f>I$252*'Economic Projections'!$K12</f>
        <v>71673422.035034329</v>
      </c>
      <c r="J261" s="61">
        <f>J$252*'Economic Projections'!$K12</f>
        <v>108948595.54730125</v>
      </c>
      <c r="K261" s="61">
        <f>K$252*'Economic Projections'!$K12</f>
        <v>15402719.830618249</v>
      </c>
    </row>
    <row r="262" spans="5:11">
      <c r="E262">
        <v>2030</v>
      </c>
      <c r="F262" s="61">
        <f>F$252*'Economic Projections'!$K13</f>
        <v>865237285.42296374</v>
      </c>
      <c r="G262" s="61">
        <f>G$252*'Economic Projections'!$K13</f>
        <v>361463191.47203141</v>
      </c>
      <c r="H262" s="61">
        <f>H$252*'Economic Projections'!$K13</f>
        <v>679647428.33758593</v>
      </c>
      <c r="I262" s="61">
        <f>I$252*'Economic Projections'!$K13</f>
        <v>74546473.70559372</v>
      </c>
      <c r="J262" s="61">
        <f>J$252*'Economic Projections'!$K13</f>
        <v>113315834.2747792</v>
      </c>
      <c r="K262" s="61">
        <f>K$252*'Economic Projections'!$K13</f>
        <v>16020142.700686948</v>
      </c>
    </row>
    <row r="263" spans="5:11">
      <c r="E263">
        <v>2040</v>
      </c>
      <c r="F263" s="61">
        <f>F$252*'Economic Projections'!$K14</f>
        <v>1357869370.7301276</v>
      </c>
      <c r="G263" s="61">
        <f>G$252*'Economic Projections'!$K14</f>
        <v>567266118.34151125</v>
      </c>
      <c r="H263" s="61">
        <f>H$252*'Economic Projections'!$K14</f>
        <v>1066611947.2463199</v>
      </c>
      <c r="I263" s="61">
        <f>I$252*'Economic Projections'!$K14</f>
        <v>116990304.33169773</v>
      </c>
      <c r="J263" s="61">
        <f>J$252*'Economic Projections'!$K14</f>
        <v>177833414.22374877</v>
      </c>
      <c r="K263" s="61">
        <f>K$252*'Economic Projections'!$K14</f>
        <v>25141381.97055937</v>
      </c>
    </row>
    <row r="264" spans="5:11">
      <c r="E264">
        <v>2050</v>
      </c>
      <c r="F264" s="61">
        <f>F$252*'Economic Projections'!$K15</f>
        <v>1903208914.3169773</v>
      </c>
      <c r="G264" s="61">
        <f>G$252*'Economic Projections'!$K15</f>
        <v>795088214.29342484</v>
      </c>
      <c r="H264" s="61">
        <f>H$252*'Economic Projections'!$K15</f>
        <v>1494978390.3179586</v>
      </c>
      <c r="I264" s="61">
        <f>I$252*'Economic Projections'!$K15</f>
        <v>163975265.14131501</v>
      </c>
      <c r="J264" s="61">
        <f>J$252*'Economic Projections'!$K15</f>
        <v>249253828.46810597</v>
      </c>
      <c r="K264" s="61">
        <f>K$252*'Economic Projections'!$K15</f>
        <v>35238516.543670259</v>
      </c>
    </row>
    <row r="265" spans="5:11">
      <c r="E265">
        <v>2060</v>
      </c>
      <c r="F265" s="61">
        <f>F$252*'Economic Projections'!$K16</f>
        <v>2496037355.9578018</v>
      </c>
      <c r="G265" s="61">
        <f>G$252*'Economic Projections'!$K16</f>
        <v>1042749363.5770363</v>
      </c>
      <c r="H265" s="61">
        <f>H$252*'Economic Projections'!$K16</f>
        <v>1960647557.1403337</v>
      </c>
      <c r="I265" s="61">
        <f>I$252*'Economic Projections'!$K16</f>
        <v>215051739.28459272</v>
      </c>
      <c r="J265" s="61">
        <f>J$252*'Economic Projections'!$K16</f>
        <v>326893628.06771344</v>
      </c>
      <c r="K265" s="61">
        <f>K$252*'Economic Projections'!$K16</f>
        <v>46214923.12266928</v>
      </c>
    </row>
    <row r="266" spans="5:11">
      <c r="E266">
        <v>2070</v>
      </c>
      <c r="F266" s="61">
        <f>F$252*'Economic Projections'!$K17</f>
        <v>3161403784.7360153</v>
      </c>
      <c r="G266" s="61">
        <f>G$252*'Economic Projections'!$K17</f>
        <v>1320714121.7958782</v>
      </c>
      <c r="H266" s="61">
        <f>H$252*'Economic Projections'!$K17</f>
        <v>2483295609.6918545</v>
      </c>
      <c r="I266" s="61">
        <f>I$252*'Economic Projections'!$K17</f>
        <v>272377887.64082426</v>
      </c>
      <c r="J266" s="61">
        <f>J$252*'Economic Projections'!$K17</f>
        <v>414033367.93523055</v>
      </c>
      <c r="K266" s="61">
        <f>K$252*'Economic Projections'!$K17</f>
        <v>58534393.534838066</v>
      </c>
    </row>
    <row r="267" spans="5:11">
      <c r="E267">
        <v>2080</v>
      </c>
      <c r="F267" s="61">
        <f>F$252*'Economic Projections'!$K18</f>
        <v>3864865703.1619234</v>
      </c>
      <c r="G267" s="61">
        <f>G$252*'Economic Projections'!$K18</f>
        <v>1614593724.9950931</v>
      </c>
      <c r="H267" s="61">
        <f>H$252*'Economic Projections'!$K18</f>
        <v>3035867825.2522078</v>
      </c>
      <c r="I267" s="61">
        <f>I$252*'Economic Projections'!$K18</f>
        <v>332986239.00098133</v>
      </c>
      <c r="J267" s="61">
        <f>J$252*'Economic Projections'!$K18</f>
        <v>506162285.06575072</v>
      </c>
      <c r="K267" s="61">
        <f>K$252*'Economic Projections'!$K18</f>
        <v>71559214.017664373</v>
      </c>
    </row>
    <row r="268" spans="5:11">
      <c r="E268">
        <v>2090</v>
      </c>
      <c r="F268" s="61">
        <f>F$252*'Economic Projections'!$K19</f>
        <v>4604335687.1452398</v>
      </c>
      <c r="G268" s="61">
        <f>G$252*'Economic Projections'!$K19</f>
        <v>1923516126.8743865</v>
      </c>
      <c r="H268" s="61">
        <f>H$252*'Economic Projections'!$K19</f>
        <v>3616724523.6565256</v>
      </c>
      <c r="I268" s="61">
        <f>I$252*'Economic Projections'!$K19</f>
        <v>396696946.62512267</v>
      </c>
      <c r="J268" s="61">
        <f>J$252*'Economic Projections'!$K19</f>
        <v>603006999.88321877</v>
      </c>
      <c r="K268" s="61">
        <f>K$252*'Economic Projections'!$K19</f>
        <v>85250735.252208039</v>
      </c>
    </row>
    <row r="269" spans="5:11">
      <c r="E269">
        <v>2100</v>
      </c>
      <c r="F269" s="61">
        <f>F$252*'Economic Projections'!$K20</f>
        <v>5380335592.7085381</v>
      </c>
      <c r="G269" s="61">
        <f>G$252*'Economic Projections'!$K20</f>
        <v>2247699339.008832</v>
      </c>
      <c r="H269" s="61">
        <f>H$252*'Economic Projections'!$K20</f>
        <v>4226275624.9460254</v>
      </c>
      <c r="I269" s="61">
        <f>I$252*'Economic Projections'!$K20</f>
        <v>463554972.19823354</v>
      </c>
      <c r="J269" s="61">
        <f>J$252*'Economic Projections'!$K20</f>
        <v>704635857.28164864</v>
      </c>
      <c r="K269" s="61">
        <f>K$252*'Economic Projections'!$K20</f>
        <v>99618619.56820412</v>
      </c>
    </row>
  </sheetData>
  <mergeCells count="16">
    <mergeCell ref="F213:K213"/>
    <mergeCell ref="F232:K232"/>
    <mergeCell ref="F251:K251"/>
    <mergeCell ref="F80:K80"/>
    <mergeCell ref="F99:K99"/>
    <mergeCell ref="F118:K118"/>
    <mergeCell ref="F137:K137"/>
    <mergeCell ref="F156:K156"/>
    <mergeCell ref="F194:K194"/>
    <mergeCell ref="F61:K61"/>
    <mergeCell ref="F175:K175"/>
    <mergeCell ref="B2:C2"/>
    <mergeCell ref="F2:K2"/>
    <mergeCell ref="F4:K4"/>
    <mergeCell ref="F23:K23"/>
    <mergeCell ref="F42:K42"/>
  </mergeCell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623583-4703-4422-8BF6-E46ADB99507B}">
  <sheetPr>
    <tabColor theme="9" tint="0.79998168889431442"/>
  </sheetPr>
  <dimension ref="B1:Q269"/>
  <sheetViews>
    <sheetView topLeftCell="B1" zoomScale="90" zoomScaleNormal="90" workbookViewId="0">
      <pane xSplit="4" ySplit="3" topLeftCell="F4" activePane="bottomRight" state="frozen"/>
      <selection pane="bottomRight" activeCell="I14" sqref="I14"/>
      <selection pane="bottomLeft" activeCell="B4" sqref="B4"/>
      <selection pane="topRight" activeCell="G1" sqref="G1"/>
    </sheetView>
  </sheetViews>
  <sheetFormatPr defaultColWidth="8.7109375" defaultRowHeight="15"/>
  <cols>
    <col min="1" max="1" width="1.7109375" customWidth="1"/>
    <col min="2" max="2" width="39.28515625" bestFit="1" customWidth="1"/>
    <col min="3" max="3" width="8.7109375" bestFit="1" customWidth="1"/>
    <col min="4" max="4" width="3.7109375" customWidth="1"/>
    <col min="5" max="5" width="8.7109375" bestFit="1" customWidth="1"/>
    <col min="6" max="7" width="15.7109375" customWidth="1"/>
    <col min="8" max="8" width="20.140625" bestFit="1" customWidth="1"/>
    <col min="9" max="11" width="15.7109375" customWidth="1"/>
    <col min="12" max="12" width="11.7109375" bestFit="1" customWidth="1"/>
    <col min="13" max="14" width="8.7109375" bestFit="1" customWidth="1"/>
    <col min="15" max="15" width="12" bestFit="1" customWidth="1"/>
    <col min="16" max="16" width="8.7109375" bestFit="1" customWidth="1"/>
  </cols>
  <sheetData>
    <row r="1" spans="2:16" ht="7.35" customHeight="1"/>
    <row r="2" spans="2:16">
      <c r="B2" s="582" t="s">
        <v>228</v>
      </c>
      <c r="C2" s="582"/>
      <c r="D2" s="321"/>
      <c r="F2" s="582" t="s">
        <v>201</v>
      </c>
      <c r="G2" s="582"/>
      <c r="H2" s="582"/>
      <c r="I2" s="582"/>
      <c r="J2" s="582"/>
      <c r="K2" s="582"/>
    </row>
    <row r="3" spans="2:16">
      <c r="B3" t="s">
        <v>229</v>
      </c>
      <c r="C3" s="59">
        <v>1.2999999999999999E-2</v>
      </c>
      <c r="F3" s="1" t="s">
        <v>230</v>
      </c>
      <c r="G3" s="1" t="s">
        <v>3</v>
      </c>
      <c r="H3" s="1" t="s">
        <v>231</v>
      </c>
      <c r="I3" s="1" t="s">
        <v>5</v>
      </c>
      <c r="J3" s="1" t="s">
        <v>232</v>
      </c>
      <c r="K3" s="1" t="s">
        <v>233</v>
      </c>
      <c r="O3" t="s">
        <v>365</v>
      </c>
      <c r="P3" t="s">
        <v>366</v>
      </c>
    </row>
    <row r="4" spans="2:16">
      <c r="B4" t="s">
        <v>234</v>
      </c>
      <c r="C4" s="59">
        <f>0.05/10</f>
        <v>5.0000000000000001E-3</v>
      </c>
      <c r="F4" s="581" t="s">
        <v>235</v>
      </c>
      <c r="G4" s="581"/>
      <c r="H4" s="581"/>
      <c r="I4" s="581"/>
      <c r="J4" s="581"/>
      <c r="K4" s="581"/>
      <c r="O4" t="s">
        <v>367</v>
      </c>
      <c r="P4">
        <v>1</v>
      </c>
    </row>
    <row r="5" spans="2:16">
      <c r="B5" t="s">
        <v>236</v>
      </c>
      <c r="C5">
        <v>0.25</v>
      </c>
      <c r="E5">
        <v>2020</v>
      </c>
      <c r="F5" s="61">
        <f>'Demographic-Economic'!C10</f>
        <v>6306408</v>
      </c>
      <c r="G5" s="61">
        <f>'Demographic-Economic'!D10</f>
        <v>4212348</v>
      </c>
      <c r="H5" s="61">
        <f>'Demographic-Economic'!E10</f>
        <v>4993764</v>
      </c>
      <c r="I5" s="61">
        <f>'Demographic-Economic'!F10</f>
        <v>1010676</v>
      </c>
      <c r="J5" s="61">
        <f>'Demographic-Economic'!G10</f>
        <v>1266672</v>
      </c>
      <c r="K5" s="61">
        <f>'Demographic-Economic'!H10</f>
        <v>307884</v>
      </c>
      <c r="O5" t="s">
        <v>368</v>
      </c>
      <c r="P5">
        <v>2</v>
      </c>
    </row>
    <row r="6" spans="2:16">
      <c r="B6" t="s">
        <v>237</v>
      </c>
      <c r="C6" s="180">
        <f>'Inflation-Interest'!C70</f>
        <v>3.7539166666666658E-2</v>
      </c>
      <c r="E6">
        <v>2021</v>
      </c>
      <c r="F6" s="61">
        <f>(F5+0.5*F81)*'Economic Projections'!$B4/'Economic Projections'!$B3</f>
        <v>6330477.1798733519</v>
      </c>
      <c r="G6" s="61">
        <f>(G5+0.5*G81)*'Economic Projections'!$B4/'Economic Projections'!$B3</f>
        <v>4211468.8529635882</v>
      </c>
      <c r="H6" s="61">
        <f>(H5+0.5*H81)*'Economic Projections'!$B4/'Economic Projections'!$B3</f>
        <v>5048251.3957737759</v>
      </c>
      <c r="I6" s="61">
        <f>(I5+0.5*I81)*'Economic Projections'!$B4/'Economic Projections'!$B3</f>
        <v>1028135.9780589317</v>
      </c>
      <c r="J6" s="61">
        <f>(J5+0.5*J81)*'Economic Projections'!$B4/'Economic Projections'!$B3</f>
        <v>1281875.2287816606</v>
      </c>
      <c r="K6" s="61">
        <f>(K5+0.5*K81)*'Economic Projections'!$B4/'Economic Projections'!$B3</f>
        <v>312146.5434405132</v>
      </c>
    </row>
    <row r="7" spans="2:16">
      <c r="E7">
        <v>2022</v>
      </c>
      <c r="F7" s="61">
        <f>(F6+0.5*F82)*'Economic Projections'!$B5/'Economic Projections'!$B4</f>
        <v>6354386.5987973362</v>
      </c>
      <c r="G7" s="61">
        <f>(G6+0.5*G82)*'Economic Projections'!$B5/'Economic Projections'!$B4</f>
        <v>4210423.1631356496</v>
      </c>
      <c r="H7" s="61">
        <f>(H6+0.5*H82)*'Economic Projections'!$B5/'Economic Projections'!$B4</f>
        <v>5104260.4613724947</v>
      </c>
      <c r="I7" s="61">
        <f>(I6+0.5*I82)*'Economic Projections'!$B5/'Economic Projections'!$B4</f>
        <v>1044678.9927689054</v>
      </c>
      <c r="J7" s="61">
        <f>(J6+0.5*J82)*'Economic Projections'!$B5/'Economic Projections'!$B4</f>
        <v>1296763.9089352263</v>
      </c>
      <c r="K7" s="61">
        <f>(K6+0.5*K82)*'Economic Projections'!$B5/'Economic Projections'!$B4</f>
        <v>316445.23277402954</v>
      </c>
    </row>
    <row r="8" spans="2:16">
      <c r="B8" s="60"/>
      <c r="E8">
        <v>2023</v>
      </c>
      <c r="F8" s="61">
        <f>(F7+0.5*F83)*'Economic Projections'!$B6/'Economic Projections'!$B5</f>
        <v>6378136.9051443245</v>
      </c>
      <c r="G8" s="61">
        <f>(G7+0.5*G83)*'Economic Projections'!$B6/'Economic Projections'!$B5</f>
        <v>4209213.1327164359</v>
      </c>
      <c r="H8" s="61">
        <f>(H7+0.5*H83)*'Economic Projections'!$B6/'Economic Projections'!$B5</f>
        <v>5161693.7414495535</v>
      </c>
      <c r="I8" s="61">
        <f>(I7+0.5*I83)*'Economic Projections'!$B6/'Economic Projections'!$B5</f>
        <v>1060377.1851124822</v>
      </c>
      <c r="J8" s="61">
        <f>(J7+0.5*J83)*'Economic Projections'!$B6/'Economic Projections'!$B5</f>
        <v>1311362.4379075863</v>
      </c>
      <c r="K8" s="61">
        <f>(K7+0.5*K83)*'Economic Projections'!$B6/'Economic Projections'!$B5</f>
        <v>320778.1343450757</v>
      </c>
    </row>
    <row r="9" spans="2:16">
      <c r="B9" s="60"/>
      <c r="E9">
        <v>2024</v>
      </c>
      <c r="F9" s="61">
        <f>(F8+0.5*F84)*'Economic Projections'!$B7/'Economic Projections'!$B6</f>
        <v>6401728.7450433383</v>
      </c>
      <c r="G9" s="61">
        <f>(G8+0.5*G84)*'Economic Projections'!$B7/'Economic Projections'!$B6</f>
        <v>4207840.9423140306</v>
      </c>
      <c r="H9" s="61">
        <f>(H8+0.5*H84)*'Economic Projections'!$B7/'Economic Projections'!$B6</f>
        <v>5220460.3026380669</v>
      </c>
      <c r="I9" s="61">
        <f>(I8+0.5*I84)*'Economic Projections'!$B7/'Economic Projections'!$B6</f>
        <v>1075297.7264654988</v>
      </c>
      <c r="J9" s="61">
        <f>(J8+0.5*J84)*'Economic Projections'!$B7/'Economic Projections'!$B6</f>
        <v>1325693.5553576716</v>
      </c>
      <c r="K9" s="61">
        <f>(K8+0.5*K84)*'Economic Projections'!$B7/'Economic Projections'!$B6</f>
        <v>325143.44374867482</v>
      </c>
    </row>
    <row r="10" spans="2:16">
      <c r="B10" s="60"/>
      <c r="E10">
        <v>2025</v>
      </c>
      <c r="F10" s="61">
        <f>(F9+0.5*F85)*'Economic Projections'!$B8/'Economic Projections'!$B7</f>
        <v>6425162.7623871993</v>
      </c>
      <c r="G10" s="61">
        <f>(G9+0.5*G85)*'Economic Projections'!$B8/'Economic Projections'!$B7</f>
        <v>4206308.7511319984</v>
      </c>
      <c r="H10" s="61">
        <f>(H9+0.5*H85)*'Economic Projections'!$B8/'Economic Projections'!$B7</f>
        <v>5280475.4887628313</v>
      </c>
      <c r="I10" s="61">
        <f>(I9+0.5*I85)*'Economic Projections'!$B8/'Economic Projections'!$B7</f>
        <v>1089503.0080766294</v>
      </c>
      <c r="J10" s="61">
        <f>(J9+0.5*J85)*'Economic Projections'!$B8/'Economic Projections'!$B7</f>
        <v>1339778.4031114075</v>
      </c>
      <c r="K10" s="61">
        <f>(K9+0.5*K85)*'Economic Projections'!$B8/'Economic Projections'!$B7</f>
        <v>329539.48098903551</v>
      </c>
    </row>
    <row r="11" spans="2:16">
      <c r="B11" s="60"/>
      <c r="E11">
        <v>2026</v>
      </c>
      <c r="F11" s="61">
        <f>(F10+0.5*F86)*'Economic Projections'!$B9/'Economic Projections'!$B8</f>
        <v>6448439.5988396844</v>
      </c>
      <c r="G11" s="61">
        <f>(G10+0.5*G86)*'Economic Projections'!$B9/'Economic Projections'!$B8</f>
        <v>4204618.6971555203</v>
      </c>
      <c r="H11" s="61">
        <f>(H10+0.5*H86)*'Economic Projections'!$B9/'Economic Projections'!$B8</f>
        <v>5341660.6444366416</v>
      </c>
      <c r="I11" s="61">
        <f>(I10+0.5*I86)*'Economic Projections'!$B9/'Economic Projections'!$B8</f>
        <v>1103050.8543444858</v>
      </c>
      <c r="J11" s="61">
        <f>(J10+0.5*J86)*'Economic Projections'!$B9/'Economic Projections'!$B8</f>
        <v>1353636.5935856753</v>
      </c>
      <c r="K11" s="61">
        <f>(K10+0.5*K86)*'Economic Projections'!$B9/'Economic Projections'!$B8</f>
        <v>333964.68498891621</v>
      </c>
    </row>
    <row r="12" spans="2:16">
      <c r="E12">
        <v>2027</v>
      </c>
      <c r="F12" s="61">
        <f>(F11+0.5*F87)*'Economic Projections'!$B10/'Economic Projections'!$B9</f>
        <v>6471559.8938426413</v>
      </c>
      <c r="G12" s="61">
        <f>(G11+0.5*G87)*'Economic Projections'!$B10/'Economic Projections'!$B9</f>
        <v>4202772.8973360015</v>
      </c>
      <c r="H12" s="61">
        <f>(H11+0.5*H87)*'Economic Projections'!$B10/'Economic Projections'!$B9</f>
        <v>5403942.8166381922</v>
      </c>
      <c r="I12" s="61">
        <f>(I11+0.5*I87)*'Economic Projections'!$B10/'Economic Projections'!$B9</f>
        <v>1115994.7525855601</v>
      </c>
      <c r="J12" s="61">
        <f>(J11+0.5*J87)*'Economic Projections'!$B10/'Economic Projections'!$B9</f>
        <v>1367286.2841982979</v>
      </c>
      <c r="K12" s="61">
        <f>(K11+0.5*K87)*'Economic Projections'!$B10/'Economic Projections'!$B9</f>
        <v>338417.60764205171</v>
      </c>
    </row>
    <row r="13" spans="2:16">
      <c r="E13">
        <v>2028</v>
      </c>
      <c r="F13" s="61">
        <f>(F12+0.5*F88)*'Economic Projections'!$B11/'Economic Projections'!$B10</f>
        <v>6494524.2846230911</v>
      </c>
      <c r="G13" s="61">
        <f>(G12+0.5*G88)*'Economic Projections'!$B11/'Economic Projections'!$B10</f>
        <v>4200773.4477741821</v>
      </c>
      <c r="H13" s="61">
        <f>(H12+0.5*H88)*'Economic Projections'!$B11/'Economic Projections'!$B10</f>
        <v>5467254.4425825123</v>
      </c>
      <c r="I13" s="61">
        <f>(I12+0.5*I88)*'Economic Projections'!$B11/'Economic Projections'!$B10</f>
        <v>1128384.0929707082</v>
      </c>
      <c r="J13" s="61">
        <f>(J12+0.5*J88)*'Economic Projections'!$B11/'Economic Projections'!$B10</f>
        <v>1380744.2556076907</v>
      </c>
      <c r="K13" s="61">
        <f>(K12+0.5*K88)*'Economic Projections'!$B11/'Economic Projections'!$B10</f>
        <v>342896.90757638199</v>
      </c>
    </row>
    <row r="14" spans="2:16">
      <c r="E14">
        <v>2029</v>
      </c>
      <c r="F14" s="61">
        <f>(F13+0.5*F89)*'Economic Projections'!$B12/'Economic Projections'!$B11</f>
        <v>6517333.4062003009</v>
      </c>
      <c r="G14" s="61">
        <f>(G13+0.5*G89)*'Economic Projections'!$B12/'Economic Projections'!$B11</f>
        <v>4198622.4239017526</v>
      </c>
      <c r="H14" s="61">
        <f>(H13+0.5*H89)*'Economic Projections'!$B12/'Economic Projections'!$B11</f>
        <v>5531533.0309330421</v>
      </c>
      <c r="I14" s="61">
        <f>(I13+0.5*I89)*'Economic Projections'!$B12/'Economic Projections'!$B11</f>
        <v>1140264.4132725587</v>
      </c>
      <c r="J14" s="61">
        <f>(J13+0.5*J89)*'Economic Projections'!$B12/'Economic Projections'!$B11</f>
        <v>1394025.9919474528</v>
      </c>
      <c r="K14" s="61">
        <f>(K13+0.5*K89)*'Economic Projections'!$B12/'Economic Projections'!$B11</f>
        <v>347401.3437712767</v>
      </c>
    </row>
    <row r="15" spans="2:16">
      <c r="E15">
        <v>2030</v>
      </c>
      <c r="F15" s="61">
        <f>(F14+0.5*F90)*'Economic Projections'!$B13/'Economic Projections'!$B12</f>
        <v>6539987.8913928475</v>
      </c>
      <c r="G15" s="61">
        <f>(G14+0.5*G90)*'Economic Projections'!$B13/'Economic Projections'!$B12</f>
        <v>4196321.8806614978</v>
      </c>
      <c r="H15" s="61">
        <f>(H14+0.5*H90)*'Economic Projections'!$B13/'Economic Projections'!$B12</f>
        <v>5596720.8422069773</v>
      </c>
      <c r="I15" s="61">
        <f>(I14+0.5*I90)*'Economic Projections'!$B13/'Economic Projections'!$B12</f>
        <v>1151677.6439810426</v>
      </c>
      <c r="J15" s="61">
        <f>(J14+0.5*J90)*'Economic Projections'!$B13/'Economic Projections'!$B12</f>
        <v>1407145.761527481</v>
      </c>
      <c r="K15" s="61">
        <f>(K14+0.5*K90)*'Economic Projections'!$B13/'Economic Projections'!$B12</f>
        <v>351929.76914836024</v>
      </c>
    </row>
    <row r="16" spans="2:16">
      <c r="E16">
        <v>2040</v>
      </c>
      <c r="F16" s="61">
        <f>(F15+0.5*F91)*'Economic Projections'!$B14/'Economic Projections'!$B13</f>
        <v>6790734.7596481424</v>
      </c>
      <c r="G16" s="61">
        <f>(G15+0.5*G91)*'Economic Projections'!$B14/'Economic Projections'!$B13</f>
        <v>4339738.7301474065</v>
      </c>
      <c r="H16" s="61">
        <f>(H15+0.5*H91)*'Economic Projections'!$B14/'Economic Projections'!$B13</f>
        <v>5859718.1510203211</v>
      </c>
      <c r="I16" s="61">
        <f>(I15+0.5*I91)*'Economic Projections'!$B14/'Economic Projections'!$B13</f>
        <v>1203100.2859005078</v>
      </c>
      <c r="J16" s="61">
        <f>(J15+0.5*J91)*'Economic Projections'!$B14/'Economic Projections'!$B13</f>
        <v>1469509.0140343385</v>
      </c>
      <c r="K16" s="61">
        <f>(K15+0.5*K91)*'Economic Projections'!$B14/'Economic Projections'!$B13</f>
        <v>368879.70304875798</v>
      </c>
    </row>
    <row r="17" spans="5:11">
      <c r="E17">
        <v>2050</v>
      </c>
      <c r="F17" s="61">
        <f>(F16+0.5*F92)*'Economic Projections'!$B15/'Economic Projections'!$B14</f>
        <v>6886788.4482776094</v>
      </c>
      <c r="G17" s="61">
        <f>(G16+0.5*G92)*'Economic Projections'!$B15/'Economic Projections'!$B14</f>
        <v>4383474.9170756079</v>
      </c>
      <c r="H17" s="61">
        <f>(H16+0.5*H92)*'Economic Projections'!$B15/'Economic Projections'!$B14</f>
        <v>5995200.435886804</v>
      </c>
      <c r="I17" s="61">
        <f>(I16+0.5*I92)*'Economic Projections'!$B15/'Economic Projections'!$B14</f>
        <v>1225005.1006976748</v>
      </c>
      <c r="J17" s="61">
        <f>(J16+0.5*J92)*'Economic Projections'!$B15/'Economic Projections'!$B14</f>
        <v>1497924.9552314815</v>
      </c>
      <c r="K17" s="61">
        <f>(K16+0.5*K92)*'Economic Projections'!$B15/'Economic Projections'!$B14</f>
        <v>377546.05839810323</v>
      </c>
    </row>
    <row r="18" spans="5:11">
      <c r="E18">
        <v>2060</v>
      </c>
      <c r="F18" s="61">
        <f>(F17+0.5*F93)*'Economic Projections'!$B16/'Economic Projections'!$B15</f>
        <v>6837357.7773812683</v>
      </c>
      <c r="G18" s="61">
        <f>(G17+0.5*G93)*'Economic Projections'!$B16/'Economic Projections'!$B15</f>
        <v>4334560.3731152508</v>
      </c>
      <c r="H18" s="61">
        <f>(H17+0.5*H93)*'Economic Projections'!$B16/'Economic Projections'!$B15</f>
        <v>6005364.4905503085</v>
      </c>
      <c r="I18" s="61">
        <f>(I17+0.5*I93)*'Economic Projections'!$B16/'Economic Projections'!$B15</f>
        <v>1220422.2062485912</v>
      </c>
      <c r="J18" s="61">
        <f>(J17+0.5*J93)*'Economic Projections'!$B16/'Economic Projections'!$B15</f>
        <v>1494534.3671718989</v>
      </c>
      <c r="K18" s="61">
        <f>(K17+0.5*K93)*'Economic Projections'!$B16/'Economic Projections'!$B15</f>
        <v>378198.05202344782</v>
      </c>
    </row>
    <row r="19" spans="5:11">
      <c r="E19">
        <v>2070</v>
      </c>
      <c r="F19" s="61">
        <f>(F18+0.5*F94)*'Economic Projections'!$B17/'Economic Projections'!$B16</f>
        <v>6667631.8466883237</v>
      </c>
      <c r="G19" s="61">
        <f>(G18+0.5*G94)*'Economic Projections'!$B17/'Economic Projections'!$B16</f>
        <v>4210011.9628653722</v>
      </c>
      <c r="H19" s="61">
        <f>(H18+0.5*H94)*'Economic Projections'!$B17/'Economic Projections'!$B16</f>
        <v>5908456.3334758813</v>
      </c>
      <c r="I19" s="61">
        <f>(I18+0.5*I94)*'Economic Projections'!$B17/'Economic Projections'!$B16</f>
        <v>1194096.4735374367</v>
      </c>
      <c r="J19" s="61">
        <f>(J18+0.5*J94)*'Economic Projections'!$B17/'Economic Projections'!$B16</f>
        <v>1464560.5431518848</v>
      </c>
      <c r="K19" s="61">
        <f>(K18+0.5*K94)*'Economic Projections'!$B17/'Economic Projections'!$B16</f>
        <v>372042.52365841094</v>
      </c>
    </row>
    <row r="20" spans="5:11">
      <c r="E20">
        <v>2080</v>
      </c>
      <c r="F20" s="61">
        <f>(F19+0.5*F95)*'Economic Projections'!$B18/'Economic Projections'!$B17</f>
        <v>6386526.8980193576</v>
      </c>
      <c r="G20" s="61">
        <f>(G19+0.5*G95)*'Economic Projections'!$B18/'Economic Projections'!$B17</f>
        <v>4016348.8764217794</v>
      </c>
      <c r="H20" s="61">
        <f>(H19+0.5*H95)*'Economic Projections'!$B18/'Economic Projections'!$B17</f>
        <v>5709442.9697290203</v>
      </c>
      <c r="I20" s="61">
        <f>(I19+0.5*I95)*'Economic Projections'!$B18/'Economic Projections'!$B17</f>
        <v>1147551.2329273717</v>
      </c>
      <c r="J20" s="61">
        <f>(J19+0.5*J95)*'Economic Projections'!$B18/'Economic Projections'!$B17</f>
        <v>1409609.1021537422</v>
      </c>
      <c r="K20" s="61">
        <f>(K19+0.5*K95)*'Economic Projections'!$B18/'Economic Projections'!$B17</f>
        <v>359423.74924476905</v>
      </c>
    </row>
    <row r="21" spans="5:11">
      <c r="E21">
        <v>2090</v>
      </c>
      <c r="F21" s="61">
        <f>(F20+0.5*F96)*'Economic Projections'!$B19/'Economic Projections'!$B18</f>
        <v>6002874.524669393</v>
      </c>
      <c r="G21" s="61">
        <f>(G20+0.5*G96)*'Economic Projections'!$B19/'Economic Projections'!$B18</f>
        <v>3759940.0240307446</v>
      </c>
      <c r="H21" s="61">
        <f>(H20+0.5*H96)*'Economic Projections'!$B19/'Economic Projections'!$B18</f>
        <v>5413620.0129667614</v>
      </c>
      <c r="I21" s="61">
        <f>(I20+0.5*I96)*'Economic Projections'!$B19/'Economic Projections'!$B18</f>
        <v>1082211.3816069015</v>
      </c>
      <c r="J21" s="61">
        <f>(J20+0.5*J96)*'Economic Projections'!$B19/'Economic Projections'!$B18</f>
        <v>1331280.9605533674</v>
      </c>
      <c r="K21" s="61">
        <f>(K20+0.5*K96)*'Economic Projections'!$B19/'Economic Projections'!$B18</f>
        <v>340695.46028892579</v>
      </c>
    </row>
    <row r="22" spans="5:11">
      <c r="E22">
        <v>2100</v>
      </c>
      <c r="F22" s="61">
        <f>(F21+0.5*F97)*'Economic Projections'!$B20/'Economic Projections'!$B19</f>
        <v>5549341.7676391117</v>
      </c>
      <c r="G22" s="61">
        <f>(G21+0.5*G97)*'Economic Projections'!$B20/'Economic Projections'!$B19</f>
        <v>3461928.4794363291</v>
      </c>
      <c r="H22" s="61">
        <f>(H21+0.5*H97)*'Economic Projections'!$B20/'Economic Projections'!$B19</f>
        <v>5048277.8745256169</v>
      </c>
      <c r="I22" s="61">
        <f>(I21+0.5*I97)*'Economic Projections'!$B20/'Economic Projections'!$B19</f>
        <v>1003797.8837881739</v>
      </c>
      <c r="J22" s="61">
        <f>(J21+0.5*J97)*'Economic Projections'!$B20/'Economic Projections'!$B19</f>
        <v>1236525.0171293996</v>
      </c>
      <c r="K22" s="61">
        <f>(K21+0.5*K97)*'Economic Projections'!$B20/'Economic Projections'!$B19</f>
        <v>317589.91679535224</v>
      </c>
    </row>
    <row r="23" spans="5:11">
      <c r="F23" s="581" t="s">
        <v>239</v>
      </c>
      <c r="G23" s="581"/>
      <c r="H23" s="581"/>
      <c r="I23" s="581"/>
      <c r="J23" s="581"/>
      <c r="K23" s="581"/>
    </row>
    <row r="24" spans="5:11">
      <c r="E24">
        <v>2020</v>
      </c>
      <c r="F24" s="61">
        <f>'Demographic-Economic'!C14</f>
        <v>2791896</v>
      </c>
      <c r="G24" s="61">
        <f>'Demographic-Economic'!D14</f>
        <v>2523732</v>
      </c>
      <c r="H24" s="61">
        <f>'Demographic-Economic'!E14</f>
        <v>2212536</v>
      </c>
      <c r="I24" s="61">
        <f>'Demographic-Economic'!F14</f>
        <v>496548</v>
      </c>
      <c r="J24" s="61">
        <f>'Demographic-Economic'!G14</f>
        <v>566592</v>
      </c>
      <c r="K24" s="61">
        <f>'Demographic-Economic'!H14</f>
        <v>135480</v>
      </c>
    </row>
    <row r="25" spans="5:11">
      <c r="E25">
        <v>2021</v>
      </c>
      <c r="F25" s="322" t="s">
        <v>240</v>
      </c>
      <c r="G25" s="322" t="s">
        <v>240</v>
      </c>
      <c r="H25" s="61">
        <f>H24*('Demographic-Economic'!E$20)</f>
        <v>2251692</v>
      </c>
      <c r="I25" s="61">
        <f>I24*('Demographic-Economic'!F$20)</f>
        <v>497628</v>
      </c>
      <c r="J25" s="61">
        <f>J24*('Demographic-Economic'!G$20)</f>
        <v>571248</v>
      </c>
      <c r="K25" s="61">
        <f>K24*('Demographic-Economic'!H$20)</f>
        <v>137808</v>
      </c>
    </row>
    <row r="26" spans="5:11">
      <c r="E26">
        <v>2022</v>
      </c>
      <c r="F26" s="322" t="s">
        <v>240</v>
      </c>
      <c r="G26" s="322" t="s">
        <v>240</v>
      </c>
      <c r="H26" s="61">
        <f>H25*('Demographic-Economic'!E$20)</f>
        <v>2291540.9570122249</v>
      </c>
      <c r="I26" s="61">
        <f>I25*('Demographic-Economic'!F$20)</f>
        <v>498710.34901761764</v>
      </c>
      <c r="J26" s="61">
        <f>J25*('Demographic-Economic'!G$20)</f>
        <v>575942.26092849881</v>
      </c>
      <c r="K26" s="61">
        <f>K25*('Demographic-Economic'!H$20)</f>
        <v>140176.00283436669</v>
      </c>
    </row>
    <row r="27" spans="5:11">
      <c r="E27">
        <v>2023</v>
      </c>
      <c r="F27" s="322" t="s">
        <v>240</v>
      </c>
      <c r="G27" s="322" t="s">
        <v>240</v>
      </c>
      <c r="H27" s="61">
        <f>H26*('Demographic-Economic'!E$20)</f>
        <v>2332095.1345319445</v>
      </c>
      <c r="I27" s="61">
        <f>I26*('Demographic-Economic'!F$20)</f>
        <v>499795.05216200458</v>
      </c>
      <c r="J27" s="61">
        <f>J26*('Demographic-Economic'!G$20)</f>
        <v>580675.09719671845</v>
      </c>
      <c r="K27" s="61">
        <f>K26*('Demographic-Economic'!H$20)</f>
        <v>142584.69588572782</v>
      </c>
    </row>
    <row r="28" spans="5:11">
      <c r="E28">
        <v>2024</v>
      </c>
      <c r="F28" s="322" t="s">
        <v>240</v>
      </c>
      <c r="G28" s="322" t="s">
        <v>240</v>
      </c>
      <c r="H28" s="61">
        <f>H27*('Demographic-Economic'!E$20)</f>
        <v>2373367.0130856642</v>
      </c>
      <c r="I28" s="61">
        <f>I27*('Demographic-Economic'!F$20)</f>
        <v>500882.11455342488</v>
      </c>
      <c r="J28" s="61">
        <f>J27*('Demographic-Economic'!G$20)</f>
        <v>585446.82579957182</v>
      </c>
      <c r="K28" s="61">
        <f>K27*('Demographic-Economic'!H$20)</f>
        <v>145034.77834824607</v>
      </c>
    </row>
    <row r="29" spans="5:11">
      <c r="E29">
        <v>2025</v>
      </c>
      <c r="F29" s="322" t="s">
        <v>240</v>
      </c>
      <c r="G29" s="322" t="s">
        <v>240</v>
      </c>
      <c r="H29" s="61">
        <f>H28*('Demographic-Economic'!E$20)</f>
        <v>2415369.2940719994</v>
      </c>
      <c r="I29" s="61">
        <f>I28*('Demographic-Economic'!F$20)</f>
        <v>501971.54132327938</v>
      </c>
      <c r="J29" s="61">
        <f>J28*('Demographic-Economic'!G$20)</f>
        <v>590257.76633689459</v>
      </c>
      <c r="K29" s="61">
        <f>K28*('Demographic-Economic'!H$20)</f>
        <v>147526.96143058085</v>
      </c>
    </row>
    <row r="30" spans="5:11">
      <c r="E30">
        <v>2026</v>
      </c>
      <c r="F30" s="322" t="s">
        <v>240</v>
      </c>
      <c r="G30" s="322" t="s">
        <v>240</v>
      </c>
      <c r="H30" s="61">
        <f>H29*('Demographic-Economic'!E$20)</f>
        <v>2458114.9036705247</v>
      </c>
      <c r="I30" s="61">
        <f>I29*('Demographic-Economic'!F$20)</f>
        <v>503063.3376141297</v>
      </c>
      <c r="J30" s="61">
        <f>J29*('Demographic-Economic'!G$20)</f>
        <v>595108.24103485106</v>
      </c>
      <c r="K30" s="61">
        <f>K29*('Demographic-Economic'!H$20)</f>
        <v>150061.96856233751</v>
      </c>
    </row>
    <row r="31" spans="5:11">
      <c r="E31">
        <v>2027</v>
      </c>
      <c r="F31" s="322" t="s">
        <v>240</v>
      </c>
      <c r="G31" s="322" t="s">
        <v>240</v>
      </c>
      <c r="H31" s="61">
        <f>H30*('Demographic-Economic'!E$20)</f>
        <v>2501616.9968197993</v>
      </c>
      <c r="I31" s="61">
        <f>I30*('Demographic-Economic'!F$20)</f>
        <v>504157.50857972272</v>
      </c>
      <c r="J31" s="61">
        <f>J30*('Demographic-Economic'!G$20)</f>
        <v>599998.57476751623</v>
      </c>
      <c r="K31" s="61">
        <f>K30*('Demographic-Economic'!H$20)</f>
        <v>152640.53560406412</v>
      </c>
    </row>
    <row r="32" spans="5:11">
      <c r="E32">
        <v>2028</v>
      </c>
      <c r="F32" s="322" t="s">
        <v>240</v>
      </c>
      <c r="G32" s="322" t="s">
        <v>240</v>
      </c>
      <c r="H32" s="61">
        <f>H31*('Demographic-Economic'!E$20)</f>
        <v>2545888.9612657907</v>
      </c>
      <c r="I32" s="61">
        <f>I31*('Demographic-Economic'!F$20)</f>
        <v>505254.0593850147</v>
      </c>
      <c r="J32" s="61">
        <f>J31*('Demographic-Economic'!G$20)</f>
        <v>604929.09507863526</v>
      </c>
      <c r="K32" s="61">
        <f>K31*('Demographic-Economic'!H$20)</f>
        <v>155263.41106085671</v>
      </c>
    </row>
    <row r="33" spans="5:13">
      <c r="E33">
        <v>2029</v>
      </c>
      <c r="F33" s="322" t="s">
        <v>240</v>
      </c>
      <c r="G33" s="322" t="s">
        <v>240</v>
      </c>
      <c r="H33" s="61">
        <f>H32*('Demographic-Economic'!E$20)</f>
        <v>2590944.421681948</v>
      </c>
      <c r="I33" s="61">
        <f>I32*('Demographic-Economic'!F$20)</f>
        <v>506352.9952061958</v>
      </c>
      <c r="J33" s="61">
        <f>J32*('Demographic-Economic'!G$20)</f>
        <v>609900.13220356137</v>
      </c>
      <c r="K33" s="61">
        <f>K32*('Demographic-Economic'!H$20)</f>
        <v>157931.35629963494</v>
      </c>
    </row>
    <row r="34" spans="5:13">
      <c r="E34">
        <v>2030</v>
      </c>
      <c r="F34" s="322" t="s">
        <v>240</v>
      </c>
      <c r="G34" s="322" t="s">
        <v>240</v>
      </c>
      <c r="H34" s="61">
        <f>H33*('Demographic-Economic'!E$20)</f>
        <v>2636797.2438621875</v>
      </c>
      <c r="I34" s="61">
        <f>I33*('Demographic-Economic'!F$20)</f>
        <v>507454.3212307145</v>
      </c>
      <c r="J34" s="61">
        <f>J33*('Demographic-Economic'!G$20)</f>
        <v>614912.01909137436</v>
      </c>
      <c r="K34" s="61">
        <f>K33*('Demographic-Economic'!H$20)</f>
        <v>160645.14577015123</v>
      </c>
    </row>
    <row r="35" spans="5:13">
      <c r="E35">
        <v>2040</v>
      </c>
      <c r="F35" s="322" t="s">
        <v>240</v>
      </c>
      <c r="G35" s="322" t="s">
        <v>240</v>
      </c>
      <c r="H35" s="61">
        <f>H34*('Demographic-Economic'!E$20)^10</f>
        <v>3142412.0128392149</v>
      </c>
      <c r="I35" s="61">
        <f>I34*('Demographic-Economic'!F$20)^10</f>
        <v>518600.1919969974</v>
      </c>
      <c r="J35" s="61">
        <f>J34*('Demographic-Economic'!G$20)^10</f>
        <v>667352.85924091854</v>
      </c>
      <c r="K35" s="61">
        <f>K34*('Demographic-Economic'!H$20)^10</f>
        <v>190484.66828692899</v>
      </c>
    </row>
    <row r="36" spans="5:13">
      <c r="E36">
        <v>2050</v>
      </c>
      <c r="F36" s="322" t="s">
        <v>240</v>
      </c>
      <c r="G36" s="322" t="s">
        <v>240</v>
      </c>
      <c r="H36" s="61">
        <f>H35*('Demographic-Economic'!E$20)^10</f>
        <v>3744980.1198868025</v>
      </c>
      <c r="I36" s="61">
        <f>I35*('Demographic-Economic'!F$20)^10</f>
        <v>529990.87383285083</v>
      </c>
      <c r="J36" s="61">
        <f>J35*('Demographic-Economic'!G$20)^10</f>
        <v>724265.95172934793</v>
      </c>
      <c r="K36" s="61">
        <f>K35*('Demographic-Economic'!H$20)^10</f>
        <v>225866.82391447164</v>
      </c>
    </row>
    <row r="37" spans="5:13">
      <c r="E37">
        <v>2060</v>
      </c>
      <c r="F37" s="322" t="s">
        <v>240</v>
      </c>
      <c r="G37" s="322" t="s">
        <v>240</v>
      </c>
      <c r="H37" s="61">
        <f>H36*('Demographic-Economic'!E$20)^10</f>
        <v>4463092.6947340975</v>
      </c>
      <c r="I37" s="61">
        <f>I36*('Demographic-Economic'!F$20)^10</f>
        <v>541631.74383810314</v>
      </c>
      <c r="J37" s="61">
        <f>J36*('Demographic-Economic'!G$20)^10</f>
        <v>786032.69855033059</v>
      </c>
      <c r="K37" s="61">
        <f>K36*('Demographic-Economic'!H$20)^10</f>
        <v>267821.14594317524</v>
      </c>
    </row>
    <row r="38" spans="5:13">
      <c r="E38">
        <v>2070</v>
      </c>
      <c r="F38" s="322" t="s">
        <v>240</v>
      </c>
      <c r="G38" s="322" t="s">
        <v>240</v>
      </c>
      <c r="H38" s="61">
        <f>H37*('Demographic-Economic'!E$20)^10</f>
        <v>5318905.7789687151</v>
      </c>
      <c r="I38" s="61">
        <f>I37*('Demographic-Economic'!F$20)^10</f>
        <v>553528.29721672973</v>
      </c>
      <c r="J38" s="61">
        <f>J37*('Demographic-Economic'!G$20)^10</f>
        <v>853067.02836860577</v>
      </c>
      <c r="K38" s="61">
        <f>K37*('Demographic-Economic'!H$20)^10</f>
        <v>317568.4014642039</v>
      </c>
    </row>
    <row r="39" spans="5:13">
      <c r="E39">
        <v>2080</v>
      </c>
      <c r="F39" s="322" t="s">
        <v>240</v>
      </c>
      <c r="G39" s="322" t="s">
        <v>240</v>
      </c>
      <c r="H39" s="61">
        <f>H38*('Demographic-Economic'!E$20)^10</f>
        <v>6338823.9099148503</v>
      </c>
      <c r="I39" s="61">
        <f>I38*('Demographic-Economic'!F$20)^10</f>
        <v>565686.14987092617</v>
      </c>
      <c r="J39" s="61">
        <f>J38*('Demographic-Economic'!G$20)^10</f>
        <v>925818.17045496183</v>
      </c>
      <c r="K39" s="61">
        <f>K38*('Demographic-Economic'!H$20)^10</f>
        <v>376556.11267501442</v>
      </c>
    </row>
    <row r="40" spans="5:13">
      <c r="E40">
        <v>2090</v>
      </c>
      <c r="F40" s="322" t="s">
        <v>240</v>
      </c>
      <c r="G40" s="322" t="s">
        <v>240</v>
      </c>
      <c r="H40" s="61">
        <f>H39*('Demographic-Economic'!E$20)^10</f>
        <v>7554314.7840266572</v>
      </c>
      <c r="I40" s="61">
        <f>I39*('Demographic-Economic'!F$20)^10</f>
        <v>578111.04105215799</v>
      </c>
      <c r="J40" s="61">
        <f>J39*('Demographic-Economic'!G$20)^10</f>
        <v>1004773.6651875465</v>
      </c>
      <c r="K40" s="61">
        <f>K39*('Demographic-Economic'!H$20)^10</f>
        <v>446500.67619810445</v>
      </c>
    </row>
    <row r="41" spans="5:13">
      <c r="E41">
        <v>2100</v>
      </c>
      <c r="F41" s="322" t="s">
        <v>240</v>
      </c>
      <c r="G41" s="322" t="s">
        <v>240</v>
      </c>
      <c r="H41" s="61">
        <f>H40*('Demographic-Economic'!E$20)^10</f>
        <v>9002880.1347362734</v>
      </c>
      <c r="I41" s="61">
        <f>I40*('Demographic-Economic'!F$20)^10</f>
        <v>590808.8360704392</v>
      </c>
      <c r="J41" s="61">
        <f>J40*('Demographic-Economic'!G$20)^10</f>
        <v>1090462.6312943252</v>
      </c>
      <c r="K41" s="61">
        <f>K40*('Demographic-Economic'!H$20)^10</f>
        <v>529437.30598107167</v>
      </c>
    </row>
    <row r="42" spans="5:13">
      <c r="F42" s="581" t="s">
        <v>241</v>
      </c>
      <c r="G42" s="581"/>
      <c r="H42" s="581"/>
      <c r="I42" s="581"/>
      <c r="J42" s="581"/>
      <c r="K42" s="581"/>
    </row>
    <row r="43" spans="5:13">
      <c r="E43">
        <v>2020</v>
      </c>
      <c r="F43" s="61">
        <f>F5/'Demographic-Economic'!C$29</f>
        <v>2473101.1764705884</v>
      </c>
      <c r="G43" s="61">
        <f>G5/'Demographic-Economic'!D$29</f>
        <v>1691706.0240963853</v>
      </c>
      <c r="H43" s="61">
        <f>H5/'Demographic-Economic'!E$29</f>
        <v>2021766.8016194331</v>
      </c>
      <c r="I43" s="61">
        <f>I5/'Demographic-Economic'!F$29</f>
        <v>404270.4</v>
      </c>
      <c r="J43" s="61">
        <f>J5/'Demographic-Economic'!G$29</f>
        <v>506668.79999999999</v>
      </c>
      <c r="K43" s="61">
        <f>K5/'Demographic-Economic'!H$29</f>
        <v>116182.64150943396</v>
      </c>
    </row>
    <row r="44" spans="5:13">
      <c r="E44">
        <v>2021</v>
      </c>
      <c r="F44" s="61">
        <f>F6/'Demographic-Economic'!C$29</f>
        <v>2482540.0705385697</v>
      </c>
      <c r="G44" s="61">
        <f>G6/'Demographic-Economic'!D$29</f>
        <v>1691352.9529974249</v>
      </c>
      <c r="H44" s="61">
        <f>H6/'Demographic-Economic'!E$29</f>
        <v>2043826.4760217716</v>
      </c>
      <c r="I44" s="61">
        <f>I6/'Demographic-Economic'!F$29</f>
        <v>411254.39122357266</v>
      </c>
      <c r="J44" s="61">
        <f>J6/'Demographic-Economic'!G$29</f>
        <v>512750.09151266422</v>
      </c>
      <c r="K44" s="61">
        <f>K6/'Demographic-Economic'!H$29</f>
        <v>117791.14846811819</v>
      </c>
      <c r="M44" t="s">
        <v>369</v>
      </c>
    </row>
    <row r="45" spans="5:13">
      <c r="E45">
        <v>2022</v>
      </c>
      <c r="F45" s="61">
        <f>F7/'Demographic-Economic'!C$29</f>
        <v>2491916.3132538577</v>
      </c>
      <c r="G45" s="61">
        <f>G7/'Demographic-Economic'!D$29</f>
        <v>1690932.9972432326</v>
      </c>
      <c r="H45" s="61">
        <f>H7/'Demographic-Economic'!E$29</f>
        <v>2066502.2110819814</v>
      </c>
      <c r="I45" s="61">
        <f>I7/'Demographic-Economic'!F$29</f>
        <v>417871.59710756212</v>
      </c>
      <c r="J45" s="61">
        <f>J7/'Demographic-Economic'!G$29</f>
        <v>518705.56357409048</v>
      </c>
      <c r="K45" s="61">
        <f>K7/'Demographic-Economic'!H$29</f>
        <v>119413.29538642625</v>
      </c>
    </row>
    <row r="46" spans="5:13">
      <c r="E46">
        <v>2023</v>
      </c>
      <c r="F46" s="61">
        <f>F8/'Demographic-Economic'!C$29</f>
        <v>2501230.1588801276</v>
      </c>
      <c r="G46" s="61">
        <f>G8/'Demographic-Economic'!D$29</f>
        <v>1690447.0412515805</v>
      </c>
      <c r="H46" s="61">
        <f>H8/'Demographic-Economic'!E$29</f>
        <v>2089754.5511941512</v>
      </c>
      <c r="I46" s="61">
        <f>I8/'Demographic-Economic'!F$29</f>
        <v>424150.87404499284</v>
      </c>
      <c r="J46" s="61">
        <f>J8/'Demographic-Economic'!G$29</f>
        <v>524544.97516303451</v>
      </c>
      <c r="K46" s="61">
        <f>K8/'Demographic-Economic'!H$29</f>
        <v>121048.35258304744</v>
      </c>
    </row>
    <row r="47" spans="5:13">
      <c r="E47">
        <v>2024</v>
      </c>
      <c r="F47" s="61">
        <f>F9/'Demographic-Economic'!C$29</f>
        <v>2510481.8608013093</v>
      </c>
      <c r="G47" s="61">
        <f>G9/'Demographic-Economic'!D$29</f>
        <v>1689895.9607686868</v>
      </c>
      <c r="H47" s="61">
        <f>H9/'Demographic-Economic'!E$29</f>
        <v>2113546.6812299863</v>
      </c>
      <c r="I47" s="61">
        <f>I9/'Demographic-Economic'!F$29</f>
        <v>430119.09058619954</v>
      </c>
      <c r="J47" s="61">
        <f>J9/'Demographic-Economic'!G$29</f>
        <v>530277.42214306863</v>
      </c>
      <c r="K47" s="61">
        <f>K9/'Demographic-Economic'!H$29</f>
        <v>122695.63915044333</v>
      </c>
    </row>
    <row r="48" spans="5:13">
      <c r="E48">
        <v>2025</v>
      </c>
      <c r="F48" s="61">
        <f>F10/'Demographic-Economic'!C$29</f>
        <v>2519671.671524392</v>
      </c>
      <c r="G48" s="61">
        <f>G10/'Demographic-Economic'!D$29</f>
        <v>1689280.6229445776</v>
      </c>
      <c r="H48" s="61">
        <f>H10/'Demographic-Economic'!E$29</f>
        <v>2137844.3274343447</v>
      </c>
      <c r="I48" s="61">
        <f>I10/'Demographic-Economic'!F$29</f>
        <v>435801.20323065174</v>
      </c>
      <c r="J48" s="61">
        <f>J10/'Demographic-Economic'!G$29</f>
        <v>535911.36124456301</v>
      </c>
      <c r="K48" s="61">
        <f>K10/'Demographic-Economic'!H$29</f>
        <v>124354.52112793793</v>
      </c>
    </row>
    <row r="49" spans="5:11">
      <c r="E49">
        <v>2026</v>
      </c>
      <c r="F49" s="61">
        <f>F11/'Demographic-Economic'!C$29</f>
        <v>2528799.8426822294</v>
      </c>
      <c r="G49" s="61">
        <f>G11/'Demographic-Economic'!D$29</f>
        <v>1688601.8864078394</v>
      </c>
      <c r="H49" s="61">
        <f>H11/'Demographic-Economic'!E$29</f>
        <v>2162615.6455209074</v>
      </c>
      <c r="I49" s="61">
        <f>I11/'Demographic-Economic'!F$29</f>
        <v>441220.34173779434</v>
      </c>
      <c r="J49" s="61">
        <f>J11/'Demographic-Economic'!G$29</f>
        <v>541454.63743427012</v>
      </c>
      <c r="K49" s="61">
        <f>K11/'Demographic-Economic'!H$29</f>
        <v>126024.40942977971</v>
      </c>
    </row>
    <row r="50" spans="5:11">
      <c r="E50">
        <v>2027</v>
      </c>
      <c r="F50" s="61">
        <f>F12/'Demographic-Economic'!C$29</f>
        <v>2537866.62503633</v>
      </c>
      <c r="G50" s="61">
        <f>G12/'Demographic-Economic'!D$29</f>
        <v>1687860.6013397595</v>
      </c>
      <c r="H50" s="61">
        <f>H12/'Demographic-Economic'!E$29</f>
        <v>2187831.0998535189</v>
      </c>
      <c r="I50" s="61">
        <f>I12/'Demographic-Economic'!F$29</f>
        <v>446397.90103422402</v>
      </c>
      <c r="J50" s="61">
        <f>J12/'Demographic-Economic'!G$29</f>
        <v>546914.51367931918</v>
      </c>
      <c r="K50" s="61">
        <f>K12/'Demographic-Economic'!H$29</f>
        <v>127704.75760077423</v>
      </c>
    </row>
    <row r="51" spans="5:11">
      <c r="E51">
        <v>2028</v>
      </c>
      <c r="F51" s="61">
        <f>F13/'Demographic-Economic'!C$29</f>
        <v>2546872.2684796439</v>
      </c>
      <c r="G51" s="61">
        <f>G13/'Demographic-Economic'!D$29</f>
        <v>1687057.6095478642</v>
      </c>
      <c r="H51" s="61">
        <f>H13/'Demographic-Economic'!E$29</f>
        <v>2213463.3370779399</v>
      </c>
      <c r="I51" s="61">
        <f>I13/'Demographic-Economic'!F$29</f>
        <v>451353.63718828326</v>
      </c>
      <c r="J51" s="61">
        <f>J13/'Demographic-Economic'!G$29</f>
        <v>552297.70224307629</v>
      </c>
      <c r="K51" s="61">
        <f>K13/'Demographic-Economic'!H$29</f>
        <v>129395.05946278566</v>
      </c>
    </row>
    <row r="52" spans="5:11">
      <c r="E52">
        <v>2029</v>
      </c>
      <c r="F52" s="61">
        <f>F14/'Demographic-Economic'!C$29</f>
        <v>2555817.0220393338</v>
      </c>
      <c r="G52" s="61">
        <f>G14/'Demographic-Economic'!D$29</f>
        <v>1686193.7445388562</v>
      </c>
      <c r="H52" s="61">
        <f>H14/'Demographic-Economic'!E$29</f>
        <v>2239487.0570579115</v>
      </c>
      <c r="I52" s="61">
        <f>I14/'Demographic-Economic'!F$29</f>
        <v>456105.7653090235</v>
      </c>
      <c r="J52" s="61">
        <f>J14/'Demographic-Economic'!G$29</f>
        <v>557610.39677898108</v>
      </c>
      <c r="K52" s="61">
        <f>K14/'Demographic-Economic'!H$29</f>
        <v>131094.84670614215</v>
      </c>
    </row>
    <row r="53" spans="5:11">
      <c r="E53">
        <v>2030</v>
      </c>
      <c r="F53" s="61">
        <f>F15/'Demographic-Economic'!C$29</f>
        <v>2564701.1338795484</v>
      </c>
      <c r="G53" s="61">
        <f>G15/'Demographic-Economic'!D$29</f>
        <v>1685269.8315909628</v>
      </c>
      <c r="H53" s="61">
        <f>H15/'Demographic-Economic'!E$29</f>
        <v>2265878.8834846062</v>
      </c>
      <c r="I53" s="61">
        <f>I15/'Demographic-Economic'!F$29</f>
        <v>460671.057592417</v>
      </c>
      <c r="J53" s="61">
        <f>J15/'Demographic-Economic'!G$29</f>
        <v>562858.30461099243</v>
      </c>
      <c r="K53" s="61">
        <f>K15/'Demographic-Economic'!H$29</f>
        <v>132803.68647107933</v>
      </c>
    </row>
    <row r="54" spans="5:11">
      <c r="E54">
        <v>2040</v>
      </c>
      <c r="F54" s="61">
        <f>F16/'Demographic-Economic'!C$29</f>
        <v>2663033.2390777031</v>
      </c>
      <c r="G54" s="61">
        <f>G16/'Demographic-Economic'!D$29</f>
        <v>1742866.9598985566</v>
      </c>
      <c r="H54" s="61">
        <f>H16/'Demographic-Economic'!E$29</f>
        <v>2372355.5267288745</v>
      </c>
      <c r="I54" s="61">
        <f>I16/'Demographic-Economic'!F$29</f>
        <v>481240.11436020315</v>
      </c>
      <c r="J54" s="61">
        <f>J16/'Demographic-Economic'!G$29</f>
        <v>587803.60561373539</v>
      </c>
      <c r="K54" s="61">
        <f>K16/'Demographic-Economic'!H$29</f>
        <v>139199.88794292754</v>
      </c>
    </row>
    <row r="55" spans="5:11">
      <c r="E55">
        <v>2050</v>
      </c>
      <c r="F55" s="61">
        <f>F17/'Demographic-Economic'!C$29</f>
        <v>2700701.3522657296</v>
      </c>
      <c r="G55" s="61">
        <f>G17/'Demographic-Economic'!D$29</f>
        <v>1760431.6936046616</v>
      </c>
      <c r="H55" s="61">
        <f>H17/'Demographic-Economic'!E$29</f>
        <v>2427206.6542051835</v>
      </c>
      <c r="I55" s="61">
        <f>I17/'Demographic-Economic'!F$29</f>
        <v>490002.04027906992</v>
      </c>
      <c r="J55" s="61">
        <f>J17/'Demographic-Economic'!G$29</f>
        <v>599169.98209259263</v>
      </c>
      <c r="K55" s="61">
        <f>K17/'Demographic-Economic'!H$29</f>
        <v>142470.21071626537</v>
      </c>
    </row>
    <row r="56" spans="5:11">
      <c r="E56">
        <v>2060</v>
      </c>
      <c r="F56" s="61">
        <f>F18/'Demographic-Economic'!C$29</f>
        <v>2681316.7754436349</v>
      </c>
      <c r="G56" s="61">
        <f>G18/'Demographic-Economic'!D$29</f>
        <v>1740787.2984398596</v>
      </c>
      <c r="H56" s="61">
        <f>H18/'Demographic-Economic'!E$29</f>
        <v>2431321.6560932421</v>
      </c>
      <c r="I56" s="61">
        <f>I18/'Demographic-Economic'!F$29</f>
        <v>488168.8824994365</v>
      </c>
      <c r="J56" s="61">
        <f>J18/'Demographic-Economic'!G$29</f>
        <v>597813.74686875963</v>
      </c>
      <c r="K56" s="61">
        <f>K18/'Demographic-Economic'!H$29</f>
        <v>142716.2460465841</v>
      </c>
    </row>
    <row r="57" spans="5:11">
      <c r="E57">
        <v>2070</v>
      </c>
      <c r="F57" s="61">
        <f>F19/'Demographic-Economic'!C$29</f>
        <v>2614757.5869365977</v>
      </c>
      <c r="G57" s="61">
        <f>G19/'Demographic-Economic'!D$29</f>
        <v>1690767.8565724385</v>
      </c>
      <c r="H57" s="61">
        <f>H19/'Demographic-Economic'!E$29</f>
        <v>2392087.5844031908</v>
      </c>
      <c r="I57" s="61">
        <f>I19/'Demographic-Economic'!F$29</f>
        <v>477638.58941497467</v>
      </c>
      <c r="J57" s="61">
        <f>J19/'Demographic-Economic'!G$29</f>
        <v>585824.21726075397</v>
      </c>
      <c r="K57" s="61">
        <f>K19/'Demographic-Economic'!H$29</f>
        <v>140393.40515411735</v>
      </c>
    </row>
    <row r="58" spans="5:11">
      <c r="E58">
        <v>2080</v>
      </c>
      <c r="F58" s="61">
        <f>F20/'Demographic-Economic'!C$29</f>
        <v>2504520.3521644543</v>
      </c>
      <c r="G58" s="61">
        <f>G20/'Demographic-Economic'!D$29</f>
        <v>1612991.5166352526</v>
      </c>
      <c r="H58" s="61">
        <f>H20/'Demographic-Economic'!E$29</f>
        <v>2311515.3723599273</v>
      </c>
      <c r="I58" s="61">
        <f>I20/'Demographic-Economic'!F$29</f>
        <v>459020.4931709487</v>
      </c>
      <c r="J58" s="61">
        <f>J20/'Demographic-Economic'!G$29</f>
        <v>563843.64086149691</v>
      </c>
      <c r="K58" s="61">
        <f>K20/'Demographic-Economic'!H$29</f>
        <v>135631.60348859211</v>
      </c>
    </row>
    <row r="59" spans="5:11">
      <c r="E59">
        <v>2090</v>
      </c>
      <c r="F59" s="61">
        <f>F21/'Demographic-Economic'!C$29</f>
        <v>2354068.441046821</v>
      </c>
      <c r="G59" s="61">
        <f>G21/'Demographic-Economic'!D$29</f>
        <v>1510016.0739079295</v>
      </c>
      <c r="H59" s="61">
        <f>H21/'Demographic-Economic'!E$29</f>
        <v>2191748.9931039517</v>
      </c>
      <c r="I59" s="61">
        <f>I21/'Demographic-Economic'!F$29</f>
        <v>432884.55264276062</v>
      </c>
      <c r="J59" s="61">
        <f>J21/'Demographic-Economic'!G$29</f>
        <v>532512.38422134693</v>
      </c>
      <c r="K59" s="61">
        <f>K21/'Demographic-Economic'!H$29</f>
        <v>128564.32463733049</v>
      </c>
    </row>
    <row r="60" spans="5:11">
      <c r="E60">
        <v>2100</v>
      </c>
      <c r="F60" s="61">
        <f>F22/'Demographic-Economic'!C$29</f>
        <v>2176212.4578976911</v>
      </c>
      <c r="G60" s="61">
        <f>G22/'Demographic-Economic'!D$29</f>
        <v>1390332.7226651923</v>
      </c>
      <c r="H60" s="61">
        <f>H22/'Demographic-Economic'!E$29</f>
        <v>2043837.1961642173</v>
      </c>
      <c r="I60" s="61">
        <f>I22/'Demographic-Economic'!F$29</f>
        <v>401519.15351526957</v>
      </c>
      <c r="J60" s="61">
        <f>J22/'Demographic-Economic'!G$29</f>
        <v>494610.00685175986</v>
      </c>
      <c r="K60" s="61">
        <f>K22/'Demographic-Economic'!H$29</f>
        <v>119845.25162088765</v>
      </c>
    </row>
    <row r="61" spans="5:11">
      <c r="F61" s="581" t="s">
        <v>49</v>
      </c>
      <c r="G61" s="581"/>
      <c r="H61" s="581"/>
      <c r="I61" s="581"/>
      <c r="J61" s="581"/>
      <c r="K61" s="581"/>
    </row>
    <row r="62" spans="5:11">
      <c r="E62">
        <v>2020</v>
      </c>
      <c r="F62" s="322" t="s">
        <v>240</v>
      </c>
      <c r="G62" s="322" t="s">
        <v>240</v>
      </c>
      <c r="H62" s="61">
        <f t="shared" ref="H62:K79" si="0">H24-H43</f>
        <v>190769.1983805669</v>
      </c>
      <c r="I62" s="61">
        <f t="shared" si="0"/>
        <v>92277.599999999977</v>
      </c>
      <c r="J62" s="61">
        <f t="shared" si="0"/>
        <v>59923.200000000012</v>
      </c>
      <c r="K62" s="61">
        <f t="shared" si="0"/>
        <v>19297.358490566039</v>
      </c>
    </row>
    <row r="63" spans="5:11">
      <c r="E63">
        <v>2021</v>
      </c>
      <c r="F63" s="322" t="s">
        <v>240</v>
      </c>
      <c r="G63" s="322" t="s">
        <v>240</v>
      </c>
      <c r="H63" s="61">
        <f t="shared" si="0"/>
        <v>207865.52397822845</v>
      </c>
      <c r="I63" s="61">
        <f t="shared" si="0"/>
        <v>86373.60877642734</v>
      </c>
      <c r="J63" s="61">
        <f t="shared" si="0"/>
        <v>58497.908487335779</v>
      </c>
      <c r="K63" s="61">
        <f t="shared" si="0"/>
        <v>20016.85153188181</v>
      </c>
    </row>
    <row r="64" spans="5:11">
      <c r="E64">
        <v>2022</v>
      </c>
      <c r="F64" s="322" t="s">
        <v>240</v>
      </c>
      <c r="G64" s="322" t="s">
        <v>240</v>
      </c>
      <c r="H64" s="61">
        <f t="shared" si="0"/>
        <v>225038.74593024352</v>
      </c>
      <c r="I64" s="61">
        <f t="shared" si="0"/>
        <v>80838.751910055522</v>
      </c>
      <c r="J64" s="61">
        <f t="shared" si="0"/>
        <v>57236.69735440833</v>
      </c>
      <c r="K64" s="61">
        <f t="shared" si="0"/>
        <v>20762.70744794044</v>
      </c>
    </row>
    <row r="65" spans="5:11">
      <c r="E65">
        <v>2023</v>
      </c>
      <c r="F65" s="322" t="s">
        <v>240</v>
      </c>
      <c r="G65" s="322" t="s">
        <v>240</v>
      </c>
      <c r="H65" s="61">
        <f t="shared" si="0"/>
        <v>242340.58333779336</v>
      </c>
      <c r="I65" s="61">
        <f t="shared" si="0"/>
        <v>75644.178117011732</v>
      </c>
      <c r="J65" s="61">
        <f t="shared" si="0"/>
        <v>56130.122033683932</v>
      </c>
      <c r="K65" s="61">
        <f t="shared" si="0"/>
        <v>21536.343302680383</v>
      </c>
    </row>
    <row r="66" spans="5:11">
      <c r="E66">
        <v>2024</v>
      </c>
      <c r="F66" s="322" t="s">
        <v>240</v>
      </c>
      <c r="G66" s="322" t="s">
        <v>240</v>
      </c>
      <c r="H66" s="61">
        <f t="shared" si="0"/>
        <v>259820.331855678</v>
      </c>
      <c r="I66" s="61">
        <f t="shared" si="0"/>
        <v>70763.023967225337</v>
      </c>
      <c r="J66" s="61">
        <f t="shared" si="0"/>
        <v>55169.403656503186</v>
      </c>
      <c r="K66" s="61">
        <f t="shared" si="0"/>
        <v>22339.139197802739</v>
      </c>
    </row>
    <row r="67" spans="5:11">
      <c r="E67">
        <v>2025</v>
      </c>
      <c r="F67" s="322" t="s">
        <v>240</v>
      </c>
      <c r="G67" s="322" t="s">
        <v>240</v>
      </c>
      <c r="H67" s="61">
        <f t="shared" si="0"/>
        <v>277524.9666376547</v>
      </c>
      <c r="I67" s="61">
        <f t="shared" si="0"/>
        <v>66170.338092627644</v>
      </c>
      <c r="J67" s="61">
        <f t="shared" si="0"/>
        <v>54346.405092331581</v>
      </c>
      <c r="K67" s="61">
        <f t="shared" si="0"/>
        <v>23172.440302642921</v>
      </c>
    </row>
    <row r="68" spans="5:11">
      <c r="E68">
        <v>2026</v>
      </c>
      <c r="F68" s="322" t="s">
        <v>240</v>
      </c>
      <c r="G68" s="322" t="s">
        <v>240</v>
      </c>
      <c r="H68" s="61">
        <f t="shared" si="0"/>
        <v>295499.25814961735</v>
      </c>
      <c r="I68" s="61">
        <f t="shared" si="0"/>
        <v>61842.995876335364</v>
      </c>
      <c r="J68" s="61">
        <f t="shared" si="0"/>
        <v>53653.603600580944</v>
      </c>
      <c r="K68" s="61">
        <f t="shared" si="0"/>
        <v>24037.559132557799</v>
      </c>
    </row>
    <row r="69" spans="5:11">
      <c r="E69">
        <v>2027</v>
      </c>
      <c r="F69" s="322" t="s">
        <v>240</v>
      </c>
      <c r="G69" s="322" t="s">
        <v>240</v>
      </c>
      <c r="H69" s="61">
        <f t="shared" si="0"/>
        <v>313785.89696628042</v>
      </c>
      <c r="I69" s="61">
        <f t="shared" si="0"/>
        <v>57759.6075454987</v>
      </c>
      <c r="J69" s="61">
        <f t="shared" si="0"/>
        <v>53084.06108819705</v>
      </c>
      <c r="K69" s="61">
        <f t="shared" si="0"/>
        <v>24935.778003289888</v>
      </c>
    </row>
    <row r="70" spans="5:11">
      <c r="E70">
        <v>2028</v>
      </c>
      <c r="F70" s="322" t="s">
        <v>240</v>
      </c>
      <c r="G70" s="322" t="s">
        <v>240</v>
      </c>
      <c r="H70" s="61">
        <f t="shared" si="0"/>
        <v>332425.62418785086</v>
      </c>
      <c r="I70" s="61">
        <f t="shared" si="0"/>
        <v>53900.422196731437</v>
      </c>
      <c r="J70" s="61">
        <f t="shared" si="0"/>
        <v>52631.392835558974</v>
      </c>
      <c r="K70" s="61">
        <f t="shared" si="0"/>
        <v>25868.351598071051</v>
      </c>
    </row>
    <row r="71" spans="5:11">
      <c r="E71">
        <v>2029</v>
      </c>
      <c r="F71" s="322" t="s">
        <v>240</v>
      </c>
      <c r="G71" s="322" t="s">
        <v>240</v>
      </c>
      <c r="H71" s="61">
        <f t="shared" si="0"/>
        <v>351457.36462403648</v>
      </c>
      <c r="I71" s="61">
        <f t="shared" si="0"/>
        <v>50247.229897172307</v>
      </c>
      <c r="J71" s="61">
        <f t="shared" si="0"/>
        <v>52289.735424580285</v>
      </c>
      <c r="K71" s="61">
        <f t="shared" si="0"/>
        <v>26836.509593492781</v>
      </c>
    </row>
    <row r="72" spans="5:11">
      <c r="E72">
        <v>2030</v>
      </c>
      <c r="F72" s="322" t="s">
        <v>240</v>
      </c>
      <c r="G72" s="322" t="s">
        <v>240</v>
      </c>
      <c r="H72" s="61">
        <f t="shared" si="0"/>
        <v>370918.36037758132</v>
      </c>
      <c r="I72" s="61">
        <f t="shared" si="0"/>
        <v>46783.263638297503</v>
      </c>
      <c r="J72" s="61">
        <f t="shared" si="0"/>
        <v>52053.714480381925</v>
      </c>
      <c r="K72" s="61">
        <f t="shared" si="0"/>
        <v>27841.459299071896</v>
      </c>
    </row>
    <row r="73" spans="5:11">
      <c r="E73">
        <v>2040</v>
      </c>
      <c r="F73" s="322" t="s">
        <v>240</v>
      </c>
      <c r="G73" s="322" t="s">
        <v>240</v>
      </c>
      <c r="H73" s="61">
        <f t="shared" si="0"/>
        <v>770056.48611034034</v>
      </c>
      <c r="I73" s="61">
        <f t="shared" si="0"/>
        <v>37360.077636794245</v>
      </c>
      <c r="J73" s="61">
        <f t="shared" si="0"/>
        <v>79549.253627183149</v>
      </c>
      <c r="K73" s="61">
        <f t="shared" si="0"/>
        <v>51284.780344001454</v>
      </c>
    </row>
    <row r="74" spans="5:11">
      <c r="E74">
        <v>2050</v>
      </c>
      <c r="F74" s="322" t="s">
        <v>240</v>
      </c>
      <c r="G74" s="322" t="s">
        <v>240</v>
      </c>
      <c r="H74" s="61">
        <f t="shared" si="0"/>
        <v>1317773.465681619</v>
      </c>
      <c r="I74" s="61">
        <f t="shared" si="0"/>
        <v>39988.833553780918</v>
      </c>
      <c r="J74" s="61">
        <f t="shared" si="0"/>
        <v>125095.9696367553</v>
      </c>
      <c r="K74" s="61">
        <f t="shared" si="0"/>
        <v>83396.613198206265</v>
      </c>
    </row>
    <row r="75" spans="5:11">
      <c r="E75">
        <v>2060</v>
      </c>
      <c r="F75" s="322" t="s">
        <v>240</v>
      </c>
      <c r="G75" s="322" t="s">
        <v>240</v>
      </c>
      <c r="H75" s="61">
        <f t="shared" si="0"/>
        <v>2031771.0386408553</v>
      </c>
      <c r="I75" s="61">
        <f t="shared" si="0"/>
        <v>53462.86133866664</v>
      </c>
      <c r="J75" s="61">
        <f t="shared" si="0"/>
        <v>188218.95168157096</v>
      </c>
      <c r="K75" s="61">
        <f t="shared" si="0"/>
        <v>125104.89989659115</v>
      </c>
    </row>
    <row r="76" spans="5:11">
      <c r="E76">
        <v>2070</v>
      </c>
      <c r="F76" s="322" t="s">
        <v>240</v>
      </c>
      <c r="G76" s="322" t="s">
        <v>240</v>
      </c>
      <c r="H76" s="61">
        <f t="shared" si="0"/>
        <v>2926818.1945655243</v>
      </c>
      <c r="I76" s="61">
        <f t="shared" si="0"/>
        <v>75889.707801755052</v>
      </c>
      <c r="J76" s="61">
        <f t="shared" si="0"/>
        <v>267242.8111078518</v>
      </c>
      <c r="K76" s="61">
        <f t="shared" si="0"/>
        <v>177174.99631008654</v>
      </c>
    </row>
    <row r="77" spans="5:11">
      <c r="E77">
        <v>2080</v>
      </c>
      <c r="F77" s="322" t="s">
        <v>240</v>
      </c>
      <c r="G77" s="322" t="s">
        <v>240</v>
      </c>
      <c r="H77" s="61">
        <f t="shared" si="0"/>
        <v>4027308.537554923</v>
      </c>
      <c r="I77" s="61">
        <f t="shared" si="0"/>
        <v>106665.65669997747</v>
      </c>
      <c r="J77" s="61">
        <f t="shared" si="0"/>
        <v>361974.52959346492</v>
      </c>
      <c r="K77" s="61">
        <f t="shared" si="0"/>
        <v>240924.50918642231</v>
      </c>
    </row>
    <row r="78" spans="5:11">
      <c r="E78">
        <v>2090</v>
      </c>
      <c r="F78" s="322" t="s">
        <v>240</v>
      </c>
      <c r="G78" s="322" t="s">
        <v>240</v>
      </c>
      <c r="H78" s="61">
        <f t="shared" si="0"/>
        <v>5362565.7909227051</v>
      </c>
      <c r="I78" s="61">
        <f t="shared" si="0"/>
        <v>145226.48840939737</v>
      </c>
      <c r="J78" s="61">
        <f t="shared" si="0"/>
        <v>472261.28096619959</v>
      </c>
      <c r="K78" s="61">
        <f t="shared" si="0"/>
        <v>317936.35156077397</v>
      </c>
    </row>
    <row r="79" spans="5:11">
      <c r="E79">
        <v>2100</v>
      </c>
      <c r="F79" s="322" t="s">
        <v>240</v>
      </c>
      <c r="G79" s="322" t="s">
        <v>240</v>
      </c>
      <c r="H79" s="61">
        <f t="shared" si="0"/>
        <v>6959042.9385720566</v>
      </c>
      <c r="I79" s="61">
        <f t="shared" si="0"/>
        <v>189289.68255516962</v>
      </c>
      <c r="J79" s="61">
        <f t="shared" si="0"/>
        <v>595852.62444256537</v>
      </c>
      <c r="K79" s="61">
        <f t="shared" si="0"/>
        <v>409592.054360184</v>
      </c>
    </row>
    <row r="80" spans="5:11">
      <c r="F80" s="581" t="s">
        <v>242</v>
      </c>
      <c r="G80" s="581"/>
      <c r="H80" s="581"/>
      <c r="I80" s="581"/>
      <c r="J80" s="581"/>
      <c r="K80" s="581"/>
    </row>
    <row r="81" spans="5:12">
      <c r="E81">
        <v>2020</v>
      </c>
      <c r="F81" s="61">
        <f t="shared" ref="F81:F98" si="1">-F5*$C$4</f>
        <v>-31532.04</v>
      </c>
      <c r="G81" s="61">
        <f t="shared" ref="G81:G98" si="2">-G5*$C$3</f>
        <v>-54760.523999999998</v>
      </c>
      <c r="H81" s="61">
        <f t="shared" ref="H81:K98" si="3">-(SUM($F81:$G81))*(H62/SUM($H62:$K62))</f>
        <v>45441.475607032611</v>
      </c>
      <c r="I81" s="61">
        <f t="shared" si="3"/>
        <v>21980.646483141398</v>
      </c>
      <c r="J81" s="61">
        <f t="shared" si="3"/>
        <v>14273.785570263848</v>
      </c>
      <c r="K81" s="61">
        <f t="shared" si="3"/>
        <v>4596.6563395621397</v>
      </c>
      <c r="L81" s="61"/>
    </row>
    <row r="82" spans="5:12">
      <c r="E82">
        <v>2021</v>
      </c>
      <c r="F82" s="61">
        <f t="shared" si="1"/>
        <v>-31652.38589936676</v>
      </c>
      <c r="G82" s="61">
        <f t="shared" si="2"/>
        <v>-54749.095088526643</v>
      </c>
      <c r="H82" s="61">
        <f t="shared" si="3"/>
        <v>48181.627251143298</v>
      </c>
      <c r="I82" s="61">
        <f t="shared" si="3"/>
        <v>20020.73717062279</v>
      </c>
      <c r="J82" s="61">
        <f t="shared" si="3"/>
        <v>13559.364572662433</v>
      </c>
      <c r="K82" s="61">
        <f t="shared" si="3"/>
        <v>4639.7519934648744</v>
      </c>
      <c r="L82" s="61"/>
    </row>
    <row r="83" spans="5:12">
      <c r="E83">
        <v>2022</v>
      </c>
      <c r="F83" s="61">
        <f t="shared" si="1"/>
        <v>-31771.93299398668</v>
      </c>
      <c r="G83" s="61">
        <f t="shared" si="2"/>
        <v>-54735.501120763445</v>
      </c>
      <c r="H83" s="61">
        <f t="shared" si="3"/>
        <v>50712.935195658058</v>
      </c>
      <c r="I83" s="61">
        <f t="shared" si="3"/>
        <v>18217.175757739471</v>
      </c>
      <c r="J83" s="61">
        <f t="shared" si="3"/>
        <v>12898.405169069641</v>
      </c>
      <c r="K83" s="61">
        <f t="shared" si="3"/>
        <v>4678.9179922829617</v>
      </c>
      <c r="L83" s="61"/>
    </row>
    <row r="84" spans="5:12">
      <c r="E84">
        <v>2023</v>
      </c>
      <c r="F84" s="61">
        <f t="shared" si="1"/>
        <v>-31890.684525721623</v>
      </c>
      <c r="G84" s="61">
        <f t="shared" si="2"/>
        <v>-54719.770725313661</v>
      </c>
      <c r="H84" s="61">
        <f t="shared" si="3"/>
        <v>53049.824763379707</v>
      </c>
      <c r="I84" s="61">
        <f t="shared" si="3"/>
        <v>16558.969769763426</v>
      </c>
      <c r="J84" s="61">
        <f t="shared" si="3"/>
        <v>12287.2244376977</v>
      </c>
      <c r="K84" s="61">
        <f t="shared" si="3"/>
        <v>4714.4362801944535</v>
      </c>
      <c r="L84" s="61"/>
    </row>
    <row r="85" spans="5:12">
      <c r="E85">
        <v>2024</v>
      </c>
      <c r="F85" s="61">
        <f t="shared" si="1"/>
        <v>-32008.643725216691</v>
      </c>
      <c r="G85" s="61">
        <f t="shared" si="2"/>
        <v>-54701.932250082398</v>
      </c>
      <c r="H85" s="61">
        <f t="shared" si="3"/>
        <v>55206.120725075241</v>
      </c>
      <c r="I85" s="61">
        <f t="shared" si="3"/>
        <v>15035.590233084611</v>
      </c>
      <c r="J85" s="61">
        <f t="shared" si="3"/>
        <v>11722.288001245053</v>
      </c>
      <c r="K85" s="61">
        <f t="shared" si="3"/>
        <v>4746.577015894175</v>
      </c>
      <c r="L85" s="61"/>
    </row>
    <row r="86" spans="5:12">
      <c r="E86">
        <v>2025</v>
      </c>
      <c r="F86" s="61">
        <f t="shared" si="1"/>
        <v>-32125.813811935997</v>
      </c>
      <c r="G86" s="61">
        <f t="shared" si="2"/>
        <v>-54682.013764715979</v>
      </c>
      <c r="H86" s="61">
        <f t="shared" si="3"/>
        <v>57194.990825767745</v>
      </c>
      <c r="I86" s="61">
        <f t="shared" si="3"/>
        <v>13637.014089212002</v>
      </c>
      <c r="J86" s="61">
        <f t="shared" si="3"/>
        <v>11200.225256590018</v>
      </c>
      <c r="K86" s="61">
        <f t="shared" si="3"/>
        <v>4775.5974050822169</v>
      </c>
      <c r="L86" s="61"/>
    </row>
    <row r="87" spans="5:12">
      <c r="E87">
        <v>2026</v>
      </c>
      <c r="F87" s="61">
        <f t="shared" si="1"/>
        <v>-32242.197994198421</v>
      </c>
      <c r="G87" s="61">
        <f t="shared" si="2"/>
        <v>-54660.04306302176</v>
      </c>
      <c r="H87" s="61">
        <f t="shared" si="3"/>
        <v>59028.908526740488</v>
      </c>
      <c r="I87" s="61">
        <f t="shared" si="3"/>
        <v>12353.751983889766</v>
      </c>
      <c r="J87" s="61">
        <f t="shared" si="3"/>
        <v>10717.839628095147</v>
      </c>
      <c r="K87" s="61">
        <f t="shared" si="3"/>
        <v>4801.7409184947801</v>
      </c>
      <c r="L87" s="61"/>
    </row>
    <row r="88" spans="5:12">
      <c r="E88">
        <v>2027</v>
      </c>
      <c r="F88" s="61">
        <f t="shared" si="1"/>
        <v>-32357.799469213209</v>
      </c>
      <c r="G88" s="61">
        <f t="shared" si="2"/>
        <v>-54636.047665368016</v>
      </c>
      <c r="H88" s="61">
        <f t="shared" si="3"/>
        <v>60719.63228945333</v>
      </c>
      <c r="I88" s="61">
        <f t="shared" si="3"/>
        <v>11176.863476826984</v>
      </c>
      <c r="J88" s="61">
        <f t="shared" si="3"/>
        <v>10272.114524167329</v>
      </c>
      <c r="K88" s="61">
        <f t="shared" si="3"/>
        <v>4825.236844133583</v>
      </c>
      <c r="L88" s="61"/>
    </row>
    <row r="89" spans="5:12">
      <c r="E89">
        <v>2028</v>
      </c>
      <c r="F89" s="61">
        <f t="shared" si="1"/>
        <v>-32472.621423115455</v>
      </c>
      <c r="G89" s="61">
        <f t="shared" si="2"/>
        <v>-54610.054821064361</v>
      </c>
      <c r="H89" s="61">
        <f t="shared" si="3"/>
        <v>62278.198796721706</v>
      </c>
      <c r="I89" s="61">
        <f t="shared" si="3"/>
        <v>10097.961662842095</v>
      </c>
      <c r="J89" s="61">
        <f t="shared" si="3"/>
        <v>9860.2156616815028</v>
      </c>
      <c r="K89" s="61">
        <f t="shared" si="3"/>
        <v>4846.30012293451</v>
      </c>
      <c r="L89" s="61"/>
    </row>
    <row r="90" spans="5:12">
      <c r="E90">
        <v>2029</v>
      </c>
      <c r="F90" s="61">
        <f t="shared" si="1"/>
        <v>-32586.667031001507</v>
      </c>
      <c r="G90" s="61">
        <f t="shared" si="2"/>
        <v>-54582.091510722777</v>
      </c>
      <c r="H90" s="61">
        <f t="shared" si="3"/>
        <v>63714.927653097307</v>
      </c>
      <c r="I90" s="61">
        <f t="shared" si="3"/>
        <v>9109.2090817092758</v>
      </c>
      <c r="J90" s="61">
        <f t="shared" si="3"/>
        <v>9479.4903875201908</v>
      </c>
      <c r="K90" s="61">
        <f t="shared" si="3"/>
        <v>4865.1314193975031</v>
      </c>
      <c r="L90" s="61"/>
    </row>
    <row r="91" spans="5:12">
      <c r="E91">
        <v>2030</v>
      </c>
      <c r="F91" s="61">
        <f t="shared" si="1"/>
        <v>-32699.939456964239</v>
      </c>
      <c r="G91" s="61">
        <f t="shared" si="2"/>
        <v>-54552.184448599466</v>
      </c>
      <c r="H91" s="61">
        <f t="shared" si="3"/>
        <v>65039.435305660278</v>
      </c>
      <c r="I91" s="61">
        <f t="shared" si="3"/>
        <v>8203.3066405590816</v>
      </c>
      <c r="J91" s="61">
        <f t="shared" si="3"/>
        <v>9127.4645771639662</v>
      </c>
      <c r="K91" s="61">
        <f t="shared" si="3"/>
        <v>4881.9173821803797</v>
      </c>
      <c r="L91" s="61"/>
    </row>
    <row r="92" spans="5:12">
      <c r="E92">
        <v>2040</v>
      </c>
      <c r="F92" s="61">
        <f t="shared" si="1"/>
        <v>-33953.673798240714</v>
      </c>
      <c r="G92" s="61">
        <f t="shared" si="2"/>
        <v>-56416.603491916285</v>
      </c>
      <c r="H92" s="61">
        <f t="shared" si="3"/>
        <v>74170.182622966691</v>
      </c>
      <c r="I92" s="61">
        <f t="shared" si="3"/>
        <v>3598.4422326288795</v>
      </c>
      <c r="J92" s="61">
        <f t="shared" si="3"/>
        <v>7662.012820450992</v>
      </c>
      <c r="K92" s="61">
        <f t="shared" si="3"/>
        <v>4939.6396141104369</v>
      </c>
      <c r="L92" s="61"/>
    </row>
    <row r="93" spans="5:12">
      <c r="E93">
        <v>2050</v>
      </c>
      <c r="F93" s="61">
        <f t="shared" si="1"/>
        <v>-34433.942241388046</v>
      </c>
      <c r="G93" s="61">
        <f t="shared" si="2"/>
        <v>-56985.173921982903</v>
      </c>
      <c r="H93" s="61">
        <f t="shared" si="3"/>
        <v>76915.760592498482</v>
      </c>
      <c r="I93" s="61">
        <f t="shared" si="3"/>
        <v>2334.0669911007344</v>
      </c>
      <c r="J93" s="61">
        <f t="shared" si="3"/>
        <v>7301.5976586614761</v>
      </c>
      <c r="K93" s="61">
        <f t="shared" si="3"/>
        <v>4867.6909211102693</v>
      </c>
      <c r="L93" s="61"/>
    </row>
    <row r="94" spans="5:12">
      <c r="E94">
        <v>2060</v>
      </c>
      <c r="F94" s="61">
        <f t="shared" si="1"/>
        <v>-34186.788886906339</v>
      </c>
      <c r="G94" s="61">
        <f t="shared" si="2"/>
        <v>-56349.284850498261</v>
      </c>
      <c r="H94" s="61">
        <f t="shared" si="3"/>
        <v>76691.325215100936</v>
      </c>
      <c r="I94" s="61">
        <f t="shared" si="3"/>
        <v>2018.0116794047324</v>
      </c>
      <c r="J94" s="61">
        <f t="shared" si="3"/>
        <v>7104.5214054792323</v>
      </c>
      <c r="K94" s="61">
        <f t="shared" si="3"/>
        <v>4722.2154374197071</v>
      </c>
      <c r="L94" s="61"/>
    </row>
    <row r="95" spans="5:12">
      <c r="E95">
        <v>2070</v>
      </c>
      <c r="F95" s="61">
        <f t="shared" si="1"/>
        <v>-33338.15923344162</v>
      </c>
      <c r="G95" s="61">
        <f t="shared" si="2"/>
        <v>-54730.155517249834</v>
      </c>
      <c r="H95" s="61">
        <f t="shared" si="3"/>
        <v>74775.325206549402</v>
      </c>
      <c r="I95" s="61">
        <f t="shared" si="3"/>
        <v>1938.8555091132434</v>
      </c>
      <c r="J95" s="61">
        <f t="shared" si="3"/>
        <v>6827.6082698975088</v>
      </c>
      <c r="K95" s="61">
        <f t="shared" si="3"/>
        <v>4526.5257651312968</v>
      </c>
      <c r="L95" s="61"/>
    </row>
    <row r="96" spans="5:12">
      <c r="E96">
        <v>2080</v>
      </c>
      <c r="F96" s="61">
        <f t="shared" si="1"/>
        <v>-31932.634490096789</v>
      </c>
      <c r="G96" s="61">
        <f t="shared" si="2"/>
        <v>-52212.535393483129</v>
      </c>
      <c r="H96" s="61">
        <f t="shared" si="3"/>
        <v>71540.559435457035</v>
      </c>
      <c r="I96" s="61">
        <f t="shared" si="3"/>
        <v>1894.7941737534993</v>
      </c>
      <c r="J96" s="61">
        <f t="shared" si="3"/>
        <v>6430.0661613140001</v>
      </c>
      <c r="K96" s="61">
        <f t="shared" si="3"/>
        <v>4279.7501130553756</v>
      </c>
      <c r="L96" s="61"/>
    </row>
    <row r="97" spans="5:16">
      <c r="E97">
        <v>2090</v>
      </c>
      <c r="F97" s="61">
        <f t="shared" si="1"/>
        <v>-30014.372623346964</v>
      </c>
      <c r="G97" s="61">
        <f t="shared" si="2"/>
        <v>-48879.220312399681</v>
      </c>
      <c r="H97" s="61">
        <f t="shared" si="3"/>
        <v>67175.732022621058</v>
      </c>
      <c r="I97" s="61">
        <f t="shared" si="3"/>
        <v>1819.2216279172878</v>
      </c>
      <c r="J97" s="61">
        <f t="shared" si="3"/>
        <v>5915.9175834347261</v>
      </c>
      <c r="K97" s="61">
        <f t="shared" si="3"/>
        <v>3982.7217017735675</v>
      </c>
      <c r="L97" s="61"/>
    </row>
    <row r="98" spans="5:16">
      <c r="E98">
        <v>2100</v>
      </c>
      <c r="F98" s="61">
        <f t="shared" si="1"/>
        <v>-27746.708838195558</v>
      </c>
      <c r="G98" s="61">
        <f t="shared" si="2"/>
        <v>-45005.070232672275</v>
      </c>
      <c r="H98" s="61">
        <f t="shared" si="3"/>
        <v>62091.805526258984</v>
      </c>
      <c r="I98" s="61">
        <f t="shared" si="3"/>
        <v>1688.9302539286514</v>
      </c>
      <c r="J98" s="61">
        <f t="shared" si="3"/>
        <v>5316.4731998033094</v>
      </c>
      <c r="K98" s="61">
        <f t="shared" si="3"/>
        <v>3654.5700908768881</v>
      </c>
      <c r="L98" s="61"/>
    </row>
    <row r="99" spans="5:16">
      <c r="F99" s="581" t="s">
        <v>243</v>
      </c>
      <c r="G99" s="581"/>
      <c r="H99" s="581"/>
      <c r="I99" s="581"/>
      <c r="J99" s="581"/>
      <c r="K99" s="581"/>
    </row>
    <row r="100" spans="5:16">
      <c r="E100">
        <v>2020</v>
      </c>
      <c r="F100" s="61">
        <f>'Demographic-Economic'!C$56</f>
        <v>360376.14999999997</v>
      </c>
      <c r="G100" s="61">
        <f>'Demographic-Economic'!D$56</f>
        <v>314308.30000000005</v>
      </c>
      <c r="H100" s="61">
        <f>'Demographic-Economic'!E$56</f>
        <v>303256</v>
      </c>
      <c r="I100" s="61">
        <f>'Demographic-Economic'!F$56</f>
        <v>191633.7</v>
      </c>
      <c r="J100" s="61">
        <f>'Demographic-Economic'!G$56</f>
        <v>208903.4</v>
      </c>
      <c r="K100" s="61">
        <f>'Demographic-Economic'!H$56</f>
        <v>249034.95</v>
      </c>
    </row>
    <row r="101" spans="5:16">
      <c r="E101">
        <v>2021</v>
      </c>
      <c r="F101" s="61">
        <f t="shared" ref="F101:F110" si="4">(1+$C$6)*F100</f>
        <v>373904.37035754166</v>
      </c>
      <c r="G101" s="61">
        <f t="shared" ref="G101:G110" si="5">(1+$C$6)*G100</f>
        <v>326107.17165841674</v>
      </c>
      <c r="H101" s="61">
        <f t="shared" ref="H101:H110" si="6">(1+$C$6)*H100</f>
        <v>314639.97752666665</v>
      </c>
      <c r="I101" s="61">
        <f t="shared" ref="I101:I110" si="7">(1+$C$6)*I100</f>
        <v>198827.46940325003</v>
      </c>
      <c r="J101" s="61">
        <f t="shared" ref="J101:J110" si="8">(1+$C$6)*J100</f>
        <v>216745.45954983332</v>
      </c>
      <c r="K101" s="61">
        <f t="shared" ref="K101:K110" si="9">(1+$C$6)*K100</f>
        <v>258383.514493875</v>
      </c>
    </row>
    <row r="102" spans="5:16">
      <c r="E102">
        <v>2022</v>
      </c>
      <c r="F102" s="61">
        <f t="shared" si="4"/>
        <v>387940.42883378849</v>
      </c>
      <c r="G102" s="61">
        <f t="shared" si="5"/>
        <v>338348.96312649734</v>
      </c>
      <c r="H102" s="61">
        <f t="shared" si="6"/>
        <v>326451.30008303648</v>
      </c>
      <c r="I102" s="61">
        <f t="shared" si="7"/>
        <v>206291.2869150902</v>
      </c>
      <c r="J102" s="61">
        <f t="shared" si="8"/>
        <v>224881.90348011776</v>
      </c>
      <c r="K102" s="61">
        <f t="shared" si="9"/>
        <v>268083.01630837965</v>
      </c>
    </row>
    <row r="103" spans="5:16">
      <c r="E103">
        <v>2023</v>
      </c>
      <c r="F103" s="61">
        <f t="shared" si="4"/>
        <v>402503.38924851822</v>
      </c>
      <c r="G103" s="61">
        <f t="shared" si="5"/>
        <v>351050.30124479678</v>
      </c>
      <c r="H103" s="61">
        <f t="shared" si="6"/>
        <v>338706.00984540361</v>
      </c>
      <c r="I103" s="61">
        <f t="shared" si="7"/>
        <v>214035.28991647693</v>
      </c>
      <c r="J103" s="61">
        <f t="shared" si="8"/>
        <v>233323.78273517516</v>
      </c>
      <c r="K103" s="61">
        <f t="shared" si="9"/>
        <v>278146.62933808262</v>
      </c>
      <c r="M103" s="328" t="s">
        <v>370</v>
      </c>
      <c r="N103" s="328"/>
      <c r="O103" s="328"/>
      <c r="P103" s="328"/>
    </row>
    <row r="104" spans="5:16">
      <c r="E104">
        <v>2024</v>
      </c>
      <c r="F104" s="61">
        <f t="shared" si="4"/>
        <v>417613.03106141655</v>
      </c>
      <c r="G104" s="61">
        <f t="shared" si="5"/>
        <v>364228.43701160874</v>
      </c>
      <c r="H104" s="61">
        <f t="shared" si="6"/>
        <v>351420.75119999185</v>
      </c>
      <c r="I104" s="61">
        <f t="shared" si="7"/>
        <v>222069.99633719987</v>
      </c>
      <c r="J104" s="61">
        <f t="shared" si="8"/>
        <v>242082.56310256803</v>
      </c>
      <c r="K104" s="61">
        <f t="shared" si="9"/>
        <v>288588.02201457648</v>
      </c>
    </row>
    <row r="105" spans="5:16">
      <c r="E105">
        <v>2025</v>
      </c>
      <c r="F105" s="61">
        <f t="shared" si="4"/>
        <v>433289.8762366029</v>
      </c>
      <c r="G105" s="61">
        <f t="shared" si="5"/>
        <v>377901.26901332702</v>
      </c>
      <c r="H105" s="61">
        <f t="shared" si="6"/>
        <v>364612.79334941355</v>
      </c>
      <c r="I105" s="61">
        <f t="shared" si="7"/>
        <v>230406.31894136808</v>
      </c>
      <c r="J105" s="61">
        <f t="shared" si="8"/>
        <v>251170.14078596918</v>
      </c>
      <c r="K105" s="61">
        <f t="shared" si="9"/>
        <v>299421.37587098533</v>
      </c>
    </row>
    <row r="106" spans="5:16">
      <c r="E106">
        <v>2026</v>
      </c>
      <c r="F106" s="61">
        <f t="shared" si="4"/>
        <v>449555.21711562813</v>
      </c>
      <c r="G106" s="61">
        <f t="shared" si="5"/>
        <v>392087.36773436313</v>
      </c>
      <c r="H106" s="61">
        <f t="shared" si="6"/>
        <v>378300.05376775609</v>
      </c>
      <c r="I106" s="61">
        <f t="shared" si="7"/>
        <v>239055.58014916125</v>
      </c>
      <c r="J106" s="61">
        <f t="shared" si="8"/>
        <v>260598.85856262382</v>
      </c>
      <c r="K106" s="61">
        <f t="shared" si="9"/>
        <v>310661.4048033689</v>
      </c>
    </row>
    <row r="107" spans="5:16">
      <c r="E107">
        <v>2027</v>
      </c>
      <c r="F107" s="61">
        <f t="shared" si="4"/>
        <v>466431.14533680119</v>
      </c>
      <c r="G107" s="61">
        <f t="shared" si="5"/>
        <v>406806.00077963801</v>
      </c>
      <c r="H107" s="61">
        <f t="shared" si="6"/>
        <v>392501.12253615283</v>
      </c>
      <c r="I107" s="61">
        <f t="shared" si="7"/>
        <v>248029.52741497732</v>
      </c>
      <c r="J107" s="61">
        <f t="shared" si="8"/>
        <v>270381.52254734928</v>
      </c>
      <c r="K107" s="61">
        <f t="shared" si="9"/>
        <v>322323.37505518337</v>
      </c>
    </row>
    <row r="108" spans="5:16">
      <c r="E108">
        <v>2028</v>
      </c>
      <c r="F108" s="61">
        <f t="shared" si="4"/>
        <v>483940.58184012357</v>
      </c>
      <c r="G108" s="61">
        <f t="shared" si="5"/>
        <v>422077.15904390498</v>
      </c>
      <c r="H108" s="61">
        <f t="shared" si="6"/>
        <v>407235.28759189125</v>
      </c>
      <c r="I108" s="61">
        <f t="shared" si="7"/>
        <v>257340.34918286273</v>
      </c>
      <c r="J108" s="61">
        <f t="shared" si="8"/>
        <v>280531.4195858413</v>
      </c>
      <c r="K108" s="61">
        <f t="shared" si="9"/>
        <v>334423.12595194241</v>
      </c>
    </row>
    <row r="109" spans="5:16">
      <c r="E109">
        <v>2029</v>
      </c>
      <c r="F109" s="61">
        <f t="shared" si="4"/>
        <v>502107.30799858359</v>
      </c>
      <c r="G109" s="61">
        <f t="shared" si="5"/>
        <v>437921.5838634473</v>
      </c>
      <c r="H109" s="61">
        <f t="shared" si="6"/>
        <v>422522.56092535116</v>
      </c>
      <c r="I109" s="61">
        <f t="shared" si="7"/>
        <v>267000.69144089642</v>
      </c>
      <c r="J109" s="61">
        <f t="shared" si="8"/>
        <v>291062.33530091081</v>
      </c>
      <c r="K109" s="61">
        <f t="shared" si="9"/>
        <v>346977.09141424001</v>
      </c>
    </row>
    <row r="110" spans="5:16">
      <c r="E110">
        <v>2030</v>
      </c>
      <c r="F110" s="61">
        <f t="shared" si="4"/>
        <v>520955.99791809375</v>
      </c>
      <c r="G110" s="61">
        <f t="shared" si="5"/>
        <v>454360.79518702789</v>
      </c>
      <c r="H110" s="61">
        <f t="shared" si="6"/>
        <v>438383.70576035476</v>
      </c>
      <c r="I110" s="61">
        <f t="shared" si="7"/>
        <v>277023.67489701149</v>
      </c>
      <c r="J110" s="61">
        <f t="shared" si="8"/>
        <v>301988.57281616091</v>
      </c>
      <c r="K110" s="61">
        <f t="shared" si="9"/>
        <v>360002.32227835443</v>
      </c>
    </row>
    <row r="111" spans="5:16">
      <c r="E111">
        <v>2040</v>
      </c>
      <c r="F111" s="61">
        <f t="shared" ref="F111:K117" si="10">(1+$C$6)^10*F110</f>
        <v>753088.54863685335</v>
      </c>
      <c r="G111" s="61">
        <f t="shared" si="10"/>
        <v>656819.2192283445</v>
      </c>
      <c r="H111" s="61">
        <f t="shared" si="10"/>
        <v>633722.90565126925</v>
      </c>
      <c r="I111" s="61">
        <f t="shared" si="10"/>
        <v>400462.53061671875</v>
      </c>
      <c r="J111" s="61">
        <f t="shared" si="10"/>
        <v>436551.52626305615</v>
      </c>
      <c r="K111" s="61">
        <f t="shared" si="10"/>
        <v>520415.59646872128</v>
      </c>
    </row>
    <row r="112" spans="5:16">
      <c r="E112">
        <v>2050</v>
      </c>
      <c r="F112" s="61">
        <f t="shared" si="10"/>
        <v>1088656.9390782407</v>
      </c>
      <c r="G112" s="61">
        <f t="shared" si="10"/>
        <v>949491.00212343538</v>
      </c>
      <c r="H112" s="61">
        <f t="shared" si="10"/>
        <v>916103.21248259919</v>
      </c>
      <c r="I112" s="61">
        <f t="shared" si="10"/>
        <v>578904.45099165954</v>
      </c>
      <c r="J112" s="61">
        <f t="shared" si="10"/>
        <v>631074.32610908733</v>
      </c>
      <c r="K112" s="61">
        <f t="shared" si="10"/>
        <v>752307.34994672297</v>
      </c>
    </row>
    <row r="113" spans="5:17">
      <c r="E113">
        <v>2060</v>
      </c>
      <c r="F113" s="61">
        <f t="shared" si="10"/>
        <v>1573751.0989225074</v>
      </c>
      <c r="G113" s="61">
        <f t="shared" si="10"/>
        <v>1372574.2742006241</v>
      </c>
      <c r="H113" s="61">
        <f t="shared" si="10"/>
        <v>1324309.2342677063</v>
      </c>
      <c r="I113" s="61">
        <f t="shared" si="10"/>
        <v>836858.22706521023</v>
      </c>
      <c r="J113" s="61">
        <f t="shared" si="10"/>
        <v>912274.45356372278</v>
      </c>
      <c r="K113" s="61">
        <f t="shared" si="10"/>
        <v>1087527.6464122604</v>
      </c>
    </row>
    <row r="114" spans="5:17">
      <c r="E114">
        <v>2070</v>
      </c>
      <c r="F114" s="61">
        <f t="shared" si="10"/>
        <v>2274998.1490558456</v>
      </c>
      <c r="G114" s="61">
        <f t="shared" si="10"/>
        <v>1984179.0327492247</v>
      </c>
      <c r="H114" s="61">
        <f t="shared" si="10"/>
        <v>1914407.5952031778</v>
      </c>
      <c r="I114" s="61">
        <f t="shared" si="10"/>
        <v>1209753.5111486246</v>
      </c>
      <c r="J114" s="61">
        <f t="shared" si="10"/>
        <v>1318774.420370141</v>
      </c>
      <c r="K114" s="61">
        <f t="shared" si="10"/>
        <v>1572118.6052412598</v>
      </c>
    </row>
    <row r="115" spans="5:17">
      <c r="E115">
        <v>2080</v>
      </c>
      <c r="F115" s="61">
        <f t="shared" si="10"/>
        <v>3288713.5594383939</v>
      </c>
      <c r="G115" s="61">
        <f t="shared" si="10"/>
        <v>2868308.482828374</v>
      </c>
      <c r="H115" s="61">
        <f t="shared" si="10"/>
        <v>2767447.6215505656</v>
      </c>
      <c r="I115" s="61">
        <f t="shared" si="10"/>
        <v>1748807.0385216936</v>
      </c>
      <c r="J115" s="61">
        <f t="shared" si="10"/>
        <v>1906406.5260500249</v>
      </c>
      <c r="K115" s="61">
        <f t="shared" si="10"/>
        <v>2272638.2332434109</v>
      </c>
    </row>
    <row r="116" spans="5:17">
      <c r="E116">
        <v>2090</v>
      </c>
      <c r="F116" s="61">
        <f t="shared" si="10"/>
        <v>4754129.967324405</v>
      </c>
      <c r="G116" s="61">
        <f t="shared" si="10"/>
        <v>4146396.7801664718</v>
      </c>
      <c r="H116" s="61">
        <f t="shared" si="10"/>
        <v>4000593.3727049646</v>
      </c>
      <c r="I116" s="61">
        <f t="shared" si="10"/>
        <v>2528057.1866902271</v>
      </c>
      <c r="J116" s="61">
        <f t="shared" si="10"/>
        <v>2755881.3595626606</v>
      </c>
      <c r="K116" s="61">
        <f t="shared" si="10"/>
        <v>3285302.0897918325</v>
      </c>
    </row>
    <row r="117" spans="5:17">
      <c r="E117">
        <v>2100</v>
      </c>
      <c r="F117" s="61">
        <f t="shared" si="10"/>
        <v>6872520.6186918877</v>
      </c>
      <c r="G117" s="61">
        <f t="shared" si="10"/>
        <v>5993987.8717723014</v>
      </c>
      <c r="H117" s="61">
        <f t="shared" si="10"/>
        <v>5783215.9890215481</v>
      </c>
      <c r="I117" s="61">
        <f t="shared" si="10"/>
        <v>3654533.0607650261</v>
      </c>
      <c r="J117" s="61">
        <f t="shared" si="10"/>
        <v>3983873.3051974699</v>
      </c>
      <c r="K117" s="61">
        <f t="shared" si="10"/>
        <v>4749198.3824398573</v>
      </c>
    </row>
    <row r="118" spans="5:17">
      <c r="F118" s="581" t="s">
        <v>244</v>
      </c>
      <c r="G118" s="581"/>
      <c r="H118" s="581"/>
      <c r="I118" s="581"/>
      <c r="J118" s="581"/>
      <c r="K118" s="581"/>
    </row>
    <row r="119" spans="5:17">
      <c r="E119">
        <v>2020</v>
      </c>
      <c r="F119" s="320" t="s">
        <v>240</v>
      </c>
      <c r="G119" s="320" t="s">
        <v>240</v>
      </c>
      <c r="H119" s="61">
        <f>H81*H100/'Demographic-Economic'!E$29</f>
        <v>5579109363.0308828</v>
      </c>
      <c r="I119" s="61">
        <f>I81*I100/'Demographic-Economic'!F$29</f>
        <v>1684893045.5825496</v>
      </c>
      <c r="J119" s="61">
        <f>J81*J100/'Demographic-Economic'!G$29</f>
        <v>1192736934.5996227</v>
      </c>
      <c r="K119" s="61">
        <f>K81*K100/'Demographic-Economic'!H$29</f>
        <v>431972861.01510966</v>
      </c>
      <c r="L119" s="194">
        <f t="shared" ref="L119:L136" si="11">SUM(H119:K119)/(SUM(F252:K252)*1000)</f>
        <v>6.8536089506211649E-3</v>
      </c>
    </row>
    <row r="120" spans="5:17">
      <c r="E120">
        <v>2021</v>
      </c>
      <c r="F120" s="320" t="s">
        <v>240</v>
      </c>
      <c r="G120" s="320" t="s">
        <v>240</v>
      </c>
      <c r="H120" s="61">
        <f>H82*H101/'Demographic-Economic'!E$29</f>
        <v>6137597617.6105089</v>
      </c>
      <c r="I120" s="61">
        <f>I82*I101/'Demographic-Economic'!F$29</f>
        <v>1592269002.8890052</v>
      </c>
      <c r="J120" s="61">
        <f>J82*J101/'Demographic-Economic'!G$29</f>
        <v>1175572282.2021794</v>
      </c>
      <c r="K120" s="61">
        <f>K82*K101/'Demographic-Economic'!H$29</f>
        <v>452390726.96279877</v>
      </c>
      <c r="L120" s="194">
        <f t="shared" si="11"/>
        <v>6.8517380126480775E-3</v>
      </c>
    </row>
    <row r="121" spans="5:17">
      <c r="E121">
        <v>2022</v>
      </c>
      <c r="F121" s="320" t="s">
        <v>240</v>
      </c>
      <c r="G121" s="320" t="s">
        <v>240</v>
      </c>
      <c r="H121" s="61">
        <f>H83*H102/'Demographic-Economic'!E$29</f>
        <v>6702552075.1616802</v>
      </c>
      <c r="I121" s="61">
        <f>I83*I102/'Demographic-Economic'!F$29</f>
        <v>1503217852.4089837</v>
      </c>
      <c r="J121" s="61">
        <f>J83*J102/'Demographic-Economic'!G$29</f>
        <v>1160247162.5112684</v>
      </c>
      <c r="K121" s="61">
        <f>K83*K102/'Demographic-Economic'!H$29</f>
        <v>473335263.55877894</v>
      </c>
      <c r="L121" s="194">
        <f t="shared" si="11"/>
        <v>6.8586939153672376E-3</v>
      </c>
    </row>
    <row r="122" spans="5:17">
      <c r="E122">
        <v>2023</v>
      </c>
      <c r="F122" s="320" t="s">
        <v>240</v>
      </c>
      <c r="G122" s="320" t="s">
        <v>240</v>
      </c>
      <c r="H122" s="61">
        <f>H84*H103/'Demographic-Economic'!E$29</f>
        <v>7274613145.1830854</v>
      </c>
      <c r="I122" s="61">
        <f>I84*I103/'Demographic-Economic'!F$29</f>
        <v>1417681558.1557968</v>
      </c>
      <c r="J122" s="61">
        <f>J84*J103/'Demographic-Economic'!G$29</f>
        <v>1146760674.0478852</v>
      </c>
      <c r="K122" s="61">
        <f>K84*K103/'Demographic-Economic'!H$29</f>
        <v>494831909.64726627</v>
      </c>
      <c r="L122" s="194">
        <f t="shared" si="11"/>
        <v>6.8736681546018316E-3</v>
      </c>
    </row>
    <row r="123" spans="5:17">
      <c r="E123">
        <v>2024</v>
      </c>
      <c r="F123" s="320" t="s">
        <v>240</v>
      </c>
      <c r="G123" s="320" t="s">
        <v>240</v>
      </c>
      <c r="H123" s="61">
        <f>H85*H104/'Demographic-Economic'!E$29</f>
        <v>7854484378.9649305</v>
      </c>
      <c r="I123" s="61">
        <f>I85*I104/'Demographic-Economic'!F$29</f>
        <v>1335581387.1954951</v>
      </c>
      <c r="J123" s="61">
        <f>J85*J104/'Demographic-Economic'!G$29</f>
        <v>1135104609.9071527</v>
      </c>
      <c r="K123" s="61">
        <f>K85*K104/'Demographic-Economic'!H$29</f>
        <v>516907649.94594377</v>
      </c>
      <c r="L123" s="194">
        <f t="shared" si="11"/>
        <v>6.8960171224651031E-3</v>
      </c>
    </row>
    <row r="124" spans="5:17">
      <c r="E124">
        <v>2025</v>
      </c>
      <c r="F124" s="320" t="s">
        <v>240</v>
      </c>
      <c r="G124" s="320" t="s">
        <v>240</v>
      </c>
      <c r="H124" s="61">
        <f>H86*H105/'Demographic-Economic'!E$29</f>
        <v>8442925251.2458534</v>
      </c>
      <c r="I124" s="61">
        <f>I86*I105/'Demographic-Economic'!F$29</f>
        <v>1256821687.0587642</v>
      </c>
      <c r="J124" s="61">
        <f>J86*J105/'Demographic-Economic'!G$29</f>
        <v>1125264861.8129132</v>
      </c>
      <c r="K124" s="61">
        <f>K86*K105/'Demographic-Economic'!H$29</f>
        <v>539590922.8813678</v>
      </c>
      <c r="L124" s="194">
        <f t="shared" si="11"/>
        <v>6.9252262334137636E-3</v>
      </c>
    </row>
    <row r="125" spans="5:17">
      <c r="E125">
        <v>2026</v>
      </c>
      <c r="F125" s="320" t="s">
        <v>240</v>
      </c>
      <c r="G125" s="320" t="s">
        <v>240</v>
      </c>
      <c r="H125" s="61">
        <f>H87*H106/'Demographic-Economic'!E$29</f>
        <v>9040744643.5295067</v>
      </c>
      <c r="I125" s="61">
        <f>I87*I106/'Demographic-Economic'!F$29</f>
        <v>1181293339.0110478</v>
      </c>
      <c r="J125" s="61">
        <f>J87*J106/'Demographic-Economic'!G$29</f>
        <v>1117222709.3355408</v>
      </c>
      <c r="K125" s="61">
        <f>K87*K106/'Demographic-Economic'!H$29</f>
        <v>562911539.33638012</v>
      </c>
      <c r="L125" s="194">
        <f t="shared" si="11"/>
        <v>6.9608828737405927E-3</v>
      </c>
      <c r="Q125" s="180">
        <f>'Inflation-Interest'!C65*'Inflation-Interest'!C66*'Inflation-Interest'!C67</f>
        <v>3.2436000000000002E-6</v>
      </c>
    </row>
    <row r="126" spans="5:17">
      <c r="E126">
        <v>2027</v>
      </c>
      <c r="F126" s="320" t="s">
        <v>240</v>
      </c>
      <c r="G126" s="320" t="s">
        <v>240</v>
      </c>
      <c r="H126" s="61">
        <f>H88*H107/'Demographic-Economic'!E$29</f>
        <v>9648795074.3290939</v>
      </c>
      <c r="I126" s="61">
        <f>I88*I107/'Demographic-Economic'!F$29</f>
        <v>1108876866.455647</v>
      </c>
      <c r="J126" s="61">
        <f>J88*J107/'Demographic-Economic'!G$29</f>
        <v>1110955985.9300411</v>
      </c>
      <c r="K126" s="61">
        <f>K88*K107/'Demographic-Economic'!H$29</f>
        <v>586900613.22330499</v>
      </c>
      <c r="L126" s="194">
        <f t="shared" si="11"/>
        <v>7.0026557943477516E-3</v>
      </c>
    </row>
    <row r="127" spans="5:17">
      <c r="E127">
        <v>2028</v>
      </c>
      <c r="F127" s="320" t="s">
        <v>240</v>
      </c>
      <c r="G127" s="320" t="s">
        <v>240</v>
      </c>
      <c r="H127" s="61">
        <f>H89*H108/'Demographic-Economic'!E$29</f>
        <v>10267967691.371634</v>
      </c>
      <c r="I127" s="61">
        <f>I89*I108/'Demographic-Economic'!F$29</f>
        <v>1039445192.1403784</v>
      </c>
      <c r="J127" s="61">
        <f>J89*J108/'Demographic-Economic'!G$29</f>
        <v>1106440118.7976232</v>
      </c>
      <c r="K127" s="61">
        <f>K89*K108/'Demographic-Economic'!H$29</f>
        <v>611590504.30680811</v>
      </c>
      <c r="L127" s="194">
        <f t="shared" si="11"/>
        <v>7.0502792699984251E-3</v>
      </c>
    </row>
    <row r="128" spans="5:17">
      <c r="E128">
        <v>2029</v>
      </c>
      <c r="F128" s="320" t="s">
        <v>240</v>
      </c>
      <c r="G128" s="320" t="s">
        <v>240</v>
      </c>
      <c r="H128" s="61">
        <f>H90*H109/'Demographic-Economic'!E$29</f>
        <v>10899188016.664026</v>
      </c>
      <c r="I128" s="61">
        <f>I90*I109/'Demographic-Economic'!F$29</f>
        <v>972866049.3184278</v>
      </c>
      <c r="J128" s="61">
        <f>J90*J109/'Demographic-Economic'!G$29</f>
        <v>1103649043.8616652</v>
      </c>
      <c r="K128" s="61">
        <f>K90*K109/'Demographic-Economic'!H$29</f>
        <v>637014773.30210519</v>
      </c>
      <c r="L128" s="194">
        <f t="shared" si="11"/>
        <v>7.1035408254250393E-3</v>
      </c>
    </row>
    <row r="129" spans="5:14">
      <c r="E129">
        <v>2030</v>
      </c>
      <c r="F129" s="320" t="s">
        <v>240</v>
      </c>
      <c r="G129" s="320" t="s">
        <v>240</v>
      </c>
      <c r="H129" s="61">
        <f>H91*H110/'Demographic-Economic'!E$29</f>
        <v>11543412416.945831</v>
      </c>
      <c r="I129" s="61">
        <f>I91*I110/'Demographic-Economic'!F$29</f>
        <v>909004060.74989378</v>
      </c>
      <c r="J129" s="61">
        <f>J91*J110/'Demographic-Economic'!G$29</f>
        <v>1102556000.4351239</v>
      </c>
      <c r="K129" s="61">
        <f>K91*K110/'Demographic-Economic'!H$29</f>
        <v>663208148.96452892</v>
      </c>
      <c r="L129" s="194">
        <f t="shared" si="11"/>
        <v>7.1622716580222344E-3</v>
      </c>
    </row>
    <row r="130" spans="5:14">
      <c r="E130">
        <v>2040</v>
      </c>
      <c r="F130" s="320" t="s">
        <v>240</v>
      </c>
      <c r="G130" s="320" t="s">
        <v>240</v>
      </c>
      <c r="H130" s="61">
        <f>H92*H111/'Demographic-Economic'!E$29</f>
        <v>19029693783.203129</v>
      </c>
      <c r="I130" s="61">
        <f>I92*I111/'Demographic-Economic'!F$29</f>
        <v>576416513.10265458</v>
      </c>
      <c r="J130" s="61">
        <f>J92*J111/'Demographic-Economic'!G$29</f>
        <v>1337945356.4059937</v>
      </c>
      <c r="K130" s="61">
        <f>K92*K111/'Demographic-Economic'!H$29</f>
        <v>970062451.36521041</v>
      </c>
      <c r="L130" s="194">
        <f t="shared" si="11"/>
        <v>7.7080296476708414E-3</v>
      </c>
    </row>
    <row r="131" spans="5:14">
      <c r="E131">
        <v>2050</v>
      </c>
      <c r="F131" s="320" t="s">
        <v>240</v>
      </c>
      <c r="G131" s="320" t="s">
        <v>240</v>
      </c>
      <c r="H131" s="61">
        <f>H93*H112/'Demographic-Economic'!E$29</f>
        <v>28527439420.781525</v>
      </c>
      <c r="I131" s="61">
        <f>I93*I112/'Demographic-Economic'!F$29</f>
        <v>540480708.02437007</v>
      </c>
      <c r="J131" s="61">
        <f>J93*J112/'Demographic-Economic'!G$29</f>
        <v>1843140328.7837925</v>
      </c>
      <c r="K131" s="61">
        <f>K93*K112/'Demographic-Economic'!H$29</f>
        <v>1381886663.1019583</v>
      </c>
      <c r="L131" s="194">
        <f t="shared" si="11"/>
        <v>8.7032361087627554E-3</v>
      </c>
    </row>
    <row r="132" spans="5:14">
      <c r="E132">
        <v>2060</v>
      </c>
      <c r="F132" s="320" t="s">
        <v>240</v>
      </c>
      <c r="G132" s="320" t="s">
        <v>240</v>
      </c>
      <c r="H132" s="61">
        <f>H94*H113/'Demographic-Economic'!E$29</f>
        <v>41118635696.593498</v>
      </c>
      <c r="I132" s="61">
        <f>I94*I113/'Demographic-Economic'!F$29</f>
        <v>675515870.48941267</v>
      </c>
      <c r="J132" s="61">
        <f>J94*J113/'Demographic-Economic'!G$29</f>
        <v>2592509353.2061353</v>
      </c>
      <c r="K132" s="61">
        <f>K94*K113/'Demographic-Economic'!H$29</f>
        <v>1937939562.4561119</v>
      </c>
      <c r="L132" s="194">
        <f t="shared" si="11"/>
        <v>1.020755240252297E-2</v>
      </c>
    </row>
    <row r="133" spans="5:14">
      <c r="E133">
        <v>2070</v>
      </c>
      <c r="F133" s="320" t="s">
        <v>240</v>
      </c>
      <c r="G133" s="320" t="s">
        <v>240</v>
      </c>
      <c r="H133" s="61">
        <f>H95*H114/'Demographic-Economic'!E$29</f>
        <v>57955647979.435547</v>
      </c>
      <c r="I133" s="61">
        <f>I95*I114/'Demographic-Economic'!F$29</f>
        <v>938214903.90384007</v>
      </c>
      <c r="J133" s="61">
        <f>J95*J114/'Demographic-Economic'!G$29</f>
        <v>3601630055.4593873</v>
      </c>
      <c r="K133" s="61">
        <f>K95*K114/'Demographic-Economic'!H$29</f>
        <v>2685371838.6667323</v>
      </c>
      <c r="L133" s="194">
        <f t="shared" si="11"/>
        <v>1.2204477251316256E-2</v>
      </c>
    </row>
    <row r="134" spans="5:14">
      <c r="E134">
        <v>2080</v>
      </c>
      <c r="F134" s="320" t="s">
        <v>240</v>
      </c>
      <c r="G134" s="320" t="s">
        <v>240</v>
      </c>
      <c r="H134" s="61">
        <f>H96*H115/'Demographic-Economic'!E$29</f>
        <v>80155769657.511093</v>
      </c>
      <c r="I134" s="61">
        <f>I96*I115/'Demographic-Economic'!F$29</f>
        <v>1325451755.0440066</v>
      </c>
      <c r="J134" s="61">
        <f>J96*J115/'Demographic-Economic'!G$29</f>
        <v>4903328037.1449766</v>
      </c>
      <c r="K134" s="61">
        <f>K96*K115/'Demographic-Economic'!H$29</f>
        <v>3670310843.6443238</v>
      </c>
      <c r="L134" s="194">
        <f t="shared" si="11"/>
        <v>1.4871106296131007E-2</v>
      </c>
    </row>
    <row r="135" spans="5:14">
      <c r="E135">
        <v>2090</v>
      </c>
      <c r="F135" s="320" t="s">
        <v>240</v>
      </c>
      <c r="G135" s="320" t="s">
        <v>240</v>
      </c>
      <c r="H135" s="61">
        <f>H97*H116/'Demographic-Economic'!E$29</f>
        <v>108802748314.29248</v>
      </c>
      <c r="I135" s="61">
        <f>I97*I116/'Demographic-Economic'!F$29</f>
        <v>1839638524.2554374</v>
      </c>
      <c r="J135" s="61">
        <f>J97*J116/'Demographic-Economic'!G$29</f>
        <v>6521426797.1586971</v>
      </c>
      <c r="K135" s="61">
        <f>K97*K116/'Demographic-Economic'!H$29</f>
        <v>4937526011.2815037</v>
      </c>
      <c r="L135" s="194">
        <f t="shared" si="11"/>
        <v>1.8263077956305565E-2</v>
      </c>
    </row>
    <row r="136" spans="5:14" ht="15" customHeight="1">
      <c r="E136">
        <v>2100</v>
      </c>
      <c r="F136" s="320" t="s">
        <v>240</v>
      </c>
      <c r="G136" s="320" t="s">
        <v>240</v>
      </c>
      <c r="H136" s="61">
        <f>H98*H117/'Demographic-Economic'!E$29</f>
        <v>145380697371.12448</v>
      </c>
      <c r="I136" s="61">
        <f>I98*I117/'Demographic-Economic'!F$29</f>
        <v>2468900580.1234107</v>
      </c>
      <c r="J136" s="61">
        <f>J98*J117/'Demographic-Economic'!G$29</f>
        <v>8472062263.3976717</v>
      </c>
      <c r="K136" s="61">
        <f>K98*K117/'Demographic-Economic'!H$29</f>
        <v>6549539005.3228674</v>
      </c>
      <c r="L136" s="194">
        <f t="shared" si="11"/>
        <v>2.2615684660674311E-2</v>
      </c>
    </row>
    <row r="137" spans="5:14">
      <c r="F137" s="581" t="s">
        <v>245</v>
      </c>
      <c r="G137" s="581"/>
      <c r="H137" s="581"/>
      <c r="I137" s="581"/>
      <c r="J137" s="581"/>
      <c r="K137" s="581"/>
    </row>
    <row r="138" spans="5:14">
      <c r="E138">
        <v>2020</v>
      </c>
      <c r="H138" s="62">
        <f>(('Demographic-Economic'!E$23*1000*(1+'Inflation-Interest'!$C$65)*(1+'Inflation-Interest'!$C$66)*(1+'Inflation-Interest'!$C$67))/'Voluntary_SSP1 Test'!H5)*$C$5</f>
        <v>3679.8913927982908</v>
      </c>
      <c r="I138" s="62">
        <f>(('Demographic-Economic'!F$23*1000*(1+'Inflation-Interest'!$C$65)*(1+'Inflation-Interest'!$C$66)*(1+'Inflation-Interest'!$C$67))/'Voluntary_SSP1 Test'!I5)*$C$5</f>
        <v>1725.8329281201045</v>
      </c>
      <c r="J138" s="62">
        <f>(('Demographic-Economic'!G$23*1000*(1+'Inflation-Interest'!$C$65)*(1+'Inflation-Interest'!$C$66)*(1+'Inflation-Interest'!$C$67))/'Voluntary_SSP1 Test'!J5)*$C$5</f>
        <v>1973.4851002516946</v>
      </c>
      <c r="K138" s="62">
        <f>(('Demographic-Economic'!H$23*1000*(1+'Inflation-Interest'!$C$65)*(1+'Inflation-Interest'!$C$66)*(1+'Inflation-Interest'!$C$67))/'Voluntary_SSP1 Test'!K5)*$C$5</f>
        <v>593.7313408971421</v>
      </c>
      <c r="L138" s="329">
        <f t="shared" ref="L138:L155" si="12">AVERAGE(H138:K138)</f>
        <v>1993.235190516808</v>
      </c>
    </row>
    <row r="139" spans="5:14">
      <c r="E139">
        <v>2021</v>
      </c>
      <c r="F139" s="320" t="s">
        <v>240</v>
      </c>
      <c r="G139" s="320" t="s">
        <v>240</v>
      </c>
      <c r="H139" s="62">
        <f t="shared" ref="H139:H148" si="13">H138*(1+$C$6)</f>
        <v>3818.0314491077779</v>
      </c>
      <c r="I139" s="62">
        <f t="shared" ref="I139:I148" si="14">I138*(1+$C$6)</f>
        <v>1790.6192580476265</v>
      </c>
      <c r="J139" s="62">
        <f t="shared" ref="J139:J148" si="15">J138*(1+$C$6)</f>
        <v>2047.5680863442262</v>
      </c>
      <c r="K139" s="62">
        <f t="shared" ref="K139:K148" si="16">K138*(1+$C$6)</f>
        <v>616.01952065830346</v>
      </c>
      <c r="L139" s="329">
        <f t="shared" si="12"/>
        <v>2068.0595785394835</v>
      </c>
    </row>
    <row r="140" spans="5:14">
      <c r="E140">
        <v>2022</v>
      </c>
      <c r="F140" s="320" t="s">
        <v>240</v>
      </c>
      <c r="G140" s="320" t="s">
        <v>240</v>
      </c>
      <c r="H140" s="62">
        <f t="shared" si="13"/>
        <v>3961.3571680144096</v>
      </c>
      <c r="I140" s="62">
        <f t="shared" si="14"/>
        <v>1857.8376128120194</v>
      </c>
      <c r="J140" s="62">
        <f t="shared" si="15"/>
        <v>2124.4320859988497</v>
      </c>
      <c r="K140" s="62">
        <f t="shared" si="16"/>
        <v>639.14438011421566</v>
      </c>
      <c r="L140" s="329">
        <f t="shared" si="12"/>
        <v>2145.6928117348734</v>
      </c>
    </row>
    <row r="141" spans="5:14">
      <c r="E141">
        <v>2023</v>
      </c>
      <c r="F141" s="320" t="s">
        <v>240</v>
      </c>
      <c r="G141" s="320" t="s">
        <v>240</v>
      </c>
      <c r="H141" s="62">
        <f t="shared" si="13"/>
        <v>4110.0632149706971</v>
      </c>
      <c r="I141" s="62">
        <f t="shared" si="14"/>
        <v>1927.579288598972</v>
      </c>
      <c r="J141" s="62">
        <f t="shared" si="15"/>
        <v>2204.181496147175</v>
      </c>
      <c r="K141" s="62">
        <f t="shared" si="16"/>
        <v>663.1373275233866</v>
      </c>
      <c r="L141" s="329">
        <f t="shared" si="12"/>
        <v>2226.2403318100578</v>
      </c>
      <c r="N141" t="s">
        <v>371</v>
      </c>
    </row>
    <row r="142" spans="5:14">
      <c r="E142">
        <v>2024</v>
      </c>
      <c r="F142" s="320" t="s">
        <v>240</v>
      </c>
      <c r="G142" s="320" t="s">
        <v>240</v>
      </c>
      <c r="H142" s="62">
        <f t="shared" si="13"/>
        <v>4264.3515630080183</v>
      </c>
      <c r="I142" s="62">
        <f t="shared" si="14"/>
        <v>1999.9390087769036</v>
      </c>
      <c r="J142" s="62">
        <f t="shared" si="15"/>
        <v>2286.9246326946268</v>
      </c>
      <c r="K142" s="62">
        <f t="shared" si="16"/>
        <v>688.03095018417491</v>
      </c>
      <c r="L142" s="329">
        <f t="shared" si="12"/>
        <v>2309.8115386659306</v>
      </c>
    </row>
    <row r="143" spans="5:14">
      <c r="E143">
        <v>2025</v>
      </c>
      <c r="F143" s="320" t="s">
        <v>240</v>
      </c>
      <c r="G143" s="320" t="s">
        <v>240</v>
      </c>
      <c r="H143" s="62">
        <f t="shared" si="13"/>
        <v>4424.4317670570372</v>
      </c>
      <c r="I143" s="62">
        <f t="shared" si="14"/>
        <v>2075.0150525505478</v>
      </c>
      <c r="J143" s="62">
        <f t="shared" si="15"/>
        <v>2372.7738776354558</v>
      </c>
      <c r="K143" s="62">
        <f t="shared" si="16"/>
        <v>713.85905869496366</v>
      </c>
      <c r="L143" s="329">
        <f t="shared" si="12"/>
        <v>2396.5199389845011</v>
      </c>
    </row>
    <row r="144" spans="5:14">
      <c r="E144">
        <v>2026</v>
      </c>
      <c r="F144" s="320" t="s">
        <v>240</v>
      </c>
      <c r="G144" s="320" t="s">
        <v>240</v>
      </c>
      <c r="H144" s="62">
        <f t="shared" si="13"/>
        <v>4590.5212485658858</v>
      </c>
      <c r="I144" s="62">
        <f t="shared" si="14"/>
        <v>2152.9093884440849</v>
      </c>
      <c r="J144" s="62">
        <f t="shared" si="15"/>
        <v>2461.8458316903261</v>
      </c>
      <c r="K144" s="62">
        <f t="shared" si="16"/>
        <v>740.65673287582365</v>
      </c>
      <c r="L144" s="329">
        <f t="shared" si="12"/>
        <v>2486.4833003940298</v>
      </c>
    </row>
    <row r="145" spans="5:12">
      <c r="E145">
        <v>2027</v>
      </c>
      <c r="F145" s="320" t="s">
        <v>240</v>
      </c>
      <c r="G145" s="320" t="s">
        <v>240</v>
      </c>
      <c r="H145" s="62">
        <f t="shared" si="13"/>
        <v>4762.8455908026754</v>
      </c>
      <c r="I145" s="62">
        <f t="shared" si="14"/>
        <v>2233.727812795119</v>
      </c>
      <c r="J145" s="62">
        <f t="shared" si="15"/>
        <v>2554.2614726737879</v>
      </c>
      <c r="K145" s="62">
        <f t="shared" si="16"/>
        <v>768.46036941403804</v>
      </c>
      <c r="L145" s="329">
        <f t="shared" si="12"/>
        <v>2579.8238114214055</v>
      </c>
    </row>
    <row r="146" spans="5:12">
      <c r="E146">
        <v>2028</v>
      </c>
      <c r="F146" s="320" t="s">
        <v>240</v>
      </c>
      <c r="G146" s="320" t="s">
        <v>240</v>
      </c>
      <c r="H146" s="62">
        <f t="shared" si="13"/>
        <v>4941.6388452434157</v>
      </c>
      <c r="I146" s="62">
        <f t="shared" si="14"/>
        <v>2317.5800934476038</v>
      </c>
      <c r="J146" s="62">
        <f t="shared" si="15"/>
        <v>2650.1463198067349</v>
      </c>
      <c r="K146" s="62">
        <f t="shared" si="16"/>
        <v>797.30773129819988</v>
      </c>
      <c r="L146" s="329">
        <f t="shared" si="12"/>
        <v>2676.6682474489885</v>
      </c>
    </row>
    <row r="147" spans="5:12">
      <c r="E147">
        <v>2029</v>
      </c>
      <c r="F147" s="320" t="s">
        <v>240</v>
      </c>
      <c r="G147" s="320" t="s">
        <v>240</v>
      </c>
      <c r="H147" s="62">
        <f t="shared" si="13"/>
        <v>5127.1438494614822</v>
      </c>
      <c r="I147" s="62">
        <f t="shared" si="14"/>
        <v>2404.5801188388823</v>
      </c>
      <c r="J147" s="62">
        <f t="shared" si="15"/>
        <v>2749.6306041970133</v>
      </c>
      <c r="K147" s="62">
        <f t="shared" si="16"/>
        <v>827.23799910802495</v>
      </c>
      <c r="L147" s="329">
        <f t="shared" si="12"/>
        <v>2777.1481429013506</v>
      </c>
    </row>
    <row r="148" spans="5:12">
      <c r="E148">
        <v>2030</v>
      </c>
      <c r="F148" s="320" t="s">
        <v>240</v>
      </c>
      <c r="G148" s="320" t="s">
        <v>240</v>
      </c>
      <c r="H148" s="62">
        <f t="shared" si="13"/>
        <v>5319.612556950392</v>
      </c>
      <c r="I148" s="62">
        <f t="shared" si="14"/>
        <v>2494.8460526833283</v>
      </c>
      <c r="J148" s="62">
        <f t="shared" si="15"/>
        <v>2852.8494457197326</v>
      </c>
      <c r="K148" s="62">
        <f t="shared" si="16"/>
        <v>858.29182422954091</v>
      </c>
      <c r="L148" s="329">
        <f t="shared" si="12"/>
        <v>2881.3999698957487</v>
      </c>
    </row>
    <row r="149" spans="5:12">
      <c r="E149">
        <v>2040</v>
      </c>
      <c r="F149" s="320" t="s">
        <v>240</v>
      </c>
      <c r="G149" s="320" t="s">
        <v>240</v>
      </c>
      <c r="H149" s="62">
        <f t="shared" ref="H149:K155" si="17">H148*(1+$C$6)^10</f>
        <v>7689.9763431728607</v>
      </c>
      <c r="I149" s="62">
        <f t="shared" si="17"/>
        <v>3606.5233923711676</v>
      </c>
      <c r="J149" s="62">
        <f t="shared" si="17"/>
        <v>4124.049357608721</v>
      </c>
      <c r="K149" s="62">
        <f t="shared" si="17"/>
        <v>1240.7376953120836</v>
      </c>
      <c r="L149" s="329">
        <f t="shared" si="12"/>
        <v>4165.3216971162083</v>
      </c>
    </row>
    <row r="150" spans="5:12">
      <c r="E150">
        <v>2050</v>
      </c>
      <c r="F150" s="320" t="s">
        <v>240</v>
      </c>
      <c r="G150" s="320" t="s">
        <v>240</v>
      </c>
      <c r="H150" s="62">
        <f t="shared" si="17"/>
        <v>11116.549471501241</v>
      </c>
      <c r="I150" s="62">
        <f t="shared" si="17"/>
        <v>5213.5525419417208</v>
      </c>
      <c r="J150" s="62">
        <f t="shared" si="17"/>
        <v>5961.6826711660169</v>
      </c>
      <c r="K150" s="62">
        <f t="shared" si="17"/>
        <v>1793.5974514847956</v>
      </c>
      <c r="L150" s="329">
        <f t="shared" si="12"/>
        <v>6021.3455340234432</v>
      </c>
    </row>
    <row r="151" spans="5:12">
      <c r="E151">
        <v>2060</v>
      </c>
      <c r="F151" s="320" t="s">
        <v>240</v>
      </c>
      <c r="G151" s="320" t="s">
        <v>240</v>
      </c>
      <c r="H151" s="62">
        <f t="shared" si="17"/>
        <v>16069.967791519466</v>
      </c>
      <c r="I151" s="62">
        <f t="shared" si="17"/>
        <v>7536.6570933888497</v>
      </c>
      <c r="J151" s="62">
        <f t="shared" si="17"/>
        <v>8618.1461931603953</v>
      </c>
      <c r="K151" s="62">
        <f t="shared" si="17"/>
        <v>2592.8057397849766</v>
      </c>
      <c r="L151" s="329">
        <f t="shared" si="12"/>
        <v>8704.3942044634223</v>
      </c>
    </row>
    <row r="152" spans="5:12">
      <c r="E152">
        <v>2070</v>
      </c>
      <c r="F152" s="320" t="s">
        <v>240</v>
      </c>
      <c r="G152" s="320" t="s">
        <v>240</v>
      </c>
      <c r="H152" s="62">
        <f t="shared" si="17"/>
        <v>23230.577571081358</v>
      </c>
      <c r="I152" s="62">
        <f t="shared" si="17"/>
        <v>10894.912765600246</v>
      </c>
      <c r="J152" s="62">
        <f t="shared" si="17"/>
        <v>12458.302110896893</v>
      </c>
      <c r="K152" s="62">
        <f t="shared" si="17"/>
        <v>3748.1328927495456</v>
      </c>
      <c r="L152" s="329">
        <f t="shared" si="12"/>
        <v>12582.981335082011</v>
      </c>
    </row>
    <row r="153" spans="5:12">
      <c r="E153">
        <v>2080</v>
      </c>
      <c r="F153" s="320" t="s">
        <v>240</v>
      </c>
      <c r="G153" s="320" t="s">
        <v>240</v>
      </c>
      <c r="H153" s="62">
        <f t="shared" si="17"/>
        <v>33581.880268037654</v>
      </c>
      <c r="I153" s="62">
        <f t="shared" si="17"/>
        <v>15749.572084706093</v>
      </c>
      <c r="J153" s="62">
        <f t="shared" si="17"/>
        <v>18009.591390960213</v>
      </c>
      <c r="K153" s="62">
        <f t="shared" si="17"/>
        <v>5418.2617564230359</v>
      </c>
      <c r="L153" s="329">
        <f t="shared" si="12"/>
        <v>18189.826375031749</v>
      </c>
    </row>
    <row r="154" spans="5:12">
      <c r="E154">
        <v>2090</v>
      </c>
      <c r="F154" s="320" t="s">
        <v>240</v>
      </c>
      <c r="G154" s="320" t="s">
        <v>240</v>
      </c>
      <c r="H154" s="62">
        <f t="shared" si="17"/>
        <v>48545.615316112075</v>
      </c>
      <c r="I154" s="62">
        <f t="shared" si="17"/>
        <v>22767.416884194521</v>
      </c>
      <c r="J154" s="62">
        <f t="shared" si="17"/>
        <v>26034.477184949086</v>
      </c>
      <c r="K154" s="62">
        <f t="shared" si="17"/>
        <v>7832.5825954320417</v>
      </c>
      <c r="L154" s="329">
        <f t="shared" si="12"/>
        <v>26295.022995171934</v>
      </c>
    </row>
    <row r="155" spans="5:12">
      <c r="E155">
        <v>2100</v>
      </c>
      <c r="F155" s="320" t="s">
        <v>240</v>
      </c>
      <c r="G155" s="320" t="s">
        <v>240</v>
      </c>
      <c r="H155" s="62">
        <f t="shared" si="17"/>
        <v>70177.034389076711</v>
      </c>
      <c r="I155" s="62">
        <f t="shared" si="17"/>
        <v>32912.340017292532</v>
      </c>
      <c r="J155" s="62">
        <f t="shared" si="17"/>
        <v>37635.1682600555</v>
      </c>
      <c r="K155" s="62">
        <f t="shared" si="17"/>
        <v>11322.699580089284</v>
      </c>
      <c r="L155" s="329">
        <f t="shared" si="12"/>
        <v>38011.810561628503</v>
      </c>
    </row>
    <row r="156" spans="5:12">
      <c r="F156" s="581" t="s">
        <v>246</v>
      </c>
      <c r="G156" s="581"/>
      <c r="H156" s="581"/>
      <c r="I156" s="581"/>
      <c r="J156" s="581"/>
      <c r="K156" s="581"/>
    </row>
    <row r="157" spans="5:12">
      <c r="E157">
        <v>2020</v>
      </c>
      <c r="F157" s="320" t="s">
        <v>240</v>
      </c>
      <c r="G157" s="320" t="s">
        <v>240</v>
      </c>
      <c r="H157" s="63">
        <f>'Demographic-Economic'!E$22*1000/H5*(1+'Inflation-Interest'!$C$65)*(1+'Inflation-Interest'!$C$66)*(1+'Inflation-Interest'!$C$67)*$C$5</f>
        <v>918.50338180980054</v>
      </c>
      <c r="I157" s="63">
        <f>'Demographic-Economic'!F$22*1000/I5*(1+'Inflation-Interest'!$C$65)*(1+'Inflation-Interest'!$C$66)*(1+'Inflation-Interest'!$C$67)*$C$5</f>
        <v>719.11413961221217</v>
      </c>
      <c r="J157" s="63">
        <f>'Demographic-Economic'!G$22*1000/J5*(1+'Inflation-Interest'!$C$65)*(1+'Inflation-Interest'!$C$66)*(1+'Inflation-Interest'!$C$67)*$C$5</f>
        <v>540.13575753906809</v>
      </c>
      <c r="K157" s="63">
        <f>'Demographic-Economic'!H$22*1000/K5*(1+'Inflation-Interest'!$C$65)*(1+'Inflation-Interest'!$C$66)*(1+'Inflation-Interest'!$C$67)*$C$5</f>
        <v>128.59741636960283</v>
      </c>
      <c r="L157" s="63">
        <f t="shared" ref="L157:L174" si="18">AVERAGE(H157:K157)</f>
        <v>576.58767383267093</v>
      </c>
    </row>
    <row r="158" spans="5:12">
      <c r="E158">
        <v>2021</v>
      </c>
      <c r="F158" s="320" t="s">
        <v>240</v>
      </c>
      <c r="G158" s="320" t="s">
        <v>240</v>
      </c>
      <c r="H158" s="63">
        <f t="shared" ref="H158:H167" si="19">H157*(1+$C$6)</f>
        <v>952.98323334345559</v>
      </c>
      <c r="I158" s="63">
        <f t="shared" ref="I158:I167" si="20">I157*(1+$C$6)</f>
        <v>746.10908515147162</v>
      </c>
      <c r="J158" s="63">
        <f t="shared" ref="J158:J167" si="21">J157*(1+$C$6)</f>
        <v>560.41200376395341</v>
      </c>
      <c r="K158" s="63">
        <f t="shared" ref="K158:K167" si="22">K157*(1+$C$6)</f>
        <v>133.42485621560408</v>
      </c>
      <c r="L158" s="63">
        <f t="shared" si="18"/>
        <v>598.23229461862115</v>
      </c>
    </row>
    <row r="159" spans="5:12">
      <c r="E159">
        <v>2022</v>
      </c>
      <c r="F159" s="320" t="s">
        <v>240</v>
      </c>
      <c r="G159" s="320" t="s">
        <v>240</v>
      </c>
      <c r="H159" s="63">
        <f t="shared" si="19"/>
        <v>988.75742977047446</v>
      </c>
      <c r="I159" s="63">
        <f t="shared" si="20"/>
        <v>774.11739845048692</v>
      </c>
      <c r="J159" s="63">
        <f t="shared" si="21"/>
        <v>581.44940337524906</v>
      </c>
      <c r="K159" s="63">
        <f t="shared" si="22"/>
        <v>138.43351413055768</v>
      </c>
      <c r="L159" s="63">
        <f t="shared" si="18"/>
        <v>620.689436431692</v>
      </c>
    </row>
    <row r="160" spans="5:12">
      <c r="E160">
        <v>2023</v>
      </c>
      <c r="F160" s="320" t="s">
        <v>240</v>
      </c>
      <c r="G160" s="320" t="s">
        <v>240</v>
      </c>
      <c r="H160" s="63">
        <f t="shared" si="19"/>
        <v>1025.8745597195332</v>
      </c>
      <c r="I160" s="63">
        <f t="shared" si="20"/>
        <v>803.17712049048612</v>
      </c>
      <c r="J160" s="63">
        <f t="shared" si="21"/>
        <v>603.2765294367864</v>
      </c>
      <c r="K160" s="63">
        <f t="shared" si="22"/>
        <v>143.63019288975704</v>
      </c>
      <c r="L160" s="63">
        <f t="shared" si="18"/>
        <v>643.98960063414063</v>
      </c>
    </row>
    <row r="161" spans="5:12">
      <c r="E161">
        <v>2024</v>
      </c>
      <c r="F161" s="320" t="s">
        <v>240</v>
      </c>
      <c r="G161" s="320" t="s">
        <v>240</v>
      </c>
      <c r="H161" s="63">
        <f t="shared" si="19"/>
        <v>1064.3850357959379</v>
      </c>
      <c r="I161" s="63">
        <f t="shared" si="20"/>
        <v>833.3277202794319</v>
      </c>
      <c r="J161" s="63">
        <f t="shared" si="21"/>
        <v>625.92302762140218</v>
      </c>
      <c r="K161" s="63">
        <f t="shared" si="22"/>
        <v>149.02195063901112</v>
      </c>
      <c r="L161" s="63">
        <f t="shared" si="18"/>
        <v>668.16443358394577</v>
      </c>
    </row>
    <row r="162" spans="5:12">
      <c r="E162">
        <v>2025</v>
      </c>
      <c r="F162" s="320" t="s">
        <v>240</v>
      </c>
      <c r="G162" s="320" t="s">
        <v>240</v>
      </c>
      <c r="H162" s="63">
        <f t="shared" si="19"/>
        <v>1104.3411630521875</v>
      </c>
      <c r="I162" s="63">
        <f t="shared" si="20"/>
        <v>864.61014845895488</v>
      </c>
      <c r="J162" s="63">
        <f t="shared" si="21"/>
        <v>649.41965647578661</v>
      </c>
      <c r="K162" s="63">
        <f t="shared" si="22"/>
        <v>154.61611048104075</v>
      </c>
      <c r="L162" s="63">
        <f t="shared" si="18"/>
        <v>693.24676961699242</v>
      </c>
    </row>
    <row r="163" spans="5:12">
      <c r="E163">
        <v>2026</v>
      </c>
      <c r="F163" s="320" t="s">
        <v>240</v>
      </c>
      <c r="G163" s="320" t="s">
        <v>240</v>
      </c>
      <c r="H163" s="63">
        <f t="shared" si="19"/>
        <v>1145.7972100288641</v>
      </c>
      <c r="I163" s="63">
        <f t="shared" si="20"/>
        <v>897.06689292364706</v>
      </c>
      <c r="J163" s="63">
        <f t="shared" si="21"/>
        <v>673.79832919684054</v>
      </c>
      <c r="K163" s="63">
        <f t="shared" si="22"/>
        <v>160.4202704217403</v>
      </c>
      <c r="L163" s="63">
        <f t="shared" si="18"/>
        <v>719.27067564277309</v>
      </c>
    </row>
    <row r="164" spans="5:12">
      <c r="E164">
        <v>2027</v>
      </c>
      <c r="F164" s="320" t="s">
        <v>240</v>
      </c>
      <c r="G164" s="320" t="s">
        <v>240</v>
      </c>
      <c r="H164" s="63">
        <f t="shared" si="19"/>
        <v>1188.8094824623392</v>
      </c>
      <c r="I164" s="63">
        <f t="shared" si="20"/>
        <v>930.74203652825668</v>
      </c>
      <c r="J164" s="63">
        <f t="shared" si="21"/>
        <v>699.09215697628224</v>
      </c>
      <c r="K164" s="63">
        <f t="shared" si="22"/>
        <v>166.44231368981374</v>
      </c>
      <c r="L164" s="63">
        <f t="shared" si="18"/>
        <v>746.27149741417293</v>
      </c>
    </row>
    <row r="165" spans="5:12">
      <c r="E165">
        <v>2028</v>
      </c>
      <c r="F165" s="320" t="s">
        <v>240</v>
      </c>
      <c r="G165" s="320" t="s">
        <v>240</v>
      </c>
      <c r="H165" s="63">
        <f t="shared" si="19"/>
        <v>1233.4363997594069</v>
      </c>
      <c r="I165" s="63">
        <f t="shared" si="20"/>
        <v>965.6813169611637</v>
      </c>
      <c r="J165" s="63">
        <f t="shared" si="21"/>
        <v>725.33549397237437</v>
      </c>
      <c r="K165" s="63">
        <f t="shared" si="22"/>
        <v>172.69041944380129</v>
      </c>
      <c r="L165" s="63">
        <f t="shared" si="18"/>
        <v>774.28590753418655</v>
      </c>
    </row>
    <row r="166" spans="5:12">
      <c r="E166">
        <v>2029</v>
      </c>
      <c r="F166" s="320" t="s">
        <v>240</v>
      </c>
      <c r="G166" s="320" t="s">
        <v>240</v>
      </c>
      <c r="H166" s="63">
        <f t="shared" si="19"/>
        <v>1279.7385743427085</v>
      </c>
      <c r="I166" s="63">
        <f t="shared" si="20"/>
        <v>1001.932188865455</v>
      </c>
      <c r="J166" s="63">
        <f t="shared" si="21"/>
        <v>752.5639839698523</v>
      </c>
      <c r="K166" s="63">
        <f t="shared" si="22"/>
        <v>179.17307388103873</v>
      </c>
      <c r="L166" s="63">
        <f t="shared" si="18"/>
        <v>803.35195526476366</v>
      </c>
    </row>
    <row r="167" spans="5:12">
      <c r="E167">
        <v>2030</v>
      </c>
      <c r="F167" s="320" t="s">
        <v>240</v>
      </c>
      <c r="G167" s="320" t="s">
        <v>240</v>
      </c>
      <c r="H167" s="63">
        <f t="shared" si="19"/>
        <v>1327.7788939747218</v>
      </c>
      <c r="I167" s="63">
        <f t="shared" si="20"/>
        <v>1039.5438882919734</v>
      </c>
      <c r="J167" s="63">
        <f t="shared" si="21"/>
        <v>780.8146087914273</v>
      </c>
      <c r="K167" s="63">
        <f t="shared" si="22"/>
        <v>185.89908176363804</v>
      </c>
      <c r="L167" s="63">
        <f t="shared" si="18"/>
        <v>833.50911820544013</v>
      </c>
    </row>
    <row r="168" spans="5:12">
      <c r="E168">
        <v>2040</v>
      </c>
      <c r="F168" s="320" t="s">
        <v>240</v>
      </c>
      <c r="G168" s="320" t="s">
        <v>240</v>
      </c>
      <c r="H168" s="63">
        <f t="shared" ref="H168:K174" si="23">H167*(1+$C$6)^10</f>
        <v>1919.4232990312598</v>
      </c>
      <c r="I168" s="63">
        <f t="shared" si="23"/>
        <v>1502.7537857452567</v>
      </c>
      <c r="J168" s="63">
        <f t="shared" si="23"/>
        <v>1128.7374420087569</v>
      </c>
      <c r="K168" s="63">
        <f t="shared" si="23"/>
        <v>268.7337706788681</v>
      </c>
      <c r="L168" s="63">
        <f t="shared" si="18"/>
        <v>1204.9120743660355</v>
      </c>
    </row>
    <row r="169" spans="5:12">
      <c r="E169">
        <v>2050</v>
      </c>
      <c r="F169" s="320" t="s">
        <v>240</v>
      </c>
      <c r="G169" s="320" t="s">
        <v>240</v>
      </c>
      <c r="H169" s="63">
        <f t="shared" si="23"/>
        <v>2774.6982706099443</v>
      </c>
      <c r="I169" s="63">
        <f t="shared" si="23"/>
        <v>2172.365174771176</v>
      </c>
      <c r="J169" s="63">
        <f t="shared" si="23"/>
        <v>1631.6910552742977</v>
      </c>
      <c r="K169" s="63">
        <f t="shared" si="23"/>
        <v>388.47873167606105</v>
      </c>
      <c r="L169" s="63">
        <f t="shared" si="18"/>
        <v>1741.8083080828696</v>
      </c>
    </row>
    <row r="170" spans="5:12">
      <c r="E170">
        <v>2060</v>
      </c>
      <c r="F170" s="320" t="s">
        <v>240</v>
      </c>
      <c r="G170" s="320" t="s">
        <v>240</v>
      </c>
      <c r="H170" s="63">
        <f t="shared" si="23"/>
        <v>4011.0748352442656</v>
      </c>
      <c r="I170" s="63">
        <f t="shared" si="23"/>
        <v>3140.3484039258215</v>
      </c>
      <c r="J170" s="63">
        <f t="shared" si="23"/>
        <v>2358.7555447119612</v>
      </c>
      <c r="K170" s="63">
        <f t="shared" si="23"/>
        <v>561.58079642689393</v>
      </c>
      <c r="L170" s="63">
        <f t="shared" si="18"/>
        <v>2517.9398950772356</v>
      </c>
    </row>
    <row r="171" spans="5:12">
      <c r="E171">
        <v>2070</v>
      </c>
      <c r="F171" s="320" t="s">
        <v>240</v>
      </c>
      <c r="G171" s="320" t="s">
        <v>240</v>
      </c>
      <c r="H171" s="63">
        <f t="shared" si="23"/>
        <v>5798.3678817780547</v>
      </c>
      <c r="I171" s="63">
        <f t="shared" si="23"/>
        <v>4539.6548483512843</v>
      </c>
      <c r="J171" s="63">
        <f t="shared" si="23"/>
        <v>3409.7923756615328</v>
      </c>
      <c r="K171" s="63">
        <f t="shared" si="23"/>
        <v>811.81533299084981</v>
      </c>
      <c r="L171" s="63">
        <f t="shared" si="18"/>
        <v>3639.90760969543</v>
      </c>
    </row>
    <row r="172" spans="5:12">
      <c r="E172">
        <v>2080</v>
      </c>
      <c r="F172" s="320" t="s">
        <v>240</v>
      </c>
      <c r="G172" s="320" t="s">
        <v>240</v>
      </c>
      <c r="H172" s="63">
        <f t="shared" si="23"/>
        <v>8382.0600396222417</v>
      </c>
      <c r="I172" s="63">
        <f t="shared" si="23"/>
        <v>6562.4776271308647</v>
      </c>
      <c r="J172" s="63">
        <f t="shared" si="23"/>
        <v>4929.1602392562936</v>
      </c>
      <c r="K172" s="63">
        <f t="shared" si="23"/>
        <v>1173.5517650750689</v>
      </c>
      <c r="L172" s="63">
        <f t="shared" si="18"/>
        <v>5261.812417771117</v>
      </c>
    </row>
    <row r="173" spans="5:12">
      <c r="E173">
        <v>2090</v>
      </c>
      <c r="F173" s="320" t="s">
        <v>240</v>
      </c>
      <c r="G173" s="320" t="s">
        <v>240</v>
      </c>
      <c r="H173" s="63">
        <f t="shared" si="23"/>
        <v>12117.018433519483</v>
      </c>
      <c r="I173" s="63">
        <f t="shared" si="23"/>
        <v>9486.6491055446495</v>
      </c>
      <c r="J173" s="63">
        <f t="shared" si="23"/>
        <v>7125.5425514145509</v>
      </c>
      <c r="K173" s="63">
        <f t="shared" si="23"/>
        <v>1696.4741725644801</v>
      </c>
      <c r="L173" s="63">
        <f t="shared" si="18"/>
        <v>7606.421065760791</v>
      </c>
    </row>
    <row r="174" spans="5:12">
      <c r="E174">
        <v>2100</v>
      </c>
      <c r="F174" s="320" t="s">
        <v>240</v>
      </c>
      <c r="G174" s="320" t="s">
        <v>240</v>
      </c>
      <c r="H174" s="63">
        <f t="shared" si="23"/>
        <v>17516.235272023638</v>
      </c>
      <c r="I174" s="63">
        <f t="shared" si="23"/>
        <v>13713.800848579478</v>
      </c>
      <c r="J174" s="63">
        <f t="shared" si="23"/>
        <v>10300.609878261945</v>
      </c>
      <c r="K174" s="63">
        <f t="shared" si="23"/>
        <v>2452.4053423363375</v>
      </c>
      <c r="L174" s="63">
        <f t="shared" si="18"/>
        <v>10995.762835300349</v>
      </c>
    </row>
    <row r="175" spans="5:12">
      <c r="F175" s="581" t="s">
        <v>247</v>
      </c>
      <c r="G175" s="581"/>
      <c r="H175" s="581"/>
      <c r="I175" s="581"/>
      <c r="J175" s="581"/>
      <c r="K175" s="581"/>
      <c r="L175" s="63"/>
    </row>
    <row r="176" spans="5:12">
      <c r="E176">
        <v>2020</v>
      </c>
      <c r="F176" s="320" t="s">
        <v>240</v>
      </c>
      <c r="G176" s="320" t="s">
        <v>240</v>
      </c>
      <c r="H176" s="63">
        <f>('Demographic-Economic'!E$24*1000*(1+'Inflation-Interest'!$C$65)*(1+'Inflation-Interest'!$C$66)*(1+'Inflation-Interest'!$C$67))*$C$5/H5</f>
        <v>206.13165593491917</v>
      </c>
      <c r="I176" s="63">
        <f>('Demographic-Economic'!F$24*1000*(1+'Inflation-Interest'!$C$65)*(1+'Inflation-Interest'!$C$66)*(1+'Inflation-Interest'!$C$67))*$C$5/I5</f>
        <v>579.22367593505658</v>
      </c>
      <c r="J176" s="63">
        <f>('Demographic-Economic'!G$24*1000*(1+'Inflation-Interest'!$C$65)*(1+'Inflation-Interest'!$C$66)*(1+'Inflation-Interest'!$C$67))*$C$5/J5</f>
        <v>477.32507030724815</v>
      </c>
      <c r="K176" s="63">
        <f>('Demographic-Economic'!H$24*1000*(1+'Inflation-Interest'!$C$65)*(1+'Inflation-Interest'!$C$66)*(1+'Inflation-Interest'!$C$67))*$C$5/K5</f>
        <v>169.39456121998131</v>
      </c>
      <c r="L176" s="63"/>
    </row>
    <row r="177" spans="5:12">
      <c r="E177">
        <v>2021</v>
      </c>
      <c r="F177" s="320" t="s">
        <v>240</v>
      </c>
      <c r="G177" s="320" t="s">
        <v>240</v>
      </c>
      <c r="H177" s="63">
        <f t="shared" ref="H177:H186" si="24">H176*(1+$C$6)</f>
        <v>213.86966652233608</v>
      </c>
      <c r="I177" s="63">
        <f t="shared" ref="I177:I186" si="25">I176*(1+$C$6)</f>
        <v>600.96725004326197</v>
      </c>
      <c r="J177" s="63">
        <f t="shared" ref="J177:J186" si="26">J176*(1+$C$6)</f>
        <v>495.24345567569031</v>
      </c>
      <c r="K177" s="63">
        <f t="shared" ref="K177:K186" si="27">K176*(1+$C$6)</f>
        <v>175.75349188604505</v>
      </c>
      <c r="L177" s="63"/>
    </row>
    <row r="178" spans="5:12">
      <c r="E178">
        <v>2022</v>
      </c>
      <c r="F178" s="320" t="s">
        <v>240</v>
      </c>
      <c r="G178" s="320" t="s">
        <v>240</v>
      </c>
      <c r="H178" s="63">
        <f t="shared" si="24"/>
        <v>221.89815557886249</v>
      </c>
      <c r="I178" s="63">
        <f t="shared" si="25"/>
        <v>623.52705980384428</v>
      </c>
      <c r="J178" s="63">
        <f t="shared" si="26"/>
        <v>513.83448229887597</v>
      </c>
      <c r="K178" s="63">
        <f t="shared" si="27"/>
        <v>182.35113151020394</v>
      </c>
      <c r="L178" s="63"/>
    </row>
    <row r="179" spans="5:12">
      <c r="E179">
        <v>2023</v>
      </c>
      <c r="F179" s="320" t="s">
        <v>240</v>
      </c>
      <c r="G179" s="320" t="s">
        <v>240</v>
      </c>
      <c r="H179" s="63">
        <f t="shared" si="24"/>
        <v>230.22802742416334</v>
      </c>
      <c r="I179" s="63">
        <f t="shared" si="25"/>
        <v>646.93374602299741</v>
      </c>
      <c r="J179" s="63">
        <f t="shared" si="26"/>
        <v>533.12340056897381</v>
      </c>
      <c r="K179" s="63">
        <f t="shared" si="27"/>
        <v>189.19644102782075</v>
      </c>
      <c r="L179" s="63"/>
    </row>
    <row r="180" spans="5:12">
      <c r="E180">
        <v>2024</v>
      </c>
      <c r="F180" s="320" t="s">
        <v>240</v>
      </c>
      <c r="G180" s="320" t="s">
        <v>240</v>
      </c>
      <c r="H180" s="63">
        <f t="shared" si="24"/>
        <v>238.87059571697691</v>
      </c>
      <c r="I180" s="63">
        <f t="shared" si="25"/>
        <v>671.21909973724576</v>
      </c>
      <c r="J180" s="63">
        <f t="shared" si="26"/>
        <v>553.13640875683257</v>
      </c>
      <c r="K180" s="63">
        <f t="shared" si="27"/>
        <v>196.2987177603043</v>
      </c>
      <c r="L180" s="63"/>
    </row>
    <row r="181" spans="5:12">
      <c r="E181">
        <v>2025</v>
      </c>
      <c r="F181" s="320" t="s">
        <v>240</v>
      </c>
      <c r="G181" s="320" t="s">
        <v>240</v>
      </c>
      <c r="H181" s="63">
        <f t="shared" si="24"/>
        <v>247.83759882136246</v>
      </c>
      <c r="I181" s="63">
        <f t="shared" si="25"/>
        <v>696.41610539213218</v>
      </c>
      <c r="J181" s="63">
        <f t="shared" si="26"/>
        <v>573.90068859455675</v>
      </c>
      <c r="K181" s="63">
        <f t="shared" si="27"/>
        <v>203.66760804276132</v>
      </c>
      <c r="L181" s="63"/>
    </row>
    <row r="182" spans="5:12">
      <c r="E182">
        <v>2026</v>
      </c>
      <c r="F182" s="320" t="s">
        <v>240</v>
      </c>
      <c r="G182" s="320" t="s">
        <v>240</v>
      </c>
      <c r="H182" s="63">
        <f t="shared" si="24"/>
        <v>257.14121574978407</v>
      </c>
      <c r="I182" s="63">
        <f t="shared" si="25"/>
        <v>722.55898564179836</v>
      </c>
      <c r="J182" s="63">
        <f t="shared" si="26"/>
        <v>595.44444219382262</v>
      </c>
      <c r="K182" s="63">
        <f t="shared" si="27"/>
        <v>211.31312032567988</v>
      </c>
      <c r="L182" s="63"/>
    </row>
    <row r="183" spans="5:12">
      <c r="E183">
        <v>2027</v>
      </c>
      <c r="F183" s="320" t="s">
        <v>240</v>
      </c>
      <c r="G183" s="320" t="s">
        <v>240</v>
      </c>
      <c r="H183" s="63">
        <f t="shared" si="24"/>
        <v>266.79408270468451</v>
      </c>
      <c r="I183" s="63">
        <f t="shared" si="25"/>
        <v>749.68324783030346</v>
      </c>
      <c r="J183" s="63">
        <f t="shared" si="26"/>
        <v>617.79693035007688</v>
      </c>
      <c r="K183" s="63">
        <f t="shared" si="27"/>
        <v>219.24563876843897</v>
      </c>
      <c r="L183" s="63"/>
    </row>
    <row r="184" spans="5:12">
      <c r="E184">
        <v>2028</v>
      </c>
      <c r="F184" s="320" t="s">
        <v>240</v>
      </c>
      <c r="G184" s="320" t="s">
        <v>240</v>
      </c>
      <c r="H184" s="63">
        <f t="shared" si="24"/>
        <v>276.80931024101614</v>
      </c>
      <c r="I184" s="63">
        <f t="shared" si="25"/>
        <v>777.8257322178132</v>
      </c>
      <c r="J184" s="63">
        <f t="shared" si="26"/>
        <v>640.98851228464343</v>
      </c>
      <c r="K184" s="63">
        <f t="shared" si="27"/>
        <v>227.4759373431072</v>
      </c>
      <c r="L184" s="63"/>
    </row>
    <row r="185" spans="5:12">
      <c r="E185">
        <v>2029</v>
      </c>
      <c r="F185" s="320" t="s">
        <v>240</v>
      </c>
      <c r="G185" s="320" t="s">
        <v>240</v>
      </c>
      <c r="H185" s="63">
        <f t="shared" si="24"/>
        <v>287.20050107303871</v>
      </c>
      <c r="I185" s="63">
        <f t="shared" si="25"/>
        <v>807.0246620171597</v>
      </c>
      <c r="J185" s="63">
        <f t="shared" si="26"/>
        <v>665.0506868787154</v>
      </c>
      <c r="K185" s="63">
        <f t="shared" si="27"/>
        <v>236.01519446768634</v>
      </c>
      <c r="L185" s="63"/>
    </row>
    <row r="186" spans="5:12">
      <c r="E186">
        <v>2030</v>
      </c>
      <c r="F186" s="320" t="s">
        <v>240</v>
      </c>
      <c r="G186" s="320" t="s">
        <v>240</v>
      </c>
      <c r="H186" s="63">
        <f t="shared" si="24"/>
        <v>297.98176854956967</v>
      </c>
      <c r="I186" s="63">
        <f t="shared" si="25"/>
        <v>837.31969530873221</v>
      </c>
      <c r="J186" s="63">
        <f t="shared" si="26"/>
        <v>690.01613545523662</v>
      </c>
      <c r="K186" s="63">
        <f t="shared" si="27"/>
        <v>244.87500818867457</v>
      </c>
      <c r="L186" s="63"/>
    </row>
    <row r="187" spans="5:12">
      <c r="E187">
        <v>2040</v>
      </c>
      <c r="F187" s="320" t="s">
        <v>240</v>
      </c>
      <c r="G187" s="320" t="s">
        <v>240</v>
      </c>
      <c r="H187" s="63">
        <f t="shared" ref="H187:K193" si="28">H186*(1+$C$6)^10</f>
        <v>430.75933187071217</v>
      </c>
      <c r="I187" s="63">
        <f t="shared" si="28"/>
        <v>1210.4206048209207</v>
      </c>
      <c r="J187" s="63">
        <f t="shared" si="28"/>
        <v>997.48011744303676</v>
      </c>
      <c r="K187" s="63">
        <f t="shared" si="28"/>
        <v>353.98875385103139</v>
      </c>
      <c r="L187" s="63"/>
    </row>
    <row r="188" spans="5:12">
      <c r="E188">
        <v>2050</v>
      </c>
      <c r="F188" s="320" t="s">
        <v>240</v>
      </c>
      <c r="G188" s="320" t="s">
        <v>240</v>
      </c>
      <c r="H188" s="63">
        <f t="shared" si="28"/>
        <v>622.70119040130214</v>
      </c>
      <c r="I188" s="63">
        <f t="shared" si="28"/>
        <v>1749.771382165844</v>
      </c>
      <c r="J188" s="63">
        <f t="shared" si="28"/>
        <v>1441.9468380079943</v>
      </c>
      <c r="K188" s="63">
        <f t="shared" si="28"/>
        <v>511.72244476846362</v>
      </c>
      <c r="L188" s="63"/>
    </row>
    <row r="189" spans="5:12">
      <c r="E189">
        <v>2060</v>
      </c>
      <c r="F189" s="320" t="s">
        <v>240</v>
      </c>
      <c r="G189" s="320" t="s">
        <v>240</v>
      </c>
      <c r="H189" s="63">
        <f t="shared" si="28"/>
        <v>900.17033605108259</v>
      </c>
      <c r="I189" s="63">
        <f t="shared" si="28"/>
        <v>2529.4512317885901</v>
      </c>
      <c r="J189" s="63">
        <f t="shared" si="28"/>
        <v>2084.4632863170737</v>
      </c>
      <c r="K189" s="63">
        <f t="shared" si="28"/>
        <v>739.74062065828059</v>
      </c>
      <c r="L189" s="63"/>
    </row>
    <row r="190" spans="5:12">
      <c r="E190">
        <v>2070</v>
      </c>
      <c r="F190" s="320" t="s">
        <v>240</v>
      </c>
      <c r="G190" s="320" t="s">
        <v>240</v>
      </c>
      <c r="H190" s="63">
        <f t="shared" si="28"/>
        <v>1301.2768345345762</v>
      </c>
      <c r="I190" s="63">
        <f t="shared" si="28"/>
        <v>3656.5482777968982</v>
      </c>
      <c r="J190" s="63">
        <f t="shared" si="28"/>
        <v>3013.2783522076602</v>
      </c>
      <c r="K190" s="63">
        <f t="shared" si="28"/>
        <v>1069.3613138260805</v>
      </c>
      <c r="L190" s="63"/>
    </row>
    <row r="191" spans="5:12">
      <c r="E191">
        <v>2080</v>
      </c>
      <c r="F191" s="320" t="s">
        <v>240</v>
      </c>
      <c r="G191" s="320" t="s">
        <v>240</v>
      </c>
      <c r="H191" s="63">
        <f t="shared" si="28"/>
        <v>1881.112198747499</v>
      </c>
      <c r="I191" s="63">
        <f t="shared" si="28"/>
        <v>5285.8679937486722</v>
      </c>
      <c r="J191" s="63">
        <f t="shared" si="28"/>
        <v>4355.9637089727803</v>
      </c>
      <c r="K191" s="63">
        <f t="shared" si="28"/>
        <v>1545.857544621834</v>
      </c>
      <c r="L191" s="63"/>
    </row>
    <row r="192" spans="5:12">
      <c r="E192">
        <v>2090</v>
      </c>
      <c r="F192" s="320" t="s">
        <v>240</v>
      </c>
      <c r="G192" s="320" t="s">
        <v>240</v>
      </c>
      <c r="H192" s="63">
        <f t="shared" si="28"/>
        <v>2719.3161442409632</v>
      </c>
      <c r="I192" s="63">
        <f t="shared" si="28"/>
        <v>7641.1955551072188</v>
      </c>
      <c r="J192" s="63">
        <f t="shared" si="28"/>
        <v>6296.9356348995798</v>
      </c>
      <c r="K192" s="63">
        <f t="shared" si="28"/>
        <v>2234.6755183373866</v>
      </c>
      <c r="L192" s="63"/>
    </row>
    <row r="193" spans="5:16">
      <c r="E193">
        <v>2100</v>
      </c>
      <c r="F193" s="320" t="s">
        <v>240</v>
      </c>
      <c r="G193" s="320" t="s">
        <v>240</v>
      </c>
      <c r="H193" s="63">
        <f t="shared" si="28"/>
        <v>3931.0150118919755</v>
      </c>
      <c r="I193" s="63">
        <f t="shared" si="28"/>
        <v>11046.03247384208</v>
      </c>
      <c r="J193" s="63">
        <f t="shared" si="28"/>
        <v>9102.7843754508085</v>
      </c>
      <c r="K193" s="63">
        <f t="shared" si="28"/>
        <v>3230.4235856856426</v>
      </c>
      <c r="L193" s="63"/>
    </row>
    <row r="194" spans="5:16">
      <c r="F194" s="581" t="s">
        <v>248</v>
      </c>
      <c r="G194" s="581"/>
      <c r="H194" s="581"/>
      <c r="I194" s="581"/>
      <c r="J194" s="581"/>
      <c r="K194" s="581"/>
      <c r="N194" t="s">
        <v>372</v>
      </c>
    </row>
    <row r="195" spans="5:16">
      <c r="E195">
        <v>2020</v>
      </c>
      <c r="F195" s="320" t="s">
        <v>240</v>
      </c>
      <c r="G195" s="320" t="s">
        <v>240</v>
      </c>
      <c r="H195" s="179">
        <f>'Demographic-Economic'!E30*$C$5</f>
        <v>17979</v>
      </c>
      <c r="I195" s="179">
        <f>'Demographic-Economic'!F30*$C$5</f>
        <v>12153.75</v>
      </c>
      <c r="J195" s="179">
        <f>'Demographic-Economic'!G30*$C$5</f>
        <v>15379.5</v>
      </c>
      <c r="K195" s="179">
        <f>'Demographic-Economic'!H30*$C$5/12</f>
        <v>1444.5833333333333</v>
      </c>
      <c r="L195" s="330">
        <f t="shared" ref="L195:L212" si="29">AVERAGE(H195:K195)</f>
        <v>11739.208333333334</v>
      </c>
    </row>
    <row r="196" spans="5:16">
      <c r="E196">
        <v>2021</v>
      </c>
      <c r="F196" s="320" t="s">
        <v>240</v>
      </c>
      <c r="G196" s="320" t="s">
        <v>240</v>
      </c>
      <c r="H196" s="179">
        <f t="shared" ref="H196:H205" si="30">H195*(1+$C$6)</f>
        <v>18653.916677500001</v>
      </c>
      <c r="I196" s="179">
        <f t="shared" ref="I196:I205" si="31">I195*(1+$C$6)</f>
        <v>12609.991646875</v>
      </c>
      <c r="J196" s="179">
        <f t="shared" ref="J196:J205" si="32">J195*(1+$C$6)</f>
        <v>15956.833613750001</v>
      </c>
      <c r="K196" s="179">
        <f t="shared" ref="K196:K205" si="33">K195*(1+$C$6)</f>
        <v>1498.8117878472221</v>
      </c>
      <c r="L196" s="330">
        <f t="shared" si="29"/>
        <v>12179.888431493055</v>
      </c>
    </row>
    <row r="197" spans="5:16">
      <c r="E197">
        <v>2022</v>
      </c>
      <c r="F197" s="320" t="s">
        <v>240</v>
      </c>
      <c r="G197" s="320" t="s">
        <v>240</v>
      </c>
      <c r="H197" s="179">
        <f t="shared" si="30"/>
        <v>19354.169164642786</v>
      </c>
      <c r="I197" s="179">
        <f t="shared" si="31"/>
        <v>13083.360224972315</v>
      </c>
      <c r="J197" s="179">
        <f t="shared" si="32"/>
        <v>16555.839850248831</v>
      </c>
      <c r="K197" s="179">
        <f t="shared" si="33"/>
        <v>1555.0759333531837</v>
      </c>
      <c r="L197" s="330">
        <f t="shared" si="29"/>
        <v>12637.111293304279</v>
      </c>
    </row>
    <row r="198" spans="5:16">
      <c r="E198">
        <v>2023</v>
      </c>
      <c r="F198" s="320" t="s">
        <v>240</v>
      </c>
      <c r="G198" s="320" t="s">
        <v>240</v>
      </c>
      <c r="H198" s="179">
        <f t="shared" si="30"/>
        <v>20080.708546609174</v>
      </c>
      <c r="I198" s="179">
        <f t="shared" si="31"/>
        <v>13574.498665017589</v>
      </c>
      <c r="J198" s="179">
        <f t="shared" si="32"/>
        <v>17177.332281693965</v>
      </c>
      <c r="K198" s="179">
        <f t="shared" si="33"/>
        <v>1613.452187994651</v>
      </c>
      <c r="L198" s="330">
        <f t="shared" si="29"/>
        <v>13111.497920328844</v>
      </c>
    </row>
    <row r="199" spans="5:16">
      <c r="E199">
        <v>2024</v>
      </c>
      <c r="F199" s="320" t="s">
        <v>240</v>
      </c>
      <c r="G199" s="320" t="s">
        <v>240</v>
      </c>
      <c r="H199" s="179">
        <f t="shared" si="30"/>
        <v>20834.521611525095</v>
      </c>
      <c r="I199" s="179">
        <f t="shared" si="31"/>
        <v>14084.074032820128</v>
      </c>
      <c r="J199" s="179">
        <f t="shared" si="32"/>
        <v>17822.155021105187</v>
      </c>
      <c r="K199" s="179">
        <f t="shared" si="33"/>
        <v>1674.0198385884803</v>
      </c>
      <c r="L199" s="330">
        <f t="shared" si="29"/>
        <v>13603.692626009723</v>
      </c>
    </row>
    <row r="200" spans="5:16">
      <c r="E200">
        <v>2025</v>
      </c>
      <c r="F200" s="320" t="s">
        <v>240</v>
      </c>
      <c r="G200" s="320" t="s">
        <v>240</v>
      </c>
      <c r="H200" s="179">
        <f t="shared" si="30"/>
        <v>21616.632190720404</v>
      </c>
      <c r="I200" s="179">
        <f t="shared" si="31"/>
        <v>14612.778435283835</v>
      </c>
      <c r="J200" s="179">
        <f t="shared" si="32"/>
        <v>18491.183868801625</v>
      </c>
      <c r="K200" s="179">
        <f t="shared" si="33"/>
        <v>1736.8611483125596</v>
      </c>
      <c r="L200" s="330">
        <f t="shared" si="29"/>
        <v>14114.363910779604</v>
      </c>
    </row>
    <row r="201" spans="5:16">
      <c r="E201">
        <v>2026</v>
      </c>
      <c r="F201" s="320" t="s">
        <v>240</v>
      </c>
      <c r="G201" s="320" t="s">
        <v>240</v>
      </c>
      <c r="H201" s="179">
        <f t="shared" si="30"/>
        <v>22428.102549299889</v>
      </c>
      <c r="I201" s="179">
        <f t="shared" si="31"/>
        <v>15161.329960429028</v>
      </c>
      <c r="J201" s="179">
        <f t="shared" si="32"/>
        <v>19185.327501916548</v>
      </c>
      <c r="K201" s="179">
        <f t="shared" si="33"/>
        <v>1802.061468435923</v>
      </c>
      <c r="L201" s="330">
        <f t="shared" si="29"/>
        <v>14644.205370020349</v>
      </c>
    </row>
    <row r="202" spans="5:16">
      <c r="E202">
        <v>2027</v>
      </c>
      <c r="F202" s="320" t="s">
        <v>240</v>
      </c>
      <c r="G202" s="320" t="s">
        <v>240</v>
      </c>
      <c r="H202" s="179">
        <f t="shared" si="30"/>
        <v>23270.034828915148</v>
      </c>
      <c r="I202" s="179">
        <f t="shared" si="31"/>
        <v>15730.473652701899</v>
      </c>
      <c r="J202" s="179">
        <f t="shared" si="32"/>
        <v>19905.528708565576</v>
      </c>
      <c r="K202" s="179">
        <f t="shared" si="33"/>
        <v>1869.7093542431171</v>
      </c>
      <c r="L202" s="330">
        <f t="shared" si="29"/>
        <v>15193.936636106437</v>
      </c>
    </row>
    <row r="203" spans="5:16">
      <c r="E203">
        <v>2028</v>
      </c>
      <c r="F203" s="320" t="s">
        <v>240</v>
      </c>
      <c r="G203" s="320" t="s">
        <v>240</v>
      </c>
      <c r="H203" s="179">
        <f t="shared" si="30"/>
        <v>24143.572544696934</v>
      </c>
      <c r="I203" s="179">
        <f t="shared" si="31"/>
        <v>16320.982524896284</v>
      </c>
      <c r="J203" s="179">
        <f t="shared" si="32"/>
        <v>20652.765668344538</v>
      </c>
      <c r="K203" s="179">
        <f t="shared" si="33"/>
        <v>1939.8966853102752</v>
      </c>
      <c r="L203" s="330">
        <f t="shared" si="29"/>
        <v>15764.304355812008</v>
      </c>
    </row>
    <row r="204" spans="5:16">
      <c r="E204">
        <v>2029</v>
      </c>
      <c r="F204" s="320" t="s">
        <v>240</v>
      </c>
      <c r="G204" s="320" t="s">
        <v>240</v>
      </c>
      <c r="H204" s="179">
        <f t="shared" si="30"/>
        <v>25049.902138381069</v>
      </c>
      <c r="I204" s="179">
        <f t="shared" si="31"/>
        <v>16933.65860806212</v>
      </c>
      <c r="J204" s="179">
        <f t="shared" si="32"/>
        <v>21428.053280896136</v>
      </c>
      <c r="K204" s="179">
        <f t="shared" si="33"/>
        <v>2012.7187902962519</v>
      </c>
      <c r="L204" s="330">
        <f t="shared" si="29"/>
        <v>16356.083204408895</v>
      </c>
    </row>
    <row r="205" spans="5:16">
      <c r="E205">
        <v>2030</v>
      </c>
      <c r="F205" s="320" t="s">
        <v>240</v>
      </c>
      <c r="G205" s="320" t="s">
        <v>240</v>
      </c>
      <c r="H205" s="179">
        <f t="shared" si="30"/>
        <v>25990.254589737444</v>
      </c>
      <c r="I205" s="179">
        <f t="shared" si="31"/>
        <v>17569.334040826598</v>
      </c>
      <c r="J205" s="179">
        <f t="shared" si="32"/>
        <v>22232.44454434991</v>
      </c>
      <c r="K205" s="179">
        <f t="shared" si="33"/>
        <v>2088.2745764183146</v>
      </c>
      <c r="L205" s="330">
        <f t="shared" si="29"/>
        <v>16970.07693783307</v>
      </c>
    </row>
    <row r="206" spans="5:16">
      <c r="E206">
        <v>2040</v>
      </c>
      <c r="F206" s="320" t="s">
        <v>240</v>
      </c>
      <c r="G206" s="320" t="s">
        <v>240</v>
      </c>
      <c r="H206" s="330">
        <f t="shared" ref="H206:K212" si="34">H205*($C$6+1)^10</f>
        <v>37571.240538370781</v>
      </c>
      <c r="I206" s="330">
        <f t="shared" si="34"/>
        <v>25398.045758564091</v>
      </c>
      <c r="J206" s="330">
        <f t="shared" si="34"/>
        <v>32138.989591182682</v>
      </c>
      <c r="K206" s="330">
        <f t="shared" si="34"/>
        <v>3018.7879133649321</v>
      </c>
      <c r="L206" s="330">
        <f t="shared" si="29"/>
        <v>24531.76595037062</v>
      </c>
    </row>
    <row r="207" spans="5:16">
      <c r="E207">
        <v>2050</v>
      </c>
      <c r="F207" s="320" t="s">
        <v>240</v>
      </c>
      <c r="G207" s="320" t="s">
        <v>240</v>
      </c>
      <c r="H207" s="330">
        <f t="shared" si="34"/>
        <v>54312.592849686895</v>
      </c>
      <c r="I207" s="330">
        <f t="shared" si="34"/>
        <v>36715.149638293675</v>
      </c>
      <c r="J207" s="330">
        <f t="shared" si="34"/>
        <v>46459.787626217236</v>
      </c>
      <c r="K207" s="330">
        <f t="shared" si="34"/>
        <v>4363.9282730283585</v>
      </c>
      <c r="L207" s="330">
        <f t="shared" si="29"/>
        <v>35462.864596806539</v>
      </c>
      <c r="P207" s="62"/>
    </row>
    <row r="208" spans="5:16">
      <c r="E208">
        <v>2060</v>
      </c>
      <c r="F208" s="320" t="s">
        <v>240</v>
      </c>
      <c r="G208" s="320" t="s">
        <v>240</v>
      </c>
      <c r="H208" s="330">
        <f t="shared" si="34"/>
        <v>78513.71686924278</v>
      </c>
      <c r="I208" s="330">
        <f t="shared" si="34"/>
        <v>53075.036787338518</v>
      </c>
      <c r="J208" s="330">
        <f t="shared" si="34"/>
        <v>67161.78366930972</v>
      </c>
      <c r="K208" s="330">
        <f t="shared" si="34"/>
        <v>6308.4491254997656</v>
      </c>
      <c r="L208" s="330">
        <f t="shared" si="29"/>
        <v>51264.746612847695</v>
      </c>
    </row>
    <row r="209" spans="5:12">
      <c r="E209">
        <v>2070</v>
      </c>
      <c r="F209" s="320" t="s">
        <v>240</v>
      </c>
      <c r="G209" s="320" t="s">
        <v>240</v>
      </c>
      <c r="H209" s="330">
        <f t="shared" si="34"/>
        <v>113498.6089447791</v>
      </c>
      <c r="I209" s="330">
        <f t="shared" si="34"/>
        <v>76724.718753134686</v>
      </c>
      <c r="J209" s="330">
        <f t="shared" si="34"/>
        <v>97088.372894278335</v>
      </c>
      <c r="K209" s="330">
        <f t="shared" si="34"/>
        <v>9119.4281571914707</v>
      </c>
      <c r="L209" s="330">
        <f t="shared" si="29"/>
        <v>74107.782187345903</v>
      </c>
    </row>
    <row r="210" spans="5:12">
      <c r="E210">
        <v>2080</v>
      </c>
      <c r="F210" s="320" t="s">
        <v>240</v>
      </c>
      <c r="G210" s="320" t="s">
        <v>240</v>
      </c>
      <c r="H210" s="330">
        <f t="shared" si="34"/>
        <v>164072.40347382281</v>
      </c>
      <c r="I210" s="330">
        <f t="shared" si="34"/>
        <v>110912.45195616961</v>
      </c>
      <c r="J210" s="330">
        <f t="shared" si="34"/>
        <v>140349.93766203115</v>
      </c>
      <c r="K210" s="330">
        <f t="shared" si="34"/>
        <v>13182.950081663414</v>
      </c>
      <c r="L210" s="330">
        <f t="shared" si="29"/>
        <v>107129.43579342176</v>
      </c>
    </row>
    <row r="211" spans="5:12">
      <c r="E211">
        <v>2090</v>
      </c>
      <c r="F211" s="320" t="s">
        <v>240</v>
      </c>
      <c r="G211" s="320" t="s">
        <v>240</v>
      </c>
      <c r="H211" s="330">
        <f t="shared" si="34"/>
        <v>237181.35254656972</v>
      </c>
      <c r="I211" s="330">
        <f t="shared" si="34"/>
        <v>160333.8819463191</v>
      </c>
      <c r="J211" s="330">
        <f t="shared" si="34"/>
        <v>202888.40377607039</v>
      </c>
      <c r="K211" s="330">
        <f t="shared" si="34"/>
        <v>19057.134927761952</v>
      </c>
      <c r="L211" s="330">
        <f t="shared" si="29"/>
        <v>154865.1932991803</v>
      </c>
    </row>
    <row r="212" spans="5:12">
      <c r="E212">
        <v>2100</v>
      </c>
      <c r="F212" s="320" t="s">
        <v>240</v>
      </c>
      <c r="G212" s="320" t="s">
        <v>240</v>
      </c>
      <c r="H212" s="330">
        <f t="shared" si="34"/>
        <v>342866.88562342839</v>
      </c>
      <c r="I212" s="330">
        <f t="shared" si="34"/>
        <v>231776.98487934488</v>
      </c>
      <c r="J212" s="330">
        <f t="shared" si="34"/>
        <v>293293.35710804368</v>
      </c>
      <c r="K212" s="330">
        <f t="shared" si="34"/>
        <v>27548.795179015007</v>
      </c>
      <c r="L212" s="330">
        <f t="shared" si="29"/>
        <v>223871.50569745799</v>
      </c>
    </row>
    <row r="213" spans="5:12">
      <c r="F213" s="581" t="s">
        <v>249</v>
      </c>
      <c r="G213" s="581"/>
      <c r="H213" s="581"/>
      <c r="I213" s="581"/>
      <c r="J213" s="581"/>
      <c r="K213" s="581"/>
    </row>
    <row r="214" spans="5:12">
      <c r="E214">
        <v>2020</v>
      </c>
      <c r="F214" s="320" t="s">
        <v>240</v>
      </c>
      <c r="G214" s="320" t="s">
        <v>240</v>
      </c>
      <c r="H214" s="179">
        <f t="shared" ref="H214:K231" si="35">SUM($L138, $L157, $L195)*H81</f>
        <v>650223492.12977219</v>
      </c>
      <c r="I214" s="179">
        <f t="shared" si="35"/>
        <v>314521756.27250725</v>
      </c>
      <c r="J214" s="179">
        <f t="shared" si="35"/>
        <v>204244043.03394017</v>
      </c>
      <c r="K214" s="179">
        <f t="shared" si="35"/>
        <v>65773698.967821136</v>
      </c>
      <c r="L214" s="194">
        <f t="shared" ref="L214:L231" si="36">SUM(H214:K214)/(SUM(F252:K252)*1000)</f>
        <v>9.5205947593886818E-4</v>
      </c>
    </row>
    <row r="215" spans="5:12">
      <c r="E215">
        <v>2021</v>
      </c>
      <c r="F215" s="320" t="s">
        <v>240</v>
      </c>
      <c r="G215" s="320" t="s">
        <v>240</v>
      </c>
      <c r="H215" s="179">
        <f t="shared" si="35"/>
        <v>715313125.54196727</v>
      </c>
      <c r="I215" s="179">
        <f t="shared" si="35"/>
        <v>297231473.86709744</v>
      </c>
      <c r="J215" s="179">
        <f t="shared" si="35"/>
        <v>201304771.26224568</v>
      </c>
      <c r="K215" s="179">
        <f t="shared" si="35"/>
        <v>68882594.663844168</v>
      </c>
      <c r="L215" s="194">
        <f t="shared" si="36"/>
        <v>9.3920745672314255E-4</v>
      </c>
    </row>
    <row r="216" spans="5:12">
      <c r="E216">
        <v>2022</v>
      </c>
      <c r="F216" s="320" t="s">
        <v>240</v>
      </c>
      <c r="G216" s="320" t="s">
        <v>240</v>
      </c>
      <c r="H216" s="179">
        <f t="shared" si="35"/>
        <v>781156369.75534844</v>
      </c>
      <c r="I216" s="179">
        <f t="shared" si="35"/>
        <v>280608149.12817919</v>
      </c>
      <c r="J216" s="179">
        <f t="shared" si="35"/>
        <v>198680500.71703839</v>
      </c>
      <c r="K216" s="179">
        <f t="shared" si="35"/>
        <v>72071683.075202331</v>
      </c>
      <c r="L216" s="194">
        <f t="shared" si="36"/>
        <v>9.2885424490218762E-4</v>
      </c>
    </row>
    <row r="217" spans="5:12">
      <c r="E217">
        <v>2023</v>
      </c>
      <c r="F217" s="320" t="s">
        <v>240</v>
      </c>
      <c r="G217" s="320" t="s">
        <v>240</v>
      </c>
      <c r="H217" s="179">
        <f t="shared" si="35"/>
        <v>847827862.00563455</v>
      </c>
      <c r="I217" s="179">
        <f t="shared" si="35"/>
        <v>264640948.38265494</v>
      </c>
      <c r="J217" s="179">
        <f t="shared" si="35"/>
        <v>196371077.0292269</v>
      </c>
      <c r="K217" s="179">
        <f t="shared" si="35"/>
        <v>75344837.609307423</v>
      </c>
      <c r="L217" s="194">
        <f t="shared" si="36"/>
        <v>9.2070159081771247E-4</v>
      </c>
    </row>
    <row r="218" spans="5:12">
      <c r="E218">
        <v>2024</v>
      </c>
      <c r="F218" s="320" t="s">
        <v>240</v>
      </c>
      <c r="G218" s="320" t="s">
        <v>240</v>
      </c>
      <c r="H218" s="179">
        <f t="shared" si="35"/>
        <v>915409598.45870852</v>
      </c>
      <c r="I218" s="179">
        <f t="shared" si="35"/>
        <v>249315174.42423782</v>
      </c>
      <c r="J218" s="179">
        <f t="shared" si="35"/>
        <v>194375094.85000038</v>
      </c>
      <c r="K218" s="179">
        <f t="shared" si="35"/>
        <v>78706167.053673193</v>
      </c>
      <c r="L218" s="194">
        <f t="shared" si="36"/>
        <v>9.1450504330283281E-4</v>
      </c>
    </row>
    <row r="219" spans="5:12">
      <c r="E219">
        <v>2025</v>
      </c>
      <c r="F219" s="320" t="s">
        <v>240</v>
      </c>
      <c r="G219" s="320" t="s">
        <v>240</v>
      </c>
      <c r="H219" s="179">
        <f t="shared" si="35"/>
        <v>983990092.94081175</v>
      </c>
      <c r="I219" s="179">
        <f t="shared" si="35"/>
        <v>234612971.64914361</v>
      </c>
      <c r="J219" s="179">
        <f t="shared" si="35"/>
        <v>192690138.28086582</v>
      </c>
      <c r="K219" s="179">
        <f t="shared" si="35"/>
        <v>82160001.542611882</v>
      </c>
      <c r="L219" s="194">
        <f t="shared" si="36"/>
        <v>9.1006272385125379E-4</v>
      </c>
    </row>
    <row r="220" spans="5:12">
      <c r="E220">
        <v>2026</v>
      </c>
      <c r="F220" s="320" t="s">
        <v>240</v>
      </c>
      <c r="G220" s="320" t="s">
        <v>240</v>
      </c>
      <c r="H220" s="179">
        <f t="shared" si="35"/>
        <v>1053663617.4444441</v>
      </c>
      <c r="I220" s="179">
        <f t="shared" si="35"/>
        <v>220513970.68370521</v>
      </c>
      <c r="J220" s="179">
        <f t="shared" si="35"/>
        <v>191313001.63905868</v>
      </c>
      <c r="K220" s="179">
        <f t="shared" si="35"/>
        <v>85710880.185430959</v>
      </c>
      <c r="L220" s="194">
        <f t="shared" si="36"/>
        <v>9.0720681369392271E-4</v>
      </c>
    </row>
    <row r="221" spans="5:12">
      <c r="E221">
        <v>2027</v>
      </c>
      <c r="F221" s="320" t="s">
        <v>240</v>
      </c>
      <c r="G221" s="320" t="s">
        <v>240</v>
      </c>
      <c r="H221" s="179">
        <f t="shared" si="35"/>
        <v>1124529529.6858082</v>
      </c>
      <c r="I221" s="179">
        <f t="shared" si="35"/>
        <v>206995868.63509139</v>
      </c>
      <c r="J221" s="179">
        <f t="shared" si="35"/>
        <v>190239889.12968177</v>
      </c>
      <c r="K221" s="179">
        <f t="shared" si="35"/>
        <v>89363540.495265141</v>
      </c>
      <c r="L221" s="194">
        <f t="shared" si="36"/>
        <v>9.0579701907308758E-4</v>
      </c>
    </row>
    <row r="222" spans="5:12">
      <c r="E222">
        <v>2028</v>
      </c>
      <c r="F222" s="320" t="s">
        <v>240</v>
      </c>
      <c r="G222" s="320" t="s">
        <v>240</v>
      </c>
      <c r="H222" s="179">
        <f t="shared" si="35"/>
        <v>1196691689.4657011</v>
      </c>
      <c r="I222" s="179">
        <f t="shared" si="35"/>
        <v>194034943.78361005</v>
      </c>
      <c r="J222" s="179">
        <f t="shared" si="35"/>
        <v>189466592.91140145</v>
      </c>
      <c r="K222" s="179">
        <f t="shared" si="35"/>
        <v>93122909.683085084</v>
      </c>
      <c r="L222" s="194">
        <f t="shared" si="36"/>
        <v>9.0571549895408787E-4</v>
      </c>
    </row>
    <row r="223" spans="5:12">
      <c r="E223">
        <v>2029</v>
      </c>
      <c r="F223" s="320" t="s">
        <v>240</v>
      </c>
      <c r="G223" s="320" t="s">
        <v>240</v>
      </c>
      <c r="H223" s="179">
        <f t="shared" si="35"/>
        <v>1270257962.7735145</v>
      </c>
      <c r="I223" s="179">
        <f t="shared" si="35"/>
        <v>181606505.6780698</v>
      </c>
      <c r="J223" s="179">
        <f t="shared" si="35"/>
        <v>188988649.77675536</v>
      </c>
      <c r="K223" s="179">
        <f t="shared" si="35"/>
        <v>96994097.820793316</v>
      </c>
      <c r="L223" s="194">
        <f t="shared" si="36"/>
        <v>9.0686288759721733E-4</v>
      </c>
    </row>
    <row r="224" spans="5:12">
      <c r="E224">
        <v>2030</v>
      </c>
      <c r="F224" s="320" t="s">
        <v>240</v>
      </c>
      <c r="G224" s="320" t="s">
        <v>240</v>
      </c>
      <c r="H224" s="179">
        <f t="shared" si="35"/>
        <v>1345339810.4322381</v>
      </c>
      <c r="I224" s="179">
        <f t="shared" si="35"/>
        <v>169685283.22641832</v>
      </c>
      <c r="J224" s="179">
        <f t="shared" si="35"/>
        <v>188801477.23084661</v>
      </c>
      <c r="K224" s="179">
        <f t="shared" si="35"/>
        <v>100982392.83016673</v>
      </c>
      <c r="L224" s="194">
        <f t="shared" si="36"/>
        <v>9.0915514635958204E-4</v>
      </c>
    </row>
    <row r="225" spans="5:12">
      <c r="E225">
        <v>2040</v>
      </c>
      <c r="F225" s="320" t="s">
        <v>240</v>
      </c>
      <c r="G225" s="320" t="s">
        <v>240</v>
      </c>
      <c r="H225" s="179">
        <f t="shared" si="35"/>
        <v>2217836780.1617265</v>
      </c>
      <c r="I225" s="179">
        <f t="shared" si="35"/>
        <v>107600618.63917236</v>
      </c>
      <c r="J225" s="179">
        <f t="shared" si="35"/>
        <v>229109505.22595865</v>
      </c>
      <c r="K225" s="179">
        <f t="shared" si="35"/>
        <v>147705102.36718369</v>
      </c>
      <c r="L225" s="194">
        <f t="shared" si="36"/>
        <v>9.504849103139666E-4</v>
      </c>
    </row>
    <row r="226" spans="5:12">
      <c r="E226">
        <v>2050</v>
      </c>
      <c r="F226" s="320" t="s">
        <v>240</v>
      </c>
      <c r="G226" s="320" t="s">
        <v>240</v>
      </c>
      <c r="H226" s="179">
        <f t="shared" si="35"/>
        <v>3324762085.614346</v>
      </c>
      <c r="I226" s="179">
        <f t="shared" si="35"/>
        <v>100892422.79497819</v>
      </c>
      <c r="J226" s="179">
        <f t="shared" si="35"/>
        <v>315618995.02682388</v>
      </c>
      <c r="K226" s="179">
        <f t="shared" si="35"/>
        <v>210410897.51084119</v>
      </c>
      <c r="L226" s="194">
        <f t="shared" si="36"/>
        <v>1.0650140490497217E-3</v>
      </c>
    </row>
    <row r="227" spans="5:12">
      <c r="E227">
        <v>2060</v>
      </c>
      <c r="F227" s="320" t="s">
        <v>240</v>
      </c>
      <c r="G227" s="320" t="s">
        <v>240</v>
      </c>
      <c r="H227" s="179">
        <f t="shared" si="35"/>
        <v>4792217028.6560364</v>
      </c>
      <c r="I227" s="179">
        <f t="shared" si="35"/>
        <v>126099658.68950589</v>
      </c>
      <c r="J227" s="179">
        <f t="shared" si="35"/>
        <v>443940802.48707157</v>
      </c>
      <c r="K227" s="179">
        <f t="shared" si="35"/>
        <v>295077457.17933154</v>
      </c>
      <c r="L227" s="194">
        <f t="shared" si="36"/>
        <v>1.2465848022101898E-3</v>
      </c>
    </row>
    <row r="228" spans="5:12">
      <c r="E228">
        <v>2070</v>
      </c>
      <c r="F228" s="320" t="s">
        <v>240</v>
      </c>
      <c r="G228" s="320" t="s">
        <v>240</v>
      </c>
      <c r="H228" s="179">
        <f t="shared" si="35"/>
        <v>6754505310.0303869</v>
      </c>
      <c r="I228" s="179">
        <f t="shared" si="35"/>
        <v>175138119.36641398</v>
      </c>
      <c r="J228" s="179">
        <f t="shared" si="35"/>
        <v>616742437.24707747</v>
      </c>
      <c r="K228" s="179">
        <f t="shared" si="35"/>
        <v>408884110.26115817</v>
      </c>
      <c r="L228" s="194">
        <f t="shared" si="36"/>
        <v>1.4895462309788637E-3</v>
      </c>
    </row>
    <row r="229" spans="5:12">
      <c r="E229">
        <v>2080</v>
      </c>
      <c r="F229" s="320" t="s">
        <v>240</v>
      </c>
      <c r="G229" s="320" t="s">
        <v>240</v>
      </c>
      <c r="H229" s="179">
        <f t="shared" si="35"/>
        <v>9341843127.5816517</v>
      </c>
      <c r="I229" s="179">
        <f t="shared" si="35"/>
        <v>247424259.32844955</v>
      </c>
      <c r="J229" s="179">
        <f t="shared" si="35"/>
        <v>839644949.00490248</v>
      </c>
      <c r="K229" s="179">
        <f t="shared" si="35"/>
        <v>558854368.72328722</v>
      </c>
      <c r="L229" s="194">
        <f t="shared" si="36"/>
        <v>1.8144522804155792E-3</v>
      </c>
    </row>
    <row r="230" spans="5:12">
      <c r="E230">
        <v>2090</v>
      </c>
      <c r="F230" s="320" t="s">
        <v>240</v>
      </c>
      <c r="G230" s="320" t="s">
        <v>240</v>
      </c>
      <c r="H230" s="179">
        <f t="shared" si="35"/>
        <v>12680537046.114241</v>
      </c>
      <c r="I230" s="179">
        <f t="shared" si="35"/>
        <v>343408349.31473714</v>
      </c>
      <c r="J230" s="179">
        <f t="shared" si="35"/>
        <v>1116727869.1245391</v>
      </c>
      <c r="K230" s="179">
        <f t="shared" si="35"/>
        <v>751804983.1849432</v>
      </c>
      <c r="L230" s="194">
        <f t="shared" si="36"/>
        <v>2.2275143908115297E-3</v>
      </c>
    </row>
    <row r="231" spans="5:12">
      <c r="E231">
        <v>2100</v>
      </c>
      <c r="F231" s="320" t="s">
        <v>240</v>
      </c>
      <c r="G231" s="320" t="s">
        <v>240</v>
      </c>
      <c r="H231" s="179">
        <f t="shared" si="35"/>
        <v>16943554711.313311</v>
      </c>
      <c r="I231" s="179">
        <f t="shared" si="35"/>
        <v>460873732.3466993</v>
      </c>
      <c r="J231" s="179">
        <f t="shared" si="35"/>
        <v>1450754310.792315</v>
      </c>
      <c r="K231" s="179">
        <f t="shared" si="35"/>
        <v>997255720.88437486</v>
      </c>
      <c r="L231" s="194">
        <f t="shared" si="36"/>
        <v>2.7566352458501891E-3</v>
      </c>
    </row>
    <row r="232" spans="5:12">
      <c r="F232" s="581" t="s">
        <v>250</v>
      </c>
      <c r="G232" s="581"/>
      <c r="H232" s="581"/>
      <c r="I232" s="581"/>
      <c r="J232" s="581"/>
      <c r="K232" s="581"/>
    </row>
    <row r="233" spans="5:12">
      <c r="E233">
        <v>2020</v>
      </c>
      <c r="H233" s="330">
        <f t="shared" ref="H233:K250" si="37">H214+H119</f>
        <v>6229332855.160655</v>
      </c>
      <c r="I233" s="330">
        <f t="shared" si="37"/>
        <v>1999414801.8550568</v>
      </c>
      <c r="J233" s="330">
        <f t="shared" si="37"/>
        <v>1396980977.6335628</v>
      </c>
      <c r="K233" s="330">
        <f t="shared" si="37"/>
        <v>497746559.98293078</v>
      </c>
      <c r="L233" s="194">
        <f t="shared" ref="L233:L250" si="38">SUM(H233:K233)/(SUM(F252:K252)*1000)</f>
        <v>7.8056684265600338E-3</v>
      </c>
    </row>
    <row r="234" spans="5:12">
      <c r="E234">
        <v>2021</v>
      </c>
      <c r="H234" s="330">
        <f t="shared" si="37"/>
        <v>6852910743.1524763</v>
      </c>
      <c r="I234" s="330">
        <f t="shared" si="37"/>
        <v>1889500476.7561026</v>
      </c>
      <c r="J234" s="330">
        <f t="shared" si="37"/>
        <v>1376877053.4644251</v>
      </c>
      <c r="K234" s="330">
        <f t="shared" si="37"/>
        <v>521273321.62664294</v>
      </c>
      <c r="L234" s="194">
        <f t="shared" si="38"/>
        <v>7.7909454693712212E-3</v>
      </c>
    </row>
    <row r="235" spans="5:12">
      <c r="E235">
        <v>2022</v>
      </c>
      <c r="H235" s="330">
        <f t="shared" si="37"/>
        <v>7483708444.9170284</v>
      </c>
      <c r="I235" s="330">
        <f t="shared" si="37"/>
        <v>1783826001.5371628</v>
      </c>
      <c r="J235" s="330">
        <f t="shared" si="37"/>
        <v>1358927663.2283068</v>
      </c>
      <c r="K235" s="330">
        <f t="shared" si="37"/>
        <v>545406946.63398123</v>
      </c>
      <c r="L235" s="194">
        <f t="shared" si="38"/>
        <v>7.7875481602694262E-3</v>
      </c>
    </row>
    <row r="236" spans="5:12">
      <c r="E236">
        <v>2023</v>
      </c>
      <c r="H236" s="330">
        <f t="shared" si="37"/>
        <v>8122441007.1887197</v>
      </c>
      <c r="I236" s="330">
        <f t="shared" si="37"/>
        <v>1682322506.5384517</v>
      </c>
      <c r="J236" s="330">
        <f t="shared" si="37"/>
        <v>1343131751.0771122</v>
      </c>
      <c r="K236" s="330">
        <f t="shared" si="37"/>
        <v>570176747.25657368</v>
      </c>
      <c r="L236" s="194">
        <f t="shared" si="38"/>
        <v>7.7943697454195418E-3</v>
      </c>
    </row>
    <row r="237" spans="5:12">
      <c r="E237">
        <v>2024</v>
      </c>
      <c r="H237" s="330">
        <f t="shared" si="37"/>
        <v>8769893977.4236393</v>
      </c>
      <c r="I237" s="330">
        <f t="shared" si="37"/>
        <v>1584896561.6197329</v>
      </c>
      <c r="J237" s="330">
        <f t="shared" si="37"/>
        <v>1329479704.757153</v>
      </c>
      <c r="K237" s="330">
        <f t="shared" si="37"/>
        <v>595613816.99961698</v>
      </c>
      <c r="L237" s="194">
        <f t="shared" si="38"/>
        <v>7.810522165767937E-3</v>
      </c>
    </row>
    <row r="238" spans="5:12">
      <c r="E238">
        <v>2025</v>
      </c>
      <c r="H238" s="330">
        <f t="shared" si="37"/>
        <v>9426915344.1866646</v>
      </c>
      <c r="I238" s="330">
        <f t="shared" si="37"/>
        <v>1491434658.7079079</v>
      </c>
      <c r="J238" s="330">
        <f t="shared" si="37"/>
        <v>1317955000.0937791</v>
      </c>
      <c r="K238" s="330">
        <f t="shared" si="37"/>
        <v>621750924.42397964</v>
      </c>
      <c r="L238" s="194">
        <f t="shared" si="38"/>
        <v>7.8352889572650165E-3</v>
      </c>
    </row>
    <row r="239" spans="5:12">
      <c r="E239">
        <v>2026</v>
      </c>
      <c r="H239" s="330">
        <f t="shared" si="37"/>
        <v>10094408260.973951</v>
      </c>
      <c r="I239" s="330">
        <f t="shared" si="37"/>
        <v>1401807309.6947532</v>
      </c>
      <c r="J239" s="330">
        <f t="shared" si="37"/>
        <v>1308535710.9745994</v>
      </c>
      <c r="K239" s="330">
        <f t="shared" si="37"/>
        <v>648622419.52181113</v>
      </c>
      <c r="L239" s="194">
        <f t="shared" si="38"/>
        <v>7.8680896874345173E-3</v>
      </c>
    </row>
    <row r="240" spans="5:12">
      <c r="E240">
        <v>2027</v>
      </c>
      <c r="H240" s="330">
        <f t="shared" si="37"/>
        <v>10773324604.014902</v>
      </c>
      <c r="I240" s="330">
        <f t="shared" si="37"/>
        <v>1315872735.0907383</v>
      </c>
      <c r="J240" s="330">
        <f t="shared" si="37"/>
        <v>1301195875.0597229</v>
      </c>
      <c r="K240" s="330">
        <f t="shared" si="37"/>
        <v>676264153.71857011</v>
      </c>
      <c r="L240" s="194">
        <f t="shared" si="38"/>
        <v>7.9084528134208409E-3</v>
      </c>
    </row>
    <row r="241" spans="5:12">
      <c r="E241">
        <v>2028</v>
      </c>
      <c r="H241" s="330">
        <f t="shared" si="37"/>
        <v>11464659380.837334</v>
      </c>
      <c r="I241" s="330">
        <f t="shared" si="37"/>
        <v>1233480135.9239883</v>
      </c>
      <c r="J241" s="330">
        <f t="shared" si="37"/>
        <v>1295906711.7090247</v>
      </c>
      <c r="K241" s="330">
        <f t="shared" si="37"/>
        <v>704713413.9898932</v>
      </c>
      <c r="L241" s="194">
        <f t="shared" si="38"/>
        <v>7.955994768952512E-3</v>
      </c>
    </row>
    <row r="242" spans="5:12">
      <c r="E242">
        <v>2029</v>
      </c>
      <c r="H242" s="330">
        <f t="shared" si="37"/>
        <v>12169445979.43754</v>
      </c>
      <c r="I242" s="330">
        <f t="shared" si="37"/>
        <v>1154472554.9964976</v>
      </c>
      <c r="J242" s="330">
        <f t="shared" si="37"/>
        <v>1292637693.6384206</v>
      </c>
      <c r="K242" s="330">
        <f t="shared" si="37"/>
        <v>734008871.12289846</v>
      </c>
      <c r="L242" s="194">
        <f t="shared" si="38"/>
        <v>8.0104037130222551E-3</v>
      </c>
    </row>
    <row r="243" spans="5:12">
      <c r="E243">
        <v>2030</v>
      </c>
      <c r="H243" s="330">
        <f t="shared" si="37"/>
        <v>12888752227.378069</v>
      </c>
      <c r="I243" s="330">
        <f t="shared" si="37"/>
        <v>1078689343.9763122</v>
      </c>
      <c r="J243" s="330">
        <f t="shared" si="37"/>
        <v>1291357477.6659706</v>
      </c>
      <c r="K243" s="330">
        <f t="shared" si="37"/>
        <v>764190541.79469562</v>
      </c>
      <c r="L243" s="194">
        <f t="shared" si="38"/>
        <v>8.071426804381816E-3</v>
      </c>
    </row>
    <row r="244" spans="5:12">
      <c r="E244">
        <v>2040</v>
      </c>
      <c r="H244" s="330">
        <f t="shared" si="37"/>
        <v>21247530563.364857</v>
      </c>
      <c r="I244" s="330">
        <f t="shared" si="37"/>
        <v>684017131.74182689</v>
      </c>
      <c r="J244" s="330">
        <f t="shared" si="37"/>
        <v>1567054861.6319523</v>
      </c>
      <c r="K244" s="330">
        <f t="shared" si="37"/>
        <v>1117767553.7323942</v>
      </c>
      <c r="L244" s="194">
        <f t="shared" si="38"/>
        <v>8.6585145579848068E-3</v>
      </c>
    </row>
    <row r="245" spans="5:12">
      <c r="E245">
        <v>2050</v>
      </c>
      <c r="H245" s="330">
        <f t="shared" si="37"/>
        <v>31852201506.39587</v>
      </c>
      <c r="I245" s="330">
        <f t="shared" si="37"/>
        <v>641373130.81934822</v>
      </c>
      <c r="J245" s="330">
        <f t="shared" si="37"/>
        <v>2158759323.8106165</v>
      </c>
      <c r="K245" s="330">
        <f t="shared" si="37"/>
        <v>1592297560.6127994</v>
      </c>
      <c r="L245" s="194">
        <f t="shared" si="38"/>
        <v>9.7682501578124775E-3</v>
      </c>
    </row>
    <row r="246" spans="5:12">
      <c r="E246">
        <v>2060</v>
      </c>
      <c r="H246" s="330">
        <f t="shared" si="37"/>
        <v>45910852725.249535</v>
      </c>
      <c r="I246" s="330">
        <f t="shared" si="37"/>
        <v>801615529.1789186</v>
      </c>
      <c r="J246" s="330">
        <f t="shared" si="37"/>
        <v>3036450155.6932068</v>
      </c>
      <c r="K246" s="330">
        <f t="shared" si="37"/>
        <v>2233017019.6354437</v>
      </c>
      <c r="L246" s="194">
        <f t="shared" si="38"/>
        <v>1.1454137204733159E-2</v>
      </c>
    </row>
    <row r="247" spans="5:12">
      <c r="E247">
        <v>2070</v>
      </c>
      <c r="H247" s="330">
        <f t="shared" si="37"/>
        <v>64710153289.465935</v>
      </c>
      <c r="I247" s="330">
        <f t="shared" si="37"/>
        <v>1113353023.2702541</v>
      </c>
      <c r="J247" s="330">
        <f t="shared" si="37"/>
        <v>4218372492.7064648</v>
      </c>
      <c r="K247" s="330">
        <f t="shared" si="37"/>
        <v>3094255948.9278903</v>
      </c>
      <c r="L247" s="194">
        <f t="shared" si="38"/>
        <v>1.3694023482295118E-2</v>
      </c>
    </row>
    <row r="248" spans="5:12">
      <c r="E248">
        <v>2080</v>
      </c>
      <c r="H248" s="330">
        <f t="shared" si="37"/>
        <v>89497612785.092743</v>
      </c>
      <c r="I248" s="330">
        <f t="shared" si="37"/>
        <v>1572876014.3724561</v>
      </c>
      <c r="J248" s="330">
        <f t="shared" si="37"/>
        <v>5742972986.1498795</v>
      </c>
      <c r="K248" s="330">
        <f t="shared" si="37"/>
        <v>4229165212.3676109</v>
      </c>
      <c r="L248" s="194">
        <f t="shared" si="38"/>
        <v>1.6685558576546588E-2</v>
      </c>
    </row>
    <row r="249" spans="5:12">
      <c r="E249">
        <v>2090</v>
      </c>
      <c r="H249" s="330">
        <f t="shared" si="37"/>
        <v>121483285360.40672</v>
      </c>
      <c r="I249" s="330">
        <f t="shared" si="37"/>
        <v>2183046873.5701747</v>
      </c>
      <c r="J249" s="330">
        <f t="shared" si="37"/>
        <v>7638154666.2832365</v>
      </c>
      <c r="K249" s="330">
        <f t="shared" si="37"/>
        <v>5689330994.4664469</v>
      </c>
      <c r="L249" s="194">
        <f t="shared" si="38"/>
        <v>2.0490592347117094E-2</v>
      </c>
    </row>
    <row r="250" spans="5:12">
      <c r="E250">
        <v>2100</v>
      </c>
      <c r="H250" s="330">
        <f t="shared" si="37"/>
        <v>162324252082.43781</v>
      </c>
      <c r="I250" s="330">
        <f t="shared" si="37"/>
        <v>2929774312.4701099</v>
      </c>
      <c r="J250" s="330">
        <f t="shared" si="37"/>
        <v>9922816574.1899872</v>
      </c>
      <c r="K250" s="330">
        <f t="shared" si="37"/>
        <v>7546794726.207242</v>
      </c>
      <c r="L250" s="194">
        <f t="shared" si="38"/>
        <v>2.5372319906524499E-2</v>
      </c>
    </row>
    <row r="251" spans="5:12">
      <c r="F251" s="581" t="s">
        <v>251</v>
      </c>
      <c r="G251" s="581"/>
      <c r="H251" s="581"/>
      <c r="I251" s="581"/>
      <c r="J251" s="581"/>
      <c r="K251" s="581"/>
    </row>
    <row r="252" spans="5:12">
      <c r="E252">
        <v>2020</v>
      </c>
      <c r="F252" s="61">
        <f>'Demographic-Economic'!C$38</f>
        <v>531771287</v>
      </c>
      <c r="G252" s="61">
        <f>'Demographic-Economic'!D$38</f>
        <v>222153795</v>
      </c>
      <c r="H252" s="61">
        <f>'Demographic-Economic'!E$38</f>
        <v>417708522</v>
      </c>
      <c r="I252" s="61">
        <f>'Demographic-Economic'!F$38</f>
        <v>45815957</v>
      </c>
      <c r="J252" s="61">
        <f>'Demographic-Economic'!G$38</f>
        <v>69643447</v>
      </c>
      <c r="K252" s="61">
        <f>'Demographic-Economic'!H$38</f>
        <v>9845914</v>
      </c>
    </row>
    <row r="253" spans="5:12">
      <c r="E253">
        <v>2021</v>
      </c>
      <c r="F253" s="61">
        <f>F$252*'Economic Projections'!$H4</f>
        <v>559989321.41034174</v>
      </c>
      <c r="G253" s="61">
        <f>G$252*'Economic Projections'!$H4</f>
        <v>233942215.29449028</v>
      </c>
      <c r="H253" s="61">
        <f>H$252*'Economic Projections'!$H4</f>
        <v>439873903.50035357</v>
      </c>
      <c r="I253" s="61">
        <f>I$252*'Economic Projections'!$H4</f>
        <v>48247145.525545083</v>
      </c>
      <c r="J253" s="61">
        <f>J$252*'Economic Projections'!$H4</f>
        <v>73339022.958956987</v>
      </c>
      <c r="K253" s="61">
        <f>K$252*'Economic Projections'!$H4</f>
        <v>10368379.85486152</v>
      </c>
    </row>
    <row r="254" spans="5:12">
      <c r="E254">
        <v>2022</v>
      </c>
      <c r="F254" s="61">
        <f>F$252*'Economic Projections'!$H5</f>
        <v>588207355.8206836</v>
      </c>
      <c r="G254" s="61">
        <f>G$252*'Economic Projections'!$H5</f>
        <v>245730635.58898056</v>
      </c>
      <c r="H254" s="61">
        <f>H$252*'Economic Projections'!$H5</f>
        <v>462039285.00070715</v>
      </c>
      <c r="I254" s="61">
        <f>I$252*'Economic Projections'!$H5</f>
        <v>50678334.051090159</v>
      </c>
      <c r="J254" s="61">
        <f>J$252*'Economic Projections'!$H5</f>
        <v>77034598.917913973</v>
      </c>
      <c r="K254" s="61">
        <f>K$252*'Economic Projections'!$H5</f>
        <v>10890845.70972304</v>
      </c>
    </row>
    <row r="255" spans="5:12">
      <c r="E255">
        <v>2023</v>
      </c>
      <c r="F255" s="61">
        <f>F$252*'Economic Projections'!$H6</f>
        <v>616425390.23102546</v>
      </c>
      <c r="G255" s="61">
        <f>G$252*'Economic Projections'!$H6</f>
        <v>257519055.88347089</v>
      </c>
      <c r="H255" s="61">
        <f>H$252*'Economic Projections'!$H6</f>
        <v>484204666.50106084</v>
      </c>
      <c r="I255" s="61">
        <f>I$252*'Economic Projections'!$H6</f>
        <v>53109522.576635249</v>
      </c>
      <c r="J255" s="61">
        <f>J$252*'Economic Projections'!$H6</f>
        <v>80730174.876870975</v>
      </c>
      <c r="K255" s="61">
        <f>K$252*'Economic Projections'!$H6</f>
        <v>11413311.564584564</v>
      </c>
    </row>
    <row r="256" spans="5:12">
      <c r="E256">
        <v>2024</v>
      </c>
      <c r="F256" s="61">
        <f>F$252*'Economic Projections'!$H7</f>
        <v>644643424.64136732</v>
      </c>
      <c r="G256" s="61">
        <f>G$252*'Economic Projections'!$H7</f>
        <v>269307476.17796117</v>
      </c>
      <c r="H256" s="61">
        <f>H$252*'Economic Projections'!$H7</f>
        <v>506370048.00141436</v>
      </c>
      <c r="I256" s="61">
        <f>I$252*'Economic Projections'!$H7</f>
        <v>55540711.102180332</v>
      </c>
      <c r="J256" s="61">
        <f>J$252*'Economic Projections'!$H7</f>
        <v>84425750.835827947</v>
      </c>
      <c r="K256" s="61">
        <f>K$252*'Economic Projections'!$H7</f>
        <v>11935777.419446085</v>
      </c>
    </row>
    <row r="257" spans="5:11">
      <c r="E257">
        <v>2025</v>
      </c>
      <c r="F257" s="61">
        <f>F$252*'Economic Projections'!$H8</f>
        <v>672861459.05170894</v>
      </c>
      <c r="G257" s="61">
        <f>G$252*'Economic Projections'!$H8</f>
        <v>281095896.47245139</v>
      </c>
      <c r="H257" s="61">
        <f>H$252*'Economic Projections'!$H8</f>
        <v>528535429.50176787</v>
      </c>
      <c r="I257" s="61">
        <f>I$252*'Economic Projections'!$H8</f>
        <v>57971899.6277254</v>
      </c>
      <c r="J257" s="61">
        <f>J$252*'Economic Projections'!$H8</f>
        <v>88121326.794784918</v>
      </c>
      <c r="K257" s="61">
        <f>K$252*'Economic Projections'!$H8</f>
        <v>12458243.274307603</v>
      </c>
    </row>
    <row r="258" spans="5:11">
      <c r="E258">
        <v>2026</v>
      </c>
      <c r="F258" s="61">
        <f>F$252*'Economic Projections'!$H9</f>
        <v>701079493.4620508</v>
      </c>
      <c r="G258" s="61">
        <f>G$252*'Economic Projections'!$H9</f>
        <v>292884316.76694167</v>
      </c>
      <c r="H258" s="61">
        <f>H$252*'Economic Projections'!$H9</f>
        <v>550700811.00212145</v>
      </c>
      <c r="I258" s="61">
        <f>I$252*'Economic Projections'!$H9</f>
        <v>60403088.153270483</v>
      </c>
      <c r="J258" s="61">
        <f>J$252*'Economic Projections'!$H9</f>
        <v>91816902.753741905</v>
      </c>
      <c r="K258" s="61">
        <f>K$252*'Economic Projections'!$H9</f>
        <v>12980709.129169123</v>
      </c>
    </row>
    <row r="259" spans="5:11">
      <c r="E259">
        <v>2027</v>
      </c>
      <c r="F259" s="61">
        <f>F$252*'Economic Projections'!$H10</f>
        <v>729297527.87239242</v>
      </c>
      <c r="G259" s="61">
        <f>G$252*'Economic Projections'!$H10</f>
        <v>304672737.06143194</v>
      </c>
      <c r="H259" s="61">
        <f>H$252*'Economic Projections'!$H10</f>
        <v>572866192.5024749</v>
      </c>
      <c r="I259" s="61">
        <f>I$252*'Economic Projections'!$H10</f>
        <v>62834276.678815551</v>
      </c>
      <c r="J259" s="61">
        <f>J$252*'Economic Projections'!$H10</f>
        <v>95512478.712698877</v>
      </c>
      <c r="K259" s="61">
        <f>K$252*'Economic Projections'!$H10</f>
        <v>13503174.984030642</v>
      </c>
    </row>
    <row r="260" spans="5:11">
      <c r="E260">
        <v>2028</v>
      </c>
      <c r="F260" s="61">
        <f>F$252*'Economic Projections'!$H11</f>
        <v>757515562.28273416</v>
      </c>
      <c r="G260" s="61">
        <f>G$252*'Economic Projections'!$H11</f>
        <v>316461157.35592222</v>
      </c>
      <c r="H260" s="61">
        <f>H$252*'Economic Projections'!$H11</f>
        <v>595031574.00282848</v>
      </c>
      <c r="I260" s="61">
        <f>I$252*'Economic Projections'!$H11</f>
        <v>65265465.204360634</v>
      </c>
      <c r="J260" s="61">
        <f>J$252*'Economic Projections'!$H11</f>
        <v>99208054.671655864</v>
      </c>
      <c r="K260" s="61">
        <f>K$252*'Economic Projections'!$H11</f>
        <v>14025640.838892162</v>
      </c>
    </row>
    <row r="261" spans="5:11">
      <c r="E261">
        <v>2029</v>
      </c>
      <c r="F261" s="61">
        <f>F$252*'Economic Projections'!$H12</f>
        <v>785733596.6930759</v>
      </c>
      <c r="G261" s="61">
        <f>G$252*'Economic Projections'!$H12</f>
        <v>328249577.65041244</v>
      </c>
      <c r="H261" s="61">
        <f>H$252*'Economic Projections'!$H12</f>
        <v>617196955.50318193</v>
      </c>
      <c r="I261" s="61">
        <f>I$252*'Economic Projections'!$H12</f>
        <v>67696653.72990571</v>
      </c>
      <c r="J261" s="61">
        <f>J$252*'Economic Projections'!$H12</f>
        <v>102903630.63061284</v>
      </c>
      <c r="K261" s="61">
        <f>K$252*'Economic Projections'!$H12</f>
        <v>14548106.69375368</v>
      </c>
    </row>
    <row r="262" spans="5:11">
      <c r="E262">
        <v>2030</v>
      </c>
      <c r="F262" s="61">
        <f>F$252*'Economic Projections'!$H13</f>
        <v>813951631.10341775</v>
      </c>
      <c r="G262" s="61">
        <f>G$252*'Economic Projections'!$H13</f>
        <v>340037997.94490278</v>
      </c>
      <c r="H262" s="61">
        <f>H$252*'Economic Projections'!$H13</f>
        <v>639362337.00353563</v>
      </c>
      <c r="I262" s="61">
        <f>I$252*'Economic Projections'!$H13</f>
        <v>70127842.2554508</v>
      </c>
      <c r="J262" s="61">
        <f>J$252*'Economic Projections'!$H13</f>
        <v>106599206.58956982</v>
      </c>
      <c r="K262" s="61">
        <f>K$252*'Economic Projections'!$H13</f>
        <v>15070572.548615202</v>
      </c>
    </row>
    <row r="263" spans="5:11">
      <c r="E263">
        <v>2040</v>
      </c>
      <c r="F263" s="61">
        <f>F$252*'Economic Projections'!$H14</f>
        <v>1165697812.39835</v>
      </c>
      <c r="G263" s="61">
        <f>G$252*'Economic Projections'!$H14</f>
        <v>486984158.75073659</v>
      </c>
      <c r="H263" s="61">
        <f>H$252*'Economic Projections'!$H14</f>
        <v>915660401.79139662</v>
      </c>
      <c r="I263" s="61">
        <f>I$252*'Economic Projections'!$H14</f>
        <v>100433329.42840306</v>
      </c>
      <c r="J263" s="61">
        <f>J$252*'Economic Projections'!$H14</f>
        <v>152665658.71538007</v>
      </c>
      <c r="K263" s="61">
        <f>K$252*'Economic Projections'!$H14</f>
        <v>21583264.631703004</v>
      </c>
    </row>
    <row r="264" spans="5:11">
      <c r="E264">
        <v>2050</v>
      </c>
      <c r="F264" s="61">
        <f>F$252*'Economic Projections'!$H15</f>
        <v>1521360989.0306425</v>
      </c>
      <c r="G264" s="61">
        <f>G$252*'Economic Projections'!$H15</f>
        <v>635566691.05774903</v>
      </c>
      <c r="H264" s="61">
        <f>H$252*'Economic Projections'!$H15</f>
        <v>1195035282.445492</v>
      </c>
      <c r="I264" s="61">
        <f>I$252*'Economic Projections'!$H15</f>
        <v>131076294.18680024</v>
      </c>
      <c r="J264" s="61">
        <f>J$252*'Economic Projections'!$H15</f>
        <v>199245100.28579849</v>
      </c>
      <c r="K264" s="61">
        <f>K$252*'Economic Projections'!$H15</f>
        <v>28168481.125515617</v>
      </c>
    </row>
    <row r="265" spans="5:11">
      <c r="E265">
        <v>2060</v>
      </c>
      <c r="F265" s="61">
        <f>F$252*'Economic Projections'!$H16</f>
        <v>1860781691.6640153</v>
      </c>
      <c r="G265" s="61">
        <f>G$252*'Economic Projections'!$H16</f>
        <v>777363736.20654106</v>
      </c>
      <c r="H265" s="61">
        <f>H$252*'Economic Projections'!$H16</f>
        <v>1461651633.3076019</v>
      </c>
      <c r="I265" s="61">
        <f>I$252*'Economic Projections'!$H16</f>
        <v>160319851.89088592</v>
      </c>
      <c r="J265" s="61">
        <f>J$252*'Economic Projections'!$H16</f>
        <v>243697345.62590852</v>
      </c>
      <c r="K265" s="61">
        <f>K$252*'Economic Projections'!$H16</f>
        <v>34452963.062856026</v>
      </c>
    </row>
    <row r="266" spans="5:11">
      <c r="E266">
        <v>2070</v>
      </c>
      <c r="F266" s="61">
        <f>F$252*'Economic Projections'!$H17</f>
        <v>2189809300.0022593</v>
      </c>
      <c r="G266" s="61">
        <f>G$252*'Economic Projections'!$H17</f>
        <v>914818942.30553937</v>
      </c>
      <c r="H266" s="61">
        <f>H$252*'Economic Projections'!$H17</f>
        <v>1720104166.0713027</v>
      </c>
      <c r="I266" s="61">
        <f>I$252*'Economic Projections'!$H17</f>
        <v>188667969.06825775</v>
      </c>
      <c r="J266" s="61">
        <f>J$252*'Economic Projections'!$H17</f>
        <v>286788458.97299159</v>
      </c>
      <c r="K266" s="61">
        <f>K$252*'Economic Projections'!$H17</f>
        <v>40545013.563739941</v>
      </c>
    </row>
    <row r="267" spans="5:11">
      <c r="E267">
        <v>2080</v>
      </c>
      <c r="F267" s="61">
        <f>F$252*'Economic Projections'!$H18</f>
        <v>2482957231.0502849</v>
      </c>
      <c r="G267" s="61">
        <f>G$252*'Economic Projections'!$H18</f>
        <v>1037284985.4537419</v>
      </c>
      <c r="H267" s="61">
        <f>H$252*'Economic Projections'!$H18</f>
        <v>1950373065.5002947</v>
      </c>
      <c r="I267" s="61">
        <f>I$252*'Economic Projections'!$H18</f>
        <v>213924791.56295425</v>
      </c>
      <c r="J267" s="61">
        <f>J$252*'Economic Projections'!$H18</f>
        <v>325180589.00746417</v>
      </c>
      <c r="K267" s="61">
        <f>K$252*'Economic Projections'!$H18</f>
        <v>45972740.462384604</v>
      </c>
    </row>
    <row r="268" spans="5:11">
      <c r="E268">
        <v>2090</v>
      </c>
      <c r="F268" s="61">
        <f>F$252*'Economic Projections'!$H19</f>
        <v>2741270016.8980556</v>
      </c>
      <c r="G268" s="61">
        <f>G$252*'Economic Projections'!$H19</f>
        <v>1145198231.3847969</v>
      </c>
      <c r="H268" s="61">
        <f>H$252*'Economic Projections'!$H19</f>
        <v>2153278815.8255749</v>
      </c>
      <c r="I268" s="61">
        <f>I$252*'Economic Projections'!$H19</f>
        <v>236180313.39776078</v>
      </c>
      <c r="J268" s="61">
        <f>J$252*'Economic Projections'!$H19</f>
        <v>359010532.91455513</v>
      </c>
      <c r="K268" s="61">
        <f>K$252*'Economic Projections'!$H19</f>
        <v>50755483.601649977</v>
      </c>
    </row>
    <row r="269" spans="5:11">
      <c r="E269">
        <v>2100</v>
      </c>
      <c r="F269" s="61">
        <f>F$252*'Economic Projections'!$H20</f>
        <v>2952839991.719996</v>
      </c>
      <c r="G269" s="61">
        <f>G$252*'Economic Projections'!$H20</f>
        <v>1233584110.7351208</v>
      </c>
      <c r="H269" s="61">
        <f>H$252*'Economic Projections'!$H20</f>
        <v>2319467896.8137889</v>
      </c>
      <c r="I269" s="61">
        <f>I$252*'Economic Projections'!$H20</f>
        <v>254408602.71292478</v>
      </c>
      <c r="J269" s="61">
        <f>J$252*'Economic Projections'!$H20</f>
        <v>386718802.78265566</v>
      </c>
      <c r="K269" s="61">
        <f>K$252*'Economic Projections'!$H20</f>
        <v>54672768.772932626</v>
      </c>
    </row>
  </sheetData>
  <mergeCells count="16">
    <mergeCell ref="F61:K61"/>
    <mergeCell ref="B2:C2"/>
    <mergeCell ref="F2:K2"/>
    <mergeCell ref="F4:K4"/>
    <mergeCell ref="F23:K23"/>
    <mergeCell ref="F42:K42"/>
    <mergeCell ref="F213:K213"/>
    <mergeCell ref="F232:K232"/>
    <mergeCell ref="F251:K251"/>
    <mergeCell ref="F175:K175"/>
    <mergeCell ref="F80:K80"/>
    <mergeCell ref="F99:K99"/>
    <mergeCell ref="F118:K118"/>
    <mergeCell ref="F137:K137"/>
    <mergeCell ref="F156:K156"/>
    <mergeCell ref="F194:K194"/>
  </mergeCells>
  <phoneticPr fontId="62"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10"/>
  <sheetViews>
    <sheetView workbookViewId="0">
      <selection activeCell="B4" sqref="B4"/>
    </sheetView>
  </sheetViews>
  <sheetFormatPr defaultColWidth="8.7109375" defaultRowHeight="15" outlineLevelRow="1"/>
  <cols>
    <col min="1" max="1" width="18.28515625" bestFit="1" customWidth="1"/>
    <col min="2" max="2" width="24.140625" bestFit="1" customWidth="1"/>
    <col min="3" max="3" width="14" bestFit="1" customWidth="1"/>
    <col min="4" max="4" width="12.42578125" bestFit="1" customWidth="1"/>
  </cols>
  <sheetData>
    <row r="2" spans="1:2">
      <c r="B2" s="1" t="s">
        <v>373</v>
      </c>
    </row>
    <row r="3" spans="1:2">
      <c r="B3" t="s">
        <v>374</v>
      </c>
    </row>
    <row r="4" spans="1:2">
      <c r="A4" t="s">
        <v>375</v>
      </c>
      <c r="B4">
        <f>AVERAGE(B5:B8)</f>
        <v>968646.64999999991</v>
      </c>
    </row>
    <row r="5" spans="1:2" outlineLevel="1">
      <c r="A5" t="s">
        <v>231</v>
      </c>
      <c r="B5">
        <v>1340285</v>
      </c>
    </row>
    <row r="6" spans="1:2" outlineLevel="1">
      <c r="A6" t="s">
        <v>5</v>
      </c>
      <c r="B6">
        <v>808086</v>
      </c>
    </row>
    <row r="7" spans="1:2" outlineLevel="1">
      <c r="A7" t="s">
        <v>232</v>
      </c>
      <c r="B7">
        <v>989786.8</v>
      </c>
    </row>
    <row r="8" spans="1:2" outlineLevel="1">
      <c r="A8" t="s">
        <v>233</v>
      </c>
      <c r="B8">
        <v>736428.8</v>
      </c>
    </row>
    <row r="9" spans="1:2">
      <c r="A9" t="s">
        <v>376</v>
      </c>
      <c r="B9">
        <v>15382036.6</v>
      </c>
    </row>
    <row r="10" spans="1:2">
      <c r="A10" t="s">
        <v>377</v>
      </c>
      <c r="B10">
        <v>20560590.5</v>
      </c>
    </row>
  </sheetData>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2FEA7-8AC2-40E2-8A09-DDF4909EFC72}">
  <dimension ref="A1:S41"/>
  <sheetViews>
    <sheetView workbookViewId="0">
      <selection sqref="A1:D1"/>
    </sheetView>
  </sheetViews>
  <sheetFormatPr defaultColWidth="8.7109375" defaultRowHeight="15"/>
  <cols>
    <col min="1" max="1" width="10" bestFit="1" customWidth="1"/>
    <col min="2" max="2" width="12.140625" bestFit="1" customWidth="1"/>
    <col min="3" max="4" width="12.42578125" bestFit="1" customWidth="1"/>
    <col min="6" max="6" width="11.140625" customWidth="1"/>
    <col min="7" max="8" width="10.42578125" bestFit="1" customWidth="1"/>
    <col min="9" max="9" width="12.140625" customWidth="1"/>
    <col min="11" max="11" width="14.140625" customWidth="1"/>
    <col min="12" max="14" width="12" bestFit="1" customWidth="1"/>
    <col min="16" max="16" width="11" customWidth="1"/>
    <col min="17" max="17" width="10.42578125" customWidth="1"/>
    <col min="18" max="18" width="12.42578125" customWidth="1"/>
    <col min="19" max="19" width="13.7109375" customWidth="1"/>
  </cols>
  <sheetData>
    <row r="1" spans="1:19">
      <c r="A1" s="578" t="s">
        <v>206</v>
      </c>
      <c r="B1" s="578"/>
      <c r="C1" s="578"/>
      <c r="D1" s="578"/>
      <c r="E1" s="197"/>
      <c r="F1" s="579" t="s">
        <v>207</v>
      </c>
      <c r="G1" s="579"/>
      <c r="H1" s="579"/>
      <c r="I1" s="579"/>
      <c r="K1" s="578" t="s">
        <v>208</v>
      </c>
      <c r="L1" s="578"/>
      <c r="M1" s="578"/>
      <c r="N1" s="578"/>
      <c r="P1" s="576" t="s">
        <v>209</v>
      </c>
      <c r="Q1" s="576"/>
      <c r="R1" s="576"/>
      <c r="S1" s="576"/>
    </row>
    <row r="2" spans="1:19">
      <c r="A2" s="220" t="s">
        <v>210</v>
      </c>
      <c r="B2" s="220" t="s">
        <v>211</v>
      </c>
      <c r="C2" s="220" t="s">
        <v>212</v>
      </c>
      <c r="D2" s="220" t="s">
        <v>96</v>
      </c>
      <c r="E2" s="197"/>
      <c r="F2" s="365" t="s">
        <v>210</v>
      </c>
      <c r="G2" s="365" t="s">
        <v>213</v>
      </c>
      <c r="H2" s="365" t="s">
        <v>212</v>
      </c>
      <c r="I2" s="365" t="s">
        <v>96</v>
      </c>
      <c r="J2" s="198"/>
      <c r="K2" s="220" t="s">
        <v>210</v>
      </c>
      <c r="L2" s="220" t="s">
        <v>213</v>
      </c>
      <c r="M2" s="220" t="s">
        <v>212</v>
      </c>
      <c r="N2" s="220" t="s">
        <v>96</v>
      </c>
      <c r="P2" s="224" t="s">
        <v>210</v>
      </c>
      <c r="Q2" s="224" t="s">
        <v>211</v>
      </c>
      <c r="R2" s="224" t="s">
        <v>212</v>
      </c>
      <c r="S2" s="224" t="s">
        <v>96</v>
      </c>
    </row>
    <row r="3" spans="1:19">
      <c r="A3" s="221">
        <v>1</v>
      </c>
      <c r="B3" s="366">
        <v>1001298.1</v>
      </c>
      <c r="C3" s="366">
        <v>1292886.3999999999</v>
      </c>
      <c r="D3" s="366">
        <v>1147092.2</v>
      </c>
      <c r="E3" s="197"/>
      <c r="F3" s="367">
        <v>1</v>
      </c>
      <c r="G3" s="367">
        <v>6153101.7999999998</v>
      </c>
      <c r="H3" s="367">
        <v>7822945.5</v>
      </c>
      <c r="I3" s="367">
        <v>6988023.5999999996</v>
      </c>
      <c r="J3" s="198"/>
      <c r="K3" s="221">
        <v>1</v>
      </c>
      <c r="L3" s="366">
        <v>4179958</v>
      </c>
      <c r="M3" s="366">
        <v>7585933</v>
      </c>
      <c r="N3" s="366">
        <v>5882946</v>
      </c>
      <c r="P3" s="225">
        <v>1</v>
      </c>
      <c r="Q3" s="367">
        <f t="shared" ref="Q3:S8" si="0">SUM(B3,G3,L3)</f>
        <v>11334357.899999999</v>
      </c>
      <c r="R3" s="367">
        <f t="shared" si="0"/>
        <v>16701764.9</v>
      </c>
      <c r="S3" s="367">
        <f t="shared" si="0"/>
        <v>14018061.800000001</v>
      </c>
    </row>
    <row r="4" spans="1:19">
      <c r="A4">
        <v>2</v>
      </c>
      <c r="B4" s="199">
        <v>1140361.8999999999</v>
      </c>
      <c r="C4" s="199">
        <v>1371371.1</v>
      </c>
      <c r="D4" s="199">
        <v>1255866.5</v>
      </c>
      <c r="E4" s="197"/>
      <c r="F4" s="65">
        <v>2</v>
      </c>
      <c r="G4" s="65">
        <v>9280508.8000000007</v>
      </c>
      <c r="H4" s="65">
        <v>11797597.300000001</v>
      </c>
      <c r="I4" s="65">
        <v>10539053.1</v>
      </c>
      <c r="J4" s="198"/>
      <c r="K4">
        <v>2</v>
      </c>
      <c r="L4" s="199">
        <v>8570289</v>
      </c>
      <c r="M4" s="199">
        <v>13460450</v>
      </c>
      <c r="N4" s="199">
        <v>11015370</v>
      </c>
      <c r="P4" s="197">
        <v>2</v>
      </c>
      <c r="Q4" s="65">
        <f t="shared" si="0"/>
        <v>18991159.700000003</v>
      </c>
      <c r="R4" s="65">
        <f t="shared" si="0"/>
        <v>26629418.399999999</v>
      </c>
      <c r="S4" s="65">
        <f t="shared" si="0"/>
        <v>22810289.600000001</v>
      </c>
    </row>
    <row r="5" spans="1:19">
      <c r="A5" s="222">
        <v>3</v>
      </c>
      <c r="B5" s="368">
        <v>796507.2</v>
      </c>
      <c r="C5" s="368">
        <v>989990.8</v>
      </c>
      <c r="D5" s="368">
        <v>893249</v>
      </c>
      <c r="E5" s="197"/>
      <c r="F5" s="369">
        <v>3</v>
      </c>
      <c r="G5" s="369">
        <v>300815.2</v>
      </c>
      <c r="H5" s="369">
        <v>754559</v>
      </c>
      <c r="I5" s="369">
        <v>527687.1</v>
      </c>
      <c r="J5" s="200"/>
      <c r="K5" s="222">
        <v>3</v>
      </c>
      <c r="L5" s="222">
        <v>0</v>
      </c>
      <c r="M5" s="368">
        <v>583.08460000000002</v>
      </c>
      <c r="N5" s="368">
        <v>288.8338</v>
      </c>
      <c r="P5" s="226">
        <v>3</v>
      </c>
      <c r="Q5" s="369">
        <f t="shared" si="0"/>
        <v>1097322.3999999999</v>
      </c>
      <c r="R5" s="369">
        <f t="shared" si="0"/>
        <v>1745132.8846</v>
      </c>
      <c r="S5" s="369">
        <f t="shared" si="0"/>
        <v>1421224.9338</v>
      </c>
    </row>
    <row r="6" spans="1:19">
      <c r="A6">
        <v>4</v>
      </c>
      <c r="B6" s="199">
        <v>361711.7</v>
      </c>
      <c r="C6" s="199">
        <v>450561.5</v>
      </c>
      <c r="D6" s="199">
        <v>406136.6</v>
      </c>
      <c r="E6" s="197"/>
      <c r="F6" s="65">
        <v>4</v>
      </c>
      <c r="G6" s="65">
        <v>298436.2</v>
      </c>
      <c r="H6" s="65">
        <v>494933.6</v>
      </c>
      <c r="I6" s="65">
        <v>396684.9</v>
      </c>
      <c r="J6" s="200"/>
      <c r="K6">
        <v>4</v>
      </c>
      <c r="L6">
        <v>0</v>
      </c>
      <c r="M6" s="199">
        <v>139576.5</v>
      </c>
      <c r="N6" s="199">
        <v>63172.72</v>
      </c>
      <c r="P6" s="197">
        <v>4</v>
      </c>
      <c r="Q6" s="65">
        <f t="shared" si="0"/>
        <v>660147.9</v>
      </c>
      <c r="R6" s="65">
        <f t="shared" si="0"/>
        <v>1085071.6000000001</v>
      </c>
      <c r="S6" s="65">
        <f t="shared" si="0"/>
        <v>865994.22</v>
      </c>
    </row>
    <row r="7" spans="1:19">
      <c r="A7" s="222">
        <v>5</v>
      </c>
      <c r="B7" s="368">
        <v>261662.7</v>
      </c>
      <c r="C7" s="368">
        <v>324971.7</v>
      </c>
      <c r="D7" s="368">
        <v>293317.2</v>
      </c>
      <c r="E7" s="197"/>
      <c r="F7" s="369">
        <v>5</v>
      </c>
      <c r="G7" s="369">
        <v>250741.1</v>
      </c>
      <c r="H7" s="369">
        <v>382681.3</v>
      </c>
      <c r="I7" s="369">
        <v>316711.2</v>
      </c>
      <c r="J7" s="200"/>
      <c r="K7" s="222">
        <v>5</v>
      </c>
      <c r="L7" s="368">
        <v>325356.3</v>
      </c>
      <c r="M7" s="368">
        <v>780627.7</v>
      </c>
      <c r="N7" s="368">
        <v>552992</v>
      </c>
      <c r="P7" s="226">
        <v>5</v>
      </c>
      <c r="Q7" s="369">
        <f t="shared" si="0"/>
        <v>837760.10000000009</v>
      </c>
      <c r="R7" s="369">
        <f t="shared" si="0"/>
        <v>1488280.7</v>
      </c>
      <c r="S7" s="369">
        <f t="shared" si="0"/>
        <v>1163020.3999999999</v>
      </c>
    </row>
    <row r="8" spans="1:19">
      <c r="A8" s="223">
        <v>6</v>
      </c>
      <c r="B8" s="370">
        <v>315846.59999999998</v>
      </c>
      <c r="C8" s="370">
        <v>407795.1</v>
      </c>
      <c r="D8" s="370">
        <v>361820.9</v>
      </c>
      <c r="E8" s="197"/>
      <c r="F8" s="371">
        <v>6</v>
      </c>
      <c r="G8" s="371">
        <v>376137.1</v>
      </c>
      <c r="H8" s="371">
        <v>688786.9</v>
      </c>
      <c r="I8" s="371">
        <v>532462</v>
      </c>
      <c r="J8" s="200"/>
      <c r="K8" s="223">
        <v>6</v>
      </c>
      <c r="L8" s="370">
        <v>4213.0720000000001</v>
      </c>
      <c r="M8" s="370">
        <v>35666.15</v>
      </c>
      <c r="N8" s="370">
        <v>19939.61</v>
      </c>
      <c r="P8" s="227">
        <v>6</v>
      </c>
      <c r="Q8" s="371">
        <f t="shared" si="0"/>
        <v>696196.772</v>
      </c>
      <c r="R8" s="371">
        <f t="shared" si="0"/>
        <v>1132248.1499999999</v>
      </c>
      <c r="S8" s="371">
        <f t="shared" si="0"/>
        <v>914222.51</v>
      </c>
    </row>
    <row r="9" spans="1:19">
      <c r="A9" s="197"/>
      <c r="B9" s="197"/>
      <c r="C9" s="197"/>
      <c r="D9" s="197"/>
      <c r="E9" s="197"/>
      <c r="F9" s="197"/>
      <c r="G9" s="197"/>
      <c r="H9" s="198"/>
      <c r="I9" s="198"/>
    </row>
    <row r="10" spans="1:19">
      <c r="A10" s="576" t="s">
        <v>214</v>
      </c>
      <c r="B10" s="576"/>
      <c r="C10" s="576"/>
      <c r="D10" s="576"/>
      <c r="E10" s="197"/>
      <c r="F10" s="576" t="s">
        <v>215</v>
      </c>
      <c r="G10" s="576"/>
      <c r="H10" s="576"/>
      <c r="I10" s="576"/>
      <c r="K10" s="576" t="s">
        <v>216</v>
      </c>
      <c r="L10" s="576"/>
      <c r="M10" s="576"/>
      <c r="N10" s="576"/>
    </row>
    <row r="11" spans="1:19">
      <c r="A11" s="224" t="s">
        <v>210</v>
      </c>
      <c r="B11" s="224" t="s">
        <v>213</v>
      </c>
      <c r="C11" s="224" t="s">
        <v>212</v>
      </c>
      <c r="D11" s="224" t="s">
        <v>96</v>
      </c>
      <c r="E11" s="197"/>
      <c r="F11" s="224" t="s">
        <v>217</v>
      </c>
      <c r="G11" s="224" t="s">
        <v>211</v>
      </c>
      <c r="H11" s="224" t="s">
        <v>218</v>
      </c>
      <c r="I11" s="224" t="s">
        <v>96</v>
      </c>
      <c r="K11" s="224" t="s">
        <v>210</v>
      </c>
      <c r="L11" s="224" t="s">
        <v>211</v>
      </c>
      <c r="M11" s="224" t="s">
        <v>218</v>
      </c>
      <c r="N11" s="224" t="s">
        <v>96</v>
      </c>
      <c r="P11" s="200"/>
    </row>
    <row r="12" spans="1:19">
      <c r="A12" s="225">
        <v>1</v>
      </c>
      <c r="B12" s="367">
        <v>5.4569380000000001</v>
      </c>
      <c r="C12" s="367">
        <v>6.5729749999999996</v>
      </c>
      <c r="D12" s="367">
        <v>6.0149559999999997</v>
      </c>
      <c r="E12" s="197"/>
      <c r="F12" s="225">
        <v>1</v>
      </c>
      <c r="G12" s="367">
        <v>3.7046356999999999</v>
      </c>
      <c r="H12" s="367">
        <v>4.7744732000000001</v>
      </c>
      <c r="I12" s="367">
        <v>4.2395544000000003</v>
      </c>
      <c r="K12" s="225">
        <v>1</v>
      </c>
      <c r="L12" s="367">
        <v>0.4945002</v>
      </c>
      <c r="M12" s="367">
        <v>0.83204210000000001</v>
      </c>
      <c r="N12" s="367">
        <v>0.66327115319999996</v>
      </c>
      <c r="P12" s="200"/>
    </row>
    <row r="13" spans="1:19">
      <c r="A13" s="197">
        <v>2</v>
      </c>
      <c r="B13" s="65">
        <v>15.214212</v>
      </c>
      <c r="C13" s="65">
        <v>17.181391000000001</v>
      </c>
      <c r="D13" s="65">
        <v>16.197801999999999</v>
      </c>
      <c r="E13" s="197"/>
      <c r="F13" s="197">
        <v>2</v>
      </c>
      <c r="G13" s="65">
        <v>5.0763911000000004</v>
      </c>
      <c r="H13" s="65">
        <v>6.1927235999999999</v>
      </c>
      <c r="I13" s="65">
        <v>5.6345573</v>
      </c>
      <c r="K13" s="197">
        <v>2</v>
      </c>
      <c r="L13" s="65">
        <v>0.88207469999999999</v>
      </c>
      <c r="M13" s="65">
        <v>1.373502</v>
      </c>
      <c r="N13" s="65">
        <v>1.1277885622999999</v>
      </c>
      <c r="P13" s="200"/>
    </row>
    <row r="14" spans="1:19">
      <c r="A14" s="226">
        <v>3</v>
      </c>
      <c r="B14" s="369">
        <v>19.288550000000001</v>
      </c>
      <c r="C14" s="369">
        <v>21.846430999999999</v>
      </c>
      <c r="D14" s="369">
        <v>20.567489999999999</v>
      </c>
      <c r="E14" s="197"/>
      <c r="F14" s="226">
        <v>3</v>
      </c>
      <c r="G14" s="369">
        <v>0.33202419999999999</v>
      </c>
      <c r="H14" s="369">
        <v>0.80040489999999997</v>
      </c>
      <c r="I14" s="369">
        <v>0.56621460000000001</v>
      </c>
      <c r="K14" s="226">
        <v>3</v>
      </c>
      <c r="L14" s="369">
        <v>2.7280540000000002E-6</v>
      </c>
      <c r="M14" s="369">
        <v>6.7267350000000002E-5</v>
      </c>
      <c r="N14" s="369">
        <v>3.4997699999999999E-5</v>
      </c>
      <c r="P14" s="200"/>
    </row>
    <row r="15" spans="1:19">
      <c r="A15" s="197">
        <v>4</v>
      </c>
      <c r="B15" s="65">
        <v>7.0474829999999997</v>
      </c>
      <c r="C15" s="65">
        <v>7.9402540000000004</v>
      </c>
      <c r="D15" s="65">
        <v>7.493868</v>
      </c>
      <c r="E15" s="197"/>
      <c r="F15" s="197">
        <v>4</v>
      </c>
      <c r="G15" s="65">
        <v>0.2713277</v>
      </c>
      <c r="H15" s="65">
        <v>0.41756599999999999</v>
      </c>
      <c r="I15" s="65">
        <v>0.3444469</v>
      </c>
      <c r="K15" s="197">
        <v>4</v>
      </c>
      <c r="L15" s="197">
        <v>0</v>
      </c>
      <c r="M15" s="65">
        <v>2.1118000000000001E-2</v>
      </c>
      <c r="N15" s="65">
        <v>9.3654271000000004E-3</v>
      </c>
      <c r="P15" s="200"/>
    </row>
    <row r="16" spans="1:19">
      <c r="A16" s="226">
        <v>5</v>
      </c>
      <c r="B16" s="369">
        <v>5.974615</v>
      </c>
      <c r="C16" s="369">
        <v>6.799436</v>
      </c>
      <c r="D16" s="369">
        <v>6.3870259999999996</v>
      </c>
      <c r="E16" s="197"/>
      <c r="F16" s="226">
        <v>5</v>
      </c>
      <c r="G16" s="369">
        <v>0.1912219</v>
      </c>
      <c r="H16" s="369">
        <v>0.30666179999999998</v>
      </c>
      <c r="I16" s="369">
        <v>0.24894189999999999</v>
      </c>
      <c r="K16" s="226">
        <v>5</v>
      </c>
      <c r="L16" s="369">
        <v>2.7989070000000001E-2</v>
      </c>
      <c r="M16" s="369">
        <v>5.8016720000000001E-2</v>
      </c>
      <c r="N16" s="369">
        <v>4.30028956E-2</v>
      </c>
      <c r="P16" s="200"/>
    </row>
    <row r="17" spans="1:16">
      <c r="A17" s="227">
        <v>6</v>
      </c>
      <c r="B17" s="371">
        <v>3.5419960000000001</v>
      </c>
      <c r="C17" s="371">
        <v>4.3931810000000002</v>
      </c>
      <c r="D17" s="371">
        <v>3.9675880000000001</v>
      </c>
      <c r="E17" s="197"/>
      <c r="F17" s="227">
        <v>6</v>
      </c>
      <c r="G17" s="371">
        <v>0.32618599999999998</v>
      </c>
      <c r="H17" s="371">
        <v>0.52764480000000002</v>
      </c>
      <c r="I17" s="371">
        <v>0.4269154</v>
      </c>
      <c r="K17" s="227">
        <v>6</v>
      </c>
      <c r="L17" s="371">
        <v>3.756195E-4</v>
      </c>
      <c r="M17" s="371">
        <v>5.6805390000000001E-3</v>
      </c>
      <c r="N17" s="371">
        <v>3.0280792E-3</v>
      </c>
      <c r="P17" s="200"/>
    </row>
    <row r="18" spans="1:16">
      <c r="A18" s="197"/>
      <c r="B18" s="197"/>
      <c r="C18" s="197"/>
      <c r="D18" s="197"/>
      <c r="E18" s="197"/>
    </row>
    <row r="19" spans="1:16">
      <c r="A19" s="576"/>
      <c r="B19" s="576"/>
      <c r="C19" s="576"/>
      <c r="D19" s="576"/>
      <c r="E19" s="197"/>
      <c r="F19" s="576" t="s">
        <v>220</v>
      </c>
      <c r="G19" s="576"/>
      <c r="H19" s="576"/>
      <c r="I19" s="576"/>
      <c r="K19" s="576" t="s">
        <v>221</v>
      </c>
      <c r="L19" s="576"/>
      <c r="M19" s="576"/>
      <c r="N19" s="576"/>
    </row>
    <row r="20" spans="1:16">
      <c r="A20" s="224" t="s">
        <v>210</v>
      </c>
      <c r="B20" s="224" t="s">
        <v>213</v>
      </c>
      <c r="C20" s="224" t="s">
        <v>212</v>
      </c>
      <c r="D20" s="224" t="s">
        <v>96</v>
      </c>
      <c r="E20" s="197"/>
      <c r="F20" s="224" t="s">
        <v>210</v>
      </c>
      <c r="G20" s="224" t="s">
        <v>211</v>
      </c>
      <c r="H20" s="224" t="s">
        <v>212</v>
      </c>
      <c r="I20" s="224" t="s">
        <v>96</v>
      </c>
      <c r="K20" s="365" t="s">
        <v>210</v>
      </c>
      <c r="L20" s="224" t="s">
        <v>211</v>
      </c>
      <c r="M20" s="224" t="s">
        <v>218</v>
      </c>
      <c r="N20" s="224" t="s">
        <v>96</v>
      </c>
    </row>
    <row r="21" spans="1:16">
      <c r="A21" s="225">
        <v>1</v>
      </c>
      <c r="B21" s="372">
        <v>168371.03</v>
      </c>
      <c r="C21" s="372">
        <v>182145.05</v>
      </c>
      <c r="D21" s="372">
        <v>175258.04</v>
      </c>
      <c r="E21" s="197"/>
      <c r="F21" s="225">
        <v>1</v>
      </c>
      <c r="G21" s="367">
        <v>1636999.9</v>
      </c>
      <c r="H21" s="367">
        <v>1751038</v>
      </c>
      <c r="I21" s="367">
        <v>1694019</v>
      </c>
      <c r="K21" s="229">
        <v>1</v>
      </c>
      <c r="L21" s="367">
        <v>11150803</v>
      </c>
      <c r="M21" s="367">
        <v>13389001</v>
      </c>
      <c r="N21" s="367">
        <v>12269902</v>
      </c>
    </row>
    <row r="22" spans="1:16">
      <c r="A22" s="197">
        <v>2</v>
      </c>
      <c r="B22" s="201">
        <v>106792.91</v>
      </c>
      <c r="C22" s="201">
        <v>115905.34</v>
      </c>
      <c r="D22" s="201">
        <v>111349.12</v>
      </c>
      <c r="E22" s="197"/>
      <c r="F22" s="197">
        <v>2</v>
      </c>
      <c r="G22" s="65">
        <v>1755412.1</v>
      </c>
      <c r="H22" s="65">
        <v>1883859</v>
      </c>
      <c r="I22" s="65">
        <v>1819636</v>
      </c>
      <c r="K22" s="198">
        <v>2</v>
      </c>
      <c r="L22" s="65">
        <v>15317256</v>
      </c>
      <c r="M22" s="65">
        <v>20178988</v>
      </c>
      <c r="N22" s="65">
        <v>17748122</v>
      </c>
    </row>
    <row r="23" spans="1:16">
      <c r="A23" s="226">
        <v>3</v>
      </c>
      <c r="B23" s="228">
        <v>48494.239999999998</v>
      </c>
      <c r="C23" s="228">
        <v>56296.11</v>
      </c>
      <c r="D23" s="228">
        <v>52395.17</v>
      </c>
      <c r="E23" s="197"/>
      <c r="F23" s="226">
        <v>3</v>
      </c>
      <c r="G23" s="369">
        <v>986188.2</v>
      </c>
      <c r="H23" s="369">
        <v>1148588</v>
      </c>
      <c r="I23" s="369">
        <v>1067388</v>
      </c>
      <c r="K23" s="230">
        <v>3</v>
      </c>
      <c r="L23" s="369">
        <v>7343423</v>
      </c>
      <c r="M23" s="369">
        <v>8649005</v>
      </c>
      <c r="N23" s="369">
        <v>7996214</v>
      </c>
    </row>
    <row r="24" spans="1:16">
      <c r="A24" s="197">
        <v>4</v>
      </c>
      <c r="B24" s="202" t="s">
        <v>378</v>
      </c>
      <c r="C24" s="202">
        <v>83514.69</v>
      </c>
      <c r="D24" s="202">
        <v>78425.009999999995</v>
      </c>
      <c r="E24" s="197"/>
      <c r="F24" s="197">
        <v>4</v>
      </c>
      <c r="G24" s="65">
        <v>1197297.2</v>
      </c>
      <c r="H24" s="65">
        <v>1373068</v>
      </c>
      <c r="I24" s="65">
        <v>1285183</v>
      </c>
      <c r="K24" s="198">
        <v>4</v>
      </c>
      <c r="L24" s="65">
        <v>7384632</v>
      </c>
      <c r="M24" s="65">
        <v>8464315</v>
      </c>
      <c r="N24" s="65">
        <v>7924473</v>
      </c>
    </row>
    <row r="25" spans="1:16">
      <c r="A25" s="226">
        <v>5</v>
      </c>
      <c r="B25" s="228">
        <v>69939.06</v>
      </c>
      <c r="C25" s="228">
        <v>79499.62</v>
      </c>
      <c r="D25" s="228" t="s">
        <v>379</v>
      </c>
      <c r="E25" s="197"/>
      <c r="F25" s="226">
        <v>5</v>
      </c>
      <c r="G25" s="369">
        <v>1484380</v>
      </c>
      <c r="H25" s="369">
        <v>1722451</v>
      </c>
      <c r="I25" s="369">
        <v>1603416</v>
      </c>
      <c r="K25" s="230">
        <v>5</v>
      </c>
      <c r="L25" s="369">
        <v>10866576</v>
      </c>
      <c r="M25" s="369">
        <v>14577006</v>
      </c>
      <c r="N25" s="369">
        <v>12721791</v>
      </c>
    </row>
    <row r="26" spans="1:16">
      <c r="A26" s="227">
        <v>6</v>
      </c>
      <c r="B26" s="373">
        <v>99023.19</v>
      </c>
      <c r="C26" s="373">
        <v>109210.36</v>
      </c>
      <c r="D26" s="373">
        <v>104116.77</v>
      </c>
      <c r="E26" s="197"/>
      <c r="F26" s="227">
        <v>6</v>
      </c>
      <c r="G26" s="371">
        <v>1294114.3999999999</v>
      </c>
      <c r="H26" s="371">
        <v>1466614</v>
      </c>
      <c r="I26" s="371">
        <v>1380364</v>
      </c>
      <c r="K26" s="231">
        <v>6</v>
      </c>
      <c r="L26" s="371">
        <v>7751056</v>
      </c>
      <c r="M26" s="371">
        <v>9114558</v>
      </c>
      <c r="N26" s="371">
        <v>8432807</v>
      </c>
    </row>
    <row r="27" spans="1:16">
      <c r="A27" s="197"/>
      <c r="B27" s="197"/>
      <c r="C27" s="197"/>
      <c r="D27" s="197"/>
      <c r="E27" s="197"/>
    </row>
    <row r="28" spans="1:16">
      <c r="E28" s="197"/>
    </row>
    <row r="29" spans="1:16">
      <c r="E29" s="197"/>
      <c r="K29" s="200"/>
    </row>
    <row r="30" spans="1:16">
      <c r="E30" s="197"/>
      <c r="K30" s="200"/>
    </row>
    <row r="31" spans="1:16">
      <c r="E31" s="197"/>
      <c r="K31" s="200"/>
    </row>
    <row r="32" spans="1:16">
      <c r="E32" s="197"/>
      <c r="F32" s="197"/>
      <c r="G32" s="197"/>
      <c r="H32" s="197"/>
      <c r="I32" s="197"/>
      <c r="K32" s="200"/>
    </row>
    <row r="33" spans="5:11">
      <c r="E33" s="197"/>
      <c r="K33" s="200"/>
    </row>
    <row r="34" spans="5:11">
      <c r="E34" s="197"/>
      <c r="K34" s="200"/>
    </row>
    <row r="35" spans="5:11">
      <c r="E35" s="197"/>
      <c r="K35" s="200"/>
    </row>
    <row r="41" spans="5:11">
      <c r="F41" s="197"/>
      <c r="G41" s="197"/>
      <c r="H41" s="197"/>
      <c r="I41" s="197"/>
    </row>
  </sheetData>
  <mergeCells count="10">
    <mergeCell ref="P1:S1"/>
    <mergeCell ref="A10:D10"/>
    <mergeCell ref="F10:I10"/>
    <mergeCell ref="K10:N10"/>
    <mergeCell ref="A19:D19"/>
    <mergeCell ref="F19:I19"/>
    <mergeCell ref="K19:N19"/>
    <mergeCell ref="A1:D1"/>
    <mergeCell ref="F1:I1"/>
    <mergeCell ref="K1:N1"/>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0330D-811A-494B-8684-92AE744F26D5}">
  <sheetPr>
    <tabColor theme="5" tint="0.39997558519241921"/>
  </sheetPr>
  <dimension ref="G51"/>
  <sheetViews>
    <sheetView workbookViewId="0">
      <selection activeCell="G51" sqref="G51"/>
    </sheetView>
  </sheetViews>
  <sheetFormatPr defaultColWidth="8.7109375" defaultRowHeight="15"/>
  <sheetData>
    <row r="51" spans="7:7">
      <c r="G51" t="s">
        <v>333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6D2E2B-0745-406B-B4BC-3C1E15CFC88F}">
  <sheetPr>
    <tabColor theme="5" tint="0.79998168889431442"/>
  </sheetPr>
  <dimension ref="A1:D9"/>
  <sheetViews>
    <sheetView workbookViewId="0">
      <selection activeCell="I8" sqref="I8"/>
    </sheetView>
  </sheetViews>
  <sheetFormatPr defaultColWidth="8.7109375" defaultRowHeight="15" outlineLevelRow="1"/>
  <cols>
    <col min="1" max="1" width="18.42578125" bestFit="1" customWidth="1"/>
    <col min="2" max="2" width="15.42578125" bestFit="1" customWidth="1"/>
    <col min="3" max="3" width="14" bestFit="1" customWidth="1"/>
    <col min="4" max="4" width="12.42578125" bestFit="1" customWidth="1"/>
  </cols>
  <sheetData>
    <row r="1" spans="1:4">
      <c r="B1" s="1" t="s">
        <v>380</v>
      </c>
      <c r="C1" s="1"/>
    </row>
    <row r="2" spans="1:4">
      <c r="A2" s="37">
        <v>2020</v>
      </c>
      <c r="B2" s="3" t="s">
        <v>381</v>
      </c>
      <c r="C2" s="3" t="s">
        <v>382</v>
      </c>
      <c r="D2" s="3" t="s">
        <v>383</v>
      </c>
    </row>
    <row r="3" spans="1:4">
      <c r="A3" s="2" t="s">
        <v>375</v>
      </c>
      <c r="B3">
        <f>AVERAGE(B4:B7)</f>
        <v>9.6039929999999991</v>
      </c>
      <c r="C3">
        <f>AVERAGE(C4:C7)</f>
        <v>0.39662969999999997</v>
      </c>
      <c r="D3">
        <f>AVERAGE(D4:D7)</f>
        <v>1.3857849899999998E-2</v>
      </c>
    </row>
    <row r="4" spans="1:4" outlineLevel="1">
      <c r="A4" s="2" t="s">
        <v>232</v>
      </c>
      <c r="B4">
        <f>6.387026</f>
        <v>6.3870259999999996</v>
      </c>
      <c r="C4">
        <v>0.24894189999999999</v>
      </c>
      <c r="D4">
        <f>0.0430028956</f>
        <v>4.30028956E-2</v>
      </c>
    </row>
    <row r="5" spans="1:4" outlineLevel="1">
      <c r="A5" s="2" t="s">
        <v>231</v>
      </c>
      <c r="B5">
        <f>20.56749</f>
        <v>20.567489999999999</v>
      </c>
      <c r="C5">
        <f>0.5662146</f>
        <v>0.56621460000000001</v>
      </c>
      <c r="D5">
        <f>0.0000349977</f>
        <v>3.4997699999999999E-5</v>
      </c>
    </row>
    <row r="6" spans="1:4" outlineLevel="1">
      <c r="A6" s="2" t="s">
        <v>5</v>
      </c>
      <c r="B6">
        <f>7.493868</f>
        <v>7.493868</v>
      </c>
      <c r="C6">
        <f>0.3444469</f>
        <v>0.3444469</v>
      </c>
      <c r="D6">
        <v>9.3654271000000004E-3</v>
      </c>
    </row>
    <row r="7" spans="1:4" outlineLevel="1">
      <c r="A7" s="2" t="s">
        <v>233</v>
      </c>
      <c r="B7">
        <f>3.967588</f>
        <v>3.9675880000000001</v>
      </c>
      <c r="C7">
        <f>0.4269154</f>
        <v>0.4269154</v>
      </c>
      <c r="D7">
        <f>0.0030280792</f>
        <v>3.0280792E-3</v>
      </c>
    </row>
    <row r="8" spans="1:4">
      <c r="A8" s="2" t="s">
        <v>376</v>
      </c>
      <c r="B8">
        <f>6.014956</f>
        <v>6.0149559999999997</v>
      </c>
      <c r="C8">
        <f>4.2395544</f>
        <v>4.2395544000000003</v>
      </c>
      <c r="D8">
        <f>0.6632711532</f>
        <v>0.66327115319999996</v>
      </c>
    </row>
    <row r="9" spans="1:4">
      <c r="A9" s="2" t="s">
        <v>377</v>
      </c>
      <c r="B9">
        <f>16.197802</f>
        <v>16.197801999999999</v>
      </c>
      <c r="C9">
        <f>5.6345573</f>
        <v>5.6345573</v>
      </c>
      <c r="D9">
        <f>1.1277885623</f>
        <v>1.1277885622999999</v>
      </c>
    </row>
  </sheetData>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6790A-A4C0-4464-8E93-4BDE68808DC7}">
  <sheetPr>
    <tabColor theme="5" tint="0.79998168889431442"/>
  </sheetPr>
  <dimension ref="B2:AD63"/>
  <sheetViews>
    <sheetView topLeftCell="B1" workbookViewId="0">
      <selection activeCell="O90" sqref="O90"/>
    </sheetView>
  </sheetViews>
  <sheetFormatPr defaultColWidth="8.7109375" defaultRowHeight="15"/>
  <sheetData>
    <row r="2" spans="2:27">
      <c r="B2" s="4"/>
      <c r="C2" s="4"/>
      <c r="D2" s="4"/>
      <c r="E2" s="4" t="s">
        <v>0</v>
      </c>
      <c r="F2" s="4"/>
      <c r="G2" s="4"/>
      <c r="H2" s="4"/>
      <c r="I2" s="4"/>
      <c r="J2" s="4"/>
      <c r="K2" s="4"/>
      <c r="L2" s="4"/>
      <c r="M2" s="4"/>
      <c r="N2" s="4"/>
      <c r="O2" s="4"/>
      <c r="P2" s="4"/>
      <c r="Q2" s="4"/>
      <c r="R2" s="4"/>
      <c r="S2" s="4"/>
      <c r="T2" s="4"/>
      <c r="U2" s="4"/>
      <c r="V2" s="4"/>
      <c r="W2" s="4"/>
      <c r="X2" s="4"/>
      <c r="Y2" s="4"/>
      <c r="Z2" s="4"/>
      <c r="AA2" s="4"/>
    </row>
    <row r="3" spans="2:27">
      <c r="B3" s="4"/>
      <c r="C3" s="4"/>
      <c r="D3" s="4"/>
      <c r="E3" s="4"/>
      <c r="F3" s="4"/>
      <c r="G3" s="4"/>
      <c r="H3" s="4"/>
      <c r="I3" s="4"/>
      <c r="J3" s="4"/>
      <c r="K3" s="4"/>
      <c r="L3" s="4"/>
      <c r="M3" s="4"/>
      <c r="N3" s="4"/>
      <c r="O3" s="4"/>
      <c r="P3" s="4"/>
      <c r="Q3" s="4"/>
      <c r="R3" s="4"/>
      <c r="S3" s="4"/>
      <c r="T3" s="4"/>
      <c r="U3" s="4"/>
      <c r="V3" s="4"/>
      <c r="W3" s="4"/>
      <c r="X3" s="4"/>
      <c r="Y3" s="4"/>
      <c r="Z3" s="4"/>
      <c r="AA3" s="4"/>
    </row>
    <row r="4" spans="2:27">
      <c r="B4" s="4"/>
      <c r="C4" s="4"/>
      <c r="D4" s="4"/>
      <c r="E4" s="4"/>
      <c r="F4" s="4"/>
      <c r="G4" s="4"/>
      <c r="H4" s="4"/>
      <c r="I4" s="4"/>
      <c r="J4" s="4"/>
      <c r="K4" s="4"/>
      <c r="L4" s="4"/>
      <c r="M4" s="4"/>
      <c r="N4" s="4"/>
      <c r="O4" s="4"/>
      <c r="P4" s="4"/>
      <c r="Q4" s="4"/>
      <c r="R4" s="4"/>
      <c r="S4" s="4"/>
      <c r="T4" s="4"/>
      <c r="U4" s="4"/>
      <c r="V4" s="4"/>
      <c r="W4" s="4"/>
      <c r="X4" s="4"/>
      <c r="Y4" s="4"/>
      <c r="Z4" s="4"/>
      <c r="AA4" s="4"/>
    </row>
    <row r="5" spans="2:27">
      <c r="B5" s="4"/>
      <c r="C5" s="4"/>
      <c r="D5" s="4"/>
      <c r="E5" s="4"/>
      <c r="F5" s="4"/>
      <c r="G5" s="4"/>
      <c r="H5" s="4"/>
      <c r="I5" s="4"/>
      <c r="J5" s="4"/>
      <c r="K5" s="4"/>
      <c r="L5" s="4"/>
      <c r="M5" s="4"/>
      <c r="N5" s="4"/>
      <c r="O5" s="4"/>
      <c r="P5" s="4"/>
      <c r="Q5" s="4"/>
      <c r="R5" s="4"/>
      <c r="S5" s="4"/>
      <c r="T5" s="4"/>
      <c r="U5" s="4"/>
      <c r="V5" s="4"/>
      <c r="W5" s="4"/>
      <c r="X5" s="4"/>
      <c r="Y5" s="4"/>
      <c r="Z5" s="4"/>
      <c r="AA5" s="4"/>
    </row>
    <row r="6" spans="2:27" ht="18.75">
      <c r="B6" s="6" t="s">
        <v>162</v>
      </c>
      <c r="C6" s="6"/>
      <c r="D6" s="6"/>
      <c r="E6" s="6"/>
      <c r="F6" s="6"/>
      <c r="G6" s="6"/>
      <c r="H6" s="6"/>
      <c r="I6" s="6"/>
      <c r="J6" s="6"/>
      <c r="K6" s="6"/>
      <c r="L6" s="6"/>
      <c r="M6" s="6"/>
      <c r="N6" s="6"/>
      <c r="O6" s="6"/>
      <c r="P6" s="6"/>
      <c r="Q6" s="6"/>
      <c r="R6" s="6"/>
      <c r="S6" s="6"/>
      <c r="T6" s="6"/>
      <c r="U6" s="6"/>
      <c r="V6" s="6"/>
      <c r="W6" s="6"/>
      <c r="X6" s="6"/>
      <c r="Y6" s="4"/>
      <c r="Z6" s="7"/>
      <c r="AA6" s="8" t="s">
        <v>163</v>
      </c>
    </row>
    <row r="7" spans="2:27">
      <c r="B7" s="9" t="s">
        <v>164</v>
      </c>
      <c r="C7" s="9"/>
      <c r="D7" s="9"/>
      <c r="E7" s="9"/>
      <c r="F7" s="9"/>
      <c r="G7" s="9"/>
      <c r="H7" s="9"/>
      <c r="I7" s="9"/>
      <c r="J7" s="9"/>
      <c r="K7" s="9"/>
      <c r="L7" s="9"/>
      <c r="M7" s="9"/>
      <c r="N7" s="9"/>
      <c r="O7" s="9"/>
      <c r="P7" s="9"/>
      <c r="Q7" s="9"/>
      <c r="R7" s="9"/>
      <c r="S7" s="9"/>
      <c r="T7" s="9"/>
      <c r="U7" s="9"/>
      <c r="V7" s="9"/>
      <c r="W7" s="9"/>
      <c r="X7" s="9"/>
      <c r="Y7" s="4"/>
      <c r="Z7" s="7"/>
      <c r="AA7" s="10" t="s">
        <v>165</v>
      </c>
    </row>
    <row r="8" spans="2:27">
      <c r="B8" s="9" t="s">
        <v>166</v>
      </c>
      <c r="C8" s="9"/>
      <c r="D8" s="9"/>
      <c r="E8" s="9"/>
      <c r="F8" s="9"/>
      <c r="G8" s="9"/>
      <c r="H8" s="9"/>
      <c r="I8" s="9"/>
      <c r="J8" s="9"/>
      <c r="K8" s="9"/>
      <c r="L8" s="9"/>
      <c r="M8" s="9"/>
      <c r="N8" s="9"/>
      <c r="O8" s="9"/>
      <c r="P8" s="9"/>
      <c r="Q8" s="9"/>
      <c r="R8" s="9"/>
      <c r="S8" s="9"/>
      <c r="T8" s="9"/>
      <c r="U8" s="9"/>
      <c r="V8" s="9"/>
      <c r="W8" s="9"/>
      <c r="X8" s="9"/>
      <c r="Y8" s="4"/>
      <c r="Z8" s="7"/>
      <c r="AA8" s="10" t="s">
        <v>167</v>
      </c>
    </row>
    <row r="9" spans="2:27">
      <c r="B9" s="11"/>
      <c r="C9" s="11"/>
      <c r="D9" s="11"/>
      <c r="E9" s="11"/>
      <c r="F9" s="4"/>
      <c r="G9" s="4"/>
      <c r="H9" s="4"/>
      <c r="I9" s="4"/>
      <c r="J9" s="4"/>
      <c r="K9" s="4"/>
      <c r="L9" s="4"/>
      <c r="M9" s="4"/>
      <c r="N9" s="4"/>
      <c r="O9" s="4"/>
      <c r="P9" s="4"/>
      <c r="Q9" s="4"/>
      <c r="R9" s="4"/>
      <c r="S9" s="4"/>
      <c r="T9" s="4"/>
      <c r="U9" s="4"/>
      <c r="V9" s="4"/>
      <c r="W9" s="4"/>
      <c r="X9" s="4"/>
      <c r="Y9" s="4"/>
      <c r="Z9" s="7"/>
      <c r="AA9" s="10" t="s">
        <v>384</v>
      </c>
    </row>
    <row r="10" spans="2:27">
      <c r="B10" s="12" t="s">
        <v>169</v>
      </c>
      <c r="C10" s="13"/>
      <c r="D10" s="13"/>
      <c r="E10" s="14"/>
      <c r="F10" s="4"/>
      <c r="G10" s="4"/>
      <c r="H10" s="4"/>
      <c r="I10" s="4"/>
      <c r="J10" s="4"/>
      <c r="K10" s="4"/>
      <c r="L10" s="4"/>
      <c r="M10" s="4"/>
      <c r="N10" s="4"/>
      <c r="O10" s="4"/>
      <c r="P10" s="4"/>
      <c r="Q10" s="4"/>
      <c r="R10" s="9"/>
      <c r="S10" s="9"/>
      <c r="T10" s="9"/>
      <c r="U10" s="9"/>
      <c r="V10" s="9"/>
      <c r="W10" s="9"/>
      <c r="X10" s="9"/>
      <c r="Y10" s="4"/>
      <c r="Z10" s="7"/>
      <c r="AA10" s="15" t="s">
        <v>170</v>
      </c>
    </row>
    <row r="11" spans="2:27">
      <c r="B11" s="16" t="s">
        <v>171</v>
      </c>
      <c r="C11" s="13"/>
      <c r="D11" s="13"/>
      <c r="E11" s="14"/>
      <c r="F11" s="4"/>
      <c r="G11" s="4"/>
      <c r="H11" s="4"/>
      <c r="I11" s="4"/>
      <c r="J11" s="4"/>
      <c r="K11" s="4"/>
      <c r="L11" s="4"/>
      <c r="M11" s="4"/>
      <c r="N11" s="4"/>
      <c r="O11" s="4"/>
      <c r="P11" s="4"/>
      <c r="Q11" s="4"/>
      <c r="R11" s="4"/>
      <c r="S11" s="17"/>
      <c r="T11" s="17"/>
      <c r="U11" s="17"/>
      <c r="V11" s="17"/>
      <c r="W11" s="17"/>
      <c r="X11" s="17"/>
      <c r="Y11" s="4"/>
      <c r="Z11" s="7"/>
      <c r="AA11" s="15" t="s">
        <v>172</v>
      </c>
    </row>
    <row r="12" spans="2:27">
      <c r="B12" s="16" t="s">
        <v>173</v>
      </c>
      <c r="C12" s="13"/>
      <c r="D12" s="13"/>
      <c r="E12" s="14"/>
      <c r="F12" s="4"/>
      <c r="G12" s="4"/>
      <c r="H12" s="4"/>
      <c r="I12" s="4"/>
      <c r="J12" s="4"/>
      <c r="K12" s="4"/>
      <c r="L12" s="4"/>
      <c r="M12" s="4"/>
      <c r="N12" s="4"/>
      <c r="O12" s="4"/>
      <c r="P12" s="4"/>
      <c r="Q12" s="4"/>
      <c r="R12" s="5"/>
      <c r="S12" s="18"/>
      <c r="T12" s="18"/>
      <c r="U12" s="18"/>
      <c r="V12" s="18"/>
      <c r="W12" s="18"/>
      <c r="X12" s="19"/>
      <c r="Y12" s="4"/>
      <c r="Z12" s="7"/>
      <c r="AA12" s="15" t="s">
        <v>174</v>
      </c>
    </row>
    <row r="13" spans="2:27">
      <c r="B13" s="20" t="s">
        <v>175</v>
      </c>
      <c r="C13" s="13"/>
      <c r="D13" s="21">
        <f>'Frequency 2020 Values'!B3</f>
        <v>9.6039929999999991</v>
      </c>
      <c r="E13" s="14"/>
      <c r="F13" s="4"/>
      <c r="G13" s="4"/>
      <c r="H13" s="4"/>
      <c r="I13" s="4"/>
      <c r="J13" s="4"/>
      <c r="K13" s="4"/>
      <c r="L13" s="4"/>
      <c r="M13" s="4"/>
      <c r="N13" s="4"/>
      <c r="O13" s="4"/>
      <c r="P13" s="4"/>
      <c r="Q13" s="4"/>
      <c r="R13" s="5"/>
      <c r="S13" s="18"/>
      <c r="T13" s="18" t="s">
        <v>176</v>
      </c>
      <c r="U13" s="18"/>
      <c r="V13" s="18"/>
      <c r="W13" s="18"/>
      <c r="X13" s="19"/>
      <c r="Y13" s="4"/>
      <c r="Z13" s="7"/>
      <c r="AA13" s="7"/>
    </row>
    <row r="14" spans="2:27">
      <c r="B14" s="20" t="s">
        <v>177</v>
      </c>
      <c r="C14" s="13"/>
      <c r="D14" s="21">
        <f>'Frequency 2020 Values'!C3</f>
        <v>0.39662969999999997</v>
      </c>
      <c r="E14" s="14"/>
      <c r="F14" s="4"/>
      <c r="G14" s="4"/>
      <c r="H14" s="4"/>
      <c r="I14" s="4"/>
      <c r="J14" s="4"/>
      <c r="K14" s="4"/>
      <c r="L14" s="4"/>
      <c r="M14" s="4"/>
      <c r="N14" s="4"/>
      <c r="O14" s="4"/>
      <c r="P14" s="4"/>
      <c r="Q14" s="4"/>
      <c r="R14" s="5"/>
      <c r="S14" s="18"/>
      <c r="T14" s="18" t="s">
        <v>178</v>
      </c>
      <c r="U14" s="18"/>
      <c r="V14" s="18"/>
      <c r="W14" s="18"/>
      <c r="X14" s="19"/>
      <c r="Y14" s="4"/>
      <c r="Z14" s="7"/>
      <c r="AA14" s="10" t="s">
        <v>179</v>
      </c>
    </row>
    <row r="15" spans="2:27">
      <c r="B15" s="20" t="s">
        <v>180</v>
      </c>
      <c r="C15" s="13"/>
      <c r="D15" s="12">
        <f>'Frequency 2020 Values'!D3</f>
        <v>1.3857849899999998E-2</v>
      </c>
      <c r="E15" s="14"/>
      <c r="F15" s="4"/>
      <c r="G15" s="4"/>
      <c r="H15" s="4"/>
      <c r="I15" s="4"/>
      <c r="J15" s="4"/>
      <c r="K15" s="4"/>
      <c r="L15" s="4"/>
      <c r="M15" s="4"/>
      <c r="N15" s="4"/>
      <c r="O15" s="4"/>
      <c r="P15" s="4"/>
      <c r="Q15" s="4"/>
      <c r="R15" s="5"/>
      <c r="S15" s="18"/>
      <c r="T15" s="18" t="s">
        <v>181</v>
      </c>
      <c r="U15" s="18"/>
      <c r="V15" s="18"/>
      <c r="W15" s="18"/>
      <c r="X15" s="19"/>
      <c r="Y15" s="4"/>
      <c r="Z15" s="7"/>
      <c r="AA15" s="10" t="s">
        <v>182</v>
      </c>
    </row>
    <row r="16" spans="2:27">
      <c r="B16" s="22"/>
      <c r="C16" s="22"/>
      <c r="D16" s="22"/>
      <c r="E16" s="23"/>
      <c r="F16" s="4"/>
      <c r="G16" s="4"/>
      <c r="H16" s="4"/>
      <c r="I16" s="4"/>
      <c r="J16" s="4"/>
      <c r="K16" s="4"/>
      <c r="L16" s="4"/>
      <c r="M16" s="4"/>
      <c r="N16" s="4"/>
      <c r="O16" s="4"/>
      <c r="P16" s="4"/>
      <c r="Q16" s="4"/>
      <c r="R16" s="5"/>
      <c r="S16" s="18"/>
      <c r="T16" s="18" t="s">
        <v>183</v>
      </c>
      <c r="U16" s="18"/>
      <c r="V16" s="18"/>
      <c r="W16" s="18"/>
      <c r="X16" s="19"/>
      <c r="Y16" s="4"/>
      <c r="Z16" s="7"/>
      <c r="AA16" s="7"/>
    </row>
    <row r="17" spans="2:30">
      <c r="B17" s="4"/>
      <c r="C17" s="4"/>
      <c r="D17" s="4"/>
      <c r="E17" s="4"/>
      <c r="F17" s="4"/>
      <c r="G17" s="4"/>
      <c r="H17" s="4"/>
      <c r="I17" s="4"/>
      <c r="J17" s="4"/>
      <c r="K17" s="4"/>
      <c r="L17" s="4"/>
      <c r="M17" s="4"/>
      <c r="N17" s="4"/>
      <c r="O17" s="4"/>
      <c r="P17" s="4"/>
      <c r="Q17" s="4"/>
      <c r="R17" s="5"/>
      <c r="S17" s="18"/>
      <c r="T17" s="18"/>
      <c r="U17" s="18"/>
      <c r="V17" s="18"/>
      <c r="W17" s="18"/>
      <c r="X17" s="19"/>
      <c r="Y17" s="4"/>
      <c r="Z17" s="7"/>
      <c r="AA17" s="10" t="s">
        <v>184</v>
      </c>
      <c r="AB17" s="10"/>
      <c r="AC17" s="10"/>
      <c r="AD17" s="10"/>
    </row>
    <row r="18" spans="2:30">
      <c r="B18" s="24"/>
      <c r="C18" s="24"/>
      <c r="D18" s="646" t="s">
        <v>185</v>
      </c>
      <c r="E18" s="647"/>
      <c r="F18" s="648"/>
      <c r="G18" s="25"/>
      <c r="H18" s="646" t="s">
        <v>104</v>
      </c>
      <c r="I18" s="647"/>
      <c r="J18" s="648"/>
      <c r="K18" s="25"/>
      <c r="L18" s="646" t="s">
        <v>106</v>
      </c>
      <c r="M18" s="647"/>
      <c r="N18" s="648"/>
      <c r="O18" s="24"/>
      <c r="P18" s="646" t="s">
        <v>108</v>
      </c>
      <c r="Q18" s="647"/>
      <c r="R18" s="648"/>
      <c r="S18" s="18"/>
      <c r="T18" s="24"/>
      <c r="U18" s="24"/>
      <c r="V18" s="24"/>
      <c r="W18" s="24"/>
      <c r="X18" s="19"/>
      <c r="Y18" s="4"/>
      <c r="Z18" s="7"/>
      <c r="AA18" s="10" t="s">
        <v>186</v>
      </c>
      <c r="AB18" s="10"/>
      <c r="AC18" s="10"/>
      <c r="AD18" s="10"/>
    </row>
    <row r="19" spans="2:30">
      <c r="B19" s="24"/>
      <c r="C19" s="24"/>
      <c r="D19" s="646" t="s">
        <v>103</v>
      </c>
      <c r="E19" s="647"/>
      <c r="F19" s="648"/>
      <c r="G19" s="25"/>
      <c r="H19" s="646" t="s">
        <v>105</v>
      </c>
      <c r="I19" s="647"/>
      <c r="J19" s="648"/>
      <c r="K19" s="25"/>
      <c r="L19" s="646" t="s">
        <v>107</v>
      </c>
      <c r="M19" s="647"/>
      <c r="N19" s="648"/>
      <c r="O19" s="24"/>
      <c r="P19" s="646" t="s">
        <v>109</v>
      </c>
      <c r="Q19" s="647"/>
      <c r="R19" s="648"/>
      <c r="S19" s="18"/>
      <c r="T19" s="631" t="s">
        <v>187</v>
      </c>
      <c r="U19" s="632"/>
      <c r="V19" s="632"/>
      <c r="W19" s="633"/>
      <c r="X19" s="19"/>
      <c r="Y19" s="4"/>
      <c r="Z19" s="7"/>
      <c r="AA19" s="10" t="s">
        <v>188</v>
      </c>
      <c r="AB19" s="10"/>
      <c r="AC19" s="10"/>
      <c r="AD19" s="10"/>
    </row>
    <row r="20" spans="2:30">
      <c r="B20" s="25" t="s">
        <v>87</v>
      </c>
      <c r="C20" s="24"/>
      <c r="D20" s="25" t="s">
        <v>175</v>
      </c>
      <c r="E20" s="25" t="s">
        <v>177</v>
      </c>
      <c r="F20" s="25" t="s">
        <v>180</v>
      </c>
      <c r="G20" s="25"/>
      <c r="H20" s="25" t="s">
        <v>175</v>
      </c>
      <c r="I20" s="25" t="s">
        <v>177</v>
      </c>
      <c r="J20" s="25" t="s">
        <v>180</v>
      </c>
      <c r="K20" s="25"/>
      <c r="L20" s="25" t="s">
        <v>175</v>
      </c>
      <c r="M20" s="25" t="s">
        <v>177</v>
      </c>
      <c r="N20" s="25" t="s">
        <v>180</v>
      </c>
      <c r="O20" s="25"/>
      <c r="P20" s="25" t="s">
        <v>175</v>
      </c>
      <c r="Q20" s="25" t="s">
        <v>177</v>
      </c>
      <c r="R20" s="26" t="s">
        <v>180</v>
      </c>
      <c r="S20" s="18"/>
      <c r="T20" s="25" t="s">
        <v>185</v>
      </c>
      <c r="U20" s="25" t="s">
        <v>104</v>
      </c>
      <c r="V20" s="25" t="s">
        <v>106</v>
      </c>
      <c r="W20" s="25" t="s">
        <v>108</v>
      </c>
      <c r="X20" s="19"/>
      <c r="Y20" s="4"/>
      <c r="Z20" s="7"/>
      <c r="AA20" s="10" t="s">
        <v>385</v>
      </c>
      <c r="AB20" s="10"/>
      <c r="AC20" s="10"/>
      <c r="AD20" s="10"/>
    </row>
    <row r="21" spans="2:30">
      <c r="B21" s="9">
        <v>2020</v>
      </c>
      <c r="C21" s="4"/>
      <c r="D21" s="33">
        <f>ROUND($D$13,3)</f>
        <v>9.6039999999999992</v>
      </c>
      <c r="E21" s="34">
        <f>ROUND($D$14,3)</f>
        <v>0.39700000000000002</v>
      </c>
      <c r="F21" s="35">
        <f>ROUND($D$15,3)</f>
        <v>1.4E-2</v>
      </c>
      <c r="G21" s="9"/>
      <c r="H21" s="33">
        <f>ROUND($D$13,3)</f>
        <v>9.6039999999999992</v>
      </c>
      <c r="I21" s="34">
        <f>ROUND($D$14,3)</f>
        <v>0.39700000000000002</v>
      </c>
      <c r="J21" s="35">
        <f>ROUND($D$15,3)</f>
        <v>1.4E-2</v>
      </c>
      <c r="K21" s="9"/>
      <c r="L21" s="33">
        <f>ROUND($D$13,3)</f>
        <v>9.6039999999999992</v>
      </c>
      <c r="M21" s="34">
        <f>ROUND($D$14,3)</f>
        <v>0.39700000000000002</v>
      </c>
      <c r="N21" s="35">
        <f>ROUND($D$15,3)</f>
        <v>1.4E-2</v>
      </c>
      <c r="O21" s="9"/>
      <c r="P21" s="33">
        <f>ROUND($D$13,3)</f>
        <v>9.6039999999999992</v>
      </c>
      <c r="Q21" s="34">
        <f>ROUND($D$14,3)</f>
        <v>0.39700000000000002</v>
      </c>
      <c r="R21" s="35">
        <f>ROUND($D$15,3)</f>
        <v>1.4E-2</v>
      </c>
      <c r="S21" s="18"/>
      <c r="T21" s="28">
        <v>1</v>
      </c>
      <c r="U21" s="28">
        <v>1</v>
      </c>
      <c r="V21" s="28">
        <v>1</v>
      </c>
      <c r="W21" s="28">
        <v>1</v>
      </c>
      <c r="X21" s="19"/>
      <c r="Y21" s="4"/>
      <c r="Z21" s="7"/>
      <c r="AA21" s="10" t="s">
        <v>190</v>
      </c>
      <c r="AB21" s="10"/>
      <c r="AC21" s="10"/>
      <c r="AD21" s="10"/>
    </row>
    <row r="22" spans="2:30">
      <c r="B22" s="10">
        <v>2030</v>
      </c>
      <c r="C22" s="7"/>
      <c r="D22" s="36">
        <f>ROUND(D$21*$T22,3)</f>
        <v>10.65</v>
      </c>
      <c r="E22" s="10">
        <f>ROUND(E$21*$T22,3)</f>
        <v>0.44</v>
      </c>
      <c r="F22" s="10">
        <f>ROUND(F$21*$T22,3)</f>
        <v>1.6E-2</v>
      </c>
      <c r="G22" s="10"/>
      <c r="H22" s="10">
        <f>ROUND(H$21*$U22,3)</f>
        <v>10.79</v>
      </c>
      <c r="I22" s="10">
        <f t="shared" ref="I22:J34" si="0">ROUND(I$21*$U22,3)</f>
        <v>0.44600000000000001</v>
      </c>
      <c r="J22" s="10">
        <f t="shared" si="0"/>
        <v>1.6E-2</v>
      </c>
      <c r="K22" s="10"/>
      <c r="L22" s="10">
        <f>ROUND(L$21*$V22,3)</f>
        <v>11.108000000000001</v>
      </c>
      <c r="M22" s="10">
        <f t="shared" ref="M22:N34" si="1">ROUND(M$21*$V22,3)</f>
        <v>0.45900000000000002</v>
      </c>
      <c r="N22" s="10">
        <f t="shared" si="1"/>
        <v>1.6E-2</v>
      </c>
      <c r="O22" s="10"/>
      <c r="P22" s="10">
        <f>ROUND(P$21*$W22,3)</f>
        <v>11.308999999999999</v>
      </c>
      <c r="Q22" s="10">
        <f t="shared" ref="Q22:R34" si="2">ROUND(Q$21*$W22,3)</f>
        <v>0.46700000000000003</v>
      </c>
      <c r="R22" s="10">
        <f t="shared" si="2"/>
        <v>1.6E-2</v>
      </c>
      <c r="S22" s="18"/>
      <c r="T22" s="9">
        <v>1.1089</v>
      </c>
      <c r="U22" s="9">
        <v>1.1234599999999999</v>
      </c>
      <c r="V22" s="9">
        <v>1.15665</v>
      </c>
      <c r="W22" s="9">
        <v>1.1775</v>
      </c>
      <c r="X22" s="19"/>
      <c r="Y22" s="4"/>
      <c r="Z22" s="7"/>
      <c r="AA22" s="10" t="s">
        <v>191</v>
      </c>
      <c r="AB22" s="10"/>
      <c r="AC22" s="10"/>
      <c r="AD22" s="10"/>
    </row>
    <row r="23" spans="2:30">
      <c r="B23" s="9">
        <v>2040</v>
      </c>
      <c r="C23" s="4"/>
      <c r="D23" s="36">
        <f t="shared" ref="D23:F34" si="3">ROUND(D$21*$T23,3)</f>
        <v>11.432</v>
      </c>
      <c r="E23" s="10">
        <f t="shared" si="3"/>
        <v>0.47299999999999998</v>
      </c>
      <c r="F23" s="10">
        <f t="shared" si="3"/>
        <v>1.7000000000000001E-2</v>
      </c>
      <c r="G23" s="9"/>
      <c r="H23" s="10">
        <f t="shared" ref="H23:H34" si="4">ROUND(H$21*$U23,3)</f>
        <v>11.989000000000001</v>
      </c>
      <c r="I23" s="10">
        <f t="shared" si="0"/>
        <v>0.496</v>
      </c>
      <c r="J23" s="10">
        <f t="shared" si="0"/>
        <v>1.7000000000000001E-2</v>
      </c>
      <c r="K23" s="9"/>
      <c r="L23" s="10">
        <f t="shared" ref="L23:L34" si="5">ROUND(L$21*$V23,3)</f>
        <v>12.754</v>
      </c>
      <c r="M23" s="10">
        <f t="shared" si="1"/>
        <v>0.52700000000000002</v>
      </c>
      <c r="N23" s="10">
        <f t="shared" si="1"/>
        <v>1.9E-2</v>
      </c>
      <c r="O23" s="9"/>
      <c r="P23" s="10">
        <f t="shared" ref="P23:P34" si="6">ROUND(P$21*$W23,3)</f>
        <v>13.773</v>
      </c>
      <c r="Q23" s="10">
        <f t="shared" si="2"/>
        <v>0.56899999999999995</v>
      </c>
      <c r="R23" s="10">
        <f t="shared" si="2"/>
        <v>0.02</v>
      </c>
      <c r="S23" s="18"/>
      <c r="T23" s="28">
        <v>1.1903600000000001</v>
      </c>
      <c r="U23" s="28">
        <v>1.24834</v>
      </c>
      <c r="V23" s="28">
        <v>1.32802</v>
      </c>
      <c r="W23" s="28">
        <v>1.43414</v>
      </c>
      <c r="X23" s="19"/>
      <c r="Y23" s="4"/>
      <c r="Z23" s="7"/>
      <c r="AA23" s="10"/>
      <c r="AB23" s="10"/>
      <c r="AC23" s="10"/>
      <c r="AD23" s="10"/>
    </row>
    <row r="24" spans="2:30">
      <c r="B24" s="10">
        <v>2050</v>
      </c>
      <c r="C24" s="7"/>
      <c r="D24" s="36">
        <f t="shared" si="3"/>
        <v>11.861000000000001</v>
      </c>
      <c r="E24" s="10">
        <f t="shared" si="3"/>
        <v>0.49</v>
      </c>
      <c r="F24" s="10">
        <f t="shared" si="3"/>
        <v>1.7000000000000001E-2</v>
      </c>
      <c r="G24" s="10"/>
      <c r="H24" s="10">
        <f t="shared" si="4"/>
        <v>13.057</v>
      </c>
      <c r="I24" s="10">
        <f t="shared" si="0"/>
        <v>0.54</v>
      </c>
      <c r="J24" s="10">
        <f t="shared" si="0"/>
        <v>1.9E-2</v>
      </c>
      <c r="K24" s="10"/>
      <c r="L24" s="10">
        <f t="shared" si="5"/>
        <v>14.441000000000001</v>
      </c>
      <c r="M24" s="10">
        <f t="shared" si="1"/>
        <v>0.59699999999999998</v>
      </c>
      <c r="N24" s="10">
        <f t="shared" si="1"/>
        <v>2.1000000000000001E-2</v>
      </c>
      <c r="O24" s="10"/>
      <c r="P24" s="10">
        <f t="shared" si="6"/>
        <v>17.28</v>
      </c>
      <c r="Q24" s="10">
        <f t="shared" si="2"/>
        <v>0.71399999999999997</v>
      </c>
      <c r="R24" s="10">
        <f t="shared" si="2"/>
        <v>2.5000000000000001E-2</v>
      </c>
      <c r="S24" s="18"/>
      <c r="T24" s="9">
        <v>1.23499</v>
      </c>
      <c r="U24" s="9">
        <v>1.3595699999999999</v>
      </c>
      <c r="V24" s="9">
        <v>1.5036799999999999</v>
      </c>
      <c r="W24" s="9">
        <v>1.7992999999999999</v>
      </c>
      <c r="X24" s="19"/>
      <c r="Y24" s="4"/>
      <c r="Z24" s="7"/>
      <c r="AA24" s="10" t="s">
        <v>192</v>
      </c>
      <c r="AB24" s="10"/>
      <c r="AC24" s="10"/>
      <c r="AD24" s="10"/>
    </row>
    <row r="25" spans="2:30">
      <c r="B25" s="9">
        <v>2060</v>
      </c>
      <c r="C25" s="4"/>
      <c r="D25" s="36">
        <f t="shared" si="3"/>
        <v>11.975</v>
      </c>
      <c r="E25" s="10">
        <f t="shared" si="3"/>
        <v>0.495</v>
      </c>
      <c r="F25" s="10">
        <f t="shared" si="3"/>
        <v>1.7000000000000001E-2</v>
      </c>
      <c r="G25" s="9"/>
      <c r="H25" s="10">
        <f t="shared" si="4"/>
        <v>13.839</v>
      </c>
      <c r="I25" s="10">
        <f t="shared" si="0"/>
        <v>0.57199999999999995</v>
      </c>
      <c r="J25" s="10">
        <f t="shared" si="0"/>
        <v>0.02</v>
      </c>
      <c r="K25" s="9"/>
      <c r="L25" s="10">
        <f t="shared" si="5"/>
        <v>16.276</v>
      </c>
      <c r="M25" s="10">
        <f t="shared" si="1"/>
        <v>0.67300000000000004</v>
      </c>
      <c r="N25" s="10">
        <f t="shared" si="1"/>
        <v>2.4E-2</v>
      </c>
      <c r="O25" s="9"/>
      <c r="P25" s="10">
        <f t="shared" si="6"/>
        <v>22.298999999999999</v>
      </c>
      <c r="Q25" s="10">
        <f t="shared" si="2"/>
        <v>0.92200000000000004</v>
      </c>
      <c r="R25" s="10">
        <f t="shared" si="2"/>
        <v>3.3000000000000002E-2</v>
      </c>
      <c r="S25" s="18"/>
      <c r="T25" s="28">
        <v>1.2468699999999999</v>
      </c>
      <c r="U25" s="28">
        <v>1.4409400000000001</v>
      </c>
      <c r="V25" s="28">
        <v>1.6947300000000001</v>
      </c>
      <c r="W25" s="28">
        <v>2.32185</v>
      </c>
      <c r="X25" s="19"/>
      <c r="Y25" s="4"/>
      <c r="Z25" s="7"/>
      <c r="AA25" s="10" t="s">
        <v>193</v>
      </c>
      <c r="AB25" s="10"/>
      <c r="AC25" s="10"/>
      <c r="AD25" s="10"/>
    </row>
    <row r="26" spans="2:30">
      <c r="B26" s="10">
        <v>2070</v>
      </c>
      <c r="C26" s="7"/>
      <c r="D26" s="36">
        <f t="shared" si="3"/>
        <v>11.858000000000001</v>
      </c>
      <c r="E26" s="10">
        <f t="shared" si="3"/>
        <v>0.49</v>
      </c>
      <c r="F26" s="10">
        <f t="shared" si="3"/>
        <v>1.7000000000000001E-2</v>
      </c>
      <c r="G26" s="10"/>
      <c r="H26" s="10">
        <f t="shared" si="4"/>
        <v>14.218999999999999</v>
      </c>
      <c r="I26" s="10">
        <f t="shared" si="0"/>
        <v>0.58799999999999997</v>
      </c>
      <c r="J26" s="10">
        <f t="shared" si="0"/>
        <v>2.1000000000000001E-2</v>
      </c>
      <c r="K26" s="10"/>
      <c r="L26" s="10">
        <f t="shared" si="5"/>
        <v>18.158999999999999</v>
      </c>
      <c r="M26" s="10">
        <f t="shared" si="1"/>
        <v>0.751</v>
      </c>
      <c r="N26" s="10">
        <f t="shared" si="1"/>
        <v>2.5999999999999999E-2</v>
      </c>
      <c r="O26" s="10"/>
      <c r="P26" s="10">
        <f t="shared" si="6"/>
        <v>29.4</v>
      </c>
      <c r="Q26" s="10">
        <f t="shared" si="2"/>
        <v>1.2150000000000001</v>
      </c>
      <c r="R26" s="10">
        <f t="shared" si="2"/>
        <v>4.2999999999999997E-2</v>
      </c>
      <c r="S26" s="18"/>
      <c r="T26" s="9">
        <v>1.23472</v>
      </c>
      <c r="U26" s="9">
        <v>1.48054</v>
      </c>
      <c r="V26" s="9">
        <v>1.8908100000000001</v>
      </c>
      <c r="W26" s="9">
        <v>3.0611799999999998</v>
      </c>
      <c r="X26" s="19"/>
      <c r="Y26" s="4"/>
      <c r="Z26" s="7"/>
      <c r="AA26" s="10"/>
      <c r="AB26" s="10"/>
      <c r="AC26" s="10"/>
      <c r="AD26" s="10"/>
    </row>
    <row r="27" spans="2:30">
      <c r="B27" s="9">
        <v>2080</v>
      </c>
      <c r="C27" s="4"/>
      <c r="D27" s="36">
        <f t="shared" si="3"/>
        <v>11.512</v>
      </c>
      <c r="E27" s="10">
        <f t="shared" si="3"/>
        <v>0.47599999999999998</v>
      </c>
      <c r="F27" s="10">
        <f t="shared" si="3"/>
        <v>1.7000000000000001E-2</v>
      </c>
      <c r="G27" s="9"/>
      <c r="H27" s="10">
        <f t="shared" si="4"/>
        <v>14.247</v>
      </c>
      <c r="I27" s="10">
        <f t="shared" si="0"/>
        <v>0.58899999999999997</v>
      </c>
      <c r="J27" s="10">
        <f t="shared" si="0"/>
        <v>2.1000000000000001E-2</v>
      </c>
      <c r="K27" s="9"/>
      <c r="L27" s="10">
        <f t="shared" si="5"/>
        <v>19.872</v>
      </c>
      <c r="M27" s="10">
        <f t="shared" si="1"/>
        <v>0.82099999999999995</v>
      </c>
      <c r="N27" s="10">
        <f t="shared" si="1"/>
        <v>2.9000000000000001E-2</v>
      </c>
      <c r="O27" s="9"/>
      <c r="P27" s="10">
        <f t="shared" si="6"/>
        <v>39.064999999999998</v>
      </c>
      <c r="Q27" s="10">
        <f t="shared" si="2"/>
        <v>1.615</v>
      </c>
      <c r="R27" s="10">
        <f t="shared" si="2"/>
        <v>5.7000000000000002E-2</v>
      </c>
      <c r="S27" s="18"/>
      <c r="T27" s="28">
        <v>1.1986399999999999</v>
      </c>
      <c r="U27" s="28">
        <v>1.4834799999999999</v>
      </c>
      <c r="V27" s="28">
        <v>2.0691799999999998</v>
      </c>
      <c r="W27" s="28">
        <v>4.0675800000000004</v>
      </c>
      <c r="X27" s="19"/>
      <c r="Y27" s="4"/>
      <c r="Z27" s="7"/>
      <c r="AA27" s="25"/>
      <c r="AB27" s="25" t="s">
        <v>175</v>
      </c>
      <c r="AC27" s="25" t="s">
        <v>177</v>
      </c>
      <c r="AD27" s="25" t="s">
        <v>180</v>
      </c>
    </row>
    <row r="28" spans="2:30">
      <c r="B28" s="10">
        <v>2090</v>
      </c>
      <c r="C28" s="7"/>
      <c r="D28" s="36">
        <f t="shared" si="3"/>
        <v>10.972</v>
      </c>
      <c r="E28" s="10">
        <f t="shared" si="3"/>
        <v>0.45400000000000001</v>
      </c>
      <c r="F28" s="10">
        <f t="shared" si="3"/>
        <v>1.6E-2</v>
      </c>
      <c r="G28" s="10"/>
      <c r="H28" s="10">
        <f t="shared" si="4"/>
        <v>14.018000000000001</v>
      </c>
      <c r="I28" s="10">
        <f t="shared" si="0"/>
        <v>0.57899999999999996</v>
      </c>
      <c r="J28" s="10">
        <f t="shared" si="0"/>
        <v>0.02</v>
      </c>
      <c r="K28" s="10"/>
      <c r="L28" s="10">
        <f t="shared" si="5"/>
        <v>21.437999999999999</v>
      </c>
      <c r="M28" s="10">
        <f t="shared" si="1"/>
        <v>0.88600000000000001</v>
      </c>
      <c r="N28" s="10">
        <f t="shared" si="1"/>
        <v>3.1E-2</v>
      </c>
      <c r="O28" s="10"/>
      <c r="P28" s="10">
        <f t="shared" si="6"/>
        <v>51.247</v>
      </c>
      <c r="Q28" s="10">
        <f t="shared" si="2"/>
        <v>2.1179999999999999</v>
      </c>
      <c r="R28" s="10">
        <f t="shared" si="2"/>
        <v>7.4999999999999997E-2</v>
      </c>
      <c r="S28" s="18"/>
      <c r="T28" s="9">
        <v>1.1424300000000001</v>
      </c>
      <c r="U28" s="9">
        <v>1.4596499999999999</v>
      </c>
      <c r="V28" s="9">
        <v>2.2322299999999999</v>
      </c>
      <c r="W28" s="9">
        <v>5.3360200000000004</v>
      </c>
      <c r="X28" s="19"/>
      <c r="Y28" s="4"/>
      <c r="Z28" s="7"/>
      <c r="AA28" s="10" t="s">
        <v>96</v>
      </c>
      <c r="AB28" s="10">
        <v>5.968</v>
      </c>
      <c r="AC28" s="10">
        <v>1.645</v>
      </c>
      <c r="AD28" s="10">
        <v>0.61299999999999999</v>
      </c>
    </row>
    <row r="29" spans="2:30">
      <c r="B29" s="9">
        <v>2100</v>
      </c>
      <c r="C29" s="4"/>
      <c r="D29" s="36">
        <f t="shared" si="3"/>
        <v>10.438000000000001</v>
      </c>
      <c r="E29" s="10">
        <f t="shared" si="3"/>
        <v>0.43099999999999999</v>
      </c>
      <c r="F29" s="10">
        <f t="shared" si="3"/>
        <v>1.4999999999999999E-2</v>
      </c>
      <c r="G29" s="9"/>
      <c r="H29" s="10">
        <f t="shared" si="4"/>
        <v>13.654</v>
      </c>
      <c r="I29" s="10">
        <f t="shared" si="0"/>
        <v>0.56399999999999995</v>
      </c>
      <c r="J29" s="10">
        <f t="shared" si="0"/>
        <v>0.02</v>
      </c>
      <c r="K29" s="9"/>
      <c r="L29" s="10">
        <f t="shared" si="5"/>
        <v>22.974</v>
      </c>
      <c r="M29" s="10">
        <f t="shared" si="1"/>
        <v>0.95</v>
      </c>
      <c r="N29" s="10">
        <f t="shared" si="1"/>
        <v>3.3000000000000002E-2</v>
      </c>
      <c r="O29" s="9"/>
      <c r="P29" s="10">
        <f t="shared" si="6"/>
        <v>65.417000000000002</v>
      </c>
      <c r="Q29" s="10">
        <f t="shared" si="2"/>
        <v>2.7040000000000002</v>
      </c>
      <c r="R29" s="10">
        <f t="shared" si="2"/>
        <v>9.5000000000000001E-2</v>
      </c>
      <c r="S29" s="18"/>
      <c r="T29" s="28">
        <v>1.0868100000000001</v>
      </c>
      <c r="U29" s="28">
        <v>1.4216599999999999</v>
      </c>
      <c r="V29" s="28">
        <v>2.3921199999999998</v>
      </c>
      <c r="W29" s="28">
        <v>6.8114400000000002</v>
      </c>
      <c r="X29" s="19"/>
      <c r="Y29" s="4"/>
      <c r="Z29" s="7"/>
      <c r="AA29" s="10" t="s">
        <v>194</v>
      </c>
      <c r="AB29" s="10">
        <v>6</v>
      </c>
      <c r="AC29" s="10">
        <v>1.6</v>
      </c>
      <c r="AD29" s="10">
        <v>0.6</v>
      </c>
    </row>
    <row r="30" spans="2:30">
      <c r="B30" s="10">
        <v>2110</v>
      </c>
      <c r="C30" s="7"/>
      <c r="D30" s="36">
        <f t="shared" si="3"/>
        <v>9.9169999999999998</v>
      </c>
      <c r="E30" s="10">
        <f t="shared" si="3"/>
        <v>0.41</v>
      </c>
      <c r="F30" s="10">
        <f t="shared" si="3"/>
        <v>1.4E-2</v>
      </c>
      <c r="G30" s="10"/>
      <c r="H30" s="10">
        <f t="shared" si="4"/>
        <v>13.292999999999999</v>
      </c>
      <c r="I30" s="10">
        <f t="shared" si="0"/>
        <v>0.55000000000000004</v>
      </c>
      <c r="J30" s="10">
        <f t="shared" si="0"/>
        <v>1.9E-2</v>
      </c>
      <c r="K30" s="10"/>
      <c r="L30" s="10">
        <f t="shared" si="5"/>
        <v>24.562999999999999</v>
      </c>
      <c r="M30" s="10">
        <f t="shared" si="1"/>
        <v>1.0149999999999999</v>
      </c>
      <c r="N30" s="10">
        <f t="shared" si="1"/>
        <v>3.5999999999999997E-2</v>
      </c>
      <c r="O30" s="10"/>
      <c r="P30" s="10">
        <f t="shared" si="6"/>
        <v>81.314999999999998</v>
      </c>
      <c r="Q30" s="10">
        <f t="shared" si="2"/>
        <v>3.3610000000000002</v>
      </c>
      <c r="R30" s="10">
        <f t="shared" si="2"/>
        <v>0.11899999999999999</v>
      </c>
      <c r="S30" s="18"/>
      <c r="T30" s="9">
        <v>1.0325899999999999</v>
      </c>
      <c r="U30" s="9">
        <v>1.3841600000000001</v>
      </c>
      <c r="V30" s="9">
        <v>2.5575299999999999</v>
      </c>
      <c r="W30" s="9">
        <v>8.4667399999999997</v>
      </c>
      <c r="X30" s="19"/>
      <c r="Y30" s="4"/>
      <c r="Z30" s="7"/>
      <c r="AA30" s="7"/>
      <c r="AB30" s="7"/>
      <c r="AC30" s="7"/>
      <c r="AD30" s="7"/>
    </row>
    <row r="31" spans="2:30">
      <c r="B31" s="9">
        <v>2120</v>
      </c>
      <c r="C31" s="4"/>
      <c r="D31" s="36">
        <f t="shared" si="3"/>
        <v>9.4090000000000007</v>
      </c>
      <c r="E31" s="10">
        <f t="shared" si="3"/>
        <v>0.38900000000000001</v>
      </c>
      <c r="F31" s="10">
        <f t="shared" si="3"/>
        <v>1.4E-2</v>
      </c>
      <c r="G31" s="9"/>
      <c r="H31" s="10">
        <f t="shared" si="4"/>
        <v>12.938000000000001</v>
      </c>
      <c r="I31" s="10">
        <f t="shared" si="0"/>
        <v>0.53500000000000003</v>
      </c>
      <c r="J31" s="10">
        <f t="shared" si="0"/>
        <v>1.9E-2</v>
      </c>
      <c r="K31" s="9"/>
      <c r="L31" s="10">
        <f t="shared" si="5"/>
        <v>26.204000000000001</v>
      </c>
      <c r="M31" s="10">
        <f t="shared" si="1"/>
        <v>1.083</v>
      </c>
      <c r="N31" s="10">
        <f t="shared" si="1"/>
        <v>3.7999999999999999E-2</v>
      </c>
      <c r="O31" s="9"/>
      <c r="P31" s="10">
        <f t="shared" si="6"/>
        <v>98.94</v>
      </c>
      <c r="Q31" s="10">
        <f t="shared" si="2"/>
        <v>4.09</v>
      </c>
      <c r="R31" s="10">
        <f t="shared" si="2"/>
        <v>0.14399999999999999</v>
      </c>
      <c r="S31" s="18"/>
      <c r="T31" s="28">
        <v>0.97974000000000006</v>
      </c>
      <c r="U31" s="28">
        <v>1.34717</v>
      </c>
      <c r="V31" s="28">
        <v>2.7284700000000002</v>
      </c>
      <c r="W31" s="28">
        <v>10.301909999999999</v>
      </c>
      <c r="X31" s="19"/>
      <c r="Y31" s="4"/>
      <c r="Z31" s="7"/>
      <c r="AA31" s="29" t="s">
        <v>195</v>
      </c>
      <c r="AB31" s="7"/>
      <c r="AC31" s="7"/>
      <c r="AD31" s="7"/>
    </row>
    <row r="32" spans="2:30">
      <c r="B32" s="10">
        <v>2130</v>
      </c>
      <c r="C32" s="7"/>
      <c r="D32" s="36">
        <f t="shared" si="3"/>
        <v>8.9420000000000002</v>
      </c>
      <c r="E32" s="10">
        <f t="shared" si="3"/>
        <v>0.37</v>
      </c>
      <c r="F32" s="10">
        <f t="shared" si="3"/>
        <v>1.2999999999999999E-2</v>
      </c>
      <c r="G32" s="10"/>
      <c r="H32" s="10">
        <f t="shared" si="4"/>
        <v>12.587999999999999</v>
      </c>
      <c r="I32" s="10">
        <f t="shared" si="0"/>
        <v>0.52</v>
      </c>
      <c r="J32" s="10">
        <f t="shared" si="0"/>
        <v>1.7999999999999999E-2</v>
      </c>
      <c r="K32" s="10"/>
      <c r="L32" s="10">
        <f t="shared" si="5"/>
        <v>27.899000000000001</v>
      </c>
      <c r="M32" s="10">
        <f t="shared" si="1"/>
        <v>1.153</v>
      </c>
      <c r="N32" s="10">
        <f t="shared" si="1"/>
        <v>4.1000000000000002E-2</v>
      </c>
      <c r="O32" s="10"/>
      <c r="P32" s="10">
        <f t="shared" si="6"/>
        <v>118.292</v>
      </c>
      <c r="Q32" s="10">
        <f t="shared" si="2"/>
        <v>4.8899999999999997</v>
      </c>
      <c r="R32" s="10">
        <f t="shared" si="2"/>
        <v>0.17199999999999999</v>
      </c>
      <c r="S32" s="18"/>
      <c r="T32" s="9">
        <v>0.93103999999999998</v>
      </c>
      <c r="U32" s="9">
        <v>1.31067</v>
      </c>
      <c r="V32" s="9">
        <v>2.9049499999999999</v>
      </c>
      <c r="W32" s="9">
        <v>12.31695</v>
      </c>
      <c r="X32" s="19"/>
      <c r="Y32" s="4"/>
      <c r="Z32" s="7"/>
      <c r="AA32" s="25"/>
      <c r="AB32" s="25" t="s">
        <v>175</v>
      </c>
      <c r="AC32" s="25" t="s">
        <v>177</v>
      </c>
      <c r="AD32" s="25" t="s">
        <v>180</v>
      </c>
    </row>
    <row r="33" spans="2:30">
      <c r="B33" s="9">
        <v>2140</v>
      </c>
      <c r="C33" s="4"/>
      <c r="D33" s="36">
        <f t="shared" si="3"/>
        <v>8.9420000000000002</v>
      </c>
      <c r="E33" s="10">
        <f t="shared" si="3"/>
        <v>0.37</v>
      </c>
      <c r="F33" s="10">
        <f t="shared" si="3"/>
        <v>1.2999999999999999E-2</v>
      </c>
      <c r="G33" s="9"/>
      <c r="H33" s="10">
        <f t="shared" si="4"/>
        <v>12.242000000000001</v>
      </c>
      <c r="I33" s="10">
        <f t="shared" si="0"/>
        <v>0.50600000000000001</v>
      </c>
      <c r="J33" s="10">
        <f t="shared" si="0"/>
        <v>1.7999999999999999E-2</v>
      </c>
      <c r="K33" s="9"/>
      <c r="L33" s="10">
        <f t="shared" si="5"/>
        <v>29.646999999999998</v>
      </c>
      <c r="M33" s="10">
        <f t="shared" si="1"/>
        <v>1.226</v>
      </c>
      <c r="N33" s="10">
        <f t="shared" si="1"/>
        <v>4.2999999999999997E-2</v>
      </c>
      <c r="O33" s="9"/>
      <c r="P33" s="10">
        <f t="shared" si="6"/>
        <v>139.37200000000001</v>
      </c>
      <c r="Q33" s="10">
        <f t="shared" si="2"/>
        <v>5.7610000000000001</v>
      </c>
      <c r="R33" s="10">
        <f t="shared" si="2"/>
        <v>0.20300000000000001</v>
      </c>
      <c r="S33" s="18"/>
      <c r="T33" s="28">
        <v>0.93103999999999998</v>
      </c>
      <c r="U33" s="28">
        <v>1.27468</v>
      </c>
      <c r="V33" s="28">
        <v>3.0869499999999999</v>
      </c>
      <c r="W33" s="28">
        <v>14.511850000000001</v>
      </c>
      <c r="X33" s="19"/>
      <c r="Y33" s="4"/>
      <c r="Z33" s="7"/>
      <c r="AA33" s="10">
        <v>1990</v>
      </c>
      <c r="AB33" s="7">
        <v>9</v>
      </c>
      <c r="AC33" s="7">
        <v>4</v>
      </c>
      <c r="AD33" s="7">
        <v>0</v>
      </c>
    </row>
    <row r="34" spans="2:30">
      <c r="B34" s="10">
        <v>2150</v>
      </c>
      <c r="C34" s="7"/>
      <c r="D34" s="36">
        <f t="shared" si="3"/>
        <v>8.9420000000000002</v>
      </c>
      <c r="E34" s="10">
        <f t="shared" si="3"/>
        <v>0.37</v>
      </c>
      <c r="F34" s="10">
        <f t="shared" si="3"/>
        <v>1.2999999999999999E-2</v>
      </c>
      <c r="G34" s="10"/>
      <c r="H34" s="10">
        <f t="shared" si="4"/>
        <v>11.901</v>
      </c>
      <c r="I34" s="10">
        <f t="shared" si="0"/>
        <v>0.49199999999999999</v>
      </c>
      <c r="J34" s="10">
        <f t="shared" si="0"/>
        <v>1.7000000000000001E-2</v>
      </c>
      <c r="K34" s="10"/>
      <c r="L34" s="10">
        <f t="shared" si="5"/>
        <v>31.448</v>
      </c>
      <c r="M34" s="10">
        <f t="shared" si="1"/>
        <v>1.3</v>
      </c>
      <c r="N34" s="10">
        <f t="shared" si="1"/>
        <v>4.5999999999999999E-2</v>
      </c>
      <c r="O34" s="10"/>
      <c r="P34" s="10">
        <f t="shared" si="6"/>
        <v>162.179</v>
      </c>
      <c r="Q34" s="10">
        <f t="shared" si="2"/>
        <v>6.7039999999999997</v>
      </c>
      <c r="R34" s="10">
        <f t="shared" si="2"/>
        <v>0.23599999999999999</v>
      </c>
      <c r="S34" s="18"/>
      <c r="T34" s="9">
        <v>0.93103999999999998</v>
      </c>
      <c r="U34" s="9">
        <v>1.23919</v>
      </c>
      <c r="V34" s="9">
        <v>3.2744800000000001</v>
      </c>
      <c r="W34" s="9">
        <v>16.88663</v>
      </c>
      <c r="X34" s="19"/>
      <c r="Y34" s="4"/>
      <c r="Z34" s="7"/>
      <c r="AA34" s="10">
        <v>1991</v>
      </c>
      <c r="AB34" s="7">
        <v>7</v>
      </c>
      <c r="AC34" s="7">
        <v>3</v>
      </c>
      <c r="AD34" s="7">
        <v>0</v>
      </c>
    </row>
    <row r="35" spans="2:30">
      <c r="B35" s="4"/>
      <c r="C35" s="4"/>
      <c r="D35" s="9"/>
      <c r="E35" s="9"/>
      <c r="F35" s="9"/>
      <c r="G35" s="9"/>
      <c r="H35" s="9"/>
      <c r="I35" s="9"/>
      <c r="J35" s="9"/>
      <c r="K35" s="9"/>
      <c r="L35" s="9"/>
      <c r="M35" s="9"/>
      <c r="N35" s="9"/>
      <c r="O35" s="9"/>
      <c r="P35" s="9"/>
      <c r="Q35" s="9"/>
      <c r="R35" s="27"/>
      <c r="S35" s="30"/>
      <c r="T35" s="30"/>
      <c r="U35" s="30"/>
      <c r="V35" s="30"/>
      <c r="W35" s="30"/>
      <c r="X35" s="31"/>
      <c r="Y35" s="4"/>
      <c r="Z35" s="7"/>
      <c r="AA35" s="10">
        <v>1992</v>
      </c>
      <c r="AB35" s="7">
        <v>7</v>
      </c>
      <c r="AC35" s="7">
        <v>3</v>
      </c>
      <c r="AD35" s="7">
        <v>0</v>
      </c>
    </row>
    <row r="36" spans="2:30">
      <c r="B36" s="4"/>
      <c r="C36" s="4"/>
      <c r="D36" s="4"/>
      <c r="E36" s="4"/>
      <c r="F36" s="4"/>
      <c r="G36" s="4"/>
      <c r="H36" s="4"/>
      <c r="I36" s="4"/>
      <c r="J36" s="4"/>
      <c r="K36" s="4"/>
      <c r="L36" s="4"/>
      <c r="M36" s="4"/>
      <c r="N36" s="4"/>
      <c r="O36" s="4"/>
      <c r="P36" s="4"/>
      <c r="Q36" s="4"/>
      <c r="R36" s="4"/>
      <c r="S36" s="4"/>
      <c r="T36" s="4"/>
      <c r="U36" s="4"/>
      <c r="V36" s="4"/>
      <c r="W36" s="4"/>
      <c r="X36" s="4"/>
      <c r="Y36" s="4"/>
      <c r="Z36" s="7"/>
      <c r="AA36" s="10">
        <v>1993</v>
      </c>
      <c r="AB36" s="7">
        <v>13</v>
      </c>
      <c r="AC36" s="7">
        <v>4</v>
      </c>
      <c r="AD36" s="7">
        <v>2</v>
      </c>
    </row>
    <row r="37" spans="2:30">
      <c r="B37" s="4"/>
      <c r="C37" s="4"/>
      <c r="D37" s="4"/>
      <c r="E37" s="4"/>
      <c r="F37" s="4"/>
      <c r="G37" s="4"/>
      <c r="H37" s="4"/>
      <c r="I37" s="4"/>
      <c r="J37" s="4"/>
      <c r="K37" s="4"/>
      <c r="L37" s="4"/>
      <c r="M37" s="4"/>
      <c r="N37" s="4"/>
      <c r="O37" s="4"/>
      <c r="P37" s="4"/>
      <c r="Q37" s="4"/>
      <c r="R37" s="4"/>
      <c r="S37" s="4"/>
      <c r="T37" s="4"/>
      <c r="U37" s="4"/>
      <c r="V37" s="4"/>
      <c r="W37" s="4"/>
      <c r="X37" s="4"/>
      <c r="Y37" s="4"/>
      <c r="Z37" s="7"/>
      <c r="AA37" s="10">
        <v>1994</v>
      </c>
      <c r="AB37" s="7">
        <v>16</v>
      </c>
      <c r="AC37" s="7">
        <v>3</v>
      </c>
      <c r="AD37" s="7">
        <v>0</v>
      </c>
    </row>
    <row r="38" spans="2:30">
      <c r="B38" s="4"/>
      <c r="C38" s="4"/>
      <c r="D38" s="4"/>
      <c r="E38" s="4"/>
      <c r="F38" s="4"/>
      <c r="G38" s="4"/>
      <c r="H38" s="4"/>
      <c r="I38" s="4"/>
      <c r="J38" s="4"/>
      <c r="K38" s="4"/>
      <c r="L38" s="4"/>
      <c r="M38" s="4"/>
      <c r="N38" s="4"/>
      <c r="O38" s="4"/>
      <c r="P38" s="4"/>
      <c r="Q38" s="4"/>
      <c r="R38" s="4"/>
      <c r="S38" s="4"/>
      <c r="T38" s="4"/>
      <c r="U38" s="4"/>
      <c r="V38" s="4"/>
      <c r="W38" s="4"/>
      <c r="X38" s="4"/>
      <c r="Y38" s="4"/>
      <c r="Z38" s="7"/>
      <c r="AA38" s="10">
        <v>1995</v>
      </c>
      <c r="AB38" s="7">
        <v>14</v>
      </c>
      <c r="AC38" s="7">
        <v>4</v>
      </c>
      <c r="AD38" s="7">
        <v>3</v>
      </c>
    </row>
    <row r="39" spans="2:30">
      <c r="B39" s="4"/>
      <c r="C39" s="4"/>
      <c r="D39" s="4"/>
      <c r="E39" s="4"/>
      <c r="F39" s="4"/>
      <c r="G39" s="4"/>
      <c r="H39" s="4"/>
      <c r="I39" s="4"/>
      <c r="J39" s="4"/>
      <c r="K39" s="4"/>
      <c r="L39" s="4"/>
      <c r="M39" s="4"/>
      <c r="N39" s="4"/>
      <c r="O39" s="4"/>
      <c r="P39" s="4"/>
      <c r="Q39" s="4"/>
      <c r="R39" s="9"/>
      <c r="S39" s="9"/>
      <c r="T39" s="9"/>
      <c r="U39" s="9"/>
      <c r="V39" s="9"/>
      <c r="W39" s="9"/>
      <c r="X39" s="9"/>
      <c r="Y39" s="4"/>
      <c r="Z39" s="7"/>
      <c r="AA39" s="10">
        <v>1996</v>
      </c>
      <c r="AB39" s="7">
        <v>16</v>
      </c>
      <c r="AC39" s="7">
        <v>2</v>
      </c>
      <c r="AD39" s="7">
        <v>1</v>
      </c>
    </row>
    <row r="40" spans="2:30">
      <c r="B40" s="634" t="s">
        <v>196</v>
      </c>
      <c r="C40" s="635"/>
      <c r="D40" s="635"/>
      <c r="E40" s="635"/>
      <c r="F40" s="635"/>
      <c r="G40" s="635"/>
      <c r="H40" s="635"/>
      <c r="I40" s="635"/>
      <c r="J40" s="635"/>
      <c r="K40" s="635"/>
      <c r="L40" s="635"/>
      <c r="M40" s="635"/>
      <c r="N40" s="635"/>
      <c r="O40" s="635"/>
      <c r="P40" s="635"/>
      <c r="Q40" s="635"/>
      <c r="R40" s="635"/>
      <c r="S40" s="635"/>
      <c r="T40" s="635"/>
      <c r="U40" s="635"/>
      <c r="V40" s="635"/>
      <c r="W40" s="636"/>
      <c r="X40" s="4"/>
      <c r="Y40" s="4"/>
      <c r="Z40" s="7"/>
      <c r="AA40" s="10">
        <v>1997</v>
      </c>
      <c r="AB40" s="7">
        <v>3</v>
      </c>
      <c r="AC40" s="7">
        <v>2</v>
      </c>
      <c r="AD40" s="7">
        <v>0</v>
      </c>
    </row>
    <row r="41" spans="2:30">
      <c r="B41" s="637"/>
      <c r="C41" s="638"/>
      <c r="D41" s="638"/>
      <c r="E41" s="638"/>
      <c r="F41" s="638"/>
      <c r="G41" s="638"/>
      <c r="H41" s="638"/>
      <c r="I41" s="638"/>
      <c r="J41" s="638"/>
      <c r="K41" s="638"/>
      <c r="L41" s="638"/>
      <c r="M41" s="638"/>
      <c r="N41" s="638"/>
      <c r="O41" s="638"/>
      <c r="P41" s="638"/>
      <c r="Q41" s="638"/>
      <c r="R41" s="638"/>
      <c r="S41" s="638"/>
      <c r="T41" s="638"/>
      <c r="U41" s="638"/>
      <c r="V41" s="638"/>
      <c r="W41" s="639"/>
      <c r="X41" s="4"/>
      <c r="Y41" s="4"/>
      <c r="Z41" s="7"/>
      <c r="AA41" s="10">
        <v>1998</v>
      </c>
      <c r="AB41" s="7">
        <v>4</v>
      </c>
      <c r="AC41" s="7">
        <v>1</v>
      </c>
      <c r="AD41" s="7">
        <v>0</v>
      </c>
    </row>
    <row r="42" spans="2:30">
      <c r="B42" s="637"/>
      <c r="C42" s="638"/>
      <c r="D42" s="638"/>
      <c r="E42" s="638"/>
      <c r="F42" s="638"/>
      <c r="G42" s="638"/>
      <c r="H42" s="638"/>
      <c r="I42" s="638"/>
      <c r="J42" s="638"/>
      <c r="K42" s="638"/>
      <c r="L42" s="638"/>
      <c r="M42" s="638"/>
      <c r="N42" s="638"/>
      <c r="O42" s="638"/>
      <c r="P42" s="638"/>
      <c r="Q42" s="638"/>
      <c r="R42" s="638"/>
      <c r="S42" s="638"/>
      <c r="T42" s="638"/>
      <c r="U42" s="638"/>
      <c r="V42" s="638"/>
      <c r="W42" s="639"/>
      <c r="X42" s="4"/>
      <c r="Y42" s="4"/>
      <c r="Z42" s="7"/>
      <c r="AA42" s="10">
        <v>1999</v>
      </c>
      <c r="AB42" s="7">
        <v>5</v>
      </c>
      <c r="AC42" s="7">
        <v>1</v>
      </c>
      <c r="AD42" s="7">
        <v>1</v>
      </c>
    </row>
    <row r="43" spans="2:30">
      <c r="B43" s="637"/>
      <c r="C43" s="638"/>
      <c r="D43" s="638"/>
      <c r="E43" s="638"/>
      <c r="F43" s="638"/>
      <c r="G43" s="638"/>
      <c r="H43" s="638"/>
      <c r="I43" s="638"/>
      <c r="J43" s="638"/>
      <c r="K43" s="638"/>
      <c r="L43" s="638"/>
      <c r="M43" s="638"/>
      <c r="N43" s="638"/>
      <c r="O43" s="638"/>
      <c r="P43" s="638"/>
      <c r="Q43" s="638"/>
      <c r="R43" s="638"/>
      <c r="S43" s="638"/>
      <c r="T43" s="638"/>
      <c r="U43" s="638"/>
      <c r="V43" s="638"/>
      <c r="W43" s="639"/>
      <c r="X43" s="9"/>
      <c r="Y43" s="4"/>
      <c r="Z43" s="7"/>
      <c r="AA43" s="10">
        <v>2000</v>
      </c>
      <c r="AB43" s="7">
        <v>4</v>
      </c>
      <c r="AC43" s="7">
        <v>1</v>
      </c>
      <c r="AD43" s="7">
        <v>1</v>
      </c>
    </row>
    <row r="44" spans="2:30">
      <c r="B44" s="640"/>
      <c r="C44" s="641"/>
      <c r="D44" s="641"/>
      <c r="E44" s="641"/>
      <c r="F44" s="641"/>
      <c r="G44" s="641"/>
      <c r="H44" s="641"/>
      <c r="I44" s="641"/>
      <c r="J44" s="641"/>
      <c r="K44" s="641"/>
      <c r="L44" s="641"/>
      <c r="M44" s="641"/>
      <c r="N44" s="641"/>
      <c r="O44" s="641"/>
      <c r="P44" s="641"/>
      <c r="Q44" s="641"/>
      <c r="R44" s="641"/>
      <c r="S44" s="641"/>
      <c r="T44" s="641"/>
      <c r="U44" s="641"/>
      <c r="V44" s="641"/>
      <c r="W44" s="642"/>
      <c r="X44" s="32"/>
      <c r="Y44" s="32"/>
      <c r="Z44" s="7"/>
      <c r="AA44" s="10">
        <v>2001</v>
      </c>
      <c r="AB44" s="7">
        <v>0</v>
      </c>
      <c r="AC44" s="7">
        <v>0</v>
      </c>
      <c r="AD44" s="7">
        <v>0</v>
      </c>
    </row>
    <row r="45" spans="2:30">
      <c r="B45" s="643" t="s">
        <v>197</v>
      </c>
      <c r="C45" s="644"/>
      <c r="D45" s="644"/>
      <c r="E45" s="644"/>
      <c r="F45" s="644"/>
      <c r="G45" s="644"/>
      <c r="H45" s="644"/>
      <c r="I45" s="644"/>
      <c r="J45" s="644"/>
      <c r="K45" s="644"/>
      <c r="L45" s="644"/>
      <c r="M45" s="644"/>
      <c r="N45" s="644"/>
      <c r="O45" s="644"/>
      <c r="P45" s="644"/>
      <c r="Q45" s="644"/>
      <c r="R45" s="644"/>
      <c r="S45" s="644"/>
      <c r="T45" s="644"/>
      <c r="U45" s="644"/>
      <c r="V45" s="644"/>
      <c r="W45" s="645"/>
      <c r="X45" s="9"/>
      <c r="Y45" s="4"/>
      <c r="Z45" s="7"/>
      <c r="AA45" s="10">
        <v>2002</v>
      </c>
      <c r="AB45" s="7">
        <v>9</v>
      </c>
      <c r="AC45" s="7">
        <v>2</v>
      </c>
      <c r="AD45" s="7">
        <v>1</v>
      </c>
    </row>
    <row r="46" spans="2:30">
      <c r="B46" s="4"/>
      <c r="C46" s="4"/>
      <c r="D46" s="4"/>
      <c r="E46" s="4"/>
      <c r="F46" s="4"/>
      <c r="G46" s="4"/>
      <c r="H46" s="4"/>
      <c r="I46" s="4"/>
      <c r="J46" s="4"/>
      <c r="K46" s="4"/>
      <c r="L46" s="4"/>
      <c r="M46" s="4"/>
      <c r="N46" s="4"/>
      <c r="O46" s="4"/>
      <c r="P46" s="4"/>
      <c r="Q46" s="4"/>
      <c r="R46" s="9"/>
      <c r="S46" s="9"/>
      <c r="T46" s="9"/>
      <c r="U46" s="9"/>
      <c r="V46" s="9"/>
      <c r="W46" s="9"/>
      <c r="X46" s="9"/>
      <c r="Y46" s="4"/>
      <c r="Z46" s="7"/>
      <c r="AA46" s="10">
        <v>2003</v>
      </c>
      <c r="AB46" s="7">
        <v>9</v>
      </c>
      <c r="AC46" s="7">
        <v>3</v>
      </c>
      <c r="AD46" s="7">
        <v>1</v>
      </c>
    </row>
    <row r="47" spans="2:30">
      <c r="B47" s="4"/>
      <c r="C47" s="4"/>
      <c r="D47" s="4"/>
      <c r="E47" s="4"/>
      <c r="F47" s="4"/>
      <c r="G47" s="4"/>
      <c r="H47" s="4"/>
      <c r="I47" s="4"/>
      <c r="J47" s="4"/>
      <c r="K47" s="4"/>
      <c r="L47" s="4"/>
      <c r="M47" s="4"/>
      <c r="N47" s="4"/>
      <c r="O47" s="4"/>
      <c r="P47" s="4"/>
      <c r="Q47" s="4"/>
      <c r="R47" s="9"/>
      <c r="S47" s="9"/>
      <c r="T47" s="9"/>
      <c r="U47" s="9"/>
      <c r="V47" s="9"/>
      <c r="W47" s="9"/>
      <c r="X47" s="9"/>
      <c r="Y47" s="4"/>
      <c r="Z47" s="7"/>
      <c r="AA47" s="10">
        <v>2004</v>
      </c>
      <c r="AB47" s="7">
        <v>12</v>
      </c>
      <c r="AC47" s="7">
        <v>1</v>
      </c>
      <c r="AD47" s="7">
        <v>1</v>
      </c>
    </row>
    <row r="48" spans="2:30">
      <c r="B48" s="4"/>
      <c r="C48" s="4"/>
      <c r="D48" s="4"/>
      <c r="E48" s="4"/>
      <c r="F48" s="4"/>
      <c r="G48" s="4"/>
      <c r="H48" s="4"/>
      <c r="I48" s="4"/>
      <c r="J48" s="4"/>
      <c r="K48" s="4"/>
      <c r="L48" s="4"/>
      <c r="M48" s="4"/>
      <c r="N48" s="4"/>
      <c r="O48" s="4"/>
      <c r="P48" s="4"/>
      <c r="Q48" s="4"/>
      <c r="R48" s="9"/>
      <c r="S48" s="9"/>
      <c r="T48" s="9"/>
      <c r="U48" s="9"/>
      <c r="V48" s="9"/>
      <c r="W48" s="9"/>
      <c r="X48" s="9"/>
      <c r="Y48" s="4"/>
      <c r="Z48" s="7"/>
      <c r="AA48" s="10">
        <v>2005</v>
      </c>
      <c r="AB48" s="7">
        <v>4</v>
      </c>
      <c r="AC48" s="7">
        <v>3</v>
      </c>
      <c r="AD48" s="7">
        <v>0</v>
      </c>
    </row>
    <row r="49" spans="27:30">
      <c r="AA49" s="10">
        <v>2006</v>
      </c>
      <c r="AB49" s="7">
        <v>2</v>
      </c>
      <c r="AC49" s="7">
        <v>0</v>
      </c>
      <c r="AD49" s="7">
        <v>0</v>
      </c>
    </row>
    <row r="50" spans="27:30">
      <c r="AA50" s="10">
        <v>2007</v>
      </c>
      <c r="AB50" s="7">
        <v>5</v>
      </c>
      <c r="AC50" s="7">
        <v>0</v>
      </c>
      <c r="AD50" s="7">
        <v>1</v>
      </c>
    </row>
    <row r="51" spans="27:30">
      <c r="AA51" s="10">
        <v>2008</v>
      </c>
      <c r="AB51" s="7">
        <v>2</v>
      </c>
      <c r="AC51" s="7">
        <v>1</v>
      </c>
      <c r="AD51" s="7">
        <v>1</v>
      </c>
    </row>
    <row r="52" spans="27:30">
      <c r="AA52" s="10">
        <v>2009</v>
      </c>
      <c r="AB52" s="7">
        <v>1</v>
      </c>
      <c r="AC52" s="7">
        <v>1</v>
      </c>
      <c r="AD52" s="7">
        <v>0</v>
      </c>
    </row>
    <row r="53" spans="27:30">
      <c r="AA53" s="10">
        <v>2010</v>
      </c>
      <c r="AB53" s="7">
        <v>1</v>
      </c>
      <c r="AC53" s="7">
        <v>0</v>
      </c>
      <c r="AD53" s="7">
        <v>0</v>
      </c>
    </row>
    <row r="54" spans="27:30">
      <c r="AA54" s="10">
        <v>2011</v>
      </c>
      <c r="AB54" s="7">
        <v>1</v>
      </c>
      <c r="AC54" s="7">
        <v>0</v>
      </c>
      <c r="AD54" s="7">
        <v>0</v>
      </c>
    </row>
    <row r="55" spans="27:30">
      <c r="AA55" s="10">
        <v>2012</v>
      </c>
      <c r="AB55" s="7">
        <v>1</v>
      </c>
      <c r="AC55" s="7">
        <v>0</v>
      </c>
      <c r="AD55" s="7">
        <v>0</v>
      </c>
    </row>
    <row r="56" spans="27:30">
      <c r="AA56" s="10">
        <v>2013</v>
      </c>
      <c r="AB56" s="7">
        <v>2</v>
      </c>
      <c r="AC56" s="7">
        <v>0</v>
      </c>
      <c r="AD56" s="7">
        <v>1</v>
      </c>
    </row>
    <row r="57" spans="27:30">
      <c r="AA57" s="10">
        <v>2014</v>
      </c>
      <c r="AB57" s="7">
        <v>5</v>
      </c>
      <c r="AC57" s="7">
        <v>2</v>
      </c>
      <c r="AD57" s="7">
        <v>1</v>
      </c>
    </row>
    <row r="58" spans="27:30">
      <c r="AA58" s="10">
        <v>2015</v>
      </c>
      <c r="AB58" s="7">
        <v>8</v>
      </c>
      <c r="AC58" s="7">
        <v>1</v>
      </c>
      <c r="AD58" s="7">
        <v>0</v>
      </c>
    </row>
    <row r="59" spans="27:30">
      <c r="AA59" s="10">
        <v>2016</v>
      </c>
      <c r="AB59" s="7">
        <v>1</v>
      </c>
      <c r="AC59" s="7">
        <v>1</v>
      </c>
      <c r="AD59" s="7">
        <v>1</v>
      </c>
    </row>
    <row r="60" spans="27:30">
      <c r="AA60" s="10">
        <v>2017</v>
      </c>
      <c r="AB60" s="7">
        <v>13</v>
      </c>
      <c r="AC60" s="7">
        <v>2</v>
      </c>
      <c r="AD60" s="7">
        <v>0</v>
      </c>
    </row>
    <row r="61" spans="27:30">
      <c r="AA61" s="10">
        <v>2018</v>
      </c>
      <c r="AB61" s="7">
        <v>6</v>
      </c>
      <c r="AC61" s="7">
        <v>0</v>
      </c>
      <c r="AD61" s="7">
        <v>0</v>
      </c>
    </row>
    <row r="62" spans="27:30">
      <c r="AA62" s="10">
        <v>2019</v>
      </c>
      <c r="AB62" s="7">
        <v>0</v>
      </c>
      <c r="AC62" s="7">
        <v>1</v>
      </c>
      <c r="AD62" s="7">
        <v>0</v>
      </c>
    </row>
    <row r="63" spans="27:30">
      <c r="AA63" s="10">
        <v>2020</v>
      </c>
      <c r="AB63" s="7">
        <v>5</v>
      </c>
      <c r="AC63" s="7">
        <v>5</v>
      </c>
      <c r="AD63" s="7">
        <v>3</v>
      </c>
    </row>
  </sheetData>
  <mergeCells count="11">
    <mergeCell ref="T19:W19"/>
    <mergeCell ref="B40:W44"/>
    <mergeCell ref="B45:W45"/>
    <mergeCell ref="D18:F18"/>
    <mergeCell ref="H18:J18"/>
    <mergeCell ref="L18:N18"/>
    <mergeCell ref="P18:R18"/>
    <mergeCell ref="D19:F19"/>
    <mergeCell ref="H19:J19"/>
    <mergeCell ref="L19:N19"/>
    <mergeCell ref="P19:R19"/>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EAEB0-66BF-4D9B-9F95-4E872C9B5A1D}">
  <sheetPr>
    <tabColor theme="5" tint="0.79998168889431442"/>
  </sheetPr>
  <dimension ref="A1:D56"/>
  <sheetViews>
    <sheetView workbookViewId="0">
      <selection activeCell="B10" sqref="B10"/>
    </sheetView>
  </sheetViews>
  <sheetFormatPr defaultColWidth="8.7109375" defaultRowHeight="15"/>
  <cols>
    <col min="1" max="1" width="18.42578125" bestFit="1" customWidth="1"/>
    <col min="2" max="2" width="15.42578125" bestFit="1" customWidth="1"/>
    <col min="3" max="3" width="14" bestFit="1" customWidth="1"/>
    <col min="4" max="4" width="13.7109375" bestFit="1" customWidth="1"/>
  </cols>
  <sheetData>
    <row r="1" spans="1:4">
      <c r="A1" s="2" t="s">
        <v>375</v>
      </c>
      <c r="B1" s="1" t="s">
        <v>380</v>
      </c>
      <c r="C1" s="1"/>
    </row>
    <row r="2" spans="1:4">
      <c r="A2" s="37">
        <v>2020</v>
      </c>
      <c r="B2" s="3" t="s">
        <v>381</v>
      </c>
      <c r="C2" s="3" t="s">
        <v>382</v>
      </c>
      <c r="D2" s="3" t="s">
        <v>383</v>
      </c>
    </row>
    <row r="3" spans="1:4">
      <c r="A3" s="2" t="s">
        <v>103</v>
      </c>
      <c r="B3" s="40">
        <f>'Frequency 2020 Values'!B3</f>
        <v>9.6039929999999991</v>
      </c>
      <c r="C3" s="40">
        <f>'Frequency 2020 Values'!C3</f>
        <v>0.39662969999999997</v>
      </c>
      <c r="D3" s="40">
        <f>'Frequency 2020 Values'!D3</f>
        <v>1.3857849899999998E-2</v>
      </c>
    </row>
    <row r="4" spans="1:4">
      <c r="A4" s="2" t="s">
        <v>105</v>
      </c>
      <c r="B4" s="40">
        <f>B3</f>
        <v>9.6039929999999991</v>
      </c>
      <c r="C4" s="40">
        <f t="shared" ref="C4:D6" si="0">C3</f>
        <v>0.39662969999999997</v>
      </c>
      <c r="D4" s="40">
        <f t="shared" si="0"/>
        <v>1.3857849899999998E-2</v>
      </c>
    </row>
    <row r="5" spans="1:4">
      <c r="A5" s="38" t="s">
        <v>107</v>
      </c>
      <c r="B5" s="40">
        <f t="shared" ref="B5:B6" si="1">B4</f>
        <v>9.6039929999999991</v>
      </c>
      <c r="C5" s="40">
        <f t="shared" si="0"/>
        <v>0.39662969999999997</v>
      </c>
      <c r="D5" s="40">
        <f t="shared" si="0"/>
        <v>1.3857849899999998E-2</v>
      </c>
    </row>
    <row r="6" spans="1:4">
      <c r="A6" s="39" t="s">
        <v>109</v>
      </c>
      <c r="B6" s="41">
        <f t="shared" si="1"/>
        <v>9.6039929999999991</v>
      </c>
      <c r="C6" s="41">
        <f t="shared" si="0"/>
        <v>0.39662969999999997</v>
      </c>
      <c r="D6" s="41">
        <f t="shared" si="0"/>
        <v>1.3857849899999998E-2</v>
      </c>
    </row>
    <row r="7" spans="1:4">
      <c r="A7" s="37">
        <v>2021</v>
      </c>
      <c r="B7" s="3" t="s">
        <v>381</v>
      </c>
      <c r="C7" s="3" t="s">
        <v>382</v>
      </c>
      <c r="D7" s="3" t="s">
        <v>383</v>
      </c>
    </row>
    <row r="8" spans="1:4">
      <c r="A8" s="2" t="s">
        <v>103</v>
      </c>
      <c r="B8" s="40">
        <f>'Low Risk Scenarios'!$D$21+($A7-$A$2)*('Low Risk Scenarios'!$D$22-'Low Risk Scenarios'!$D$21)/('High Risk Scenarios'!$B$22-'High Risk Scenarios'!$B$21)</f>
        <v>9.7085999999999988</v>
      </c>
      <c r="C8" s="40">
        <f>'Low Risk Scenarios'!$E$21+($A7-$A$2)*('Low Risk Scenarios'!$E$22-'Low Risk Scenarios'!$E$21)/('High Risk Scenarios'!$B$22-'High Risk Scenarios'!$B$21)</f>
        <v>0.40129999999999999</v>
      </c>
      <c r="D8" s="40">
        <f>'Low Risk Scenarios'!$F$21+($A7-$A$2)*('Low Risk Scenarios'!$F$22-'Low Risk Scenarios'!$F$21)/('High Risk Scenarios'!$B$22-'High Risk Scenarios'!$B$21)</f>
        <v>1.4200000000000001E-2</v>
      </c>
    </row>
    <row r="9" spans="1:4">
      <c r="A9" s="2" t="s">
        <v>105</v>
      </c>
      <c r="B9" s="40">
        <f>'Low Risk Scenarios'!$H$21+($A7-$A$2)*('Low Risk Scenarios'!$H$22-'Low Risk Scenarios'!$H$21)/('Med Risk Scenarios'!$B$22-'Med Risk Scenarios'!$B$21)</f>
        <v>9.7225999999999999</v>
      </c>
      <c r="C9" s="40">
        <f>'Low Risk Scenarios'!$I$21+($A7-$A$2)*('Low Risk Scenarios'!$I$22-'Low Risk Scenarios'!$I$21)/('Med Risk Scenarios'!$B$22-'Med Risk Scenarios'!$B$21)</f>
        <v>0.40190000000000003</v>
      </c>
      <c r="D9" s="40">
        <f>'Low Risk Scenarios'!$J$21+($A7-$A$2)*('Low Risk Scenarios'!$J$22-'Low Risk Scenarios'!$J$21)/('Med Risk Scenarios'!$B$22-'Med Risk Scenarios'!$B$21)</f>
        <v>1.4200000000000001E-2</v>
      </c>
    </row>
    <row r="10" spans="1:4">
      <c r="A10" s="38" t="s">
        <v>107</v>
      </c>
      <c r="B10" s="40">
        <f>'Low Risk Scenarios'!$L$21+($A7-$A$2)*('Low Risk Scenarios'!$L$22-'Low Risk Scenarios'!$L$21)/('Med Risk Scenarios'!$B$22-'Med Risk Scenarios'!$B$21)</f>
        <v>9.7543999999999986</v>
      </c>
      <c r="C10" s="40">
        <f>'Low Risk Scenarios'!$M$21+($A7-$A$2)*('Low Risk Scenarios'!$M$22-'Low Risk Scenarios'!$M$21)/('Med Risk Scenarios'!$B$22-'Med Risk Scenarios'!$B$21)</f>
        <v>0.4032</v>
      </c>
      <c r="D10" s="40">
        <f>'Low Risk Scenarios'!$N$21+($A7-$A$2)*('Low Risk Scenarios'!$N$22-'Low Risk Scenarios'!$N$21)/('Med Risk Scenarios'!$B$22-'Med Risk Scenarios'!$B$21)</f>
        <v>1.4200000000000001E-2</v>
      </c>
    </row>
    <row r="11" spans="1:4">
      <c r="A11" s="39" t="s">
        <v>109</v>
      </c>
      <c r="B11" s="41">
        <f>'Low Risk Scenarios'!$P$21+($A7-$A$2)*('Low Risk Scenarios'!$P$22-'Low Risk Scenarios'!$P$21)/('Med Risk Scenarios'!$B$22-'Med Risk Scenarios'!$B$21)</f>
        <v>9.7744999999999997</v>
      </c>
      <c r="C11" s="41">
        <f>'Low Risk Scenarios'!$Q$21+($A7-$A$2)*('Low Risk Scenarios'!$Q$22-'Low Risk Scenarios'!$Q$21)/('Med Risk Scenarios'!$B$22-'Med Risk Scenarios'!$B$21)</f>
        <v>0.40400000000000003</v>
      </c>
      <c r="D11" s="41">
        <f>'Low Risk Scenarios'!$R$21+($A7-$A$2)*('Low Risk Scenarios'!$R$22-'Low Risk Scenarios'!$R$21)/('Med Risk Scenarios'!$B$22-'Med Risk Scenarios'!$B$21)</f>
        <v>1.4200000000000001E-2</v>
      </c>
    </row>
    <row r="12" spans="1:4">
      <c r="A12" s="37">
        <v>2022</v>
      </c>
      <c r="B12" s="3" t="s">
        <v>381</v>
      </c>
      <c r="C12" s="3" t="s">
        <v>382</v>
      </c>
      <c r="D12" s="3" t="s">
        <v>383</v>
      </c>
    </row>
    <row r="13" spans="1:4">
      <c r="A13" s="2" t="s">
        <v>103</v>
      </c>
      <c r="B13" s="40">
        <f>'Low Risk Scenarios'!$D$21+($A12-$A$2)*('Low Risk Scenarios'!$D$22-'Low Risk Scenarios'!$D$21)/('High Risk Scenarios'!$B$22-'High Risk Scenarios'!$B$21)</f>
        <v>9.8132000000000001</v>
      </c>
      <c r="C13" s="40">
        <f>'Low Risk Scenarios'!$E$21+($A12-$A$2)*('Low Risk Scenarios'!$E$22-'Low Risk Scenarios'!$E$21)/('High Risk Scenarios'!$B$22-'High Risk Scenarios'!$B$21)</f>
        <v>0.40560000000000002</v>
      </c>
      <c r="D13" s="40">
        <f>'Low Risk Scenarios'!$F$21+($A12-$A$2)*('Low Risk Scenarios'!$F$22-'Low Risk Scenarios'!$F$21)/('High Risk Scenarios'!$B$22-'High Risk Scenarios'!$B$21)</f>
        <v>1.44E-2</v>
      </c>
    </row>
    <row r="14" spans="1:4">
      <c r="A14" s="2" t="s">
        <v>105</v>
      </c>
      <c r="B14" s="40">
        <f>'Low Risk Scenarios'!$H$21+($A12-$A$2)*('Low Risk Scenarios'!$H$22-'Low Risk Scenarios'!$H$21)/('Med Risk Scenarios'!$B$22-'Med Risk Scenarios'!$B$21)</f>
        <v>9.8411999999999988</v>
      </c>
      <c r="C14" s="40">
        <f>'Low Risk Scenarios'!$I$21+($A12-$A$2)*('Low Risk Scenarios'!$I$22-'Low Risk Scenarios'!$I$21)/('Med Risk Scenarios'!$B$22-'Med Risk Scenarios'!$B$21)</f>
        <v>0.40679999999999999</v>
      </c>
      <c r="D14" s="40">
        <f>'Low Risk Scenarios'!$J$21+($A12-$A$2)*('Low Risk Scenarios'!$J$22-'Low Risk Scenarios'!$J$21)/('Med Risk Scenarios'!$B$22-'Med Risk Scenarios'!$B$21)</f>
        <v>1.44E-2</v>
      </c>
    </row>
    <row r="15" spans="1:4">
      <c r="A15" s="38" t="s">
        <v>107</v>
      </c>
      <c r="B15" s="40">
        <f>'Low Risk Scenarios'!$L$21+($A12-$A$2)*('Low Risk Scenarios'!$L$22-'Low Risk Scenarios'!$L$21)/('Med Risk Scenarios'!$B$22-'Med Risk Scenarios'!$B$21)</f>
        <v>9.9047999999999998</v>
      </c>
      <c r="C15" s="40">
        <f>'Low Risk Scenarios'!$M$21+($A12-$A$2)*('Low Risk Scenarios'!$M$22-'Low Risk Scenarios'!$M$21)/('Med Risk Scenarios'!$B$22-'Med Risk Scenarios'!$B$21)</f>
        <v>0.40940000000000004</v>
      </c>
      <c r="D15" s="40">
        <f>'Low Risk Scenarios'!$N$21+($A12-$A$2)*('Low Risk Scenarios'!$N$22-'Low Risk Scenarios'!$N$21)/('Med Risk Scenarios'!$B$22-'Med Risk Scenarios'!$B$21)</f>
        <v>1.44E-2</v>
      </c>
    </row>
    <row r="16" spans="1:4">
      <c r="A16" s="39" t="s">
        <v>109</v>
      </c>
      <c r="B16" s="41">
        <f>'Low Risk Scenarios'!$P$21+($A12-$A$2)*('Low Risk Scenarios'!$P$22-'Low Risk Scenarios'!$P$21)/('Med Risk Scenarios'!$B$22-'Med Risk Scenarios'!$B$21)</f>
        <v>9.9449999999999985</v>
      </c>
      <c r="C16" s="41">
        <f>'Low Risk Scenarios'!$Q$21+($A12-$A$2)*('Low Risk Scenarios'!$Q$22-'Low Risk Scenarios'!$Q$21)/('Med Risk Scenarios'!$B$22-'Med Risk Scenarios'!$B$21)</f>
        <v>0.41100000000000003</v>
      </c>
      <c r="D16" s="41">
        <f>'Low Risk Scenarios'!$R$21+($A12-$A$2)*('Low Risk Scenarios'!$R$22-'Low Risk Scenarios'!$R$21)/('Med Risk Scenarios'!$B$22-'Med Risk Scenarios'!$B$21)</f>
        <v>1.44E-2</v>
      </c>
    </row>
    <row r="17" spans="1:4">
      <c r="A17" s="37">
        <v>2023</v>
      </c>
      <c r="B17" s="3" t="s">
        <v>381</v>
      </c>
      <c r="C17" s="3" t="s">
        <v>382</v>
      </c>
      <c r="D17" s="3" t="s">
        <v>383</v>
      </c>
    </row>
    <row r="18" spans="1:4">
      <c r="A18" s="2" t="s">
        <v>103</v>
      </c>
      <c r="B18" s="40">
        <f>'Low Risk Scenarios'!$D$21+($A17-$A$2)*('Low Risk Scenarios'!$D$22-'Low Risk Scenarios'!$D$21)/('High Risk Scenarios'!$B$22-'High Risk Scenarios'!$B$21)</f>
        <v>9.9177999999999997</v>
      </c>
      <c r="C18" s="40">
        <f>'Low Risk Scenarios'!$E$21+($A17-$A$2)*('Low Risk Scenarios'!$E$22-'Low Risk Scenarios'!$E$21)/('High Risk Scenarios'!$B$22-'High Risk Scenarios'!$B$21)</f>
        <v>0.40990000000000004</v>
      </c>
      <c r="D18" s="40">
        <f>'Low Risk Scenarios'!$F$21+($A17-$A$2)*('Low Risk Scenarios'!$F$22-'Low Risk Scenarios'!$F$21)/('High Risk Scenarios'!$B$22-'High Risk Scenarios'!$B$21)</f>
        <v>1.46E-2</v>
      </c>
    </row>
    <row r="19" spans="1:4">
      <c r="A19" s="2" t="s">
        <v>105</v>
      </c>
      <c r="B19" s="40">
        <f>'Low Risk Scenarios'!$H$21+($A17-$A$2)*('Low Risk Scenarios'!$H$22-'Low Risk Scenarios'!$H$21)/('Med Risk Scenarios'!$B$22-'Med Risk Scenarios'!$B$21)</f>
        <v>9.9597999999999995</v>
      </c>
      <c r="C19" s="40">
        <f>'Low Risk Scenarios'!$I$21+($A17-$A$2)*('Low Risk Scenarios'!$I$22-'Low Risk Scenarios'!$I$21)/('Med Risk Scenarios'!$B$22-'Med Risk Scenarios'!$B$21)</f>
        <v>0.41170000000000001</v>
      </c>
      <c r="D19" s="40">
        <f>'Low Risk Scenarios'!$J$21+($A17-$A$2)*('Low Risk Scenarios'!$J$22-'Low Risk Scenarios'!$J$21)/('Med Risk Scenarios'!$B$22-'Med Risk Scenarios'!$B$21)</f>
        <v>1.46E-2</v>
      </c>
    </row>
    <row r="20" spans="1:4">
      <c r="A20" s="38" t="s">
        <v>107</v>
      </c>
      <c r="B20" s="40">
        <f>'Low Risk Scenarios'!$L$21+($A17-$A$2)*('Low Risk Scenarios'!$L$22-'Low Risk Scenarios'!$L$21)/('Med Risk Scenarios'!$B$22-'Med Risk Scenarios'!$B$21)</f>
        <v>10.055199999999999</v>
      </c>
      <c r="C20" s="40">
        <f>'Low Risk Scenarios'!$M$21+($A17-$A$2)*('Low Risk Scenarios'!$M$22-'Low Risk Scenarios'!$M$21)/('Med Risk Scenarios'!$B$22-'Med Risk Scenarios'!$B$21)</f>
        <v>0.41560000000000002</v>
      </c>
      <c r="D20" s="40">
        <f>'Low Risk Scenarios'!$N$21+($A17-$A$2)*('Low Risk Scenarios'!$N$22-'Low Risk Scenarios'!$N$21)/('Med Risk Scenarios'!$B$22-'Med Risk Scenarios'!$B$21)</f>
        <v>1.46E-2</v>
      </c>
    </row>
    <row r="21" spans="1:4">
      <c r="A21" s="39" t="s">
        <v>109</v>
      </c>
      <c r="B21" s="41">
        <f>'Low Risk Scenarios'!$P$21+($A17-$A$2)*('Low Risk Scenarios'!$P$22-'Low Risk Scenarios'!$P$21)/('Med Risk Scenarios'!$B$22-'Med Risk Scenarios'!$B$21)</f>
        <v>10.115499999999999</v>
      </c>
      <c r="C21" s="41">
        <f>'Low Risk Scenarios'!$Q$21+($A17-$A$2)*('Low Risk Scenarios'!$Q$22-'Low Risk Scenarios'!$Q$21)/('Med Risk Scenarios'!$B$22-'Med Risk Scenarios'!$B$21)</f>
        <v>0.41800000000000004</v>
      </c>
      <c r="D21" s="41">
        <f>'Low Risk Scenarios'!$R$21+($A17-$A$2)*('Low Risk Scenarios'!$R$22-'Low Risk Scenarios'!$R$21)/('Med Risk Scenarios'!$B$22-'Med Risk Scenarios'!$B$21)</f>
        <v>1.46E-2</v>
      </c>
    </row>
    <row r="22" spans="1:4">
      <c r="A22" s="37">
        <v>2024</v>
      </c>
      <c r="B22" s="3" t="s">
        <v>381</v>
      </c>
      <c r="C22" s="3" t="s">
        <v>382</v>
      </c>
      <c r="D22" s="3" t="s">
        <v>383</v>
      </c>
    </row>
    <row r="23" spans="1:4">
      <c r="A23" s="2" t="s">
        <v>103</v>
      </c>
      <c r="B23" s="40">
        <f>'Low Risk Scenarios'!$D$21+($A22-$A$2)*('Low Risk Scenarios'!$D$22-'Low Risk Scenarios'!$D$21)/('High Risk Scenarios'!$B$22-'High Risk Scenarios'!$B$21)</f>
        <v>10.022399999999999</v>
      </c>
      <c r="C23" s="40">
        <f>'Low Risk Scenarios'!$E$21+($A22-$A$2)*('Low Risk Scenarios'!$E$22-'Low Risk Scenarios'!$E$21)/('High Risk Scenarios'!$B$22-'High Risk Scenarios'!$B$21)</f>
        <v>0.41420000000000001</v>
      </c>
      <c r="D23" s="40">
        <f>'Low Risk Scenarios'!$F$21+($A22-$A$2)*('Low Risk Scenarios'!$F$22-'Low Risk Scenarios'!$F$21)/('High Risk Scenarios'!$B$22-'High Risk Scenarios'!$B$21)</f>
        <v>1.4800000000000001E-2</v>
      </c>
    </row>
    <row r="24" spans="1:4">
      <c r="A24" s="2" t="s">
        <v>105</v>
      </c>
      <c r="B24" s="40">
        <f>'Low Risk Scenarios'!$H$21+($A22-$A$2)*('Low Risk Scenarios'!$H$22-'Low Risk Scenarios'!$H$21)/('Med Risk Scenarios'!$B$22-'Med Risk Scenarios'!$B$21)</f>
        <v>10.078399999999998</v>
      </c>
      <c r="C24" s="40">
        <f>'Low Risk Scenarios'!$I$21+($A22-$A$2)*('Low Risk Scenarios'!$I$22-'Low Risk Scenarios'!$I$21)/('Med Risk Scenarios'!$B$22-'Med Risk Scenarios'!$B$21)</f>
        <v>0.41660000000000003</v>
      </c>
      <c r="D24" s="40">
        <f>'Low Risk Scenarios'!$J$21+($A22-$A$2)*('Low Risk Scenarios'!$J$22-'Low Risk Scenarios'!$J$21)/('Med Risk Scenarios'!$B$22-'Med Risk Scenarios'!$B$21)</f>
        <v>1.4800000000000001E-2</v>
      </c>
    </row>
    <row r="25" spans="1:4">
      <c r="A25" s="38" t="s">
        <v>107</v>
      </c>
      <c r="B25" s="40">
        <f>'Low Risk Scenarios'!$L$21+($A22-$A$2)*('Low Risk Scenarios'!$L$22-'Low Risk Scenarios'!$L$21)/('Med Risk Scenarios'!$B$22-'Med Risk Scenarios'!$B$21)</f>
        <v>10.2056</v>
      </c>
      <c r="C25" s="40">
        <f>'Low Risk Scenarios'!$M$21+($A22-$A$2)*('Low Risk Scenarios'!$M$22-'Low Risk Scenarios'!$M$21)/('Med Risk Scenarios'!$B$22-'Med Risk Scenarios'!$B$21)</f>
        <v>0.42180000000000001</v>
      </c>
      <c r="D25" s="40">
        <f>'Low Risk Scenarios'!$N$21+($A22-$A$2)*('Low Risk Scenarios'!$N$22-'Low Risk Scenarios'!$N$21)/('Med Risk Scenarios'!$B$22-'Med Risk Scenarios'!$B$21)</f>
        <v>1.4800000000000001E-2</v>
      </c>
    </row>
    <row r="26" spans="1:4">
      <c r="A26" s="39" t="s">
        <v>109</v>
      </c>
      <c r="B26" s="41">
        <f>'Low Risk Scenarios'!$P$21+($A22-$A$2)*('Low Risk Scenarios'!$P$22-'Low Risk Scenarios'!$P$21)/('Med Risk Scenarios'!$B$22-'Med Risk Scenarios'!$B$21)</f>
        <v>10.286</v>
      </c>
      <c r="C26" s="41">
        <f>'Low Risk Scenarios'!$Q$21+($A22-$A$2)*('Low Risk Scenarios'!$Q$22-'Low Risk Scenarios'!$Q$21)/('Med Risk Scenarios'!$B$22-'Med Risk Scenarios'!$B$21)</f>
        <v>0.42500000000000004</v>
      </c>
      <c r="D26" s="41">
        <f>'Low Risk Scenarios'!$R$21+($A22-$A$2)*('Low Risk Scenarios'!$R$22-'Low Risk Scenarios'!$R$21)/('Med Risk Scenarios'!$B$22-'Med Risk Scenarios'!$B$21)</f>
        <v>1.4800000000000001E-2</v>
      </c>
    </row>
    <row r="27" spans="1:4">
      <c r="A27" s="37">
        <v>2025</v>
      </c>
      <c r="B27" s="3" t="s">
        <v>381</v>
      </c>
      <c r="C27" s="3" t="s">
        <v>382</v>
      </c>
      <c r="D27" s="3" t="s">
        <v>383</v>
      </c>
    </row>
    <row r="28" spans="1:4">
      <c r="A28" s="2" t="s">
        <v>103</v>
      </c>
      <c r="B28" s="40">
        <f>'Low Risk Scenarios'!$D$21+($A27-$A$2)*('Low Risk Scenarios'!$D$22-'Low Risk Scenarios'!$D$21)/('High Risk Scenarios'!$B$22-'High Risk Scenarios'!$B$21)</f>
        <v>10.126999999999999</v>
      </c>
      <c r="C28" s="40">
        <f>'Low Risk Scenarios'!$E$21+($A27-$A$2)*('Low Risk Scenarios'!$E$22-'Low Risk Scenarios'!$E$21)/('High Risk Scenarios'!$B$22-'High Risk Scenarios'!$B$21)</f>
        <v>0.41849999999999998</v>
      </c>
      <c r="D28" s="40">
        <f>'Low Risk Scenarios'!$F$21+($A27-$A$2)*('Low Risk Scenarios'!$F$22-'Low Risk Scenarios'!$F$21)/('High Risk Scenarios'!$B$22-'High Risk Scenarios'!$B$21)</f>
        <v>1.4999999999999999E-2</v>
      </c>
    </row>
    <row r="29" spans="1:4">
      <c r="A29" s="2" t="s">
        <v>105</v>
      </c>
      <c r="B29" s="40">
        <f>'Low Risk Scenarios'!$H$21+($A27-$A$2)*('Low Risk Scenarios'!$H$22-'Low Risk Scenarios'!$H$21)/('Med Risk Scenarios'!$B$22-'Med Risk Scenarios'!$B$21)</f>
        <v>10.196999999999999</v>
      </c>
      <c r="C29" s="40">
        <f>'Low Risk Scenarios'!$I$21+($A27-$A$2)*('Low Risk Scenarios'!$I$22-'Low Risk Scenarios'!$I$21)/('Med Risk Scenarios'!$B$22-'Med Risk Scenarios'!$B$21)</f>
        <v>0.42149999999999999</v>
      </c>
      <c r="D29" s="40">
        <f>'Low Risk Scenarios'!$J$21+($A27-$A$2)*('Low Risk Scenarios'!$J$22-'Low Risk Scenarios'!$J$21)/('Med Risk Scenarios'!$B$22-'Med Risk Scenarios'!$B$21)</f>
        <v>1.4999999999999999E-2</v>
      </c>
    </row>
    <row r="30" spans="1:4">
      <c r="A30" s="38" t="s">
        <v>107</v>
      </c>
      <c r="B30" s="40">
        <f>'Low Risk Scenarios'!$L$21+($A27-$A$2)*('Low Risk Scenarios'!$L$22-'Low Risk Scenarios'!$L$21)/('Med Risk Scenarios'!$B$22-'Med Risk Scenarios'!$B$21)</f>
        <v>10.356</v>
      </c>
      <c r="C30" s="40">
        <f>'Low Risk Scenarios'!$M$21+($A27-$A$2)*('Low Risk Scenarios'!$M$22-'Low Risk Scenarios'!$M$21)/('Med Risk Scenarios'!$B$22-'Med Risk Scenarios'!$B$21)</f>
        <v>0.42800000000000005</v>
      </c>
      <c r="D30" s="40">
        <f>'Low Risk Scenarios'!$N$21+($A27-$A$2)*('Low Risk Scenarios'!$N$22-'Low Risk Scenarios'!$N$21)/('Med Risk Scenarios'!$B$22-'Med Risk Scenarios'!$B$21)</f>
        <v>1.4999999999999999E-2</v>
      </c>
    </row>
    <row r="31" spans="1:4">
      <c r="A31" s="39" t="s">
        <v>109</v>
      </c>
      <c r="B31" s="41">
        <f>'Low Risk Scenarios'!$P$21+($A27-$A$2)*('Low Risk Scenarios'!$P$22-'Low Risk Scenarios'!$P$21)/('Med Risk Scenarios'!$B$22-'Med Risk Scenarios'!$B$21)</f>
        <v>10.456499999999998</v>
      </c>
      <c r="C31" s="41">
        <f>'Low Risk Scenarios'!$Q$21+($A27-$A$2)*('Low Risk Scenarios'!$Q$22-'Low Risk Scenarios'!$Q$21)/('Med Risk Scenarios'!$B$22-'Med Risk Scenarios'!$B$21)</f>
        <v>0.43200000000000005</v>
      </c>
      <c r="D31" s="41">
        <f>'Low Risk Scenarios'!$R$21+($A27-$A$2)*('Low Risk Scenarios'!$R$22-'Low Risk Scenarios'!$R$21)/('Med Risk Scenarios'!$B$22-'Med Risk Scenarios'!$B$21)</f>
        <v>1.4999999999999999E-2</v>
      </c>
    </row>
    <row r="32" spans="1:4">
      <c r="A32" s="37">
        <v>2026</v>
      </c>
      <c r="B32" s="3" t="s">
        <v>381</v>
      </c>
      <c r="C32" s="3" t="s">
        <v>382</v>
      </c>
      <c r="D32" s="3" t="s">
        <v>383</v>
      </c>
    </row>
    <row r="33" spans="1:4">
      <c r="A33" s="2" t="s">
        <v>103</v>
      </c>
      <c r="B33" s="40">
        <f>'Low Risk Scenarios'!$D$21+($A32-$A$2)*('Low Risk Scenarios'!$D$22-'Low Risk Scenarios'!$D$21)/('High Risk Scenarios'!$B$22-'High Risk Scenarios'!$B$21)</f>
        <v>10.2316</v>
      </c>
      <c r="C33" s="40">
        <f>'Low Risk Scenarios'!$E$21+($A32-$A$2)*('Low Risk Scenarios'!$E$22-'Low Risk Scenarios'!$E$21)/('High Risk Scenarios'!$B$22-'High Risk Scenarios'!$B$21)</f>
        <v>0.42280000000000001</v>
      </c>
      <c r="D33" s="40">
        <f>'Low Risk Scenarios'!$F$21+($A32-$A$2)*('Low Risk Scenarios'!$F$22-'Low Risk Scenarios'!$F$21)/('High Risk Scenarios'!$B$22-'High Risk Scenarios'!$B$21)</f>
        <v>1.52E-2</v>
      </c>
    </row>
    <row r="34" spans="1:4">
      <c r="A34" s="2" t="s">
        <v>105</v>
      </c>
      <c r="B34" s="40">
        <f>'Low Risk Scenarios'!$H$21+($A32-$A$2)*('Low Risk Scenarios'!$H$22-'Low Risk Scenarios'!$H$21)/('Med Risk Scenarios'!$B$22-'Med Risk Scenarios'!$B$21)</f>
        <v>10.3156</v>
      </c>
      <c r="C34" s="40">
        <f>'Low Risk Scenarios'!$I$21+($A32-$A$2)*('Low Risk Scenarios'!$I$22-'Low Risk Scenarios'!$I$21)/('Med Risk Scenarios'!$B$22-'Med Risk Scenarios'!$B$21)</f>
        <v>0.4264</v>
      </c>
      <c r="D34" s="40">
        <f>'Low Risk Scenarios'!$J$21+($A32-$A$2)*('Low Risk Scenarios'!$J$22-'Low Risk Scenarios'!$J$21)/('Med Risk Scenarios'!$B$22-'Med Risk Scenarios'!$B$21)</f>
        <v>1.52E-2</v>
      </c>
    </row>
    <row r="35" spans="1:4">
      <c r="A35" s="38" t="s">
        <v>107</v>
      </c>
      <c r="B35" s="40">
        <f>'Low Risk Scenarios'!$L$21+($A32-$A$2)*('Low Risk Scenarios'!$L$22-'Low Risk Scenarios'!$L$21)/('Med Risk Scenarios'!$B$22-'Med Risk Scenarios'!$B$21)</f>
        <v>10.506399999999999</v>
      </c>
      <c r="C35" s="40">
        <f>'Low Risk Scenarios'!$M$21+($A32-$A$2)*('Low Risk Scenarios'!$M$22-'Low Risk Scenarios'!$M$21)/('Med Risk Scenarios'!$B$22-'Med Risk Scenarios'!$B$21)</f>
        <v>0.43420000000000003</v>
      </c>
      <c r="D35" s="40">
        <f>'Low Risk Scenarios'!$N$21+($A32-$A$2)*('Low Risk Scenarios'!$N$22-'Low Risk Scenarios'!$N$21)/('Med Risk Scenarios'!$B$22-'Med Risk Scenarios'!$B$21)</f>
        <v>1.52E-2</v>
      </c>
    </row>
    <row r="36" spans="1:4">
      <c r="A36" s="39" t="s">
        <v>109</v>
      </c>
      <c r="B36" s="41">
        <f>'Low Risk Scenarios'!$P$21+($A32-$A$2)*('Low Risk Scenarios'!$P$22-'Low Risk Scenarios'!$P$21)/('Med Risk Scenarios'!$B$22-'Med Risk Scenarios'!$B$21)</f>
        <v>10.626999999999999</v>
      </c>
      <c r="C36" s="41">
        <f>'Low Risk Scenarios'!$Q$21+($A32-$A$2)*('Low Risk Scenarios'!$Q$22-'Low Risk Scenarios'!$Q$21)/('Med Risk Scenarios'!$B$22-'Med Risk Scenarios'!$B$21)</f>
        <v>0.439</v>
      </c>
      <c r="D36" s="41">
        <f>'Low Risk Scenarios'!$R$21+($A32-$A$2)*('Low Risk Scenarios'!$R$22-'Low Risk Scenarios'!$R$21)/('Med Risk Scenarios'!$B$22-'Med Risk Scenarios'!$B$21)</f>
        <v>1.52E-2</v>
      </c>
    </row>
    <row r="37" spans="1:4">
      <c r="A37" s="37">
        <v>2027</v>
      </c>
      <c r="B37" s="3" t="s">
        <v>381</v>
      </c>
      <c r="C37" s="3" t="s">
        <v>382</v>
      </c>
      <c r="D37" s="3" t="s">
        <v>383</v>
      </c>
    </row>
    <row r="38" spans="1:4">
      <c r="A38" s="2" t="s">
        <v>103</v>
      </c>
      <c r="B38" s="40">
        <f>'Low Risk Scenarios'!$D$21+($A37-$A$2)*('Low Risk Scenarios'!$D$22-'Low Risk Scenarios'!$D$21)/('High Risk Scenarios'!$B$22-'High Risk Scenarios'!$B$21)</f>
        <v>10.3362</v>
      </c>
      <c r="C38" s="40">
        <f>'Low Risk Scenarios'!$E$21+($A37-$A$2)*('Low Risk Scenarios'!$E$22-'Low Risk Scenarios'!$E$21)/('High Risk Scenarios'!$B$22-'High Risk Scenarios'!$B$21)</f>
        <v>0.42710000000000004</v>
      </c>
      <c r="D38" s="40">
        <f>'Low Risk Scenarios'!$F$21+($A37-$A$2)*('Low Risk Scenarios'!$F$22-'Low Risk Scenarios'!$F$21)/('High Risk Scenarios'!$B$22-'High Risk Scenarios'!$B$21)</f>
        <v>1.54E-2</v>
      </c>
    </row>
    <row r="39" spans="1:4">
      <c r="A39" s="2" t="s">
        <v>105</v>
      </c>
      <c r="B39" s="40">
        <f>'Low Risk Scenarios'!$H$21+($A37-$A$2)*('Low Risk Scenarios'!$H$22-'Low Risk Scenarios'!$H$21)/('Med Risk Scenarios'!$B$22-'Med Risk Scenarios'!$B$21)</f>
        <v>10.434199999999999</v>
      </c>
      <c r="C39" s="40">
        <f>'Low Risk Scenarios'!$I$21+($A37-$A$2)*('Low Risk Scenarios'!$I$22-'Low Risk Scenarios'!$I$21)/('Med Risk Scenarios'!$B$22-'Med Risk Scenarios'!$B$21)</f>
        <v>0.43130000000000002</v>
      </c>
      <c r="D39" s="40">
        <f>'Low Risk Scenarios'!$J$21+($A37-$A$2)*('Low Risk Scenarios'!$J$22-'Low Risk Scenarios'!$J$21)/('Med Risk Scenarios'!$B$22-'Med Risk Scenarios'!$B$21)</f>
        <v>1.54E-2</v>
      </c>
    </row>
    <row r="40" spans="1:4">
      <c r="A40" s="38" t="s">
        <v>107</v>
      </c>
      <c r="B40" s="40">
        <f>'Low Risk Scenarios'!$L$21+($A37-$A$2)*('Low Risk Scenarios'!$L$22-'Low Risk Scenarios'!$L$21)/('Med Risk Scenarios'!$B$22-'Med Risk Scenarios'!$B$21)</f>
        <v>10.6568</v>
      </c>
      <c r="C40" s="40">
        <f>'Low Risk Scenarios'!$M$21+($A37-$A$2)*('Low Risk Scenarios'!$M$22-'Low Risk Scenarios'!$M$21)/('Med Risk Scenarios'!$B$22-'Med Risk Scenarios'!$B$21)</f>
        <v>0.44040000000000001</v>
      </c>
      <c r="D40" s="40">
        <f>'Low Risk Scenarios'!$N$21+($A37-$A$2)*('Low Risk Scenarios'!$N$22-'Low Risk Scenarios'!$N$21)/('Med Risk Scenarios'!$B$22-'Med Risk Scenarios'!$B$21)</f>
        <v>1.54E-2</v>
      </c>
    </row>
    <row r="41" spans="1:4">
      <c r="A41" s="39" t="s">
        <v>109</v>
      </c>
      <c r="B41" s="41">
        <f>'Low Risk Scenarios'!$P$21+($A37-$A$2)*('Low Risk Scenarios'!$P$22-'Low Risk Scenarios'!$P$21)/('Med Risk Scenarios'!$B$22-'Med Risk Scenarios'!$B$21)</f>
        <v>10.797499999999999</v>
      </c>
      <c r="C41" s="41">
        <f>'Low Risk Scenarios'!$Q$21+($A37-$A$2)*('Low Risk Scenarios'!$Q$22-'Low Risk Scenarios'!$Q$21)/('Med Risk Scenarios'!$B$22-'Med Risk Scenarios'!$B$21)</f>
        <v>0.44600000000000001</v>
      </c>
      <c r="D41" s="41">
        <f>'Low Risk Scenarios'!$R$21+($A37-$A$2)*('Low Risk Scenarios'!$R$22-'Low Risk Scenarios'!$R$21)/('Med Risk Scenarios'!$B$22-'Med Risk Scenarios'!$B$21)</f>
        <v>1.54E-2</v>
      </c>
    </row>
    <row r="42" spans="1:4">
      <c r="A42" s="37">
        <v>2028</v>
      </c>
      <c r="B42" s="3" t="s">
        <v>381</v>
      </c>
      <c r="C42" s="3" t="s">
        <v>382</v>
      </c>
      <c r="D42" s="3" t="s">
        <v>383</v>
      </c>
    </row>
    <row r="43" spans="1:4">
      <c r="A43" s="2" t="s">
        <v>103</v>
      </c>
      <c r="B43" s="40">
        <f>'Low Risk Scenarios'!$D$21+($A42-$A$2)*('Low Risk Scenarios'!$D$22-'Low Risk Scenarios'!$D$21)/('High Risk Scenarios'!$B$22-'High Risk Scenarios'!$B$21)</f>
        <v>10.440799999999999</v>
      </c>
      <c r="C43" s="40">
        <f>'Low Risk Scenarios'!$E$21+($A42-$A$2)*('Low Risk Scenarios'!$E$22-'Low Risk Scenarios'!$E$21)/('High Risk Scenarios'!$B$22-'High Risk Scenarios'!$B$21)</f>
        <v>0.43140000000000001</v>
      </c>
      <c r="D43" s="40">
        <f>'Low Risk Scenarios'!$F$21+($A42-$A$2)*('Low Risk Scenarios'!$F$22-'Low Risk Scenarios'!$F$21)/('High Risk Scenarios'!$B$22-'High Risk Scenarios'!$B$21)</f>
        <v>1.5600000000000001E-2</v>
      </c>
    </row>
    <row r="44" spans="1:4">
      <c r="A44" s="2" t="s">
        <v>105</v>
      </c>
      <c r="B44" s="40">
        <f>'Low Risk Scenarios'!$H$21+($A42-$A$2)*('Low Risk Scenarios'!$H$22-'Low Risk Scenarios'!$H$21)/('Med Risk Scenarios'!$B$22-'Med Risk Scenarios'!$B$21)</f>
        <v>10.5528</v>
      </c>
      <c r="C44" s="40">
        <f>'Low Risk Scenarios'!$I$21+($A42-$A$2)*('Low Risk Scenarios'!$I$22-'Low Risk Scenarios'!$I$21)/('Med Risk Scenarios'!$B$22-'Med Risk Scenarios'!$B$21)</f>
        <v>0.43620000000000003</v>
      </c>
      <c r="D44" s="40">
        <f>'Low Risk Scenarios'!$J$21+($A42-$A$2)*('Low Risk Scenarios'!$J$22-'Low Risk Scenarios'!$J$21)/('Med Risk Scenarios'!$B$22-'Med Risk Scenarios'!$B$21)</f>
        <v>1.5600000000000001E-2</v>
      </c>
    </row>
    <row r="45" spans="1:4">
      <c r="A45" s="38" t="s">
        <v>107</v>
      </c>
      <c r="B45" s="40">
        <f>'Low Risk Scenarios'!$L$21+($A42-$A$2)*('Low Risk Scenarios'!$L$22-'Low Risk Scenarios'!$L$21)/('Med Risk Scenarios'!$B$22-'Med Risk Scenarios'!$B$21)</f>
        <v>10.8072</v>
      </c>
      <c r="C45" s="40">
        <f>'Low Risk Scenarios'!$M$21+($A42-$A$2)*('Low Risk Scenarios'!$M$22-'Low Risk Scenarios'!$M$21)/('Med Risk Scenarios'!$B$22-'Med Risk Scenarios'!$B$21)</f>
        <v>0.4466</v>
      </c>
      <c r="D45" s="40">
        <f>'Low Risk Scenarios'!$N$21+($A42-$A$2)*('Low Risk Scenarios'!$N$22-'Low Risk Scenarios'!$N$21)/('Med Risk Scenarios'!$B$22-'Med Risk Scenarios'!$B$21)</f>
        <v>1.5600000000000001E-2</v>
      </c>
    </row>
    <row r="46" spans="1:4">
      <c r="A46" s="39" t="s">
        <v>109</v>
      </c>
      <c r="B46" s="41">
        <f>'Low Risk Scenarios'!$P$21+($A42-$A$2)*('Low Risk Scenarios'!$P$22-'Low Risk Scenarios'!$P$21)/('Med Risk Scenarios'!$B$22-'Med Risk Scenarios'!$B$21)</f>
        <v>10.968</v>
      </c>
      <c r="C46" s="41">
        <f>'Low Risk Scenarios'!$Q$21+($A42-$A$2)*('Low Risk Scenarios'!$Q$22-'Low Risk Scenarios'!$Q$21)/('Med Risk Scenarios'!$B$22-'Med Risk Scenarios'!$B$21)</f>
        <v>0.45300000000000001</v>
      </c>
      <c r="D46" s="41">
        <f>'Low Risk Scenarios'!$R$21+($A42-$A$2)*('Low Risk Scenarios'!$R$22-'Low Risk Scenarios'!$R$21)/('Med Risk Scenarios'!$B$22-'Med Risk Scenarios'!$B$21)</f>
        <v>1.5600000000000001E-2</v>
      </c>
    </row>
    <row r="47" spans="1:4">
      <c r="A47" s="37">
        <v>2029</v>
      </c>
      <c r="B47" s="3" t="s">
        <v>381</v>
      </c>
      <c r="C47" s="3" t="s">
        <v>382</v>
      </c>
      <c r="D47" s="3" t="s">
        <v>383</v>
      </c>
    </row>
    <row r="48" spans="1:4">
      <c r="A48" s="2" t="s">
        <v>103</v>
      </c>
      <c r="B48" s="40">
        <f>'Low Risk Scenarios'!$D$21+($A47-$A$2)*('Low Risk Scenarios'!$D$22-'Low Risk Scenarios'!$D$21)/('High Risk Scenarios'!$B$22-'High Risk Scenarios'!$B$21)</f>
        <v>10.545400000000001</v>
      </c>
      <c r="C48" s="40">
        <f>'Low Risk Scenarios'!$E$21+($A47-$A$2)*('Low Risk Scenarios'!$E$22-'Low Risk Scenarios'!$E$21)/('High Risk Scenarios'!$B$22-'High Risk Scenarios'!$B$21)</f>
        <v>0.43569999999999998</v>
      </c>
      <c r="D48" s="40">
        <f>'Low Risk Scenarios'!$F$21+($A47-$A$2)*('Low Risk Scenarios'!$F$22-'Low Risk Scenarios'!$F$21)/('High Risk Scenarios'!$B$22-'High Risk Scenarios'!$B$21)</f>
        <v>1.5800000000000002E-2</v>
      </c>
    </row>
    <row r="49" spans="1:4">
      <c r="A49" s="2" t="s">
        <v>105</v>
      </c>
      <c r="B49" s="40">
        <f>'Low Risk Scenarios'!$H$21+($A47-$A$2)*('Low Risk Scenarios'!$H$22-'Low Risk Scenarios'!$H$21)/('Med Risk Scenarios'!$B$22-'Med Risk Scenarios'!$B$21)</f>
        <v>10.671399999999998</v>
      </c>
      <c r="C49" s="40">
        <f>'Low Risk Scenarios'!$I$21+($A47-$A$2)*('Low Risk Scenarios'!$I$22-'Low Risk Scenarios'!$I$21)/('Med Risk Scenarios'!$B$22-'Med Risk Scenarios'!$B$21)</f>
        <v>0.44109999999999999</v>
      </c>
      <c r="D49" s="40">
        <f>'Low Risk Scenarios'!$J$21+($A47-$A$2)*('Low Risk Scenarios'!$J$22-'Low Risk Scenarios'!$J$21)/('Med Risk Scenarios'!$B$22-'Med Risk Scenarios'!$B$21)</f>
        <v>1.5800000000000002E-2</v>
      </c>
    </row>
    <row r="50" spans="1:4">
      <c r="A50" s="38" t="s">
        <v>107</v>
      </c>
      <c r="B50" s="40">
        <f>'Low Risk Scenarios'!$L$21+($A47-$A$2)*('Low Risk Scenarios'!$L$22-'Low Risk Scenarios'!$L$21)/('Med Risk Scenarios'!$B$22-'Med Risk Scenarios'!$B$21)</f>
        <v>10.957600000000001</v>
      </c>
      <c r="C50" s="40">
        <f>'Low Risk Scenarios'!$M$21+($A47-$A$2)*('Low Risk Scenarios'!$M$22-'Low Risk Scenarios'!$M$21)/('Med Risk Scenarios'!$B$22-'Med Risk Scenarios'!$B$21)</f>
        <v>0.45280000000000004</v>
      </c>
      <c r="D50" s="40">
        <f>'Low Risk Scenarios'!$N$21+($A47-$A$2)*('Low Risk Scenarios'!$N$22-'Low Risk Scenarios'!$N$21)/('Med Risk Scenarios'!$B$22-'Med Risk Scenarios'!$B$21)</f>
        <v>1.5800000000000002E-2</v>
      </c>
    </row>
    <row r="51" spans="1:4">
      <c r="A51" s="39" t="s">
        <v>109</v>
      </c>
      <c r="B51" s="41">
        <f>'Low Risk Scenarios'!$P$21+($A47-$A$2)*('Low Risk Scenarios'!$P$22-'Low Risk Scenarios'!$P$21)/('Med Risk Scenarios'!$B$22-'Med Risk Scenarios'!$B$21)</f>
        <v>11.138499999999999</v>
      </c>
      <c r="C51" s="41">
        <f>'Low Risk Scenarios'!$Q$21+($A47-$A$2)*('Low Risk Scenarios'!$Q$22-'Low Risk Scenarios'!$Q$21)/('Med Risk Scenarios'!$B$22-'Med Risk Scenarios'!$B$21)</f>
        <v>0.46</v>
      </c>
      <c r="D51" s="41">
        <f>'Low Risk Scenarios'!$R$21+($A47-$A$2)*('Low Risk Scenarios'!$R$22-'Low Risk Scenarios'!$R$21)/('Med Risk Scenarios'!$B$22-'Med Risk Scenarios'!$B$21)</f>
        <v>1.5800000000000002E-2</v>
      </c>
    </row>
    <row r="52" spans="1:4">
      <c r="A52" s="37">
        <v>2030</v>
      </c>
      <c r="B52" s="3" t="s">
        <v>381</v>
      </c>
      <c r="C52" s="3" t="s">
        <v>382</v>
      </c>
      <c r="D52" s="3" t="s">
        <v>383</v>
      </c>
    </row>
    <row r="53" spans="1:4">
      <c r="A53" s="2" t="s">
        <v>103</v>
      </c>
      <c r="B53" s="40">
        <f>'Low Risk Scenarios'!$D$21+($A52-$A$2)*('Low Risk Scenarios'!$D$22-'Low Risk Scenarios'!$D$21)/('High Risk Scenarios'!$B$22-'High Risk Scenarios'!$B$21)</f>
        <v>10.65</v>
      </c>
      <c r="C53" s="40">
        <f>'Low Risk Scenarios'!$E$21+($A52-$A$2)*('Low Risk Scenarios'!$E$22-'Low Risk Scenarios'!$E$21)/('High Risk Scenarios'!$B$22-'High Risk Scenarios'!$B$21)</f>
        <v>0.44</v>
      </c>
      <c r="D53" s="40">
        <f>'Low Risk Scenarios'!$F$21+($A52-$A$2)*('Low Risk Scenarios'!$F$22-'Low Risk Scenarios'!$F$21)/('High Risk Scenarios'!$B$22-'High Risk Scenarios'!$B$21)</f>
        <v>1.6E-2</v>
      </c>
    </row>
    <row r="54" spans="1:4">
      <c r="A54" s="2" t="s">
        <v>105</v>
      </c>
      <c r="B54" s="40">
        <f>'Low Risk Scenarios'!$H$21+($A52-$A$2)*('Low Risk Scenarios'!$H$22-'Low Risk Scenarios'!$H$21)/('Med Risk Scenarios'!$B$22-'Med Risk Scenarios'!$B$21)</f>
        <v>10.79</v>
      </c>
      <c r="C54" s="40">
        <f>'Low Risk Scenarios'!$I$21+($A52-$A$2)*('Low Risk Scenarios'!$I$22-'Low Risk Scenarios'!$I$21)/('Med Risk Scenarios'!$B$22-'Med Risk Scenarios'!$B$21)</f>
        <v>0.44600000000000001</v>
      </c>
      <c r="D54" s="40">
        <f>'Low Risk Scenarios'!$J$21+($A52-$A$2)*('Low Risk Scenarios'!$J$22-'Low Risk Scenarios'!$J$21)/('Med Risk Scenarios'!$B$22-'Med Risk Scenarios'!$B$21)</f>
        <v>1.6E-2</v>
      </c>
    </row>
    <row r="55" spans="1:4">
      <c r="A55" s="38" t="s">
        <v>107</v>
      </c>
      <c r="B55" s="40">
        <f>'Low Risk Scenarios'!$L$21+($A52-$A$2)*('Low Risk Scenarios'!$L$22-'Low Risk Scenarios'!$L$21)/('Med Risk Scenarios'!$B$22-'Med Risk Scenarios'!$B$21)</f>
        <v>11.108000000000001</v>
      </c>
      <c r="C55" s="40">
        <f>'Low Risk Scenarios'!$M$21+($A52-$A$2)*('Low Risk Scenarios'!$M$22-'Low Risk Scenarios'!$M$21)/('Med Risk Scenarios'!$B$22-'Med Risk Scenarios'!$B$21)</f>
        <v>0.45900000000000002</v>
      </c>
      <c r="D55" s="40">
        <f>'Low Risk Scenarios'!$N$21+($A52-$A$2)*('Low Risk Scenarios'!$N$22-'Low Risk Scenarios'!$N$21)/('Med Risk Scenarios'!$B$22-'Med Risk Scenarios'!$B$21)</f>
        <v>1.6E-2</v>
      </c>
    </row>
    <row r="56" spans="1:4">
      <c r="A56" s="39" t="s">
        <v>109</v>
      </c>
      <c r="B56" s="41">
        <f>'Low Risk Scenarios'!$P$21+($A52-$A$2)*('Low Risk Scenarios'!$P$22-'Low Risk Scenarios'!$P$21)/('Med Risk Scenarios'!$B$22-'Med Risk Scenarios'!$B$21)</f>
        <v>11.308999999999999</v>
      </c>
      <c r="C56" s="41">
        <f>'Low Risk Scenarios'!$Q$21+($A52-$A$2)*('Low Risk Scenarios'!$Q$22-'Low Risk Scenarios'!$Q$21)/('Med Risk Scenarios'!$B$22-'Med Risk Scenarios'!$B$21)</f>
        <v>0.46700000000000003</v>
      </c>
      <c r="D56" s="41">
        <f>'Low Risk Scenarios'!$R$21+($A52-$A$2)*('Low Risk Scenarios'!$R$22-'Low Risk Scenarios'!$R$21)/('Med Risk Scenarios'!$B$22-'Med Risk Scenarios'!$B$21)</f>
        <v>1.6E-2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79663-186C-4DDA-8BF9-F6307B125FCA}">
  <sheetPr>
    <tabColor theme="5" tint="0.79998168889431442"/>
  </sheetPr>
  <dimension ref="B2:AD63"/>
  <sheetViews>
    <sheetView workbookViewId="0">
      <selection sqref="A1:AF1"/>
    </sheetView>
  </sheetViews>
  <sheetFormatPr defaultColWidth="8.7109375" defaultRowHeight="15"/>
  <sheetData>
    <row r="2" spans="2:27">
      <c r="B2" s="4"/>
      <c r="C2" s="4"/>
      <c r="D2" s="4"/>
      <c r="E2" s="4" t="s">
        <v>0</v>
      </c>
      <c r="F2" s="4"/>
      <c r="G2" s="4"/>
      <c r="H2" s="4"/>
      <c r="I2" s="4"/>
      <c r="J2" s="4"/>
      <c r="K2" s="4"/>
      <c r="L2" s="4"/>
      <c r="M2" s="4"/>
      <c r="N2" s="4"/>
      <c r="O2" s="4"/>
      <c r="P2" s="4"/>
      <c r="Q2" s="4"/>
      <c r="R2" s="4"/>
      <c r="S2" s="4"/>
      <c r="T2" s="4"/>
      <c r="U2" s="4"/>
      <c r="V2" s="4"/>
      <c r="W2" s="4"/>
      <c r="X2" s="4"/>
      <c r="Y2" s="4"/>
      <c r="Z2" s="4"/>
      <c r="AA2" s="4"/>
    </row>
    <row r="3" spans="2:27">
      <c r="B3" s="4"/>
      <c r="C3" s="4"/>
      <c r="D3" s="4"/>
      <c r="E3" s="4"/>
      <c r="F3" s="4"/>
      <c r="G3" s="4"/>
      <c r="H3" s="4"/>
      <c r="I3" s="4"/>
      <c r="J3" s="4"/>
      <c r="K3" s="4"/>
      <c r="L3" s="4"/>
      <c r="M3" s="4"/>
      <c r="N3" s="4"/>
      <c r="O3" s="4"/>
      <c r="P3" s="4"/>
      <c r="Q3" s="4"/>
      <c r="R3" s="4"/>
      <c r="S3" s="4"/>
      <c r="T3" s="4"/>
      <c r="U3" s="4"/>
      <c r="V3" s="4"/>
      <c r="W3" s="4"/>
      <c r="X3" s="4"/>
      <c r="Y3" s="4"/>
      <c r="Z3" s="4"/>
      <c r="AA3" s="4"/>
    </row>
    <row r="4" spans="2:27">
      <c r="B4" s="4"/>
      <c r="C4" s="4"/>
      <c r="D4" s="4"/>
      <c r="E4" s="4"/>
      <c r="F4" s="4"/>
      <c r="G4" s="4"/>
      <c r="H4" s="4"/>
      <c r="I4" s="4"/>
      <c r="J4" s="4"/>
      <c r="K4" s="4"/>
      <c r="L4" s="4"/>
      <c r="M4" s="4"/>
      <c r="N4" s="4"/>
      <c r="O4" s="4"/>
      <c r="P4" s="4"/>
      <c r="Q4" s="4"/>
      <c r="R4" s="4"/>
      <c r="S4" s="4"/>
      <c r="T4" s="4"/>
      <c r="U4" s="4"/>
      <c r="V4" s="4"/>
      <c r="W4" s="4"/>
      <c r="X4" s="4"/>
      <c r="Y4" s="4"/>
      <c r="Z4" s="4"/>
      <c r="AA4" s="4"/>
    </row>
    <row r="5" spans="2:27">
      <c r="B5" s="4"/>
      <c r="C5" s="4"/>
      <c r="D5" s="4"/>
      <c r="E5" s="4"/>
      <c r="F5" s="4"/>
      <c r="G5" s="4"/>
      <c r="H5" s="4"/>
      <c r="I5" s="4"/>
      <c r="J5" s="4"/>
      <c r="K5" s="4"/>
      <c r="L5" s="4"/>
      <c r="M5" s="4"/>
      <c r="N5" s="4"/>
      <c r="O5" s="4"/>
      <c r="P5" s="4"/>
      <c r="Q5" s="4"/>
      <c r="R5" s="4"/>
      <c r="S5" s="4"/>
      <c r="T5" s="4"/>
      <c r="U5" s="4"/>
      <c r="V5" s="4"/>
      <c r="W5" s="4"/>
      <c r="X5" s="4"/>
      <c r="Y5" s="4"/>
      <c r="Z5" s="4"/>
      <c r="AA5" s="4"/>
    </row>
    <row r="6" spans="2:27" ht="18.75">
      <c r="B6" s="6" t="s">
        <v>162</v>
      </c>
      <c r="C6" s="6"/>
      <c r="D6" s="6"/>
      <c r="E6" s="6"/>
      <c r="F6" s="6"/>
      <c r="G6" s="6"/>
      <c r="H6" s="6"/>
      <c r="I6" s="6"/>
      <c r="J6" s="6"/>
      <c r="K6" s="6"/>
      <c r="L6" s="6"/>
      <c r="M6" s="6"/>
      <c r="N6" s="6"/>
      <c r="O6" s="6"/>
      <c r="P6" s="6"/>
      <c r="Q6" s="6"/>
      <c r="R6" s="6"/>
      <c r="S6" s="6"/>
      <c r="T6" s="6"/>
      <c r="U6" s="6"/>
      <c r="V6" s="6"/>
      <c r="W6" s="6"/>
      <c r="X6" s="6"/>
      <c r="Y6" s="4"/>
      <c r="Z6" s="7"/>
      <c r="AA6" s="8" t="s">
        <v>163</v>
      </c>
    </row>
    <row r="7" spans="2:27">
      <c r="B7" s="9" t="s">
        <v>164</v>
      </c>
      <c r="C7" s="9"/>
      <c r="D7" s="9"/>
      <c r="E7" s="9"/>
      <c r="F7" s="9"/>
      <c r="G7" s="9"/>
      <c r="H7" s="9"/>
      <c r="I7" s="9"/>
      <c r="J7" s="9"/>
      <c r="K7" s="9"/>
      <c r="L7" s="9"/>
      <c r="M7" s="9"/>
      <c r="N7" s="9"/>
      <c r="O7" s="9"/>
      <c r="P7" s="9"/>
      <c r="Q7" s="9"/>
      <c r="R7" s="9"/>
      <c r="S7" s="9"/>
      <c r="T7" s="9"/>
      <c r="U7" s="9"/>
      <c r="V7" s="9"/>
      <c r="W7" s="9"/>
      <c r="X7" s="9"/>
      <c r="Y7" s="4"/>
      <c r="Z7" s="7"/>
      <c r="AA7" s="10" t="s">
        <v>165</v>
      </c>
    </row>
    <row r="8" spans="2:27">
      <c r="B8" s="9" t="s">
        <v>166</v>
      </c>
      <c r="C8" s="9"/>
      <c r="D8" s="9"/>
      <c r="E8" s="9"/>
      <c r="F8" s="9"/>
      <c r="G8" s="9"/>
      <c r="H8" s="9"/>
      <c r="I8" s="9"/>
      <c r="J8" s="9"/>
      <c r="K8" s="9"/>
      <c r="L8" s="9"/>
      <c r="M8" s="9"/>
      <c r="N8" s="9"/>
      <c r="O8" s="9"/>
      <c r="P8" s="9"/>
      <c r="Q8" s="9"/>
      <c r="R8" s="9"/>
      <c r="S8" s="9"/>
      <c r="T8" s="9"/>
      <c r="U8" s="9"/>
      <c r="V8" s="9"/>
      <c r="W8" s="9"/>
      <c r="X8" s="9"/>
      <c r="Y8" s="4"/>
      <c r="Z8" s="7"/>
      <c r="AA8" s="10" t="s">
        <v>167</v>
      </c>
    </row>
    <row r="9" spans="2:27">
      <c r="B9" s="11"/>
      <c r="C9" s="11"/>
      <c r="D9" s="11"/>
      <c r="E9" s="11"/>
      <c r="F9" s="4"/>
      <c r="G9" s="4"/>
      <c r="H9" s="4"/>
      <c r="I9" s="4"/>
      <c r="J9" s="4"/>
      <c r="K9" s="4"/>
      <c r="L9" s="4"/>
      <c r="M9" s="4"/>
      <c r="N9" s="4"/>
      <c r="O9" s="4"/>
      <c r="P9" s="4"/>
      <c r="Q9" s="4"/>
      <c r="R9" s="4"/>
      <c r="S9" s="4"/>
      <c r="T9" s="4"/>
      <c r="U9" s="4"/>
      <c r="V9" s="4"/>
      <c r="W9" s="4"/>
      <c r="X9" s="4"/>
      <c r="Y9" s="4"/>
      <c r="Z9" s="7"/>
      <c r="AA9" s="10" t="s">
        <v>384</v>
      </c>
    </row>
    <row r="10" spans="2:27">
      <c r="B10" s="12" t="s">
        <v>169</v>
      </c>
      <c r="C10" s="13"/>
      <c r="D10" s="13"/>
      <c r="E10" s="14"/>
      <c r="F10" s="4"/>
      <c r="G10" s="4"/>
      <c r="H10" s="4"/>
      <c r="I10" s="4"/>
      <c r="J10" s="4"/>
      <c r="K10" s="4"/>
      <c r="L10" s="4"/>
      <c r="M10" s="4"/>
      <c r="N10" s="4"/>
      <c r="O10" s="4"/>
      <c r="P10" s="4"/>
      <c r="Q10" s="4"/>
      <c r="R10" s="9"/>
      <c r="S10" s="9"/>
      <c r="T10" s="9"/>
      <c r="U10" s="9"/>
      <c r="V10" s="9"/>
      <c r="W10" s="9"/>
      <c r="X10" s="9"/>
      <c r="Y10" s="4"/>
      <c r="Z10" s="7"/>
      <c r="AA10" s="15" t="s">
        <v>170</v>
      </c>
    </row>
    <row r="11" spans="2:27">
      <c r="B11" s="16" t="s">
        <v>171</v>
      </c>
      <c r="C11" s="13"/>
      <c r="D11" s="13"/>
      <c r="E11" s="14"/>
      <c r="F11" s="4"/>
      <c r="G11" s="4"/>
      <c r="H11" s="4"/>
      <c r="I11" s="4"/>
      <c r="J11" s="4"/>
      <c r="K11" s="4"/>
      <c r="L11" s="4"/>
      <c r="M11" s="4"/>
      <c r="N11" s="4"/>
      <c r="O11" s="4"/>
      <c r="P11" s="4"/>
      <c r="Q11" s="4"/>
      <c r="R11" s="4"/>
      <c r="S11" s="17"/>
      <c r="T11" s="17"/>
      <c r="U11" s="17"/>
      <c r="V11" s="17"/>
      <c r="W11" s="17"/>
      <c r="X11" s="17"/>
      <c r="Y11" s="4"/>
      <c r="Z11" s="7"/>
      <c r="AA11" s="15" t="s">
        <v>172</v>
      </c>
    </row>
    <row r="12" spans="2:27">
      <c r="B12" s="16" t="s">
        <v>173</v>
      </c>
      <c r="C12" s="13"/>
      <c r="D12" s="13"/>
      <c r="E12" s="14"/>
      <c r="F12" s="4"/>
      <c r="G12" s="4"/>
      <c r="H12" s="4"/>
      <c r="I12" s="4"/>
      <c r="J12" s="4"/>
      <c r="K12" s="4"/>
      <c r="L12" s="4"/>
      <c r="M12" s="4"/>
      <c r="N12" s="4"/>
      <c r="O12" s="4"/>
      <c r="P12" s="4"/>
      <c r="Q12" s="4"/>
      <c r="R12" s="5"/>
      <c r="S12" s="18"/>
      <c r="T12" s="18"/>
      <c r="U12" s="18"/>
      <c r="V12" s="18"/>
      <c r="W12" s="18"/>
      <c r="X12" s="19"/>
      <c r="Y12" s="4"/>
      <c r="Z12" s="7"/>
      <c r="AA12" s="15" t="s">
        <v>174</v>
      </c>
    </row>
    <row r="13" spans="2:27">
      <c r="B13" s="20" t="s">
        <v>175</v>
      </c>
      <c r="C13" s="13"/>
      <c r="D13" s="21">
        <f>'Frequency 2020 Values'!B8</f>
        <v>6.0149559999999997</v>
      </c>
      <c r="E13" s="14"/>
      <c r="F13" s="4"/>
      <c r="G13" s="4"/>
      <c r="H13" s="4"/>
      <c r="I13" s="4"/>
      <c r="J13" s="4"/>
      <c r="K13" s="4"/>
      <c r="L13" s="4"/>
      <c r="M13" s="4"/>
      <c r="N13" s="4"/>
      <c r="O13" s="4"/>
      <c r="P13" s="4"/>
      <c r="Q13" s="4"/>
      <c r="R13" s="5"/>
      <c r="S13" s="18"/>
      <c r="T13" s="18" t="s">
        <v>176</v>
      </c>
      <c r="U13" s="18"/>
      <c r="V13" s="18"/>
      <c r="W13" s="18"/>
      <c r="X13" s="19"/>
      <c r="Y13" s="4"/>
      <c r="Z13" s="7"/>
      <c r="AA13" s="7"/>
    </row>
    <row r="14" spans="2:27">
      <c r="B14" s="20" t="s">
        <v>177</v>
      </c>
      <c r="C14" s="13"/>
      <c r="D14" s="21">
        <f>'Frequency 2020 Values'!C8</f>
        <v>4.2395544000000003</v>
      </c>
      <c r="E14" s="14"/>
      <c r="F14" s="4"/>
      <c r="G14" s="4"/>
      <c r="H14" s="4"/>
      <c r="I14" s="4"/>
      <c r="J14" s="4"/>
      <c r="K14" s="4"/>
      <c r="L14" s="4"/>
      <c r="M14" s="4"/>
      <c r="N14" s="4"/>
      <c r="O14" s="4"/>
      <c r="P14" s="4"/>
      <c r="Q14" s="4"/>
      <c r="R14" s="5"/>
      <c r="S14" s="18"/>
      <c r="T14" s="18" t="s">
        <v>178</v>
      </c>
      <c r="U14" s="18"/>
      <c r="V14" s="18"/>
      <c r="W14" s="18"/>
      <c r="X14" s="19"/>
      <c r="Y14" s="4"/>
      <c r="Z14" s="7"/>
      <c r="AA14" s="10" t="s">
        <v>179</v>
      </c>
    </row>
    <row r="15" spans="2:27">
      <c r="B15" s="20" t="s">
        <v>180</v>
      </c>
      <c r="C15" s="13"/>
      <c r="D15" s="12">
        <f>'Frequency 2020 Values'!D8</f>
        <v>0.66327115319999996</v>
      </c>
      <c r="E15" s="14"/>
      <c r="F15" s="4"/>
      <c r="G15" s="4"/>
      <c r="H15" s="4"/>
      <c r="I15" s="4"/>
      <c r="J15" s="4"/>
      <c r="K15" s="4"/>
      <c r="L15" s="4"/>
      <c r="M15" s="4"/>
      <c r="N15" s="4"/>
      <c r="O15" s="4"/>
      <c r="P15" s="4"/>
      <c r="Q15" s="4"/>
      <c r="R15" s="5"/>
      <c r="S15" s="18"/>
      <c r="T15" s="18" t="s">
        <v>181</v>
      </c>
      <c r="U15" s="18"/>
      <c r="V15" s="18"/>
      <c r="W15" s="18"/>
      <c r="X15" s="19"/>
      <c r="Y15" s="4"/>
      <c r="Z15" s="7"/>
      <c r="AA15" s="10" t="s">
        <v>182</v>
      </c>
    </row>
    <row r="16" spans="2:27">
      <c r="B16" s="22"/>
      <c r="C16" s="22"/>
      <c r="D16" s="22"/>
      <c r="E16" s="23"/>
      <c r="F16" s="4"/>
      <c r="G16" s="4"/>
      <c r="H16" s="4"/>
      <c r="I16" s="4"/>
      <c r="J16" s="4"/>
      <c r="K16" s="4"/>
      <c r="L16" s="4"/>
      <c r="M16" s="4"/>
      <c r="N16" s="4"/>
      <c r="O16" s="4"/>
      <c r="P16" s="4"/>
      <c r="Q16" s="4"/>
      <c r="R16" s="5"/>
      <c r="S16" s="18"/>
      <c r="T16" s="18" t="s">
        <v>183</v>
      </c>
      <c r="U16" s="18"/>
      <c r="V16" s="18"/>
      <c r="W16" s="18"/>
      <c r="X16" s="19"/>
      <c r="Y16" s="4"/>
      <c r="Z16" s="7"/>
      <c r="AA16" s="7"/>
    </row>
    <row r="17" spans="2:30">
      <c r="B17" s="4"/>
      <c r="C17" s="4"/>
      <c r="D17" s="4"/>
      <c r="E17" s="4"/>
      <c r="F17" s="4"/>
      <c r="G17" s="4"/>
      <c r="H17" s="4"/>
      <c r="I17" s="4"/>
      <c r="J17" s="4"/>
      <c r="K17" s="4"/>
      <c r="L17" s="4"/>
      <c r="M17" s="4"/>
      <c r="N17" s="4"/>
      <c r="O17" s="4"/>
      <c r="P17" s="4"/>
      <c r="Q17" s="4"/>
      <c r="R17" s="5"/>
      <c r="S17" s="18"/>
      <c r="T17" s="18"/>
      <c r="U17" s="18"/>
      <c r="V17" s="18"/>
      <c r="W17" s="18"/>
      <c r="X17" s="19"/>
      <c r="Y17" s="4"/>
      <c r="Z17" s="7"/>
      <c r="AA17" s="10" t="s">
        <v>184</v>
      </c>
      <c r="AB17" s="10"/>
      <c r="AC17" s="10"/>
      <c r="AD17" s="10"/>
    </row>
    <row r="18" spans="2:30">
      <c r="B18" s="24"/>
      <c r="C18" s="24"/>
      <c r="D18" s="646" t="s">
        <v>185</v>
      </c>
      <c r="E18" s="647"/>
      <c r="F18" s="648"/>
      <c r="G18" s="25"/>
      <c r="H18" s="646" t="s">
        <v>104</v>
      </c>
      <c r="I18" s="647"/>
      <c r="J18" s="648"/>
      <c r="K18" s="25"/>
      <c r="L18" s="646" t="s">
        <v>106</v>
      </c>
      <c r="M18" s="647"/>
      <c r="N18" s="648"/>
      <c r="O18" s="24"/>
      <c r="P18" s="646" t="s">
        <v>108</v>
      </c>
      <c r="Q18" s="647"/>
      <c r="R18" s="648"/>
      <c r="S18" s="18"/>
      <c r="T18" s="24"/>
      <c r="U18" s="24"/>
      <c r="V18" s="24"/>
      <c r="W18" s="24"/>
      <c r="X18" s="19"/>
      <c r="Y18" s="4"/>
      <c r="Z18" s="7"/>
      <c r="AA18" s="10" t="s">
        <v>186</v>
      </c>
      <c r="AB18" s="10"/>
      <c r="AC18" s="10"/>
      <c r="AD18" s="10"/>
    </row>
    <row r="19" spans="2:30">
      <c r="B19" s="24"/>
      <c r="C19" s="24"/>
      <c r="D19" s="646" t="s">
        <v>103</v>
      </c>
      <c r="E19" s="647"/>
      <c r="F19" s="648"/>
      <c r="G19" s="25"/>
      <c r="H19" s="646" t="s">
        <v>105</v>
      </c>
      <c r="I19" s="647"/>
      <c r="J19" s="648"/>
      <c r="K19" s="25"/>
      <c r="L19" s="646" t="s">
        <v>107</v>
      </c>
      <c r="M19" s="647"/>
      <c r="N19" s="648"/>
      <c r="O19" s="24"/>
      <c r="P19" s="646" t="s">
        <v>109</v>
      </c>
      <c r="Q19" s="647"/>
      <c r="R19" s="648"/>
      <c r="S19" s="18"/>
      <c r="T19" s="631" t="s">
        <v>187</v>
      </c>
      <c r="U19" s="632"/>
      <c r="V19" s="632"/>
      <c r="W19" s="633"/>
      <c r="X19" s="19"/>
      <c r="Y19" s="4"/>
      <c r="Z19" s="7"/>
      <c r="AA19" s="10" t="s">
        <v>188</v>
      </c>
      <c r="AB19" s="10"/>
      <c r="AC19" s="10"/>
      <c r="AD19" s="10"/>
    </row>
    <row r="20" spans="2:30">
      <c r="B20" s="25" t="s">
        <v>87</v>
      </c>
      <c r="C20" s="24"/>
      <c r="D20" s="25" t="s">
        <v>175</v>
      </c>
      <c r="E20" s="25" t="s">
        <v>177</v>
      </c>
      <c r="F20" s="25" t="s">
        <v>180</v>
      </c>
      <c r="G20" s="25"/>
      <c r="H20" s="25" t="s">
        <v>175</v>
      </c>
      <c r="I20" s="25" t="s">
        <v>177</v>
      </c>
      <c r="J20" s="25" t="s">
        <v>180</v>
      </c>
      <c r="K20" s="25"/>
      <c r="L20" s="25" t="s">
        <v>175</v>
      </c>
      <c r="M20" s="25" t="s">
        <v>177</v>
      </c>
      <c r="N20" s="25" t="s">
        <v>180</v>
      </c>
      <c r="O20" s="25"/>
      <c r="P20" s="25" t="s">
        <v>175</v>
      </c>
      <c r="Q20" s="25" t="s">
        <v>177</v>
      </c>
      <c r="R20" s="26" t="s">
        <v>180</v>
      </c>
      <c r="S20" s="18"/>
      <c r="T20" s="25" t="s">
        <v>185</v>
      </c>
      <c r="U20" s="25" t="s">
        <v>104</v>
      </c>
      <c r="V20" s="25" t="s">
        <v>106</v>
      </c>
      <c r="W20" s="25" t="s">
        <v>108</v>
      </c>
      <c r="X20" s="19"/>
      <c r="Y20" s="4"/>
      <c r="Z20" s="7"/>
      <c r="AA20" s="10" t="s">
        <v>385</v>
      </c>
      <c r="AB20" s="10"/>
      <c r="AC20" s="10"/>
      <c r="AD20" s="10"/>
    </row>
    <row r="21" spans="2:30">
      <c r="B21" s="9">
        <v>2020</v>
      </c>
      <c r="C21" s="4"/>
      <c r="D21" s="33">
        <f>ROUND($D$13,3)</f>
        <v>6.0149999999999997</v>
      </c>
      <c r="E21" s="34">
        <f>ROUND($D$14,3)</f>
        <v>4.24</v>
      </c>
      <c r="F21" s="35">
        <f>ROUND($D$15,3)</f>
        <v>0.66300000000000003</v>
      </c>
      <c r="G21" s="9"/>
      <c r="H21" s="33">
        <f>ROUND($D$13,3)</f>
        <v>6.0149999999999997</v>
      </c>
      <c r="I21" s="34">
        <f>ROUND($D$14,3)</f>
        <v>4.24</v>
      </c>
      <c r="J21" s="35">
        <f>ROUND($D$15,3)</f>
        <v>0.66300000000000003</v>
      </c>
      <c r="K21" s="9"/>
      <c r="L21" s="33">
        <f>ROUND($D$13,3)</f>
        <v>6.0149999999999997</v>
      </c>
      <c r="M21" s="34">
        <f>ROUND($D$14,3)</f>
        <v>4.24</v>
      </c>
      <c r="N21" s="35">
        <f>ROUND($D$15,3)</f>
        <v>0.66300000000000003</v>
      </c>
      <c r="O21" s="9"/>
      <c r="P21" s="33">
        <f>ROUND($D$13,3)</f>
        <v>6.0149999999999997</v>
      </c>
      <c r="Q21" s="34">
        <f>ROUND($D$14,3)</f>
        <v>4.24</v>
      </c>
      <c r="R21" s="35">
        <f>ROUND($D$15,3)</f>
        <v>0.66300000000000003</v>
      </c>
      <c r="S21" s="18"/>
      <c r="T21" s="28">
        <v>1</v>
      </c>
      <c r="U21" s="28">
        <v>1</v>
      </c>
      <c r="V21" s="28">
        <v>1</v>
      </c>
      <c r="W21" s="28">
        <v>1</v>
      </c>
      <c r="X21" s="19"/>
      <c r="Y21" s="4"/>
      <c r="Z21" s="7"/>
      <c r="AA21" s="10" t="s">
        <v>190</v>
      </c>
      <c r="AB21" s="10"/>
      <c r="AC21" s="10"/>
      <c r="AD21" s="10"/>
    </row>
    <row r="22" spans="2:30">
      <c r="B22" s="10">
        <v>2030</v>
      </c>
      <c r="C22" s="7"/>
      <c r="D22" s="36">
        <f>ROUND(D$21*$T22,3)</f>
        <v>6.67</v>
      </c>
      <c r="E22" s="10">
        <f>ROUND(E$21*$T22,3)</f>
        <v>4.702</v>
      </c>
      <c r="F22" s="10">
        <f>ROUND(F$21*$T22,3)</f>
        <v>0.73499999999999999</v>
      </c>
      <c r="G22" s="10"/>
      <c r="H22" s="10">
        <f>ROUND(H$21*$U22,3)</f>
        <v>6.758</v>
      </c>
      <c r="I22" s="10">
        <f t="shared" ref="I22:J34" si="0">ROUND(I$21*$U22,3)</f>
        <v>4.7629999999999999</v>
      </c>
      <c r="J22" s="10">
        <f t="shared" si="0"/>
        <v>0.745</v>
      </c>
      <c r="K22" s="10"/>
      <c r="L22" s="10">
        <f>ROUND(L$21*$V22,3)</f>
        <v>6.9569999999999999</v>
      </c>
      <c r="M22" s="10">
        <f t="shared" ref="M22:N34" si="1">ROUND(M$21*$V22,3)</f>
        <v>4.9039999999999999</v>
      </c>
      <c r="N22" s="10">
        <f t="shared" si="1"/>
        <v>0.76700000000000002</v>
      </c>
      <c r="O22" s="10"/>
      <c r="P22" s="10">
        <f>ROUND(P$21*$W22,3)</f>
        <v>7.0830000000000002</v>
      </c>
      <c r="Q22" s="10">
        <f t="shared" ref="Q22:R34" si="2">ROUND(Q$21*$W22,3)</f>
        <v>4.9930000000000003</v>
      </c>
      <c r="R22" s="10">
        <f t="shared" si="2"/>
        <v>0.78100000000000003</v>
      </c>
      <c r="S22" s="18"/>
      <c r="T22" s="9">
        <v>1.1089</v>
      </c>
      <c r="U22" s="9">
        <v>1.1234599999999999</v>
      </c>
      <c r="V22" s="9">
        <v>1.15665</v>
      </c>
      <c r="W22" s="9">
        <v>1.1775</v>
      </c>
      <c r="X22" s="19"/>
      <c r="Y22" s="4"/>
      <c r="Z22" s="7"/>
      <c r="AA22" s="10" t="s">
        <v>191</v>
      </c>
      <c r="AB22" s="10"/>
      <c r="AC22" s="10"/>
      <c r="AD22" s="10"/>
    </row>
    <row r="23" spans="2:30">
      <c r="B23" s="9">
        <v>2040</v>
      </c>
      <c r="C23" s="4"/>
      <c r="D23" s="36">
        <f t="shared" ref="D23:F34" si="3">ROUND(D$21*$T23,3)</f>
        <v>7.16</v>
      </c>
      <c r="E23" s="10">
        <f t="shared" si="3"/>
        <v>5.0469999999999997</v>
      </c>
      <c r="F23" s="10">
        <f t="shared" si="3"/>
        <v>0.78900000000000003</v>
      </c>
      <c r="G23" s="9"/>
      <c r="H23" s="10">
        <f t="shared" ref="H23:H34" si="4">ROUND(H$21*$U23,3)</f>
        <v>7.5090000000000003</v>
      </c>
      <c r="I23" s="10">
        <f t="shared" si="0"/>
        <v>5.2930000000000001</v>
      </c>
      <c r="J23" s="10">
        <f t="shared" si="0"/>
        <v>0.82799999999999996</v>
      </c>
      <c r="K23" s="9"/>
      <c r="L23" s="10">
        <f t="shared" ref="L23:L34" si="5">ROUND(L$21*$V23,3)</f>
        <v>7.9880000000000004</v>
      </c>
      <c r="M23" s="10">
        <f t="shared" si="1"/>
        <v>5.6310000000000002</v>
      </c>
      <c r="N23" s="10">
        <f t="shared" si="1"/>
        <v>0.88</v>
      </c>
      <c r="O23" s="9"/>
      <c r="P23" s="10">
        <f t="shared" ref="P23:P34" si="6">ROUND(P$21*$W23,3)</f>
        <v>8.6259999999999994</v>
      </c>
      <c r="Q23" s="10">
        <f t="shared" si="2"/>
        <v>6.0810000000000004</v>
      </c>
      <c r="R23" s="10">
        <f t="shared" si="2"/>
        <v>0.95099999999999996</v>
      </c>
      <c r="S23" s="18"/>
      <c r="T23" s="28">
        <v>1.1903600000000001</v>
      </c>
      <c r="U23" s="28">
        <v>1.24834</v>
      </c>
      <c r="V23" s="28">
        <v>1.32802</v>
      </c>
      <c r="W23" s="28">
        <v>1.43414</v>
      </c>
      <c r="X23" s="19"/>
      <c r="Y23" s="4"/>
      <c r="Z23" s="7"/>
      <c r="AA23" s="10"/>
      <c r="AB23" s="10"/>
      <c r="AC23" s="10"/>
      <c r="AD23" s="10"/>
    </row>
    <row r="24" spans="2:30">
      <c r="B24" s="10">
        <v>2050</v>
      </c>
      <c r="C24" s="7"/>
      <c r="D24" s="36">
        <f t="shared" si="3"/>
        <v>7.4279999999999999</v>
      </c>
      <c r="E24" s="10">
        <f t="shared" si="3"/>
        <v>5.2359999999999998</v>
      </c>
      <c r="F24" s="10">
        <f t="shared" si="3"/>
        <v>0.81899999999999995</v>
      </c>
      <c r="G24" s="10"/>
      <c r="H24" s="10">
        <f t="shared" si="4"/>
        <v>8.1780000000000008</v>
      </c>
      <c r="I24" s="10">
        <f t="shared" si="0"/>
        <v>5.7649999999999997</v>
      </c>
      <c r="J24" s="10">
        <f t="shared" si="0"/>
        <v>0.90100000000000002</v>
      </c>
      <c r="K24" s="10"/>
      <c r="L24" s="10">
        <f t="shared" si="5"/>
        <v>9.0449999999999999</v>
      </c>
      <c r="M24" s="10">
        <f t="shared" si="1"/>
        <v>6.3760000000000003</v>
      </c>
      <c r="N24" s="10">
        <f t="shared" si="1"/>
        <v>0.997</v>
      </c>
      <c r="O24" s="10"/>
      <c r="P24" s="10">
        <f t="shared" si="6"/>
        <v>10.823</v>
      </c>
      <c r="Q24" s="10">
        <f t="shared" si="2"/>
        <v>7.6289999999999996</v>
      </c>
      <c r="R24" s="10">
        <f t="shared" si="2"/>
        <v>1.1930000000000001</v>
      </c>
      <c r="S24" s="18"/>
      <c r="T24" s="9">
        <v>1.23499</v>
      </c>
      <c r="U24" s="9">
        <v>1.3595699999999999</v>
      </c>
      <c r="V24" s="9">
        <v>1.5036799999999999</v>
      </c>
      <c r="W24" s="9">
        <v>1.7992999999999999</v>
      </c>
      <c r="X24" s="19"/>
      <c r="Y24" s="4"/>
      <c r="Z24" s="7"/>
      <c r="AA24" s="10" t="s">
        <v>192</v>
      </c>
      <c r="AB24" s="10"/>
      <c r="AC24" s="10"/>
      <c r="AD24" s="10"/>
    </row>
    <row r="25" spans="2:30">
      <c r="B25" s="9">
        <v>2060</v>
      </c>
      <c r="C25" s="4"/>
      <c r="D25" s="36">
        <f t="shared" si="3"/>
        <v>7.5</v>
      </c>
      <c r="E25" s="10">
        <f t="shared" si="3"/>
        <v>5.2869999999999999</v>
      </c>
      <c r="F25" s="10">
        <f t="shared" si="3"/>
        <v>0.82699999999999996</v>
      </c>
      <c r="G25" s="9"/>
      <c r="H25" s="10">
        <f t="shared" si="4"/>
        <v>8.6669999999999998</v>
      </c>
      <c r="I25" s="10">
        <f t="shared" si="0"/>
        <v>6.11</v>
      </c>
      <c r="J25" s="10">
        <f t="shared" si="0"/>
        <v>0.95499999999999996</v>
      </c>
      <c r="K25" s="9"/>
      <c r="L25" s="10">
        <f t="shared" si="5"/>
        <v>10.194000000000001</v>
      </c>
      <c r="M25" s="10">
        <f t="shared" si="1"/>
        <v>7.1859999999999999</v>
      </c>
      <c r="N25" s="10">
        <f t="shared" si="1"/>
        <v>1.1240000000000001</v>
      </c>
      <c r="O25" s="9"/>
      <c r="P25" s="10">
        <f t="shared" si="6"/>
        <v>13.965999999999999</v>
      </c>
      <c r="Q25" s="10">
        <f t="shared" si="2"/>
        <v>9.8450000000000006</v>
      </c>
      <c r="R25" s="10">
        <f t="shared" si="2"/>
        <v>1.5389999999999999</v>
      </c>
      <c r="S25" s="18"/>
      <c r="T25" s="28">
        <v>1.2468699999999999</v>
      </c>
      <c r="U25" s="28">
        <v>1.4409400000000001</v>
      </c>
      <c r="V25" s="28">
        <v>1.6947300000000001</v>
      </c>
      <c r="W25" s="28">
        <v>2.32185</v>
      </c>
      <c r="X25" s="19"/>
      <c r="Y25" s="4"/>
      <c r="Z25" s="7"/>
      <c r="AA25" s="10" t="s">
        <v>193</v>
      </c>
      <c r="AB25" s="10"/>
      <c r="AC25" s="10"/>
      <c r="AD25" s="10"/>
    </row>
    <row r="26" spans="2:30">
      <c r="B26" s="10">
        <v>2070</v>
      </c>
      <c r="C26" s="7"/>
      <c r="D26" s="36">
        <f t="shared" si="3"/>
        <v>7.4269999999999996</v>
      </c>
      <c r="E26" s="10">
        <f t="shared" si="3"/>
        <v>5.2350000000000003</v>
      </c>
      <c r="F26" s="10">
        <f t="shared" si="3"/>
        <v>0.81899999999999995</v>
      </c>
      <c r="G26" s="10"/>
      <c r="H26" s="10">
        <f t="shared" si="4"/>
        <v>8.9049999999999994</v>
      </c>
      <c r="I26" s="10">
        <f t="shared" si="0"/>
        <v>6.2770000000000001</v>
      </c>
      <c r="J26" s="10">
        <f t="shared" si="0"/>
        <v>0.98199999999999998</v>
      </c>
      <c r="K26" s="10"/>
      <c r="L26" s="10">
        <f t="shared" si="5"/>
        <v>11.372999999999999</v>
      </c>
      <c r="M26" s="10">
        <f t="shared" si="1"/>
        <v>8.0169999999999995</v>
      </c>
      <c r="N26" s="10">
        <f t="shared" si="1"/>
        <v>1.254</v>
      </c>
      <c r="O26" s="10"/>
      <c r="P26" s="10">
        <f t="shared" si="6"/>
        <v>18.413</v>
      </c>
      <c r="Q26" s="10">
        <f t="shared" si="2"/>
        <v>12.978999999999999</v>
      </c>
      <c r="R26" s="10">
        <f t="shared" si="2"/>
        <v>2.0299999999999998</v>
      </c>
      <c r="S26" s="18"/>
      <c r="T26" s="9">
        <v>1.23472</v>
      </c>
      <c r="U26" s="9">
        <v>1.48054</v>
      </c>
      <c r="V26" s="9">
        <v>1.8908100000000001</v>
      </c>
      <c r="W26" s="9">
        <v>3.0611799999999998</v>
      </c>
      <c r="X26" s="19"/>
      <c r="Y26" s="4"/>
      <c r="Z26" s="7"/>
      <c r="AA26" s="10"/>
      <c r="AB26" s="10"/>
      <c r="AC26" s="10"/>
      <c r="AD26" s="10"/>
    </row>
    <row r="27" spans="2:30">
      <c r="B27" s="9">
        <v>2080</v>
      </c>
      <c r="C27" s="4"/>
      <c r="D27" s="36">
        <f t="shared" si="3"/>
        <v>7.21</v>
      </c>
      <c r="E27" s="10">
        <f t="shared" si="3"/>
        <v>5.0819999999999999</v>
      </c>
      <c r="F27" s="10">
        <f t="shared" si="3"/>
        <v>0.79500000000000004</v>
      </c>
      <c r="G27" s="9"/>
      <c r="H27" s="10">
        <f t="shared" si="4"/>
        <v>8.923</v>
      </c>
      <c r="I27" s="10">
        <f t="shared" si="0"/>
        <v>6.29</v>
      </c>
      <c r="J27" s="10">
        <f t="shared" si="0"/>
        <v>0.98399999999999999</v>
      </c>
      <c r="K27" s="9"/>
      <c r="L27" s="10">
        <f t="shared" si="5"/>
        <v>12.446</v>
      </c>
      <c r="M27" s="10">
        <f t="shared" si="1"/>
        <v>8.7729999999999997</v>
      </c>
      <c r="N27" s="10">
        <f t="shared" si="1"/>
        <v>1.3720000000000001</v>
      </c>
      <c r="O27" s="9"/>
      <c r="P27" s="10">
        <f t="shared" si="6"/>
        <v>24.466000000000001</v>
      </c>
      <c r="Q27" s="10">
        <f t="shared" si="2"/>
        <v>17.247</v>
      </c>
      <c r="R27" s="10">
        <f t="shared" si="2"/>
        <v>2.6970000000000001</v>
      </c>
      <c r="S27" s="18"/>
      <c r="T27" s="28">
        <v>1.1986399999999999</v>
      </c>
      <c r="U27" s="28">
        <v>1.4834799999999999</v>
      </c>
      <c r="V27" s="28">
        <v>2.0691799999999998</v>
      </c>
      <c r="W27" s="28">
        <v>4.0675800000000004</v>
      </c>
      <c r="X27" s="19"/>
      <c r="Y27" s="4"/>
      <c r="Z27" s="7"/>
      <c r="AA27" s="25"/>
      <c r="AB27" s="25" t="s">
        <v>175</v>
      </c>
      <c r="AC27" s="25" t="s">
        <v>177</v>
      </c>
      <c r="AD27" s="25" t="s">
        <v>180</v>
      </c>
    </row>
    <row r="28" spans="2:30">
      <c r="B28" s="10">
        <v>2090</v>
      </c>
      <c r="C28" s="7"/>
      <c r="D28" s="36">
        <f t="shared" si="3"/>
        <v>6.8719999999999999</v>
      </c>
      <c r="E28" s="10">
        <f t="shared" si="3"/>
        <v>4.8440000000000003</v>
      </c>
      <c r="F28" s="10">
        <f t="shared" si="3"/>
        <v>0.75700000000000001</v>
      </c>
      <c r="G28" s="10"/>
      <c r="H28" s="10">
        <f t="shared" si="4"/>
        <v>8.7799999999999994</v>
      </c>
      <c r="I28" s="10">
        <f t="shared" si="0"/>
        <v>6.1890000000000001</v>
      </c>
      <c r="J28" s="10">
        <f t="shared" si="0"/>
        <v>0.96799999999999997</v>
      </c>
      <c r="K28" s="10"/>
      <c r="L28" s="10">
        <f t="shared" si="5"/>
        <v>13.427</v>
      </c>
      <c r="M28" s="10">
        <f t="shared" si="1"/>
        <v>9.4649999999999999</v>
      </c>
      <c r="N28" s="10">
        <f t="shared" si="1"/>
        <v>1.48</v>
      </c>
      <c r="O28" s="10"/>
      <c r="P28" s="10">
        <f t="shared" si="6"/>
        <v>32.095999999999997</v>
      </c>
      <c r="Q28" s="10">
        <f t="shared" si="2"/>
        <v>22.625</v>
      </c>
      <c r="R28" s="10">
        <f t="shared" si="2"/>
        <v>3.5379999999999998</v>
      </c>
      <c r="S28" s="18"/>
      <c r="T28" s="9">
        <v>1.1424300000000001</v>
      </c>
      <c r="U28" s="9">
        <v>1.4596499999999999</v>
      </c>
      <c r="V28" s="9">
        <v>2.2322299999999999</v>
      </c>
      <c r="W28" s="9">
        <v>5.3360200000000004</v>
      </c>
      <c r="X28" s="19"/>
      <c r="Y28" s="4"/>
      <c r="Z28" s="7"/>
      <c r="AA28" s="10" t="s">
        <v>96</v>
      </c>
      <c r="AB28" s="10">
        <v>5.968</v>
      </c>
      <c r="AC28" s="10">
        <v>1.645</v>
      </c>
      <c r="AD28" s="10">
        <v>0.61299999999999999</v>
      </c>
    </row>
    <row r="29" spans="2:30">
      <c r="B29" s="9">
        <v>2100</v>
      </c>
      <c r="C29" s="4"/>
      <c r="D29" s="36">
        <f t="shared" si="3"/>
        <v>6.5369999999999999</v>
      </c>
      <c r="E29" s="10">
        <f t="shared" si="3"/>
        <v>4.6079999999999997</v>
      </c>
      <c r="F29" s="10">
        <f t="shared" si="3"/>
        <v>0.72099999999999997</v>
      </c>
      <c r="G29" s="9"/>
      <c r="H29" s="10">
        <f t="shared" si="4"/>
        <v>8.5510000000000002</v>
      </c>
      <c r="I29" s="10">
        <f t="shared" si="0"/>
        <v>6.0279999999999996</v>
      </c>
      <c r="J29" s="10">
        <f t="shared" si="0"/>
        <v>0.94299999999999995</v>
      </c>
      <c r="K29" s="9"/>
      <c r="L29" s="10">
        <f t="shared" si="5"/>
        <v>14.388999999999999</v>
      </c>
      <c r="M29" s="10">
        <f t="shared" si="1"/>
        <v>10.143000000000001</v>
      </c>
      <c r="N29" s="10">
        <f t="shared" si="1"/>
        <v>1.5860000000000001</v>
      </c>
      <c r="O29" s="9"/>
      <c r="P29" s="10">
        <f t="shared" si="6"/>
        <v>40.970999999999997</v>
      </c>
      <c r="Q29" s="10">
        <f t="shared" si="2"/>
        <v>28.881</v>
      </c>
      <c r="R29" s="10">
        <f t="shared" si="2"/>
        <v>4.516</v>
      </c>
      <c r="S29" s="18"/>
      <c r="T29" s="28">
        <v>1.0868100000000001</v>
      </c>
      <c r="U29" s="28">
        <v>1.4216599999999999</v>
      </c>
      <c r="V29" s="28">
        <v>2.3921199999999998</v>
      </c>
      <c r="W29" s="28">
        <v>6.8114400000000002</v>
      </c>
      <c r="X29" s="19"/>
      <c r="Y29" s="4"/>
      <c r="Z29" s="7"/>
      <c r="AA29" s="10" t="s">
        <v>194</v>
      </c>
      <c r="AB29" s="10">
        <v>6</v>
      </c>
      <c r="AC29" s="10">
        <v>1.6</v>
      </c>
      <c r="AD29" s="10">
        <v>0.6</v>
      </c>
    </row>
    <row r="30" spans="2:30">
      <c r="B30" s="10">
        <v>2110</v>
      </c>
      <c r="C30" s="7"/>
      <c r="D30" s="36">
        <f t="shared" si="3"/>
        <v>6.2110000000000003</v>
      </c>
      <c r="E30" s="10">
        <f t="shared" si="3"/>
        <v>4.3780000000000001</v>
      </c>
      <c r="F30" s="10">
        <f t="shared" si="3"/>
        <v>0.68500000000000005</v>
      </c>
      <c r="G30" s="10"/>
      <c r="H30" s="10">
        <f t="shared" si="4"/>
        <v>8.3260000000000005</v>
      </c>
      <c r="I30" s="10">
        <f t="shared" si="0"/>
        <v>5.8689999999999998</v>
      </c>
      <c r="J30" s="10">
        <f t="shared" si="0"/>
        <v>0.91800000000000004</v>
      </c>
      <c r="K30" s="10"/>
      <c r="L30" s="10">
        <f t="shared" si="5"/>
        <v>15.384</v>
      </c>
      <c r="M30" s="10">
        <f t="shared" si="1"/>
        <v>10.843999999999999</v>
      </c>
      <c r="N30" s="10">
        <f t="shared" si="1"/>
        <v>1.696</v>
      </c>
      <c r="O30" s="10"/>
      <c r="P30" s="10">
        <f t="shared" si="6"/>
        <v>50.927</v>
      </c>
      <c r="Q30" s="10">
        <f t="shared" si="2"/>
        <v>35.899000000000001</v>
      </c>
      <c r="R30" s="10">
        <f t="shared" si="2"/>
        <v>5.6130000000000004</v>
      </c>
      <c r="S30" s="18"/>
      <c r="T30" s="9">
        <v>1.0325899999999999</v>
      </c>
      <c r="U30" s="9">
        <v>1.3841600000000001</v>
      </c>
      <c r="V30" s="9">
        <v>2.5575299999999999</v>
      </c>
      <c r="W30" s="9">
        <v>8.4667399999999997</v>
      </c>
      <c r="X30" s="19"/>
      <c r="Y30" s="4"/>
      <c r="Z30" s="7"/>
      <c r="AA30" s="7"/>
      <c r="AB30" s="7"/>
      <c r="AC30" s="7"/>
      <c r="AD30" s="7"/>
    </row>
    <row r="31" spans="2:30">
      <c r="B31" s="9">
        <v>2120</v>
      </c>
      <c r="C31" s="4"/>
      <c r="D31" s="36">
        <f t="shared" si="3"/>
        <v>5.8929999999999998</v>
      </c>
      <c r="E31" s="10">
        <f t="shared" si="3"/>
        <v>4.1539999999999999</v>
      </c>
      <c r="F31" s="10">
        <f t="shared" si="3"/>
        <v>0.65</v>
      </c>
      <c r="G31" s="9"/>
      <c r="H31" s="10">
        <f t="shared" si="4"/>
        <v>8.1029999999999998</v>
      </c>
      <c r="I31" s="10">
        <f t="shared" si="0"/>
        <v>5.7119999999999997</v>
      </c>
      <c r="J31" s="10">
        <f t="shared" si="0"/>
        <v>0.89300000000000002</v>
      </c>
      <c r="K31" s="9"/>
      <c r="L31" s="10">
        <f t="shared" si="5"/>
        <v>16.411999999999999</v>
      </c>
      <c r="M31" s="10">
        <f t="shared" si="1"/>
        <v>11.569000000000001</v>
      </c>
      <c r="N31" s="10">
        <f t="shared" si="1"/>
        <v>1.8089999999999999</v>
      </c>
      <c r="O31" s="9"/>
      <c r="P31" s="10">
        <f t="shared" si="6"/>
        <v>61.966000000000001</v>
      </c>
      <c r="Q31" s="10">
        <f t="shared" si="2"/>
        <v>43.68</v>
      </c>
      <c r="R31" s="10">
        <f t="shared" si="2"/>
        <v>6.83</v>
      </c>
      <c r="S31" s="18"/>
      <c r="T31" s="28">
        <v>0.97974000000000006</v>
      </c>
      <c r="U31" s="28">
        <v>1.34717</v>
      </c>
      <c r="V31" s="28">
        <v>2.7284700000000002</v>
      </c>
      <c r="W31" s="28">
        <v>10.301909999999999</v>
      </c>
      <c r="X31" s="19"/>
      <c r="Y31" s="4"/>
      <c r="Z31" s="7"/>
      <c r="AA31" s="29" t="s">
        <v>195</v>
      </c>
      <c r="AB31" s="7"/>
      <c r="AC31" s="7"/>
      <c r="AD31" s="7"/>
    </row>
    <row r="32" spans="2:30">
      <c r="B32" s="10">
        <v>2130</v>
      </c>
      <c r="C32" s="7"/>
      <c r="D32" s="36">
        <f t="shared" si="3"/>
        <v>5.6</v>
      </c>
      <c r="E32" s="10">
        <f t="shared" si="3"/>
        <v>3.948</v>
      </c>
      <c r="F32" s="10">
        <f t="shared" si="3"/>
        <v>0.61699999999999999</v>
      </c>
      <c r="G32" s="10"/>
      <c r="H32" s="10">
        <f t="shared" si="4"/>
        <v>7.8840000000000003</v>
      </c>
      <c r="I32" s="10">
        <f t="shared" si="0"/>
        <v>5.5570000000000004</v>
      </c>
      <c r="J32" s="10">
        <f t="shared" si="0"/>
        <v>0.86899999999999999</v>
      </c>
      <c r="K32" s="10"/>
      <c r="L32" s="10">
        <f t="shared" si="5"/>
        <v>17.472999999999999</v>
      </c>
      <c r="M32" s="10">
        <f t="shared" si="1"/>
        <v>12.317</v>
      </c>
      <c r="N32" s="10">
        <f t="shared" si="1"/>
        <v>1.9259999999999999</v>
      </c>
      <c r="O32" s="10"/>
      <c r="P32" s="10">
        <f t="shared" si="6"/>
        <v>74.085999999999999</v>
      </c>
      <c r="Q32" s="10">
        <f t="shared" si="2"/>
        <v>52.223999999999997</v>
      </c>
      <c r="R32" s="10">
        <f t="shared" si="2"/>
        <v>8.1660000000000004</v>
      </c>
      <c r="S32" s="18"/>
      <c r="T32" s="9">
        <v>0.93103999999999998</v>
      </c>
      <c r="U32" s="9">
        <v>1.31067</v>
      </c>
      <c r="V32" s="9">
        <v>2.9049499999999999</v>
      </c>
      <c r="W32" s="9">
        <v>12.31695</v>
      </c>
      <c r="X32" s="19"/>
      <c r="Y32" s="4"/>
      <c r="Z32" s="7"/>
      <c r="AA32" s="25"/>
      <c r="AB32" s="25" t="s">
        <v>175</v>
      </c>
      <c r="AC32" s="25" t="s">
        <v>177</v>
      </c>
      <c r="AD32" s="25" t="s">
        <v>180</v>
      </c>
    </row>
    <row r="33" spans="2:30">
      <c r="B33" s="9">
        <v>2140</v>
      </c>
      <c r="C33" s="4"/>
      <c r="D33" s="36">
        <f t="shared" si="3"/>
        <v>5.6</v>
      </c>
      <c r="E33" s="10">
        <f t="shared" si="3"/>
        <v>3.948</v>
      </c>
      <c r="F33" s="10">
        <f t="shared" si="3"/>
        <v>0.61699999999999999</v>
      </c>
      <c r="G33" s="9"/>
      <c r="H33" s="10">
        <f t="shared" si="4"/>
        <v>7.6669999999999998</v>
      </c>
      <c r="I33" s="10">
        <f t="shared" si="0"/>
        <v>5.4050000000000002</v>
      </c>
      <c r="J33" s="10">
        <f t="shared" si="0"/>
        <v>0.84499999999999997</v>
      </c>
      <c r="K33" s="9"/>
      <c r="L33" s="10">
        <f t="shared" si="5"/>
        <v>18.568000000000001</v>
      </c>
      <c r="M33" s="10">
        <f t="shared" si="1"/>
        <v>13.089</v>
      </c>
      <c r="N33" s="10">
        <f t="shared" si="1"/>
        <v>2.0470000000000002</v>
      </c>
      <c r="O33" s="9"/>
      <c r="P33" s="10">
        <f t="shared" si="6"/>
        <v>87.289000000000001</v>
      </c>
      <c r="Q33" s="10">
        <f t="shared" si="2"/>
        <v>61.53</v>
      </c>
      <c r="R33" s="10">
        <f t="shared" si="2"/>
        <v>9.6210000000000004</v>
      </c>
      <c r="S33" s="18"/>
      <c r="T33" s="28">
        <v>0.93103999999999998</v>
      </c>
      <c r="U33" s="28">
        <v>1.27468</v>
      </c>
      <c r="V33" s="28">
        <v>3.0869499999999999</v>
      </c>
      <c r="W33" s="28">
        <v>14.511850000000001</v>
      </c>
      <c r="X33" s="19"/>
      <c r="Y33" s="4"/>
      <c r="Z33" s="7"/>
      <c r="AA33" s="10">
        <v>1990</v>
      </c>
      <c r="AB33" s="7">
        <v>9</v>
      </c>
      <c r="AC33" s="7">
        <v>4</v>
      </c>
      <c r="AD33" s="7">
        <v>0</v>
      </c>
    </row>
    <row r="34" spans="2:30">
      <c r="B34" s="10">
        <v>2150</v>
      </c>
      <c r="C34" s="7"/>
      <c r="D34" s="36">
        <f t="shared" si="3"/>
        <v>5.6</v>
      </c>
      <c r="E34" s="10">
        <f t="shared" si="3"/>
        <v>3.948</v>
      </c>
      <c r="F34" s="10">
        <f t="shared" si="3"/>
        <v>0.61699999999999999</v>
      </c>
      <c r="G34" s="10"/>
      <c r="H34" s="10">
        <f t="shared" si="4"/>
        <v>7.4539999999999997</v>
      </c>
      <c r="I34" s="10">
        <f t="shared" si="0"/>
        <v>5.2539999999999996</v>
      </c>
      <c r="J34" s="10">
        <f t="shared" si="0"/>
        <v>0.82199999999999995</v>
      </c>
      <c r="K34" s="10"/>
      <c r="L34" s="10">
        <f t="shared" si="5"/>
        <v>19.696000000000002</v>
      </c>
      <c r="M34" s="10">
        <f t="shared" si="1"/>
        <v>13.884</v>
      </c>
      <c r="N34" s="10">
        <f t="shared" si="1"/>
        <v>2.1709999999999998</v>
      </c>
      <c r="O34" s="10"/>
      <c r="P34" s="10">
        <f t="shared" si="6"/>
        <v>101.57299999999999</v>
      </c>
      <c r="Q34" s="10">
        <f t="shared" si="2"/>
        <v>71.599000000000004</v>
      </c>
      <c r="R34" s="10">
        <f t="shared" si="2"/>
        <v>11.196</v>
      </c>
      <c r="S34" s="18"/>
      <c r="T34" s="9">
        <v>0.93103999999999998</v>
      </c>
      <c r="U34" s="9">
        <v>1.23919</v>
      </c>
      <c r="V34" s="9">
        <v>3.2744800000000001</v>
      </c>
      <c r="W34" s="9">
        <v>16.88663</v>
      </c>
      <c r="X34" s="19"/>
      <c r="Y34" s="4"/>
      <c r="Z34" s="7"/>
      <c r="AA34" s="10">
        <v>1991</v>
      </c>
      <c r="AB34" s="7">
        <v>7</v>
      </c>
      <c r="AC34" s="7">
        <v>3</v>
      </c>
      <c r="AD34" s="7">
        <v>0</v>
      </c>
    </row>
    <row r="35" spans="2:30">
      <c r="B35" s="4"/>
      <c r="C35" s="4"/>
      <c r="D35" s="9"/>
      <c r="E35" s="9"/>
      <c r="F35" s="9"/>
      <c r="G35" s="9"/>
      <c r="H35" s="9"/>
      <c r="I35" s="9"/>
      <c r="J35" s="9"/>
      <c r="K35" s="9"/>
      <c r="L35" s="9"/>
      <c r="M35" s="9"/>
      <c r="N35" s="9"/>
      <c r="O35" s="9"/>
      <c r="P35" s="9"/>
      <c r="Q35" s="9"/>
      <c r="R35" s="27"/>
      <c r="S35" s="30"/>
      <c r="T35" s="30"/>
      <c r="U35" s="30"/>
      <c r="V35" s="30"/>
      <c r="W35" s="30"/>
      <c r="X35" s="31"/>
      <c r="Y35" s="4"/>
      <c r="Z35" s="7"/>
      <c r="AA35" s="10">
        <v>1992</v>
      </c>
      <c r="AB35" s="7">
        <v>7</v>
      </c>
      <c r="AC35" s="7">
        <v>3</v>
      </c>
      <c r="AD35" s="7">
        <v>0</v>
      </c>
    </row>
    <row r="36" spans="2:30">
      <c r="B36" s="4"/>
      <c r="C36" s="4"/>
      <c r="D36" s="4"/>
      <c r="E36" s="4"/>
      <c r="F36" s="4"/>
      <c r="G36" s="4"/>
      <c r="H36" s="4"/>
      <c r="I36" s="4"/>
      <c r="J36" s="4"/>
      <c r="K36" s="4"/>
      <c r="L36" s="4"/>
      <c r="M36" s="4"/>
      <c r="N36" s="4"/>
      <c r="O36" s="4"/>
      <c r="P36" s="4"/>
      <c r="Q36" s="4"/>
      <c r="R36" s="4"/>
      <c r="S36" s="4"/>
      <c r="T36" s="4"/>
      <c r="U36" s="4"/>
      <c r="V36" s="4"/>
      <c r="W36" s="4"/>
      <c r="X36" s="4"/>
      <c r="Y36" s="4"/>
      <c r="Z36" s="7"/>
      <c r="AA36" s="10">
        <v>1993</v>
      </c>
      <c r="AB36" s="7">
        <v>13</v>
      </c>
      <c r="AC36" s="7">
        <v>4</v>
      </c>
      <c r="AD36" s="7">
        <v>2</v>
      </c>
    </row>
    <row r="37" spans="2:30">
      <c r="B37" s="4"/>
      <c r="C37" s="4"/>
      <c r="D37" s="4"/>
      <c r="E37" s="4"/>
      <c r="F37" s="4"/>
      <c r="G37" s="4"/>
      <c r="H37" s="4"/>
      <c r="I37" s="4"/>
      <c r="J37" s="4"/>
      <c r="K37" s="4"/>
      <c r="L37" s="4"/>
      <c r="M37" s="4"/>
      <c r="N37" s="4"/>
      <c r="O37" s="4"/>
      <c r="P37" s="4"/>
      <c r="Q37" s="4"/>
      <c r="R37" s="4"/>
      <c r="S37" s="4"/>
      <c r="T37" s="4"/>
      <c r="U37" s="4"/>
      <c r="V37" s="4"/>
      <c r="W37" s="4"/>
      <c r="X37" s="4"/>
      <c r="Y37" s="4"/>
      <c r="Z37" s="7"/>
      <c r="AA37" s="10">
        <v>1994</v>
      </c>
      <c r="AB37" s="7">
        <v>16</v>
      </c>
      <c r="AC37" s="7">
        <v>3</v>
      </c>
      <c r="AD37" s="7">
        <v>0</v>
      </c>
    </row>
    <row r="38" spans="2:30">
      <c r="B38" s="4"/>
      <c r="C38" s="4"/>
      <c r="D38" s="4"/>
      <c r="E38" s="4"/>
      <c r="F38" s="4"/>
      <c r="G38" s="4"/>
      <c r="H38" s="4"/>
      <c r="I38" s="4"/>
      <c r="J38" s="4"/>
      <c r="K38" s="4"/>
      <c r="L38" s="4"/>
      <c r="M38" s="4"/>
      <c r="N38" s="4"/>
      <c r="O38" s="4"/>
      <c r="P38" s="4"/>
      <c r="Q38" s="4"/>
      <c r="R38" s="4"/>
      <c r="S38" s="4"/>
      <c r="T38" s="4"/>
      <c r="U38" s="4"/>
      <c r="V38" s="4"/>
      <c r="W38" s="4"/>
      <c r="X38" s="4"/>
      <c r="Y38" s="4"/>
      <c r="Z38" s="7"/>
      <c r="AA38" s="10">
        <v>1995</v>
      </c>
      <c r="AB38" s="7">
        <v>14</v>
      </c>
      <c r="AC38" s="7">
        <v>4</v>
      </c>
      <c r="AD38" s="7">
        <v>3</v>
      </c>
    </row>
    <row r="39" spans="2:30">
      <c r="B39" s="4"/>
      <c r="C39" s="4"/>
      <c r="D39" s="4"/>
      <c r="E39" s="4"/>
      <c r="F39" s="4"/>
      <c r="G39" s="4"/>
      <c r="H39" s="4"/>
      <c r="I39" s="4"/>
      <c r="J39" s="4"/>
      <c r="K39" s="4"/>
      <c r="L39" s="4"/>
      <c r="M39" s="4"/>
      <c r="N39" s="4"/>
      <c r="O39" s="4"/>
      <c r="P39" s="4"/>
      <c r="Q39" s="4"/>
      <c r="R39" s="9"/>
      <c r="S39" s="9"/>
      <c r="T39" s="9"/>
      <c r="U39" s="9"/>
      <c r="V39" s="9"/>
      <c r="W39" s="9"/>
      <c r="X39" s="9"/>
      <c r="Y39" s="4"/>
      <c r="Z39" s="7"/>
      <c r="AA39" s="10">
        <v>1996</v>
      </c>
      <c r="AB39" s="7">
        <v>16</v>
      </c>
      <c r="AC39" s="7">
        <v>2</v>
      </c>
      <c r="AD39" s="7">
        <v>1</v>
      </c>
    </row>
    <row r="40" spans="2:30">
      <c r="B40" s="634" t="s">
        <v>196</v>
      </c>
      <c r="C40" s="635"/>
      <c r="D40" s="635"/>
      <c r="E40" s="635"/>
      <c r="F40" s="635"/>
      <c r="G40" s="635"/>
      <c r="H40" s="635"/>
      <c r="I40" s="635"/>
      <c r="J40" s="635"/>
      <c r="K40" s="635"/>
      <c r="L40" s="635"/>
      <c r="M40" s="635"/>
      <c r="N40" s="635"/>
      <c r="O40" s="635"/>
      <c r="P40" s="635"/>
      <c r="Q40" s="635"/>
      <c r="R40" s="635"/>
      <c r="S40" s="635"/>
      <c r="T40" s="635"/>
      <c r="U40" s="635"/>
      <c r="V40" s="635"/>
      <c r="W40" s="636"/>
      <c r="X40" s="4"/>
      <c r="Y40" s="4"/>
      <c r="Z40" s="7"/>
      <c r="AA40" s="10">
        <v>1997</v>
      </c>
      <c r="AB40" s="7">
        <v>3</v>
      </c>
      <c r="AC40" s="7">
        <v>2</v>
      </c>
      <c r="AD40" s="7">
        <v>0</v>
      </c>
    </row>
    <row r="41" spans="2:30">
      <c r="B41" s="637"/>
      <c r="C41" s="638"/>
      <c r="D41" s="638"/>
      <c r="E41" s="638"/>
      <c r="F41" s="638"/>
      <c r="G41" s="638"/>
      <c r="H41" s="638"/>
      <c r="I41" s="638"/>
      <c r="J41" s="638"/>
      <c r="K41" s="638"/>
      <c r="L41" s="638"/>
      <c r="M41" s="638"/>
      <c r="N41" s="638"/>
      <c r="O41" s="638"/>
      <c r="P41" s="638"/>
      <c r="Q41" s="638"/>
      <c r="R41" s="638"/>
      <c r="S41" s="638"/>
      <c r="T41" s="638"/>
      <c r="U41" s="638"/>
      <c r="V41" s="638"/>
      <c r="W41" s="639"/>
      <c r="X41" s="4"/>
      <c r="Y41" s="4"/>
      <c r="Z41" s="7"/>
      <c r="AA41" s="10">
        <v>1998</v>
      </c>
      <c r="AB41" s="7">
        <v>4</v>
      </c>
      <c r="AC41" s="7">
        <v>1</v>
      </c>
      <c r="AD41" s="7">
        <v>0</v>
      </c>
    </row>
    <row r="42" spans="2:30">
      <c r="B42" s="637"/>
      <c r="C42" s="638"/>
      <c r="D42" s="638"/>
      <c r="E42" s="638"/>
      <c r="F42" s="638"/>
      <c r="G42" s="638"/>
      <c r="H42" s="638"/>
      <c r="I42" s="638"/>
      <c r="J42" s="638"/>
      <c r="K42" s="638"/>
      <c r="L42" s="638"/>
      <c r="M42" s="638"/>
      <c r="N42" s="638"/>
      <c r="O42" s="638"/>
      <c r="P42" s="638"/>
      <c r="Q42" s="638"/>
      <c r="R42" s="638"/>
      <c r="S42" s="638"/>
      <c r="T42" s="638"/>
      <c r="U42" s="638"/>
      <c r="V42" s="638"/>
      <c r="W42" s="639"/>
      <c r="X42" s="4"/>
      <c r="Y42" s="4"/>
      <c r="Z42" s="7"/>
      <c r="AA42" s="10">
        <v>1999</v>
      </c>
      <c r="AB42" s="7">
        <v>5</v>
      </c>
      <c r="AC42" s="7">
        <v>1</v>
      </c>
      <c r="AD42" s="7">
        <v>1</v>
      </c>
    </row>
    <row r="43" spans="2:30">
      <c r="B43" s="637"/>
      <c r="C43" s="638"/>
      <c r="D43" s="638"/>
      <c r="E43" s="638"/>
      <c r="F43" s="638"/>
      <c r="G43" s="638"/>
      <c r="H43" s="638"/>
      <c r="I43" s="638"/>
      <c r="J43" s="638"/>
      <c r="K43" s="638"/>
      <c r="L43" s="638"/>
      <c r="M43" s="638"/>
      <c r="N43" s="638"/>
      <c r="O43" s="638"/>
      <c r="P43" s="638"/>
      <c r="Q43" s="638"/>
      <c r="R43" s="638"/>
      <c r="S43" s="638"/>
      <c r="T43" s="638"/>
      <c r="U43" s="638"/>
      <c r="V43" s="638"/>
      <c r="W43" s="639"/>
      <c r="X43" s="9"/>
      <c r="Y43" s="4"/>
      <c r="Z43" s="7"/>
      <c r="AA43" s="10">
        <v>2000</v>
      </c>
      <c r="AB43" s="7">
        <v>4</v>
      </c>
      <c r="AC43" s="7">
        <v>1</v>
      </c>
      <c r="AD43" s="7">
        <v>1</v>
      </c>
    </row>
    <row r="44" spans="2:30">
      <c r="B44" s="640"/>
      <c r="C44" s="641"/>
      <c r="D44" s="641"/>
      <c r="E44" s="641"/>
      <c r="F44" s="641"/>
      <c r="G44" s="641"/>
      <c r="H44" s="641"/>
      <c r="I44" s="641"/>
      <c r="J44" s="641"/>
      <c r="K44" s="641"/>
      <c r="L44" s="641"/>
      <c r="M44" s="641"/>
      <c r="N44" s="641"/>
      <c r="O44" s="641"/>
      <c r="P44" s="641"/>
      <c r="Q44" s="641"/>
      <c r="R44" s="641"/>
      <c r="S44" s="641"/>
      <c r="T44" s="641"/>
      <c r="U44" s="641"/>
      <c r="V44" s="641"/>
      <c r="W44" s="642"/>
      <c r="X44" s="32"/>
      <c r="Y44" s="32"/>
      <c r="Z44" s="7"/>
      <c r="AA44" s="10">
        <v>2001</v>
      </c>
      <c r="AB44" s="7">
        <v>0</v>
      </c>
      <c r="AC44" s="7">
        <v>0</v>
      </c>
      <c r="AD44" s="7">
        <v>0</v>
      </c>
    </row>
    <row r="45" spans="2:30">
      <c r="B45" s="643" t="s">
        <v>197</v>
      </c>
      <c r="C45" s="644"/>
      <c r="D45" s="644"/>
      <c r="E45" s="644"/>
      <c r="F45" s="644"/>
      <c r="G45" s="644"/>
      <c r="H45" s="644"/>
      <c r="I45" s="644"/>
      <c r="J45" s="644"/>
      <c r="K45" s="644"/>
      <c r="L45" s="644"/>
      <c r="M45" s="644"/>
      <c r="N45" s="644"/>
      <c r="O45" s="644"/>
      <c r="P45" s="644"/>
      <c r="Q45" s="644"/>
      <c r="R45" s="644"/>
      <c r="S45" s="644"/>
      <c r="T45" s="644"/>
      <c r="U45" s="644"/>
      <c r="V45" s="644"/>
      <c r="W45" s="645"/>
      <c r="X45" s="9"/>
      <c r="Y45" s="4"/>
      <c r="Z45" s="7"/>
      <c r="AA45" s="10">
        <v>2002</v>
      </c>
      <c r="AB45" s="7">
        <v>9</v>
      </c>
      <c r="AC45" s="7">
        <v>2</v>
      </c>
      <c r="AD45" s="7">
        <v>1</v>
      </c>
    </row>
    <row r="46" spans="2:30">
      <c r="B46" s="4"/>
      <c r="C46" s="4"/>
      <c r="D46" s="4"/>
      <c r="E46" s="4"/>
      <c r="F46" s="4"/>
      <c r="G46" s="4"/>
      <c r="H46" s="4"/>
      <c r="I46" s="4"/>
      <c r="J46" s="4"/>
      <c r="K46" s="4"/>
      <c r="L46" s="4"/>
      <c r="M46" s="4"/>
      <c r="N46" s="4"/>
      <c r="O46" s="4"/>
      <c r="P46" s="4"/>
      <c r="Q46" s="4"/>
      <c r="R46" s="9"/>
      <c r="S46" s="9"/>
      <c r="T46" s="9"/>
      <c r="U46" s="9"/>
      <c r="V46" s="9"/>
      <c r="W46" s="9"/>
      <c r="X46" s="9"/>
      <c r="Y46" s="4"/>
      <c r="Z46" s="7"/>
      <c r="AA46" s="10">
        <v>2003</v>
      </c>
      <c r="AB46" s="7">
        <v>9</v>
      </c>
      <c r="AC46" s="7">
        <v>3</v>
      </c>
      <c r="AD46" s="7">
        <v>1</v>
      </c>
    </row>
    <row r="47" spans="2:30">
      <c r="B47" s="4"/>
      <c r="C47" s="4"/>
      <c r="D47" s="4"/>
      <c r="E47" s="4"/>
      <c r="F47" s="4"/>
      <c r="G47" s="4"/>
      <c r="H47" s="4"/>
      <c r="I47" s="4"/>
      <c r="J47" s="4"/>
      <c r="K47" s="4"/>
      <c r="L47" s="4"/>
      <c r="M47" s="4"/>
      <c r="N47" s="4"/>
      <c r="O47" s="4"/>
      <c r="P47" s="4"/>
      <c r="Q47" s="4"/>
      <c r="R47" s="9"/>
      <c r="S47" s="9"/>
      <c r="T47" s="9"/>
      <c r="U47" s="9"/>
      <c r="V47" s="9"/>
      <c r="W47" s="9"/>
      <c r="X47" s="9"/>
      <c r="Y47" s="4"/>
      <c r="Z47" s="7"/>
      <c r="AA47" s="10">
        <v>2004</v>
      </c>
      <c r="AB47" s="7">
        <v>12</v>
      </c>
      <c r="AC47" s="7">
        <v>1</v>
      </c>
      <c r="AD47" s="7">
        <v>1</v>
      </c>
    </row>
    <row r="48" spans="2:30">
      <c r="B48" s="4"/>
      <c r="C48" s="4"/>
      <c r="D48" s="4"/>
      <c r="E48" s="4"/>
      <c r="F48" s="4"/>
      <c r="G48" s="4"/>
      <c r="H48" s="4"/>
      <c r="I48" s="4"/>
      <c r="J48" s="4"/>
      <c r="K48" s="4"/>
      <c r="L48" s="4"/>
      <c r="M48" s="4"/>
      <c r="N48" s="4"/>
      <c r="O48" s="4"/>
      <c r="P48" s="4"/>
      <c r="Q48" s="4"/>
      <c r="R48" s="9"/>
      <c r="S48" s="9"/>
      <c r="T48" s="9"/>
      <c r="U48" s="9"/>
      <c r="V48" s="9"/>
      <c r="W48" s="9"/>
      <c r="X48" s="9"/>
      <c r="Y48" s="4"/>
      <c r="Z48" s="7"/>
      <c r="AA48" s="10">
        <v>2005</v>
      </c>
      <c r="AB48" s="7">
        <v>4</v>
      </c>
      <c r="AC48" s="7">
        <v>3</v>
      </c>
      <c r="AD48" s="7">
        <v>0</v>
      </c>
    </row>
    <row r="49" spans="27:30">
      <c r="AA49" s="10">
        <v>2006</v>
      </c>
      <c r="AB49" s="7">
        <v>2</v>
      </c>
      <c r="AC49" s="7">
        <v>0</v>
      </c>
      <c r="AD49" s="7">
        <v>0</v>
      </c>
    </row>
    <row r="50" spans="27:30">
      <c r="AA50" s="10">
        <v>2007</v>
      </c>
      <c r="AB50" s="7">
        <v>5</v>
      </c>
      <c r="AC50" s="7">
        <v>0</v>
      </c>
      <c r="AD50" s="7">
        <v>1</v>
      </c>
    </row>
    <row r="51" spans="27:30">
      <c r="AA51" s="10">
        <v>2008</v>
      </c>
      <c r="AB51" s="7">
        <v>2</v>
      </c>
      <c r="AC51" s="7">
        <v>1</v>
      </c>
      <c r="AD51" s="7">
        <v>1</v>
      </c>
    </row>
    <row r="52" spans="27:30">
      <c r="AA52" s="10">
        <v>2009</v>
      </c>
      <c r="AB52" s="7">
        <v>1</v>
      </c>
      <c r="AC52" s="7">
        <v>1</v>
      </c>
      <c r="AD52" s="7">
        <v>0</v>
      </c>
    </row>
    <row r="53" spans="27:30">
      <c r="AA53" s="10">
        <v>2010</v>
      </c>
      <c r="AB53" s="7">
        <v>1</v>
      </c>
      <c r="AC53" s="7">
        <v>0</v>
      </c>
      <c r="AD53" s="7">
        <v>0</v>
      </c>
    </row>
    <row r="54" spans="27:30">
      <c r="AA54" s="10">
        <v>2011</v>
      </c>
      <c r="AB54" s="7">
        <v>1</v>
      </c>
      <c r="AC54" s="7">
        <v>0</v>
      </c>
      <c r="AD54" s="7">
        <v>0</v>
      </c>
    </row>
    <row r="55" spans="27:30">
      <c r="AA55" s="10">
        <v>2012</v>
      </c>
      <c r="AB55" s="7">
        <v>1</v>
      </c>
      <c r="AC55" s="7">
        <v>0</v>
      </c>
      <c r="AD55" s="7">
        <v>0</v>
      </c>
    </row>
    <row r="56" spans="27:30">
      <c r="AA56" s="10">
        <v>2013</v>
      </c>
      <c r="AB56" s="7">
        <v>2</v>
      </c>
      <c r="AC56" s="7">
        <v>0</v>
      </c>
      <c r="AD56" s="7">
        <v>1</v>
      </c>
    </row>
    <row r="57" spans="27:30">
      <c r="AA57" s="10">
        <v>2014</v>
      </c>
      <c r="AB57" s="7">
        <v>5</v>
      </c>
      <c r="AC57" s="7">
        <v>2</v>
      </c>
      <c r="AD57" s="7">
        <v>1</v>
      </c>
    </row>
    <row r="58" spans="27:30">
      <c r="AA58" s="10">
        <v>2015</v>
      </c>
      <c r="AB58" s="7">
        <v>8</v>
      </c>
      <c r="AC58" s="7">
        <v>1</v>
      </c>
      <c r="AD58" s="7">
        <v>0</v>
      </c>
    </row>
    <row r="59" spans="27:30">
      <c r="AA59" s="10">
        <v>2016</v>
      </c>
      <c r="AB59" s="7">
        <v>1</v>
      </c>
      <c r="AC59" s="7">
        <v>1</v>
      </c>
      <c r="AD59" s="7">
        <v>1</v>
      </c>
    </row>
    <row r="60" spans="27:30">
      <c r="AA60" s="10">
        <v>2017</v>
      </c>
      <c r="AB60" s="7">
        <v>13</v>
      </c>
      <c r="AC60" s="7">
        <v>2</v>
      </c>
      <c r="AD60" s="7">
        <v>0</v>
      </c>
    </row>
    <row r="61" spans="27:30">
      <c r="AA61" s="10">
        <v>2018</v>
      </c>
      <c r="AB61" s="7">
        <v>6</v>
      </c>
      <c r="AC61" s="7">
        <v>0</v>
      </c>
      <c r="AD61" s="7">
        <v>0</v>
      </c>
    </row>
    <row r="62" spans="27:30">
      <c r="AA62" s="10">
        <v>2019</v>
      </c>
      <c r="AB62" s="7">
        <v>0</v>
      </c>
      <c r="AC62" s="7">
        <v>1</v>
      </c>
      <c r="AD62" s="7">
        <v>0</v>
      </c>
    </row>
    <row r="63" spans="27:30">
      <c r="AA63" s="10">
        <v>2020</v>
      </c>
      <c r="AB63" s="7">
        <v>5</v>
      </c>
      <c r="AC63" s="7">
        <v>5</v>
      </c>
      <c r="AD63" s="7">
        <v>3</v>
      </c>
    </row>
  </sheetData>
  <mergeCells count="11">
    <mergeCell ref="T19:W19"/>
    <mergeCell ref="B40:W44"/>
    <mergeCell ref="B45:W45"/>
    <mergeCell ref="D18:F18"/>
    <mergeCell ref="H18:J18"/>
    <mergeCell ref="L18:N18"/>
    <mergeCell ref="P18:R18"/>
    <mergeCell ref="D19:F19"/>
    <mergeCell ref="H19:J19"/>
    <mergeCell ref="L19:N19"/>
    <mergeCell ref="P19:R19"/>
  </mergeCells>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02313-81C3-476E-84BA-7D0B711E72D8}">
  <sheetPr>
    <tabColor theme="5" tint="0.79998168889431442"/>
  </sheetPr>
  <dimension ref="A1:D56"/>
  <sheetViews>
    <sheetView workbookViewId="0">
      <selection activeCell="B3" sqref="B3"/>
    </sheetView>
  </sheetViews>
  <sheetFormatPr defaultColWidth="8.7109375" defaultRowHeight="15"/>
  <cols>
    <col min="1" max="1" width="18.42578125" bestFit="1" customWidth="1"/>
    <col min="2" max="2" width="15.42578125" bestFit="1" customWidth="1"/>
    <col min="3" max="3" width="14" bestFit="1" customWidth="1"/>
    <col min="4" max="4" width="13.7109375" bestFit="1" customWidth="1"/>
  </cols>
  <sheetData>
    <row r="1" spans="1:4">
      <c r="A1" t="s">
        <v>386</v>
      </c>
      <c r="B1" s="1" t="s">
        <v>380</v>
      </c>
      <c r="C1" s="1"/>
    </row>
    <row r="2" spans="1:4">
      <c r="A2" s="37">
        <v>2020</v>
      </c>
      <c r="B2" s="3" t="s">
        <v>381</v>
      </c>
      <c r="C2" s="3" t="s">
        <v>382</v>
      </c>
      <c r="D2" s="3" t="s">
        <v>383</v>
      </c>
    </row>
    <row r="3" spans="1:4">
      <c r="A3" s="2" t="s">
        <v>103</v>
      </c>
      <c r="B3" s="40">
        <f>'Frequency 2020 Values'!B8</f>
        <v>6.0149559999999997</v>
      </c>
      <c r="C3" s="40">
        <f>'Frequency 2020 Values'!C8</f>
        <v>4.2395544000000003</v>
      </c>
      <c r="D3" s="40">
        <f>'Frequency 2020 Values'!D8</f>
        <v>0.66327115319999996</v>
      </c>
    </row>
    <row r="4" spans="1:4">
      <c r="A4" s="2" t="s">
        <v>105</v>
      </c>
      <c r="B4" s="40">
        <f>B3</f>
        <v>6.0149559999999997</v>
      </c>
      <c r="C4" s="40">
        <f t="shared" ref="C4:D6" si="0">C3</f>
        <v>4.2395544000000003</v>
      </c>
      <c r="D4" s="40">
        <f t="shared" si="0"/>
        <v>0.66327115319999996</v>
      </c>
    </row>
    <row r="5" spans="1:4">
      <c r="A5" s="38" t="s">
        <v>107</v>
      </c>
      <c r="B5" s="40">
        <f t="shared" ref="B5:B6" si="1">B4</f>
        <v>6.0149559999999997</v>
      </c>
      <c r="C5" s="40">
        <f t="shared" si="0"/>
        <v>4.2395544000000003</v>
      </c>
      <c r="D5" s="40">
        <f t="shared" si="0"/>
        <v>0.66327115319999996</v>
      </c>
    </row>
    <row r="6" spans="1:4">
      <c r="A6" s="39" t="s">
        <v>109</v>
      </c>
      <c r="B6" s="41">
        <f t="shared" si="1"/>
        <v>6.0149559999999997</v>
      </c>
      <c r="C6" s="41">
        <f t="shared" si="0"/>
        <v>4.2395544000000003</v>
      </c>
      <c r="D6" s="41">
        <f t="shared" si="0"/>
        <v>0.66327115319999996</v>
      </c>
    </row>
    <row r="7" spans="1:4">
      <c r="A7" s="37">
        <v>2021</v>
      </c>
      <c r="B7" s="3" t="s">
        <v>381</v>
      </c>
      <c r="C7" s="3" t="s">
        <v>382</v>
      </c>
      <c r="D7" s="3" t="s">
        <v>383</v>
      </c>
    </row>
    <row r="8" spans="1:4">
      <c r="A8" s="2" t="s">
        <v>103</v>
      </c>
      <c r="B8" s="40">
        <f>'Med Risk Scenarios'!$D$21+($A7-$A$2)*('Med Risk Scenarios'!$D$22-'Med Risk Scenarios'!$D$21)/('Med Risk Scenarios'!$B$22-'High Risk Scenarios'!$B$21)</f>
        <v>6.0804999999999998</v>
      </c>
      <c r="C8" s="40">
        <f>'Med Risk Scenarios'!$E$21+($A7-$A$2)*('Med Risk Scenarios'!$E$22-'Med Risk Scenarios'!$E$21)/('Med Risk Scenarios'!$B$22-'High Risk Scenarios'!$B$21)</f>
        <v>4.2862</v>
      </c>
      <c r="D8" s="40">
        <f>'Med Risk Scenarios'!$F$21+($A7-$A$2)*('Med Risk Scenarios'!$F$22-'Med Risk Scenarios'!$F$21)/('Med Risk Scenarios'!$B$22-'High Risk Scenarios'!$B$21)</f>
        <v>0.67020000000000002</v>
      </c>
    </row>
    <row r="9" spans="1:4">
      <c r="A9" s="2" t="s">
        <v>105</v>
      </c>
      <c r="B9" s="40">
        <f>'Med Risk Scenarios'!$H$21+($A7-$A$2)*('Med Risk Scenarios'!$H$22-'Med Risk Scenarios'!$H$21)/('Med Risk Scenarios'!$B$22-'Med Risk Scenarios'!$B$21)</f>
        <v>6.0892999999999997</v>
      </c>
      <c r="C9" s="40">
        <f>'Med Risk Scenarios'!$I$21+($A7-$A$2)*('Med Risk Scenarios'!$I$22-'Med Risk Scenarios'!$I$21)/('Med Risk Scenarios'!$B$22-'Med Risk Scenarios'!$B$21)</f>
        <v>4.2923</v>
      </c>
      <c r="D9" s="40">
        <f>'Med Risk Scenarios'!$J$21+($A7-$A$2)*('Med Risk Scenarios'!$J$22-'Med Risk Scenarios'!$J$21)/('Med Risk Scenarios'!$B$22-'Med Risk Scenarios'!$B$21)</f>
        <v>0.67120000000000002</v>
      </c>
    </row>
    <row r="10" spans="1:4">
      <c r="A10" s="38" t="s">
        <v>107</v>
      </c>
      <c r="B10" s="40">
        <f>'Med Risk Scenarios'!$L$21+($A7-$A$2)*('Med Risk Scenarios'!$L$22-'Med Risk Scenarios'!$L$21)/('Med Risk Scenarios'!$B$22-'Med Risk Scenarios'!$B$21)</f>
        <v>6.1091999999999995</v>
      </c>
      <c r="C10" s="40">
        <f>'Med Risk Scenarios'!$M$21+($A7-$A$2)*('Med Risk Scenarios'!$M$22-'Med Risk Scenarios'!$M$21)/('Med Risk Scenarios'!$B$22-'Med Risk Scenarios'!$B$21)</f>
        <v>4.3064</v>
      </c>
      <c r="D10" s="40">
        <f>'Med Risk Scenarios'!$N$21+($A7-$A$2)*('Med Risk Scenarios'!$N$22-'Med Risk Scenarios'!$N$21)/('Med Risk Scenarios'!$B$22-'Med Risk Scenarios'!$B$21)</f>
        <v>0.6734</v>
      </c>
    </row>
    <row r="11" spans="1:4">
      <c r="A11" s="39" t="s">
        <v>109</v>
      </c>
      <c r="B11" s="41">
        <f>'Med Risk Scenarios'!$P$21+($A7-$A$2)*('Med Risk Scenarios'!$P$22-'Med Risk Scenarios'!$P$21)/('Med Risk Scenarios'!$B$22-'Med Risk Scenarios'!$B$21)</f>
        <v>6.1217999999999995</v>
      </c>
      <c r="C11" s="41">
        <f>'Med Risk Scenarios'!$Q$21+($A7-$A$2)*('Med Risk Scenarios'!$Q$22-'Med Risk Scenarios'!$Q$21)/('Med Risk Scenarios'!$B$22-'Med Risk Scenarios'!$B$21)</f>
        <v>4.3153000000000006</v>
      </c>
      <c r="D11" s="41">
        <f>'Med Risk Scenarios'!$R$21+($A7-$A$2)*('Med Risk Scenarios'!$R$22-'Med Risk Scenarios'!$R$21)/('Med Risk Scenarios'!$B$22-'Med Risk Scenarios'!$B$21)</f>
        <v>0.67480000000000007</v>
      </c>
    </row>
    <row r="12" spans="1:4">
      <c r="A12" s="37">
        <v>2022</v>
      </c>
      <c r="B12" s="3" t="s">
        <v>381</v>
      </c>
      <c r="C12" s="3" t="s">
        <v>382</v>
      </c>
      <c r="D12" s="3" t="s">
        <v>383</v>
      </c>
    </row>
    <row r="13" spans="1:4">
      <c r="A13" s="2" t="s">
        <v>103</v>
      </c>
      <c r="B13" s="40">
        <f>'Med Risk Scenarios'!$D$21+($A12-$A$2)*('Med Risk Scenarios'!$D$22-'Med Risk Scenarios'!$D$21)/('Med Risk Scenarios'!$B$22-'High Risk Scenarios'!$B$21)</f>
        <v>6.1459999999999999</v>
      </c>
      <c r="C13" s="40">
        <f>'Med Risk Scenarios'!$E$21+($A12-$A$2)*('Med Risk Scenarios'!$E$22-'Med Risk Scenarios'!$E$21)/('Med Risk Scenarios'!$B$22-'High Risk Scenarios'!$B$21)</f>
        <v>4.3323999999999998</v>
      </c>
      <c r="D13" s="40">
        <f>'Med Risk Scenarios'!$F$21+($A12-$A$2)*('Med Risk Scenarios'!$F$22-'Med Risk Scenarios'!$F$21)/('Med Risk Scenarios'!$B$22-'High Risk Scenarios'!$B$21)</f>
        <v>0.6774</v>
      </c>
    </row>
    <row r="14" spans="1:4">
      <c r="A14" s="2" t="s">
        <v>105</v>
      </c>
      <c r="B14" s="40">
        <f>'Med Risk Scenarios'!$H$21+($A12-$A$2)*('Med Risk Scenarios'!$H$22-'Med Risk Scenarios'!$H$21)/('Med Risk Scenarios'!$B$22-'Med Risk Scenarios'!$B$21)</f>
        <v>6.1635999999999997</v>
      </c>
      <c r="C14" s="40">
        <f>'Med Risk Scenarios'!$I$21+($A12-$A$2)*('Med Risk Scenarios'!$I$22-'Med Risk Scenarios'!$I$21)/('Med Risk Scenarios'!$B$22-'Med Risk Scenarios'!$B$21)</f>
        <v>4.3445999999999998</v>
      </c>
      <c r="D14" s="40">
        <f>'Med Risk Scenarios'!$J$21+($A12-$A$2)*('Med Risk Scenarios'!$J$22-'Med Risk Scenarios'!$J$21)/('Med Risk Scenarios'!$B$22-'Med Risk Scenarios'!$B$21)</f>
        <v>0.6794</v>
      </c>
    </row>
    <row r="15" spans="1:4">
      <c r="A15" s="38" t="s">
        <v>107</v>
      </c>
      <c r="B15" s="40">
        <f>'Med Risk Scenarios'!$L$21+($A12-$A$2)*('Med Risk Scenarios'!$L$22-'Med Risk Scenarios'!$L$21)/('Med Risk Scenarios'!$B$22-'Med Risk Scenarios'!$B$21)</f>
        <v>6.2033999999999994</v>
      </c>
      <c r="C15" s="40">
        <f>'Med Risk Scenarios'!$M$21+($A12-$A$2)*('Med Risk Scenarios'!$M$22-'Med Risk Scenarios'!$M$21)/('Med Risk Scenarios'!$B$22-'Med Risk Scenarios'!$B$21)</f>
        <v>4.3727999999999998</v>
      </c>
      <c r="D15" s="40">
        <f>'Med Risk Scenarios'!$N$21+($A12-$A$2)*('Med Risk Scenarios'!$N$22-'Med Risk Scenarios'!$N$21)/('Med Risk Scenarios'!$B$22-'Med Risk Scenarios'!$B$21)</f>
        <v>0.68380000000000007</v>
      </c>
    </row>
    <row r="16" spans="1:4">
      <c r="A16" s="39" t="s">
        <v>109</v>
      </c>
      <c r="B16" s="41">
        <f>'Med Risk Scenarios'!$P$21+($A12-$A$2)*('Med Risk Scenarios'!$P$22-'Med Risk Scenarios'!$P$21)/('Med Risk Scenarios'!$B$22-'Med Risk Scenarios'!$B$21)</f>
        <v>6.2286000000000001</v>
      </c>
      <c r="C16" s="41">
        <f>'Med Risk Scenarios'!$Q$21+($A12-$A$2)*('Med Risk Scenarios'!$Q$22-'Med Risk Scenarios'!$Q$21)/('Med Risk Scenarios'!$B$22-'Med Risk Scenarios'!$B$21)</f>
        <v>4.3906000000000001</v>
      </c>
      <c r="D16" s="41">
        <f>'Med Risk Scenarios'!$R$21+($A12-$A$2)*('Med Risk Scenarios'!$R$22-'Med Risk Scenarios'!$R$21)/('Med Risk Scenarios'!$B$22-'Med Risk Scenarios'!$B$21)</f>
        <v>0.68659999999999999</v>
      </c>
    </row>
    <row r="17" spans="1:4">
      <c r="A17" s="37">
        <v>2023</v>
      </c>
      <c r="B17" s="3" t="s">
        <v>381</v>
      </c>
      <c r="C17" s="3" t="s">
        <v>382</v>
      </c>
      <c r="D17" s="3" t="s">
        <v>383</v>
      </c>
    </row>
    <row r="18" spans="1:4">
      <c r="A18" s="2" t="s">
        <v>103</v>
      </c>
      <c r="B18" s="40">
        <f>'Med Risk Scenarios'!$D$21+($A17-$A$2)*('Med Risk Scenarios'!$D$22-'Med Risk Scenarios'!$D$21)/('Med Risk Scenarios'!$B$22-'High Risk Scenarios'!$B$21)</f>
        <v>6.2115</v>
      </c>
      <c r="C18" s="40">
        <f>'Med Risk Scenarios'!$E$21+($A17-$A$2)*('Med Risk Scenarios'!$E$22-'Med Risk Scenarios'!$E$21)/('Med Risk Scenarios'!$B$22-'High Risk Scenarios'!$B$21)</f>
        <v>4.3786000000000005</v>
      </c>
      <c r="D18" s="40">
        <f>'Med Risk Scenarios'!$F$21+($A17-$A$2)*('Med Risk Scenarios'!$F$22-'Med Risk Scenarios'!$F$21)/('Med Risk Scenarios'!$B$22-'High Risk Scenarios'!$B$21)</f>
        <v>0.68459999999999999</v>
      </c>
    </row>
    <row r="19" spans="1:4">
      <c r="A19" s="2" t="s">
        <v>105</v>
      </c>
      <c r="B19" s="40">
        <f>'Med Risk Scenarios'!$H$21+($A17-$A$2)*('Med Risk Scenarios'!$H$22-'Med Risk Scenarios'!$H$21)/('Med Risk Scenarios'!$B$22-'Med Risk Scenarios'!$B$21)</f>
        <v>6.2378999999999998</v>
      </c>
      <c r="C19" s="40">
        <f>'Med Risk Scenarios'!$I$21+($A17-$A$2)*('Med Risk Scenarios'!$I$22-'Med Risk Scenarios'!$I$21)/('Med Risk Scenarios'!$B$22-'Med Risk Scenarios'!$B$21)</f>
        <v>4.3969000000000005</v>
      </c>
      <c r="D19" s="40">
        <f>'Med Risk Scenarios'!$J$21+($A17-$A$2)*('Med Risk Scenarios'!$J$22-'Med Risk Scenarios'!$J$21)/('Med Risk Scenarios'!$B$22-'Med Risk Scenarios'!$B$21)</f>
        <v>0.68759999999999999</v>
      </c>
    </row>
    <row r="20" spans="1:4">
      <c r="A20" s="38" t="s">
        <v>107</v>
      </c>
      <c r="B20" s="40">
        <f>'Med Risk Scenarios'!$L$21+($A17-$A$2)*('Med Risk Scenarios'!$L$22-'Med Risk Scenarios'!$L$21)/('Med Risk Scenarios'!$B$22-'Med Risk Scenarios'!$B$21)</f>
        <v>6.2976000000000001</v>
      </c>
      <c r="C20" s="40">
        <f>'Med Risk Scenarios'!$M$21+($A17-$A$2)*('Med Risk Scenarios'!$M$22-'Med Risk Scenarios'!$M$21)/('Med Risk Scenarios'!$B$22-'Med Risk Scenarios'!$B$21)</f>
        <v>4.4392000000000005</v>
      </c>
      <c r="D20" s="40">
        <f>'Med Risk Scenarios'!$N$21+($A17-$A$2)*('Med Risk Scenarios'!$N$22-'Med Risk Scenarios'!$N$21)/('Med Risk Scenarios'!$B$22-'Med Risk Scenarios'!$B$21)</f>
        <v>0.69420000000000004</v>
      </c>
    </row>
    <row r="21" spans="1:4">
      <c r="A21" s="39" t="s">
        <v>109</v>
      </c>
      <c r="B21" s="41">
        <f>'Med Risk Scenarios'!$P$21+($A17-$A$2)*('Med Risk Scenarios'!$P$22-'Med Risk Scenarios'!$P$21)/('Med Risk Scenarios'!$B$22-'Med Risk Scenarios'!$B$21)</f>
        <v>6.3353999999999999</v>
      </c>
      <c r="C21" s="41">
        <f>'Med Risk Scenarios'!$Q$21+($A17-$A$2)*('Med Risk Scenarios'!$Q$22-'Med Risk Scenarios'!$Q$21)/('Med Risk Scenarios'!$B$22-'Med Risk Scenarios'!$B$21)</f>
        <v>4.4659000000000004</v>
      </c>
      <c r="D21" s="41">
        <f>'Med Risk Scenarios'!$R$21+($A17-$A$2)*('Med Risk Scenarios'!$R$22-'Med Risk Scenarios'!$R$21)/('Med Risk Scenarios'!$B$22-'Med Risk Scenarios'!$B$21)</f>
        <v>0.69840000000000002</v>
      </c>
    </row>
    <row r="22" spans="1:4">
      <c r="A22" s="37">
        <v>2024</v>
      </c>
      <c r="B22" s="3" t="s">
        <v>381</v>
      </c>
      <c r="C22" s="3" t="s">
        <v>382</v>
      </c>
      <c r="D22" s="3" t="s">
        <v>383</v>
      </c>
    </row>
    <row r="23" spans="1:4">
      <c r="A23" s="2" t="s">
        <v>103</v>
      </c>
      <c r="B23" s="40">
        <f>'Med Risk Scenarios'!$D$21+($A22-$A$2)*('Med Risk Scenarios'!$D$22-'Med Risk Scenarios'!$D$21)/('Med Risk Scenarios'!$B$22-'High Risk Scenarios'!$B$21)</f>
        <v>6.2770000000000001</v>
      </c>
      <c r="C23" s="40">
        <f>'Med Risk Scenarios'!$E$21+($A22-$A$2)*('Med Risk Scenarios'!$E$22-'Med Risk Scenarios'!$E$21)/('Med Risk Scenarios'!$B$22-'High Risk Scenarios'!$B$21)</f>
        <v>4.4248000000000003</v>
      </c>
      <c r="D23" s="40">
        <f>'Med Risk Scenarios'!$F$21+($A22-$A$2)*('Med Risk Scenarios'!$F$22-'Med Risk Scenarios'!$F$21)/('Med Risk Scenarios'!$B$22-'High Risk Scenarios'!$B$21)</f>
        <v>0.69179999999999997</v>
      </c>
    </row>
    <row r="24" spans="1:4">
      <c r="A24" s="2" t="s">
        <v>105</v>
      </c>
      <c r="B24" s="40">
        <f>'Med Risk Scenarios'!$H$21+($A22-$A$2)*('Med Risk Scenarios'!$H$22-'Med Risk Scenarios'!$H$21)/('Med Risk Scenarios'!$B$22-'Med Risk Scenarios'!$B$21)</f>
        <v>6.3121999999999998</v>
      </c>
      <c r="C24" s="40">
        <f>'Med Risk Scenarios'!$I$21+($A22-$A$2)*('Med Risk Scenarios'!$I$22-'Med Risk Scenarios'!$I$21)/('Med Risk Scenarios'!$B$22-'Med Risk Scenarios'!$B$21)</f>
        <v>4.4492000000000003</v>
      </c>
      <c r="D24" s="40">
        <f>'Med Risk Scenarios'!$J$21+($A22-$A$2)*('Med Risk Scenarios'!$J$22-'Med Risk Scenarios'!$J$21)/('Med Risk Scenarios'!$B$22-'Med Risk Scenarios'!$B$21)</f>
        <v>0.69579999999999997</v>
      </c>
    </row>
    <row r="25" spans="1:4">
      <c r="A25" s="38" t="s">
        <v>107</v>
      </c>
      <c r="B25" s="40">
        <f>'Med Risk Scenarios'!$L$21+($A22-$A$2)*('Med Risk Scenarios'!$L$22-'Med Risk Scenarios'!$L$21)/('Med Risk Scenarios'!$B$22-'Med Risk Scenarios'!$B$21)</f>
        <v>6.3917999999999999</v>
      </c>
      <c r="C25" s="40">
        <f>'Med Risk Scenarios'!$M$21+($A22-$A$2)*('Med Risk Scenarios'!$M$22-'Med Risk Scenarios'!$M$21)/('Med Risk Scenarios'!$B$22-'Med Risk Scenarios'!$B$21)</f>
        <v>4.5056000000000003</v>
      </c>
      <c r="D25" s="40">
        <f>'Med Risk Scenarios'!$N$21+($A22-$A$2)*('Med Risk Scenarios'!$N$22-'Med Risk Scenarios'!$N$21)/('Med Risk Scenarios'!$B$22-'Med Risk Scenarios'!$B$21)</f>
        <v>0.7046</v>
      </c>
    </row>
    <row r="26" spans="1:4">
      <c r="A26" s="39" t="s">
        <v>109</v>
      </c>
      <c r="B26" s="41">
        <f>'Med Risk Scenarios'!$P$21+($A22-$A$2)*('Med Risk Scenarios'!$P$22-'Med Risk Scenarios'!$P$21)/('Med Risk Scenarios'!$B$22-'Med Risk Scenarios'!$B$21)</f>
        <v>6.4421999999999997</v>
      </c>
      <c r="C26" s="41">
        <f>'Med Risk Scenarios'!$Q$21+($A22-$A$2)*('Med Risk Scenarios'!$Q$22-'Med Risk Scenarios'!$Q$21)/('Med Risk Scenarios'!$B$22-'Med Risk Scenarios'!$B$21)</f>
        <v>4.5411999999999999</v>
      </c>
      <c r="D26" s="41">
        <f>'Med Risk Scenarios'!$R$21+($A22-$A$2)*('Med Risk Scenarios'!$R$22-'Med Risk Scenarios'!$R$21)/('Med Risk Scenarios'!$B$22-'Med Risk Scenarios'!$B$21)</f>
        <v>0.71020000000000005</v>
      </c>
    </row>
    <row r="27" spans="1:4">
      <c r="A27" s="37">
        <v>2025</v>
      </c>
      <c r="B27" s="3" t="s">
        <v>381</v>
      </c>
      <c r="C27" s="3" t="s">
        <v>382</v>
      </c>
      <c r="D27" s="3" t="s">
        <v>383</v>
      </c>
    </row>
    <row r="28" spans="1:4">
      <c r="A28" s="2" t="s">
        <v>103</v>
      </c>
      <c r="B28" s="40">
        <f>'Med Risk Scenarios'!$D$21+($A27-$A$2)*('Med Risk Scenarios'!$D$22-'Med Risk Scenarios'!$D$21)/('Med Risk Scenarios'!$B$22-'High Risk Scenarios'!$B$21)</f>
        <v>6.3424999999999994</v>
      </c>
      <c r="C28" s="40">
        <f>'Med Risk Scenarios'!$E$21+($A27-$A$2)*('Med Risk Scenarios'!$E$22-'Med Risk Scenarios'!$E$21)/('Med Risk Scenarios'!$B$22-'High Risk Scenarios'!$B$21)</f>
        <v>4.4710000000000001</v>
      </c>
      <c r="D28" s="40">
        <f>'Med Risk Scenarios'!$F$21+($A27-$A$2)*('Med Risk Scenarios'!$F$22-'Med Risk Scenarios'!$F$21)/('Med Risk Scenarios'!$B$22-'High Risk Scenarios'!$B$21)</f>
        <v>0.69900000000000007</v>
      </c>
    </row>
    <row r="29" spans="1:4">
      <c r="A29" s="2" t="s">
        <v>105</v>
      </c>
      <c r="B29" s="40">
        <f>'Med Risk Scenarios'!$H$21+($A27-$A$2)*('Med Risk Scenarios'!$H$22-'Med Risk Scenarios'!$H$21)/('Med Risk Scenarios'!$B$22-'Med Risk Scenarios'!$B$21)</f>
        <v>6.3864999999999998</v>
      </c>
      <c r="C29" s="40">
        <f>'Med Risk Scenarios'!$I$21+($A27-$A$2)*('Med Risk Scenarios'!$I$22-'Med Risk Scenarios'!$I$21)/('Med Risk Scenarios'!$B$22-'Med Risk Scenarios'!$B$21)</f>
        <v>4.5015000000000001</v>
      </c>
      <c r="D29" s="40">
        <f>'Med Risk Scenarios'!$J$21+($A27-$A$2)*('Med Risk Scenarios'!$J$22-'Med Risk Scenarios'!$J$21)/('Med Risk Scenarios'!$B$22-'Med Risk Scenarios'!$B$21)</f>
        <v>0.70399999999999996</v>
      </c>
    </row>
    <row r="30" spans="1:4">
      <c r="A30" s="38" t="s">
        <v>107</v>
      </c>
      <c r="B30" s="40">
        <f>'Med Risk Scenarios'!$L$21+($A27-$A$2)*('Med Risk Scenarios'!$L$22-'Med Risk Scenarios'!$L$21)/('Med Risk Scenarios'!$B$22-'Med Risk Scenarios'!$B$21)</f>
        <v>6.4859999999999998</v>
      </c>
      <c r="C30" s="40">
        <f>'Med Risk Scenarios'!$M$21+($A27-$A$2)*('Med Risk Scenarios'!$M$22-'Med Risk Scenarios'!$M$21)/('Med Risk Scenarios'!$B$22-'Med Risk Scenarios'!$B$21)</f>
        <v>4.5720000000000001</v>
      </c>
      <c r="D30" s="40">
        <f>'Med Risk Scenarios'!$N$21+($A27-$A$2)*('Med Risk Scenarios'!$N$22-'Med Risk Scenarios'!$N$21)/('Med Risk Scenarios'!$B$22-'Med Risk Scenarios'!$B$21)</f>
        <v>0.71500000000000008</v>
      </c>
    </row>
    <row r="31" spans="1:4">
      <c r="A31" s="39" t="s">
        <v>109</v>
      </c>
      <c r="B31" s="41">
        <f>'Med Risk Scenarios'!$P$21+($A27-$A$2)*('Med Risk Scenarios'!$P$22-'Med Risk Scenarios'!$P$21)/('Med Risk Scenarios'!$B$22-'Med Risk Scenarios'!$B$21)</f>
        <v>6.5489999999999995</v>
      </c>
      <c r="C31" s="41">
        <f>'Med Risk Scenarios'!$Q$21+($A27-$A$2)*('Med Risk Scenarios'!$Q$22-'Med Risk Scenarios'!$Q$21)/('Med Risk Scenarios'!$B$22-'Med Risk Scenarios'!$B$21)</f>
        <v>4.6165000000000003</v>
      </c>
      <c r="D31" s="41">
        <f>'Med Risk Scenarios'!$R$21+($A27-$A$2)*('Med Risk Scenarios'!$R$22-'Med Risk Scenarios'!$R$21)/('Med Risk Scenarios'!$B$22-'Med Risk Scenarios'!$B$21)</f>
        <v>0.72199999999999998</v>
      </c>
    </row>
    <row r="32" spans="1:4">
      <c r="A32" s="37">
        <v>2026</v>
      </c>
      <c r="B32" s="3" t="s">
        <v>381</v>
      </c>
      <c r="C32" s="3" t="s">
        <v>382</v>
      </c>
      <c r="D32" s="3" t="s">
        <v>383</v>
      </c>
    </row>
    <row r="33" spans="1:4">
      <c r="A33" s="2" t="s">
        <v>103</v>
      </c>
      <c r="B33" s="40">
        <f>'Med Risk Scenarios'!$D$21+($A32-$A$2)*('Med Risk Scenarios'!$D$22-'Med Risk Scenarios'!$D$21)/('Med Risk Scenarios'!$B$22-'High Risk Scenarios'!$B$21)</f>
        <v>6.4079999999999995</v>
      </c>
      <c r="C33" s="40">
        <f>'Med Risk Scenarios'!$E$21+($A32-$A$2)*('Med Risk Scenarios'!$E$22-'Med Risk Scenarios'!$E$21)/('Med Risk Scenarios'!$B$22-'High Risk Scenarios'!$B$21)</f>
        <v>4.5171999999999999</v>
      </c>
      <c r="D33" s="40">
        <f>'Med Risk Scenarios'!$F$21+($A32-$A$2)*('Med Risk Scenarios'!$F$22-'Med Risk Scenarios'!$F$21)/('Med Risk Scenarios'!$B$22-'High Risk Scenarios'!$B$21)</f>
        <v>0.70620000000000005</v>
      </c>
    </row>
    <row r="34" spans="1:4">
      <c r="A34" s="2" t="s">
        <v>105</v>
      </c>
      <c r="B34" s="40">
        <f>'Med Risk Scenarios'!$H$21+($A32-$A$2)*('Med Risk Scenarios'!$H$22-'Med Risk Scenarios'!$H$21)/('Med Risk Scenarios'!$B$22-'Med Risk Scenarios'!$B$21)</f>
        <v>6.4607999999999999</v>
      </c>
      <c r="C34" s="40">
        <f>'Med Risk Scenarios'!$I$21+($A32-$A$2)*('Med Risk Scenarios'!$I$22-'Med Risk Scenarios'!$I$21)/('Med Risk Scenarios'!$B$22-'Med Risk Scenarios'!$B$21)</f>
        <v>4.5537999999999998</v>
      </c>
      <c r="D34" s="40">
        <f>'Med Risk Scenarios'!$J$21+($A32-$A$2)*('Med Risk Scenarios'!$J$22-'Med Risk Scenarios'!$J$21)/('Med Risk Scenarios'!$B$22-'Med Risk Scenarios'!$B$21)</f>
        <v>0.71220000000000006</v>
      </c>
    </row>
    <row r="35" spans="1:4">
      <c r="A35" s="38" t="s">
        <v>107</v>
      </c>
      <c r="B35" s="40">
        <f>'Med Risk Scenarios'!$L$21+($A32-$A$2)*('Med Risk Scenarios'!$L$22-'Med Risk Scenarios'!$L$21)/('Med Risk Scenarios'!$B$22-'Med Risk Scenarios'!$B$21)</f>
        <v>6.5801999999999996</v>
      </c>
      <c r="C35" s="40">
        <f>'Med Risk Scenarios'!$M$21+($A32-$A$2)*('Med Risk Scenarios'!$M$22-'Med Risk Scenarios'!$M$21)/('Med Risk Scenarios'!$B$22-'Med Risk Scenarios'!$B$21)</f>
        <v>4.6383999999999999</v>
      </c>
      <c r="D35" s="40">
        <f>'Med Risk Scenarios'!$N$21+($A32-$A$2)*('Med Risk Scenarios'!$N$22-'Med Risk Scenarios'!$N$21)/('Med Risk Scenarios'!$B$22-'Med Risk Scenarios'!$B$21)</f>
        <v>0.72540000000000004</v>
      </c>
    </row>
    <row r="36" spans="1:4">
      <c r="A36" s="39" t="s">
        <v>109</v>
      </c>
      <c r="B36" s="41">
        <f>'Med Risk Scenarios'!$P$21+($A32-$A$2)*('Med Risk Scenarios'!$P$22-'Med Risk Scenarios'!$P$21)/('Med Risk Scenarios'!$B$22-'Med Risk Scenarios'!$B$21)</f>
        <v>6.6558000000000002</v>
      </c>
      <c r="C36" s="41">
        <f>'Med Risk Scenarios'!$Q$21+($A32-$A$2)*('Med Risk Scenarios'!$Q$22-'Med Risk Scenarios'!$Q$21)/('Med Risk Scenarios'!$B$22-'Med Risk Scenarios'!$B$21)</f>
        <v>4.6918000000000006</v>
      </c>
      <c r="D36" s="41">
        <f>'Med Risk Scenarios'!$R$21+($A32-$A$2)*('Med Risk Scenarios'!$R$22-'Med Risk Scenarios'!$R$21)/('Med Risk Scenarios'!$B$22-'Med Risk Scenarios'!$B$21)</f>
        <v>0.73380000000000001</v>
      </c>
    </row>
    <row r="37" spans="1:4">
      <c r="A37" s="37">
        <v>2027</v>
      </c>
      <c r="B37" s="3" t="s">
        <v>381</v>
      </c>
      <c r="C37" s="3" t="s">
        <v>382</v>
      </c>
      <c r="D37" s="3" t="s">
        <v>383</v>
      </c>
    </row>
    <row r="38" spans="1:4">
      <c r="A38" s="2" t="s">
        <v>103</v>
      </c>
      <c r="B38" s="40">
        <f>'Med Risk Scenarios'!$D$21+($A37-$A$2)*('Med Risk Scenarios'!$D$22-'Med Risk Scenarios'!$D$21)/('Med Risk Scenarios'!$B$22-'High Risk Scenarios'!$B$21)</f>
        <v>6.4734999999999996</v>
      </c>
      <c r="C38" s="40">
        <f>'Med Risk Scenarios'!$E$21+($A37-$A$2)*('Med Risk Scenarios'!$E$22-'Med Risk Scenarios'!$E$21)/('Med Risk Scenarios'!$B$22-'High Risk Scenarios'!$B$21)</f>
        <v>4.5633999999999997</v>
      </c>
      <c r="D38" s="40">
        <f>'Med Risk Scenarios'!$F$21+($A37-$A$2)*('Med Risk Scenarios'!$F$22-'Med Risk Scenarios'!$F$21)/('Med Risk Scenarios'!$B$22-'High Risk Scenarios'!$B$21)</f>
        <v>0.71340000000000003</v>
      </c>
    </row>
    <row r="39" spans="1:4">
      <c r="A39" s="2" t="s">
        <v>105</v>
      </c>
      <c r="B39" s="40">
        <f>'Med Risk Scenarios'!$H$21+($A37-$A$2)*('Med Risk Scenarios'!$H$22-'Med Risk Scenarios'!$H$21)/('Med Risk Scenarios'!$B$22-'Med Risk Scenarios'!$B$21)</f>
        <v>6.5350999999999999</v>
      </c>
      <c r="C39" s="40">
        <f>'Med Risk Scenarios'!$I$21+($A37-$A$2)*('Med Risk Scenarios'!$I$22-'Med Risk Scenarios'!$I$21)/('Med Risk Scenarios'!$B$22-'Med Risk Scenarios'!$B$21)</f>
        <v>4.6060999999999996</v>
      </c>
      <c r="D39" s="40">
        <f>'Med Risk Scenarios'!$J$21+($A37-$A$2)*('Med Risk Scenarios'!$J$22-'Med Risk Scenarios'!$J$21)/('Med Risk Scenarios'!$B$22-'Med Risk Scenarios'!$B$21)</f>
        <v>0.72040000000000004</v>
      </c>
    </row>
    <row r="40" spans="1:4">
      <c r="A40" s="38" t="s">
        <v>107</v>
      </c>
      <c r="B40" s="40">
        <f>'Med Risk Scenarios'!$L$21+($A37-$A$2)*('Med Risk Scenarios'!$L$22-'Med Risk Scenarios'!$L$21)/('Med Risk Scenarios'!$B$22-'Med Risk Scenarios'!$B$21)</f>
        <v>6.6743999999999994</v>
      </c>
      <c r="C40" s="40">
        <f>'Med Risk Scenarios'!$M$21+($A37-$A$2)*('Med Risk Scenarios'!$M$22-'Med Risk Scenarios'!$M$21)/('Med Risk Scenarios'!$B$22-'Med Risk Scenarios'!$B$21)</f>
        <v>4.7047999999999996</v>
      </c>
      <c r="D40" s="40">
        <f>'Med Risk Scenarios'!$N$21+($A37-$A$2)*('Med Risk Scenarios'!$N$22-'Med Risk Scenarios'!$N$21)/('Med Risk Scenarios'!$B$22-'Med Risk Scenarios'!$B$21)</f>
        <v>0.73580000000000001</v>
      </c>
    </row>
    <row r="41" spans="1:4">
      <c r="A41" s="39" t="s">
        <v>109</v>
      </c>
      <c r="B41" s="41">
        <f>'Med Risk Scenarios'!$P$21+($A37-$A$2)*('Med Risk Scenarios'!$P$22-'Med Risk Scenarios'!$P$21)/('Med Risk Scenarios'!$B$22-'Med Risk Scenarios'!$B$21)</f>
        <v>6.7625999999999999</v>
      </c>
      <c r="C41" s="41">
        <f>'Med Risk Scenarios'!$Q$21+($A37-$A$2)*('Med Risk Scenarios'!$Q$22-'Med Risk Scenarios'!$Q$21)/('Med Risk Scenarios'!$B$22-'Med Risk Scenarios'!$B$21)</f>
        <v>4.7671000000000001</v>
      </c>
      <c r="D41" s="41">
        <f>'Med Risk Scenarios'!$R$21+($A37-$A$2)*('Med Risk Scenarios'!$R$22-'Med Risk Scenarios'!$R$21)/('Med Risk Scenarios'!$B$22-'Med Risk Scenarios'!$B$21)</f>
        <v>0.74560000000000004</v>
      </c>
    </row>
    <row r="42" spans="1:4">
      <c r="A42" s="37">
        <v>2028</v>
      </c>
      <c r="B42" s="3" t="s">
        <v>381</v>
      </c>
      <c r="C42" s="3" t="s">
        <v>382</v>
      </c>
      <c r="D42" s="3" t="s">
        <v>383</v>
      </c>
    </row>
    <row r="43" spans="1:4">
      <c r="A43" s="2" t="s">
        <v>103</v>
      </c>
      <c r="B43" s="40">
        <f>'Med Risk Scenarios'!$D$21+($A42-$A$2)*('Med Risk Scenarios'!$D$22-'Med Risk Scenarios'!$D$21)/('Med Risk Scenarios'!$B$22-'High Risk Scenarios'!$B$21)</f>
        <v>6.5389999999999997</v>
      </c>
      <c r="C43" s="40">
        <f>'Med Risk Scenarios'!$E$21+($A42-$A$2)*('Med Risk Scenarios'!$E$22-'Med Risk Scenarios'!$E$21)/('Med Risk Scenarios'!$B$22-'High Risk Scenarios'!$B$21)</f>
        <v>4.6096000000000004</v>
      </c>
      <c r="D43" s="40">
        <f>'Med Risk Scenarios'!$F$21+($A42-$A$2)*('Med Risk Scenarios'!$F$22-'Med Risk Scenarios'!$F$21)/('Med Risk Scenarios'!$B$22-'High Risk Scenarios'!$B$21)</f>
        <v>0.72060000000000002</v>
      </c>
    </row>
    <row r="44" spans="1:4">
      <c r="A44" s="2" t="s">
        <v>105</v>
      </c>
      <c r="B44" s="40">
        <f>'Med Risk Scenarios'!$H$21+($A42-$A$2)*('Med Risk Scenarios'!$H$22-'Med Risk Scenarios'!$H$21)/('Med Risk Scenarios'!$B$22-'Med Risk Scenarios'!$B$21)</f>
        <v>6.6093999999999999</v>
      </c>
      <c r="C44" s="40">
        <f>'Med Risk Scenarios'!$I$21+($A42-$A$2)*('Med Risk Scenarios'!$I$22-'Med Risk Scenarios'!$I$21)/('Med Risk Scenarios'!$B$22-'Med Risk Scenarios'!$B$21)</f>
        <v>4.6584000000000003</v>
      </c>
      <c r="D44" s="40">
        <f>'Med Risk Scenarios'!$J$21+($A42-$A$2)*('Med Risk Scenarios'!$J$22-'Med Risk Scenarios'!$J$21)/('Med Risk Scenarios'!$B$22-'Med Risk Scenarios'!$B$21)</f>
        <v>0.72860000000000003</v>
      </c>
    </row>
    <row r="45" spans="1:4">
      <c r="A45" s="38" t="s">
        <v>107</v>
      </c>
      <c r="B45" s="40">
        <f>'Med Risk Scenarios'!$L$21+($A42-$A$2)*('Med Risk Scenarios'!$L$22-'Med Risk Scenarios'!$L$21)/('Med Risk Scenarios'!$B$22-'Med Risk Scenarios'!$B$21)</f>
        <v>6.7686000000000002</v>
      </c>
      <c r="C45" s="40">
        <f>'Med Risk Scenarios'!$M$21+($A42-$A$2)*('Med Risk Scenarios'!$M$22-'Med Risk Scenarios'!$M$21)/('Med Risk Scenarios'!$B$22-'Med Risk Scenarios'!$B$21)</f>
        <v>4.7712000000000003</v>
      </c>
      <c r="D45" s="40">
        <f>'Med Risk Scenarios'!$N$21+($A42-$A$2)*('Med Risk Scenarios'!$N$22-'Med Risk Scenarios'!$N$21)/('Med Risk Scenarios'!$B$22-'Med Risk Scenarios'!$B$21)</f>
        <v>0.74619999999999997</v>
      </c>
    </row>
    <row r="46" spans="1:4">
      <c r="A46" s="39" t="s">
        <v>109</v>
      </c>
      <c r="B46" s="41">
        <f>'Med Risk Scenarios'!$P$21+($A42-$A$2)*('Med Risk Scenarios'!$P$22-'Med Risk Scenarios'!$P$21)/('Med Risk Scenarios'!$B$22-'Med Risk Scenarios'!$B$21)</f>
        <v>6.8693999999999997</v>
      </c>
      <c r="C46" s="41">
        <f>'Med Risk Scenarios'!$Q$21+($A42-$A$2)*('Med Risk Scenarios'!$Q$22-'Med Risk Scenarios'!$Q$21)/('Med Risk Scenarios'!$B$22-'Med Risk Scenarios'!$B$21)</f>
        <v>4.8424000000000005</v>
      </c>
      <c r="D46" s="41">
        <f>'Med Risk Scenarios'!$R$21+($A42-$A$2)*('Med Risk Scenarios'!$R$22-'Med Risk Scenarios'!$R$21)/('Med Risk Scenarios'!$B$22-'Med Risk Scenarios'!$B$21)</f>
        <v>0.75740000000000007</v>
      </c>
    </row>
    <row r="47" spans="1:4">
      <c r="A47" s="37">
        <v>2029</v>
      </c>
      <c r="B47" s="3" t="s">
        <v>381</v>
      </c>
      <c r="C47" s="3" t="s">
        <v>382</v>
      </c>
      <c r="D47" s="3" t="s">
        <v>383</v>
      </c>
    </row>
    <row r="48" spans="1:4">
      <c r="A48" s="2" t="s">
        <v>103</v>
      </c>
      <c r="B48" s="40">
        <f>'Med Risk Scenarios'!$D$21+($A47-$A$2)*('Med Risk Scenarios'!$D$22-'Med Risk Scenarios'!$D$21)/('Med Risk Scenarios'!$B$22-'High Risk Scenarios'!$B$21)</f>
        <v>6.6044999999999998</v>
      </c>
      <c r="C48" s="40">
        <f>'Med Risk Scenarios'!$E$21+($A47-$A$2)*('Med Risk Scenarios'!$E$22-'Med Risk Scenarios'!$E$21)/('Med Risk Scenarios'!$B$22-'High Risk Scenarios'!$B$21)</f>
        <v>4.6558000000000002</v>
      </c>
      <c r="D48" s="40">
        <f>'Med Risk Scenarios'!$F$21+($A47-$A$2)*('Med Risk Scenarios'!$F$22-'Med Risk Scenarios'!$F$21)/('Med Risk Scenarios'!$B$22-'High Risk Scenarios'!$B$21)</f>
        <v>0.7278</v>
      </c>
    </row>
    <row r="49" spans="1:4">
      <c r="A49" s="2" t="s">
        <v>105</v>
      </c>
      <c r="B49" s="40">
        <f>'Med Risk Scenarios'!$H$21+($A47-$A$2)*('Med Risk Scenarios'!$H$22-'Med Risk Scenarios'!$H$21)/('Med Risk Scenarios'!$B$22-'Med Risk Scenarios'!$B$21)</f>
        <v>6.6837</v>
      </c>
      <c r="C49" s="40">
        <f>'Med Risk Scenarios'!$I$21+($A47-$A$2)*('Med Risk Scenarios'!$I$22-'Med Risk Scenarios'!$I$21)/('Med Risk Scenarios'!$B$22-'Med Risk Scenarios'!$B$21)</f>
        <v>4.7107000000000001</v>
      </c>
      <c r="D49" s="40">
        <f>'Med Risk Scenarios'!$J$21+($A47-$A$2)*('Med Risk Scenarios'!$J$22-'Med Risk Scenarios'!$J$21)/('Med Risk Scenarios'!$B$22-'Med Risk Scenarios'!$B$21)</f>
        <v>0.73680000000000001</v>
      </c>
    </row>
    <row r="50" spans="1:4">
      <c r="A50" s="38" t="s">
        <v>107</v>
      </c>
      <c r="B50" s="40">
        <f>'Med Risk Scenarios'!$L$21+($A47-$A$2)*('Med Risk Scenarios'!$L$22-'Med Risk Scenarios'!$L$21)/('Med Risk Scenarios'!$B$22-'Med Risk Scenarios'!$B$21)</f>
        <v>6.8628</v>
      </c>
      <c r="C50" s="40">
        <f>'Med Risk Scenarios'!$M$21+($A47-$A$2)*('Med Risk Scenarios'!$M$22-'Med Risk Scenarios'!$M$21)/('Med Risk Scenarios'!$B$22-'Med Risk Scenarios'!$B$21)</f>
        <v>4.8376000000000001</v>
      </c>
      <c r="D50" s="40">
        <f>'Med Risk Scenarios'!$N$21+($A47-$A$2)*('Med Risk Scenarios'!$N$22-'Med Risk Scenarios'!$N$21)/('Med Risk Scenarios'!$B$22-'Med Risk Scenarios'!$B$21)</f>
        <v>0.75660000000000005</v>
      </c>
    </row>
    <row r="51" spans="1:4">
      <c r="A51" s="39" t="s">
        <v>109</v>
      </c>
      <c r="B51" s="41">
        <f>'Med Risk Scenarios'!$P$21+($A47-$A$2)*('Med Risk Scenarios'!$P$22-'Med Risk Scenarios'!$P$21)/('Med Risk Scenarios'!$B$22-'Med Risk Scenarios'!$B$21)</f>
        <v>6.9762000000000004</v>
      </c>
      <c r="C51" s="41">
        <f>'Med Risk Scenarios'!$Q$21+($A47-$A$2)*('Med Risk Scenarios'!$Q$22-'Med Risk Scenarios'!$Q$21)/('Med Risk Scenarios'!$B$22-'Med Risk Scenarios'!$B$21)</f>
        <v>4.9177</v>
      </c>
      <c r="D51" s="41">
        <f>'Med Risk Scenarios'!$R$21+($A47-$A$2)*('Med Risk Scenarios'!$R$22-'Med Risk Scenarios'!$R$21)/('Med Risk Scenarios'!$B$22-'Med Risk Scenarios'!$B$21)</f>
        <v>0.76919999999999999</v>
      </c>
    </row>
    <row r="52" spans="1:4">
      <c r="A52" s="37">
        <v>2030</v>
      </c>
      <c r="B52" s="3" t="s">
        <v>381</v>
      </c>
      <c r="C52" s="3" t="s">
        <v>382</v>
      </c>
      <c r="D52" s="3" t="s">
        <v>383</v>
      </c>
    </row>
    <row r="53" spans="1:4">
      <c r="A53" s="2" t="s">
        <v>103</v>
      </c>
      <c r="B53" s="40">
        <f>'Med Risk Scenarios'!$D$21+($A52-$A$2)*('Med Risk Scenarios'!$D$22-'Med Risk Scenarios'!$D$21)/('Med Risk Scenarios'!$B$22-'High Risk Scenarios'!$B$21)</f>
        <v>6.67</v>
      </c>
      <c r="C53" s="40">
        <f>'Med Risk Scenarios'!$E$21+($A52-$A$2)*('Med Risk Scenarios'!$E$22-'Med Risk Scenarios'!$E$21)/('Med Risk Scenarios'!$B$22-'High Risk Scenarios'!$B$21)</f>
        <v>4.702</v>
      </c>
      <c r="D53" s="40">
        <f>'Med Risk Scenarios'!$F$21+($A52-$A$2)*('Med Risk Scenarios'!$F$22-'Med Risk Scenarios'!$F$21)/('Med Risk Scenarios'!$B$22-'High Risk Scenarios'!$B$21)</f>
        <v>0.73499999999999999</v>
      </c>
    </row>
    <row r="54" spans="1:4">
      <c r="A54" s="2" t="s">
        <v>105</v>
      </c>
      <c r="B54" s="40">
        <f>'Med Risk Scenarios'!$H$21+($A52-$A$2)*('Med Risk Scenarios'!$H$22-'Med Risk Scenarios'!$H$21)/('Med Risk Scenarios'!$B$22-'Med Risk Scenarios'!$B$21)</f>
        <v>6.758</v>
      </c>
      <c r="C54" s="40">
        <f>'Med Risk Scenarios'!$I$21+($A52-$A$2)*('Med Risk Scenarios'!$I$22-'Med Risk Scenarios'!$I$21)/('Med Risk Scenarios'!$B$22-'Med Risk Scenarios'!$B$21)</f>
        <v>4.7629999999999999</v>
      </c>
      <c r="D54" s="40">
        <f>'Med Risk Scenarios'!$J$21+($A52-$A$2)*('Med Risk Scenarios'!$J$22-'Med Risk Scenarios'!$J$21)/('Med Risk Scenarios'!$B$22-'Med Risk Scenarios'!$B$21)</f>
        <v>0.745</v>
      </c>
    </row>
    <row r="55" spans="1:4">
      <c r="A55" s="38" t="s">
        <v>107</v>
      </c>
      <c r="B55" s="40">
        <f>'Med Risk Scenarios'!$L$21+($A52-$A$2)*('Med Risk Scenarios'!$L$22-'Med Risk Scenarios'!$L$21)/('Med Risk Scenarios'!$B$22-'Med Risk Scenarios'!$B$21)</f>
        <v>6.9569999999999999</v>
      </c>
      <c r="C55" s="40">
        <f>'Med Risk Scenarios'!$M$21+($A52-$A$2)*('Med Risk Scenarios'!$M$22-'Med Risk Scenarios'!$M$21)/('Med Risk Scenarios'!$B$22-'Med Risk Scenarios'!$B$21)</f>
        <v>4.9039999999999999</v>
      </c>
      <c r="D55" s="40">
        <f>'Med Risk Scenarios'!$N$21+($A52-$A$2)*('Med Risk Scenarios'!$N$22-'Med Risk Scenarios'!$N$21)/('Med Risk Scenarios'!$B$22-'Med Risk Scenarios'!$B$21)</f>
        <v>0.76700000000000002</v>
      </c>
    </row>
    <row r="56" spans="1:4">
      <c r="A56" s="39" t="s">
        <v>109</v>
      </c>
      <c r="B56" s="41">
        <f>'Med Risk Scenarios'!$P$21+($A52-$A$2)*('Med Risk Scenarios'!$P$22-'Med Risk Scenarios'!$P$21)/('Med Risk Scenarios'!$B$22-'Med Risk Scenarios'!$B$21)</f>
        <v>7.0830000000000002</v>
      </c>
      <c r="C56" s="41">
        <f>'Med Risk Scenarios'!$Q$21+($A52-$A$2)*('Med Risk Scenarios'!$Q$22-'Med Risk Scenarios'!$Q$21)/('Med Risk Scenarios'!$B$22-'Med Risk Scenarios'!$B$21)</f>
        <v>4.9930000000000003</v>
      </c>
      <c r="D56" s="41">
        <f>'Med Risk Scenarios'!$R$21+($A52-$A$2)*('Med Risk Scenarios'!$R$22-'Med Risk Scenarios'!$R$21)/('Med Risk Scenarios'!$B$22-'Med Risk Scenarios'!$B$21)</f>
        <v>0.78100000000000003</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911901-6E6D-455D-BEBF-34A58822D584}">
  <sheetPr>
    <tabColor theme="5" tint="0.79998168889431442"/>
  </sheetPr>
  <dimension ref="B2:AD63"/>
  <sheetViews>
    <sheetView topLeftCell="A13" workbookViewId="0">
      <selection activeCell="D23" sqref="D23"/>
    </sheetView>
  </sheetViews>
  <sheetFormatPr defaultColWidth="8.7109375" defaultRowHeight="15"/>
  <sheetData>
    <row r="2" spans="2:27">
      <c r="B2" s="4"/>
      <c r="C2" s="4"/>
      <c r="D2" s="4"/>
      <c r="E2" s="4" t="s">
        <v>0</v>
      </c>
      <c r="F2" s="4"/>
      <c r="G2" s="4"/>
      <c r="H2" s="4"/>
      <c r="I2" s="4"/>
      <c r="J2" s="4"/>
      <c r="K2" s="4"/>
      <c r="L2" s="4"/>
      <c r="M2" s="4"/>
      <c r="N2" s="4"/>
      <c r="O2" s="4"/>
      <c r="P2" s="4"/>
      <c r="Q2" s="4"/>
      <c r="R2" s="4"/>
      <c r="S2" s="4"/>
      <c r="T2" s="4"/>
      <c r="U2" s="4"/>
      <c r="V2" s="4"/>
      <c r="W2" s="4"/>
      <c r="X2" s="4"/>
      <c r="Y2" s="4"/>
      <c r="Z2" s="4"/>
      <c r="AA2" s="4"/>
    </row>
    <row r="3" spans="2:27">
      <c r="B3" s="4"/>
      <c r="C3" s="4"/>
      <c r="D3" s="4"/>
      <c r="E3" s="4"/>
      <c r="F3" s="4"/>
      <c r="G3" s="4"/>
      <c r="H3" s="4"/>
      <c r="I3" s="4"/>
      <c r="J3" s="4"/>
      <c r="K3" s="4"/>
      <c r="L3" s="4"/>
      <c r="M3" s="4"/>
      <c r="N3" s="4"/>
      <c r="O3" s="4"/>
      <c r="P3" s="4"/>
      <c r="Q3" s="4"/>
      <c r="R3" s="4"/>
      <c r="S3" s="4"/>
      <c r="T3" s="4"/>
      <c r="U3" s="4"/>
      <c r="V3" s="4"/>
      <c r="W3" s="4"/>
      <c r="X3" s="4"/>
      <c r="Y3" s="4"/>
      <c r="Z3" s="4"/>
      <c r="AA3" s="4"/>
    </row>
    <row r="4" spans="2:27">
      <c r="B4" s="4"/>
      <c r="C4" s="4"/>
      <c r="D4" s="4"/>
      <c r="E4" s="4"/>
      <c r="F4" s="4"/>
      <c r="G4" s="4"/>
      <c r="H4" s="4"/>
      <c r="I4" s="4"/>
      <c r="J4" s="4"/>
      <c r="K4" s="4"/>
      <c r="L4" s="4"/>
      <c r="M4" s="4"/>
      <c r="N4" s="4"/>
      <c r="O4" s="4"/>
      <c r="P4" s="4"/>
      <c r="Q4" s="4"/>
      <c r="R4" s="4"/>
      <c r="S4" s="4"/>
      <c r="T4" s="4"/>
      <c r="U4" s="4"/>
      <c r="V4" s="4"/>
      <c r="W4" s="4"/>
      <c r="X4" s="4"/>
      <c r="Y4" s="4"/>
      <c r="Z4" s="4"/>
      <c r="AA4" s="4"/>
    </row>
    <row r="5" spans="2:27">
      <c r="B5" s="4"/>
      <c r="C5" s="4"/>
      <c r="D5" s="4"/>
      <c r="E5" s="4"/>
      <c r="F5" s="4"/>
      <c r="G5" s="4"/>
      <c r="H5" s="4"/>
      <c r="I5" s="4"/>
      <c r="J5" s="4"/>
      <c r="K5" s="4"/>
      <c r="L5" s="4"/>
      <c r="M5" s="4"/>
      <c r="N5" s="4"/>
      <c r="O5" s="4"/>
      <c r="P5" s="4"/>
      <c r="Q5" s="4"/>
      <c r="R5" s="4"/>
      <c r="S5" s="4"/>
      <c r="T5" s="4"/>
      <c r="U5" s="4"/>
      <c r="V5" s="4"/>
      <c r="W5" s="4"/>
      <c r="X5" s="4"/>
      <c r="Y5" s="4"/>
      <c r="Z5" s="4"/>
      <c r="AA5" s="4"/>
    </row>
    <row r="6" spans="2:27" ht="18.75">
      <c r="B6" s="6" t="s">
        <v>162</v>
      </c>
      <c r="C6" s="6"/>
      <c r="D6" s="6"/>
      <c r="E6" s="6"/>
      <c r="F6" s="6"/>
      <c r="G6" s="6"/>
      <c r="H6" s="6"/>
      <c r="I6" s="6"/>
      <c r="J6" s="6"/>
      <c r="K6" s="6"/>
      <c r="L6" s="6"/>
      <c r="M6" s="6"/>
      <c r="N6" s="6"/>
      <c r="O6" s="6"/>
      <c r="P6" s="6"/>
      <c r="Q6" s="6"/>
      <c r="R6" s="6"/>
      <c r="S6" s="6"/>
      <c r="T6" s="6"/>
      <c r="U6" s="6"/>
      <c r="V6" s="6"/>
      <c r="W6" s="6"/>
      <c r="X6" s="6"/>
      <c r="Y6" s="4"/>
      <c r="Z6" s="7"/>
      <c r="AA6" s="8" t="s">
        <v>163</v>
      </c>
    </row>
    <row r="7" spans="2:27">
      <c r="B7" s="9" t="s">
        <v>164</v>
      </c>
      <c r="C7" s="9"/>
      <c r="D7" s="9"/>
      <c r="E7" s="9"/>
      <c r="F7" s="9"/>
      <c r="G7" s="9"/>
      <c r="H7" s="9"/>
      <c r="I7" s="9"/>
      <c r="J7" s="9"/>
      <c r="K7" s="9"/>
      <c r="L7" s="9"/>
      <c r="M7" s="9"/>
      <c r="N7" s="9"/>
      <c r="O7" s="9"/>
      <c r="P7" s="9"/>
      <c r="Q7" s="9"/>
      <c r="R7" s="9"/>
      <c r="S7" s="9"/>
      <c r="T7" s="9"/>
      <c r="U7" s="9"/>
      <c r="V7" s="9"/>
      <c r="W7" s="9"/>
      <c r="X7" s="9"/>
      <c r="Y7" s="4"/>
      <c r="Z7" s="7"/>
      <c r="AA7" s="10" t="s">
        <v>165</v>
      </c>
    </row>
    <row r="8" spans="2:27">
      <c r="B8" s="9" t="s">
        <v>166</v>
      </c>
      <c r="C8" s="9"/>
      <c r="D8" s="9"/>
      <c r="E8" s="9"/>
      <c r="F8" s="9"/>
      <c r="G8" s="9"/>
      <c r="H8" s="9"/>
      <c r="I8" s="9"/>
      <c r="J8" s="9"/>
      <c r="K8" s="9"/>
      <c r="L8" s="9"/>
      <c r="M8" s="9"/>
      <c r="N8" s="9"/>
      <c r="O8" s="9"/>
      <c r="P8" s="9"/>
      <c r="Q8" s="9"/>
      <c r="R8" s="9"/>
      <c r="S8" s="9"/>
      <c r="T8" s="9"/>
      <c r="U8" s="9"/>
      <c r="V8" s="9"/>
      <c r="W8" s="9"/>
      <c r="X8" s="9"/>
      <c r="Y8" s="4"/>
      <c r="Z8" s="7"/>
      <c r="AA8" s="10" t="s">
        <v>167</v>
      </c>
    </row>
    <row r="9" spans="2:27">
      <c r="B9" s="11"/>
      <c r="C9" s="11"/>
      <c r="D9" s="11"/>
      <c r="E9" s="11"/>
      <c r="F9" s="4"/>
      <c r="G9" s="4"/>
      <c r="H9" s="4"/>
      <c r="I9" s="4"/>
      <c r="J9" s="4"/>
      <c r="K9" s="4"/>
      <c r="L9" s="4"/>
      <c r="M9" s="4"/>
      <c r="N9" s="4"/>
      <c r="O9" s="4"/>
      <c r="P9" s="4"/>
      <c r="Q9" s="4"/>
      <c r="R9" s="4"/>
      <c r="S9" s="4"/>
      <c r="T9" s="4"/>
      <c r="U9" s="4"/>
      <c r="V9" s="4"/>
      <c r="W9" s="4"/>
      <c r="X9" s="4"/>
      <c r="Y9" s="4"/>
      <c r="Z9" s="7"/>
      <c r="AA9" s="10" t="s">
        <v>384</v>
      </c>
    </row>
    <row r="10" spans="2:27">
      <c r="B10" s="12" t="s">
        <v>169</v>
      </c>
      <c r="C10" s="13"/>
      <c r="D10" s="13"/>
      <c r="E10" s="14"/>
      <c r="F10" s="4"/>
      <c r="G10" s="4"/>
      <c r="H10" s="4"/>
      <c r="I10" s="4"/>
      <c r="J10" s="4"/>
      <c r="K10" s="4"/>
      <c r="L10" s="4"/>
      <c r="M10" s="4"/>
      <c r="N10" s="4"/>
      <c r="O10" s="4"/>
      <c r="P10" s="4"/>
      <c r="Q10" s="4"/>
      <c r="R10" s="9"/>
      <c r="S10" s="9"/>
      <c r="T10" s="9"/>
      <c r="U10" s="9"/>
      <c r="V10" s="9"/>
      <c r="W10" s="9"/>
      <c r="X10" s="9"/>
      <c r="Y10" s="4"/>
      <c r="Z10" s="7"/>
      <c r="AA10" s="15" t="s">
        <v>170</v>
      </c>
    </row>
    <row r="11" spans="2:27">
      <c r="B11" s="16" t="s">
        <v>171</v>
      </c>
      <c r="C11" s="13"/>
      <c r="D11" s="13"/>
      <c r="E11" s="14"/>
      <c r="F11" s="4"/>
      <c r="G11" s="4"/>
      <c r="H11" s="4"/>
      <c r="I11" s="4"/>
      <c r="J11" s="4"/>
      <c r="K11" s="4"/>
      <c r="L11" s="4"/>
      <c r="M11" s="4"/>
      <c r="N11" s="4"/>
      <c r="O11" s="4"/>
      <c r="P11" s="4"/>
      <c r="Q11" s="4"/>
      <c r="R11" s="4"/>
      <c r="S11" s="17"/>
      <c r="T11" s="17"/>
      <c r="U11" s="17"/>
      <c r="V11" s="17"/>
      <c r="W11" s="17"/>
      <c r="X11" s="17"/>
      <c r="Y11" s="4"/>
      <c r="Z11" s="7"/>
      <c r="AA11" s="15" t="s">
        <v>172</v>
      </c>
    </row>
    <row r="12" spans="2:27">
      <c r="B12" s="16" t="s">
        <v>173</v>
      </c>
      <c r="C12" s="13"/>
      <c r="D12" s="13"/>
      <c r="E12" s="14"/>
      <c r="F12" s="4"/>
      <c r="G12" s="4"/>
      <c r="H12" s="4"/>
      <c r="I12" s="4"/>
      <c r="J12" s="4"/>
      <c r="K12" s="4"/>
      <c r="L12" s="4"/>
      <c r="M12" s="4"/>
      <c r="N12" s="4"/>
      <c r="O12" s="4"/>
      <c r="P12" s="4"/>
      <c r="Q12" s="4"/>
      <c r="R12" s="5"/>
      <c r="S12" s="18"/>
      <c r="T12" s="18"/>
      <c r="U12" s="18"/>
      <c r="V12" s="18"/>
      <c r="W12" s="18"/>
      <c r="X12" s="19"/>
      <c r="Y12" s="4"/>
      <c r="Z12" s="7"/>
      <c r="AA12" s="15" t="s">
        <v>174</v>
      </c>
    </row>
    <row r="13" spans="2:27">
      <c r="B13" s="20" t="s">
        <v>175</v>
      </c>
      <c r="C13" s="13"/>
      <c r="D13" s="21">
        <f>'Frequency 2020 Values'!B9</f>
        <v>16.197801999999999</v>
      </c>
      <c r="E13" s="14"/>
      <c r="F13" s="4"/>
      <c r="G13" s="4"/>
      <c r="H13" s="4"/>
      <c r="I13" s="4"/>
      <c r="J13" s="4"/>
      <c r="K13" s="4"/>
      <c r="L13" s="4"/>
      <c r="M13" s="4"/>
      <c r="N13" s="4"/>
      <c r="O13" s="4"/>
      <c r="P13" s="4"/>
      <c r="Q13" s="4"/>
      <c r="R13" s="5"/>
      <c r="S13" s="18"/>
      <c r="T13" s="18" t="s">
        <v>176</v>
      </c>
      <c r="U13" s="18"/>
      <c r="V13" s="18"/>
      <c r="W13" s="18"/>
      <c r="X13" s="19"/>
      <c r="Y13" s="4"/>
      <c r="Z13" s="7"/>
      <c r="AA13" s="7"/>
    </row>
    <row r="14" spans="2:27">
      <c r="B14" s="20" t="s">
        <v>177</v>
      </c>
      <c r="C14" s="13"/>
      <c r="D14" s="21">
        <f>'Frequency 2020 Values'!C9</f>
        <v>5.6345573</v>
      </c>
      <c r="E14" s="14"/>
      <c r="F14" s="4"/>
      <c r="G14" s="4"/>
      <c r="H14" s="4"/>
      <c r="I14" s="4"/>
      <c r="J14" s="4"/>
      <c r="K14" s="4"/>
      <c r="L14" s="4"/>
      <c r="M14" s="4"/>
      <c r="N14" s="4"/>
      <c r="O14" s="4"/>
      <c r="P14" s="4"/>
      <c r="Q14" s="4"/>
      <c r="R14" s="5"/>
      <c r="S14" s="18"/>
      <c r="T14" s="18" t="s">
        <v>178</v>
      </c>
      <c r="U14" s="18"/>
      <c r="V14" s="18"/>
      <c r="W14" s="18"/>
      <c r="X14" s="19"/>
      <c r="Y14" s="4"/>
      <c r="Z14" s="7"/>
      <c r="AA14" s="10" t="s">
        <v>179</v>
      </c>
    </row>
    <row r="15" spans="2:27">
      <c r="B15" s="20" t="s">
        <v>180</v>
      </c>
      <c r="C15" s="13"/>
      <c r="D15" s="12">
        <f>'Frequency 2020 Values'!D9</f>
        <v>1.1277885622999999</v>
      </c>
      <c r="E15" s="14"/>
      <c r="F15" s="4"/>
      <c r="G15" s="4"/>
      <c r="H15" s="4"/>
      <c r="I15" s="4"/>
      <c r="J15" s="4"/>
      <c r="K15" s="4"/>
      <c r="L15" s="4"/>
      <c r="M15" s="4"/>
      <c r="N15" s="4"/>
      <c r="O15" s="4"/>
      <c r="P15" s="4"/>
      <c r="Q15" s="4"/>
      <c r="R15" s="5"/>
      <c r="S15" s="18"/>
      <c r="T15" s="18" t="s">
        <v>181</v>
      </c>
      <c r="U15" s="18"/>
      <c r="V15" s="18"/>
      <c r="W15" s="18"/>
      <c r="X15" s="19"/>
      <c r="Y15" s="4"/>
      <c r="Z15" s="7"/>
      <c r="AA15" s="10" t="s">
        <v>182</v>
      </c>
    </row>
    <row r="16" spans="2:27">
      <c r="B16" s="22"/>
      <c r="C16" s="22"/>
      <c r="D16" s="22"/>
      <c r="E16" s="23"/>
      <c r="F16" s="4"/>
      <c r="G16" s="4"/>
      <c r="H16" s="4"/>
      <c r="I16" s="4"/>
      <c r="J16" s="4"/>
      <c r="K16" s="4"/>
      <c r="L16" s="4"/>
      <c r="M16" s="4"/>
      <c r="N16" s="4"/>
      <c r="O16" s="4"/>
      <c r="P16" s="4"/>
      <c r="Q16" s="4"/>
      <c r="R16" s="5"/>
      <c r="S16" s="18"/>
      <c r="T16" s="18" t="s">
        <v>183</v>
      </c>
      <c r="U16" s="18"/>
      <c r="V16" s="18"/>
      <c r="W16" s="18"/>
      <c r="X16" s="19"/>
      <c r="Y16" s="4"/>
      <c r="Z16" s="7"/>
      <c r="AA16" s="7"/>
    </row>
    <row r="17" spans="2:30">
      <c r="B17" s="4"/>
      <c r="C17" s="4"/>
      <c r="D17" s="4"/>
      <c r="E17" s="4"/>
      <c r="F17" s="4"/>
      <c r="G17" s="4"/>
      <c r="H17" s="4"/>
      <c r="I17" s="4"/>
      <c r="J17" s="4"/>
      <c r="K17" s="4"/>
      <c r="L17" s="4"/>
      <c r="M17" s="4"/>
      <c r="N17" s="4"/>
      <c r="O17" s="4"/>
      <c r="P17" s="4"/>
      <c r="Q17" s="4"/>
      <c r="R17" s="5"/>
      <c r="S17" s="18"/>
      <c r="T17" s="18"/>
      <c r="U17" s="18"/>
      <c r="V17" s="18"/>
      <c r="W17" s="18"/>
      <c r="X17" s="19"/>
      <c r="Y17" s="4"/>
      <c r="Z17" s="7"/>
      <c r="AA17" s="10" t="s">
        <v>184</v>
      </c>
      <c r="AB17" s="10"/>
      <c r="AC17" s="10"/>
      <c r="AD17" s="10"/>
    </row>
    <row r="18" spans="2:30">
      <c r="B18" s="24"/>
      <c r="C18" s="24"/>
      <c r="D18" s="646" t="s">
        <v>185</v>
      </c>
      <c r="E18" s="647"/>
      <c r="F18" s="648"/>
      <c r="G18" s="25"/>
      <c r="H18" s="646" t="s">
        <v>104</v>
      </c>
      <c r="I18" s="647"/>
      <c r="J18" s="648"/>
      <c r="K18" s="25"/>
      <c r="L18" s="646" t="s">
        <v>106</v>
      </c>
      <c r="M18" s="647"/>
      <c r="N18" s="648"/>
      <c r="O18" s="24"/>
      <c r="P18" s="646" t="s">
        <v>108</v>
      </c>
      <c r="Q18" s="647"/>
      <c r="R18" s="648"/>
      <c r="S18" s="18"/>
      <c r="T18" s="24"/>
      <c r="U18" s="24"/>
      <c r="V18" s="24"/>
      <c r="W18" s="24"/>
      <c r="X18" s="19"/>
      <c r="Y18" s="4"/>
      <c r="Z18" s="7"/>
      <c r="AA18" s="10" t="s">
        <v>186</v>
      </c>
      <c r="AB18" s="10"/>
      <c r="AC18" s="10"/>
      <c r="AD18" s="10"/>
    </row>
    <row r="19" spans="2:30">
      <c r="B19" s="24"/>
      <c r="C19" s="24"/>
      <c r="D19" s="646" t="s">
        <v>103</v>
      </c>
      <c r="E19" s="647"/>
      <c r="F19" s="648"/>
      <c r="G19" s="25"/>
      <c r="H19" s="646" t="s">
        <v>105</v>
      </c>
      <c r="I19" s="647"/>
      <c r="J19" s="648"/>
      <c r="K19" s="25"/>
      <c r="L19" s="646" t="s">
        <v>107</v>
      </c>
      <c r="M19" s="647"/>
      <c r="N19" s="648"/>
      <c r="O19" s="24"/>
      <c r="P19" s="646" t="s">
        <v>109</v>
      </c>
      <c r="Q19" s="647"/>
      <c r="R19" s="648"/>
      <c r="S19" s="18"/>
      <c r="T19" s="631" t="s">
        <v>187</v>
      </c>
      <c r="U19" s="632"/>
      <c r="V19" s="632"/>
      <c r="W19" s="633"/>
      <c r="X19" s="19"/>
      <c r="Y19" s="4"/>
      <c r="Z19" s="7"/>
      <c r="AA19" s="10" t="s">
        <v>188</v>
      </c>
      <c r="AB19" s="10"/>
      <c r="AC19" s="10"/>
      <c r="AD19" s="10"/>
    </row>
    <row r="20" spans="2:30">
      <c r="B20" s="25" t="s">
        <v>87</v>
      </c>
      <c r="C20" s="24"/>
      <c r="D20" s="25" t="s">
        <v>175</v>
      </c>
      <c r="E20" s="25" t="s">
        <v>177</v>
      </c>
      <c r="F20" s="25" t="s">
        <v>180</v>
      </c>
      <c r="G20" s="25"/>
      <c r="H20" s="25" t="s">
        <v>175</v>
      </c>
      <c r="I20" s="25" t="s">
        <v>177</v>
      </c>
      <c r="J20" s="25" t="s">
        <v>180</v>
      </c>
      <c r="K20" s="25"/>
      <c r="L20" s="25" t="s">
        <v>175</v>
      </c>
      <c r="M20" s="25" t="s">
        <v>177</v>
      </c>
      <c r="N20" s="25" t="s">
        <v>180</v>
      </c>
      <c r="O20" s="25"/>
      <c r="P20" s="25" t="s">
        <v>175</v>
      </c>
      <c r="Q20" s="25" t="s">
        <v>177</v>
      </c>
      <c r="R20" s="26" t="s">
        <v>180</v>
      </c>
      <c r="S20" s="18"/>
      <c r="T20" s="25" t="s">
        <v>185</v>
      </c>
      <c r="U20" s="25" t="s">
        <v>104</v>
      </c>
      <c r="V20" s="25" t="s">
        <v>106</v>
      </c>
      <c r="W20" s="25" t="s">
        <v>108</v>
      </c>
      <c r="X20" s="19"/>
      <c r="Y20" s="4"/>
      <c r="Z20" s="7"/>
      <c r="AA20" s="10" t="s">
        <v>385</v>
      </c>
      <c r="AB20" s="10"/>
      <c r="AC20" s="10"/>
      <c r="AD20" s="10"/>
    </row>
    <row r="21" spans="2:30">
      <c r="B21" s="9">
        <v>2020</v>
      </c>
      <c r="C21" s="4"/>
      <c r="D21" s="33">
        <f>ROUND($D$13,3)</f>
        <v>16.198</v>
      </c>
      <c r="E21" s="34">
        <f>ROUND($D$14,3)</f>
        <v>5.6349999999999998</v>
      </c>
      <c r="F21" s="35">
        <f>ROUND($D$15,3)</f>
        <v>1.1279999999999999</v>
      </c>
      <c r="G21" s="9"/>
      <c r="H21" s="33">
        <f>ROUND($D$13,3)</f>
        <v>16.198</v>
      </c>
      <c r="I21" s="34">
        <f>ROUND($D$14,3)</f>
        <v>5.6349999999999998</v>
      </c>
      <c r="J21" s="35">
        <f>ROUND($D$15,3)</f>
        <v>1.1279999999999999</v>
      </c>
      <c r="K21" s="9"/>
      <c r="L21" s="33">
        <f>ROUND($D$13,3)</f>
        <v>16.198</v>
      </c>
      <c r="M21" s="34">
        <f>ROUND($D$14,3)</f>
        <v>5.6349999999999998</v>
      </c>
      <c r="N21" s="35">
        <f>ROUND($D$15,3)</f>
        <v>1.1279999999999999</v>
      </c>
      <c r="O21" s="9"/>
      <c r="P21" s="33">
        <f>ROUND($D$13,3)</f>
        <v>16.198</v>
      </c>
      <c r="Q21" s="34">
        <f>ROUND($D$14,3)</f>
        <v>5.6349999999999998</v>
      </c>
      <c r="R21" s="35">
        <f>ROUND($D$15,3)</f>
        <v>1.1279999999999999</v>
      </c>
      <c r="S21" s="18"/>
      <c r="T21" s="28">
        <v>1</v>
      </c>
      <c r="U21" s="28">
        <v>1</v>
      </c>
      <c r="V21" s="28">
        <v>1</v>
      </c>
      <c r="W21" s="28">
        <v>1</v>
      </c>
      <c r="X21" s="19"/>
      <c r="Y21" s="4"/>
      <c r="Z21" s="7"/>
      <c r="AA21" s="10" t="s">
        <v>190</v>
      </c>
      <c r="AB21" s="10"/>
      <c r="AC21" s="10"/>
      <c r="AD21" s="10"/>
    </row>
    <row r="22" spans="2:30">
      <c r="B22" s="10">
        <v>2030</v>
      </c>
      <c r="C22" s="7"/>
      <c r="D22" s="36">
        <f>ROUND(D$21*$T22,3)</f>
        <v>17.962</v>
      </c>
      <c r="E22" s="10">
        <f>ROUND(E$21*$T22,3)</f>
        <v>6.2489999999999997</v>
      </c>
      <c r="F22" s="10">
        <f>ROUND(F$21*$T22,3)</f>
        <v>1.2509999999999999</v>
      </c>
      <c r="G22" s="10"/>
      <c r="H22" s="10">
        <f>ROUND(H$21*$U22,3)</f>
        <v>18.198</v>
      </c>
      <c r="I22" s="10">
        <f t="shared" ref="I22:J34" si="0">ROUND(I$21*$U22,3)</f>
        <v>6.3310000000000004</v>
      </c>
      <c r="J22" s="10">
        <f t="shared" si="0"/>
        <v>1.2669999999999999</v>
      </c>
      <c r="K22" s="10"/>
      <c r="L22" s="10">
        <f>ROUND(L$21*$V22,3)</f>
        <v>18.734999999999999</v>
      </c>
      <c r="M22" s="10">
        <f t="shared" ref="M22:N34" si="1">ROUND(M$21*$V22,3)</f>
        <v>6.5179999999999998</v>
      </c>
      <c r="N22" s="10">
        <f t="shared" si="1"/>
        <v>1.3049999999999999</v>
      </c>
      <c r="O22" s="10"/>
      <c r="P22" s="10">
        <f>ROUND(P$21*$W22,3)</f>
        <v>19.073</v>
      </c>
      <c r="Q22" s="10">
        <f t="shared" ref="Q22:R34" si="2">ROUND(Q$21*$W22,3)</f>
        <v>6.6349999999999998</v>
      </c>
      <c r="R22" s="10">
        <f t="shared" si="2"/>
        <v>1.3280000000000001</v>
      </c>
      <c r="S22" s="18"/>
      <c r="T22" s="9">
        <v>1.1089</v>
      </c>
      <c r="U22" s="9">
        <v>1.1234599999999999</v>
      </c>
      <c r="V22" s="9">
        <v>1.15665</v>
      </c>
      <c r="W22" s="9">
        <v>1.1775</v>
      </c>
      <c r="X22" s="19"/>
      <c r="Y22" s="4"/>
      <c r="Z22" s="7"/>
      <c r="AA22" s="10" t="s">
        <v>191</v>
      </c>
      <c r="AB22" s="10"/>
      <c r="AC22" s="10"/>
      <c r="AD22" s="10"/>
    </row>
    <row r="23" spans="2:30">
      <c r="B23" s="9">
        <v>2040</v>
      </c>
      <c r="C23" s="4"/>
      <c r="D23" s="36">
        <f t="shared" ref="D23:F34" si="3">ROUND(D$21*$T23,3)</f>
        <v>19.280999999999999</v>
      </c>
      <c r="E23" s="10">
        <f t="shared" si="3"/>
        <v>6.7080000000000002</v>
      </c>
      <c r="F23" s="10">
        <f t="shared" si="3"/>
        <v>1.343</v>
      </c>
      <c r="G23" s="9"/>
      <c r="H23" s="10">
        <f t="shared" ref="H23:H34" si="4">ROUND(H$21*$U23,3)</f>
        <v>20.221</v>
      </c>
      <c r="I23" s="10">
        <f t="shared" si="0"/>
        <v>7.0339999999999998</v>
      </c>
      <c r="J23" s="10">
        <f t="shared" si="0"/>
        <v>1.4079999999999999</v>
      </c>
      <c r="K23" s="9"/>
      <c r="L23" s="10">
        <f t="shared" ref="L23:L34" si="5">ROUND(L$21*$V23,3)</f>
        <v>21.510999999999999</v>
      </c>
      <c r="M23" s="10">
        <f t="shared" si="1"/>
        <v>7.4829999999999997</v>
      </c>
      <c r="N23" s="10">
        <f t="shared" si="1"/>
        <v>1.498</v>
      </c>
      <c r="O23" s="9"/>
      <c r="P23" s="10">
        <f t="shared" ref="P23:P34" si="6">ROUND(P$21*$W23,3)</f>
        <v>23.23</v>
      </c>
      <c r="Q23" s="10">
        <f t="shared" si="2"/>
        <v>8.0809999999999995</v>
      </c>
      <c r="R23" s="10">
        <f t="shared" si="2"/>
        <v>1.6180000000000001</v>
      </c>
      <c r="S23" s="18"/>
      <c r="T23" s="28">
        <v>1.1903600000000001</v>
      </c>
      <c r="U23" s="28">
        <v>1.24834</v>
      </c>
      <c r="V23" s="28">
        <v>1.32802</v>
      </c>
      <c r="W23" s="28">
        <v>1.43414</v>
      </c>
      <c r="X23" s="19"/>
      <c r="Y23" s="4"/>
      <c r="Z23" s="7"/>
      <c r="AA23" s="10"/>
      <c r="AB23" s="10"/>
      <c r="AC23" s="10"/>
      <c r="AD23" s="10"/>
    </row>
    <row r="24" spans="2:30">
      <c r="B24" s="10">
        <v>2050</v>
      </c>
      <c r="C24" s="7"/>
      <c r="D24" s="36">
        <f t="shared" si="3"/>
        <v>20.004000000000001</v>
      </c>
      <c r="E24" s="10">
        <f t="shared" si="3"/>
        <v>6.9589999999999996</v>
      </c>
      <c r="F24" s="10">
        <f t="shared" si="3"/>
        <v>1.393</v>
      </c>
      <c r="G24" s="10"/>
      <c r="H24" s="10">
        <f t="shared" si="4"/>
        <v>22.021999999999998</v>
      </c>
      <c r="I24" s="10">
        <f t="shared" si="0"/>
        <v>7.6609999999999996</v>
      </c>
      <c r="J24" s="10">
        <f t="shared" si="0"/>
        <v>1.534</v>
      </c>
      <c r="K24" s="10"/>
      <c r="L24" s="10">
        <f t="shared" si="5"/>
        <v>24.356999999999999</v>
      </c>
      <c r="M24" s="10">
        <f t="shared" si="1"/>
        <v>8.4730000000000008</v>
      </c>
      <c r="N24" s="10">
        <f t="shared" si="1"/>
        <v>1.696</v>
      </c>
      <c r="O24" s="10"/>
      <c r="P24" s="10">
        <f t="shared" si="6"/>
        <v>29.145</v>
      </c>
      <c r="Q24" s="10">
        <f t="shared" si="2"/>
        <v>10.138999999999999</v>
      </c>
      <c r="R24" s="10">
        <f t="shared" si="2"/>
        <v>2.0299999999999998</v>
      </c>
      <c r="S24" s="18"/>
      <c r="T24" s="9">
        <v>1.23499</v>
      </c>
      <c r="U24" s="9">
        <v>1.3595699999999999</v>
      </c>
      <c r="V24" s="9">
        <v>1.5036799999999999</v>
      </c>
      <c r="W24" s="9">
        <v>1.7992999999999999</v>
      </c>
      <c r="X24" s="19"/>
      <c r="Y24" s="4"/>
      <c r="Z24" s="7"/>
      <c r="AA24" s="10" t="s">
        <v>192</v>
      </c>
      <c r="AB24" s="10"/>
      <c r="AC24" s="10"/>
      <c r="AD24" s="10"/>
    </row>
    <row r="25" spans="2:30">
      <c r="B25" s="9">
        <v>2060</v>
      </c>
      <c r="C25" s="4"/>
      <c r="D25" s="36">
        <f t="shared" si="3"/>
        <v>20.196999999999999</v>
      </c>
      <c r="E25" s="10">
        <f t="shared" si="3"/>
        <v>7.0259999999999998</v>
      </c>
      <c r="F25" s="10">
        <f t="shared" si="3"/>
        <v>1.4059999999999999</v>
      </c>
      <c r="G25" s="9"/>
      <c r="H25" s="10">
        <f t="shared" si="4"/>
        <v>23.34</v>
      </c>
      <c r="I25" s="10">
        <f t="shared" si="0"/>
        <v>8.1199999999999992</v>
      </c>
      <c r="J25" s="10">
        <f t="shared" si="0"/>
        <v>1.625</v>
      </c>
      <c r="K25" s="9"/>
      <c r="L25" s="10">
        <f t="shared" si="5"/>
        <v>27.451000000000001</v>
      </c>
      <c r="M25" s="10">
        <f t="shared" si="1"/>
        <v>9.5500000000000007</v>
      </c>
      <c r="N25" s="10">
        <f t="shared" si="1"/>
        <v>1.9119999999999999</v>
      </c>
      <c r="O25" s="9"/>
      <c r="P25" s="10">
        <f t="shared" si="6"/>
        <v>37.609000000000002</v>
      </c>
      <c r="Q25" s="10">
        <f t="shared" si="2"/>
        <v>13.084</v>
      </c>
      <c r="R25" s="10">
        <f t="shared" si="2"/>
        <v>2.6190000000000002</v>
      </c>
      <c r="S25" s="18"/>
      <c r="T25" s="28">
        <v>1.2468699999999999</v>
      </c>
      <c r="U25" s="28">
        <v>1.4409400000000001</v>
      </c>
      <c r="V25" s="28">
        <v>1.6947300000000001</v>
      </c>
      <c r="W25" s="28">
        <v>2.32185</v>
      </c>
      <c r="X25" s="19"/>
      <c r="Y25" s="4"/>
      <c r="Z25" s="7"/>
      <c r="AA25" s="10" t="s">
        <v>193</v>
      </c>
      <c r="AB25" s="10"/>
      <c r="AC25" s="10"/>
      <c r="AD25" s="10"/>
    </row>
    <row r="26" spans="2:30">
      <c r="B26" s="10">
        <v>2070</v>
      </c>
      <c r="C26" s="7"/>
      <c r="D26" s="36">
        <f t="shared" si="3"/>
        <v>20</v>
      </c>
      <c r="E26" s="10">
        <f t="shared" si="3"/>
        <v>6.9580000000000002</v>
      </c>
      <c r="F26" s="10">
        <f t="shared" si="3"/>
        <v>1.393</v>
      </c>
      <c r="G26" s="10"/>
      <c r="H26" s="10">
        <f t="shared" si="4"/>
        <v>23.981999999999999</v>
      </c>
      <c r="I26" s="10">
        <f t="shared" si="0"/>
        <v>8.343</v>
      </c>
      <c r="J26" s="10">
        <f t="shared" si="0"/>
        <v>1.67</v>
      </c>
      <c r="K26" s="10"/>
      <c r="L26" s="10">
        <f t="shared" si="5"/>
        <v>30.626999999999999</v>
      </c>
      <c r="M26" s="10">
        <f t="shared" si="1"/>
        <v>10.654999999999999</v>
      </c>
      <c r="N26" s="10">
        <f t="shared" si="1"/>
        <v>2.133</v>
      </c>
      <c r="O26" s="10"/>
      <c r="P26" s="10">
        <f t="shared" si="6"/>
        <v>49.585000000000001</v>
      </c>
      <c r="Q26" s="10">
        <f t="shared" si="2"/>
        <v>17.25</v>
      </c>
      <c r="R26" s="10">
        <f t="shared" si="2"/>
        <v>3.4529999999999998</v>
      </c>
      <c r="S26" s="18"/>
      <c r="T26" s="9">
        <v>1.23472</v>
      </c>
      <c r="U26" s="9">
        <v>1.48054</v>
      </c>
      <c r="V26" s="9">
        <v>1.8908100000000001</v>
      </c>
      <c r="W26" s="9">
        <v>3.0611799999999998</v>
      </c>
      <c r="X26" s="19"/>
      <c r="Y26" s="4"/>
      <c r="Z26" s="7"/>
      <c r="AA26" s="10"/>
      <c r="AB26" s="10"/>
      <c r="AC26" s="10"/>
      <c r="AD26" s="10"/>
    </row>
    <row r="27" spans="2:30">
      <c r="B27" s="9">
        <v>2080</v>
      </c>
      <c r="C27" s="4"/>
      <c r="D27" s="36">
        <f t="shared" si="3"/>
        <v>19.416</v>
      </c>
      <c r="E27" s="10">
        <f t="shared" si="3"/>
        <v>6.7539999999999996</v>
      </c>
      <c r="F27" s="10">
        <f t="shared" si="3"/>
        <v>1.3520000000000001</v>
      </c>
      <c r="G27" s="9"/>
      <c r="H27" s="10">
        <f t="shared" si="4"/>
        <v>24.029</v>
      </c>
      <c r="I27" s="10">
        <f t="shared" si="0"/>
        <v>8.359</v>
      </c>
      <c r="J27" s="10">
        <f t="shared" si="0"/>
        <v>1.673</v>
      </c>
      <c r="K27" s="9"/>
      <c r="L27" s="10">
        <f t="shared" si="5"/>
        <v>33.517000000000003</v>
      </c>
      <c r="M27" s="10">
        <f t="shared" si="1"/>
        <v>11.66</v>
      </c>
      <c r="N27" s="10">
        <f t="shared" si="1"/>
        <v>2.3340000000000001</v>
      </c>
      <c r="O27" s="9"/>
      <c r="P27" s="10">
        <f t="shared" si="6"/>
        <v>65.887</v>
      </c>
      <c r="Q27" s="10">
        <f t="shared" si="2"/>
        <v>22.920999999999999</v>
      </c>
      <c r="R27" s="10">
        <f t="shared" si="2"/>
        <v>4.5880000000000001</v>
      </c>
      <c r="S27" s="18"/>
      <c r="T27" s="28">
        <v>1.1986399999999999</v>
      </c>
      <c r="U27" s="28">
        <v>1.4834799999999999</v>
      </c>
      <c r="V27" s="28">
        <v>2.0691799999999998</v>
      </c>
      <c r="W27" s="28">
        <v>4.0675800000000004</v>
      </c>
      <c r="X27" s="19"/>
      <c r="Y27" s="4"/>
      <c r="Z27" s="7"/>
      <c r="AA27" s="25"/>
      <c r="AB27" s="25" t="s">
        <v>175</v>
      </c>
      <c r="AC27" s="25" t="s">
        <v>177</v>
      </c>
      <c r="AD27" s="25" t="s">
        <v>180</v>
      </c>
    </row>
    <row r="28" spans="2:30">
      <c r="B28" s="10">
        <v>2090</v>
      </c>
      <c r="C28" s="7"/>
      <c r="D28" s="36">
        <f t="shared" si="3"/>
        <v>18.504999999999999</v>
      </c>
      <c r="E28" s="10">
        <f t="shared" si="3"/>
        <v>6.4379999999999997</v>
      </c>
      <c r="F28" s="10">
        <f t="shared" si="3"/>
        <v>1.2889999999999999</v>
      </c>
      <c r="G28" s="10"/>
      <c r="H28" s="10">
        <f t="shared" si="4"/>
        <v>23.643000000000001</v>
      </c>
      <c r="I28" s="10">
        <f t="shared" si="0"/>
        <v>8.2249999999999996</v>
      </c>
      <c r="J28" s="10">
        <f t="shared" si="0"/>
        <v>1.6459999999999999</v>
      </c>
      <c r="K28" s="10"/>
      <c r="L28" s="10">
        <f t="shared" si="5"/>
        <v>36.158000000000001</v>
      </c>
      <c r="M28" s="10">
        <f t="shared" si="1"/>
        <v>12.579000000000001</v>
      </c>
      <c r="N28" s="10">
        <f t="shared" si="1"/>
        <v>2.5179999999999998</v>
      </c>
      <c r="O28" s="10"/>
      <c r="P28" s="10">
        <f t="shared" si="6"/>
        <v>86.433000000000007</v>
      </c>
      <c r="Q28" s="10">
        <f t="shared" si="2"/>
        <v>30.068000000000001</v>
      </c>
      <c r="R28" s="10">
        <f t="shared" si="2"/>
        <v>6.0190000000000001</v>
      </c>
      <c r="S28" s="18"/>
      <c r="T28" s="9">
        <v>1.1424300000000001</v>
      </c>
      <c r="U28" s="9">
        <v>1.4596499999999999</v>
      </c>
      <c r="V28" s="9">
        <v>2.2322299999999999</v>
      </c>
      <c r="W28" s="9">
        <v>5.3360200000000004</v>
      </c>
      <c r="X28" s="19"/>
      <c r="Y28" s="4"/>
      <c r="Z28" s="7"/>
      <c r="AA28" s="10" t="s">
        <v>96</v>
      </c>
      <c r="AB28" s="10">
        <v>5.968</v>
      </c>
      <c r="AC28" s="10">
        <v>1.645</v>
      </c>
      <c r="AD28" s="10">
        <v>0.61299999999999999</v>
      </c>
    </row>
    <row r="29" spans="2:30">
      <c r="B29" s="9">
        <v>2100</v>
      </c>
      <c r="C29" s="4"/>
      <c r="D29" s="36">
        <f t="shared" si="3"/>
        <v>17.603999999999999</v>
      </c>
      <c r="E29" s="10">
        <f t="shared" si="3"/>
        <v>6.1239999999999997</v>
      </c>
      <c r="F29" s="10">
        <f t="shared" si="3"/>
        <v>1.226</v>
      </c>
      <c r="G29" s="9"/>
      <c r="H29" s="10">
        <f t="shared" si="4"/>
        <v>23.027999999999999</v>
      </c>
      <c r="I29" s="10">
        <f t="shared" si="0"/>
        <v>8.0109999999999992</v>
      </c>
      <c r="J29" s="10">
        <f t="shared" si="0"/>
        <v>1.6040000000000001</v>
      </c>
      <c r="K29" s="9"/>
      <c r="L29" s="10">
        <f t="shared" si="5"/>
        <v>38.747999999999998</v>
      </c>
      <c r="M29" s="10">
        <f t="shared" si="1"/>
        <v>13.48</v>
      </c>
      <c r="N29" s="10">
        <f t="shared" si="1"/>
        <v>2.698</v>
      </c>
      <c r="O29" s="9"/>
      <c r="P29" s="10">
        <f t="shared" si="6"/>
        <v>110.33199999999999</v>
      </c>
      <c r="Q29" s="10">
        <f t="shared" si="2"/>
        <v>38.381999999999998</v>
      </c>
      <c r="R29" s="10">
        <f t="shared" si="2"/>
        <v>7.6829999999999998</v>
      </c>
      <c r="S29" s="18"/>
      <c r="T29" s="28">
        <v>1.0868100000000001</v>
      </c>
      <c r="U29" s="28">
        <v>1.4216599999999999</v>
      </c>
      <c r="V29" s="28">
        <v>2.3921199999999998</v>
      </c>
      <c r="W29" s="28">
        <v>6.8114400000000002</v>
      </c>
      <c r="X29" s="19"/>
      <c r="Y29" s="4"/>
      <c r="Z29" s="7"/>
      <c r="AA29" s="10" t="s">
        <v>194</v>
      </c>
      <c r="AB29" s="10">
        <v>6</v>
      </c>
      <c r="AC29" s="10">
        <v>1.6</v>
      </c>
      <c r="AD29" s="10">
        <v>0.6</v>
      </c>
    </row>
    <row r="30" spans="2:30">
      <c r="B30" s="10">
        <v>2110</v>
      </c>
      <c r="C30" s="7"/>
      <c r="D30" s="36">
        <f t="shared" si="3"/>
        <v>16.725999999999999</v>
      </c>
      <c r="E30" s="10">
        <f t="shared" si="3"/>
        <v>5.819</v>
      </c>
      <c r="F30" s="10">
        <f t="shared" si="3"/>
        <v>1.165</v>
      </c>
      <c r="G30" s="10"/>
      <c r="H30" s="10">
        <f t="shared" si="4"/>
        <v>22.420999999999999</v>
      </c>
      <c r="I30" s="10">
        <f t="shared" si="0"/>
        <v>7.8</v>
      </c>
      <c r="J30" s="10">
        <f t="shared" si="0"/>
        <v>1.5609999999999999</v>
      </c>
      <c r="K30" s="10"/>
      <c r="L30" s="10">
        <f t="shared" si="5"/>
        <v>41.427</v>
      </c>
      <c r="M30" s="10">
        <f t="shared" si="1"/>
        <v>14.412000000000001</v>
      </c>
      <c r="N30" s="10">
        <f t="shared" si="1"/>
        <v>2.8849999999999998</v>
      </c>
      <c r="O30" s="10"/>
      <c r="P30" s="10">
        <f t="shared" si="6"/>
        <v>137.14400000000001</v>
      </c>
      <c r="Q30" s="10">
        <f t="shared" si="2"/>
        <v>47.71</v>
      </c>
      <c r="R30" s="10">
        <f t="shared" si="2"/>
        <v>9.5500000000000007</v>
      </c>
      <c r="S30" s="18"/>
      <c r="T30" s="9">
        <v>1.0325899999999999</v>
      </c>
      <c r="U30" s="9">
        <v>1.3841600000000001</v>
      </c>
      <c r="V30" s="9">
        <v>2.5575299999999999</v>
      </c>
      <c r="W30" s="9">
        <v>8.4667399999999997</v>
      </c>
      <c r="X30" s="19"/>
      <c r="Y30" s="4"/>
      <c r="Z30" s="7"/>
      <c r="AA30" s="7"/>
      <c r="AB30" s="7"/>
      <c r="AC30" s="7"/>
      <c r="AD30" s="7"/>
    </row>
    <row r="31" spans="2:30">
      <c r="B31" s="9">
        <v>2120</v>
      </c>
      <c r="C31" s="4"/>
      <c r="D31" s="36">
        <f t="shared" si="3"/>
        <v>15.87</v>
      </c>
      <c r="E31" s="10">
        <f t="shared" si="3"/>
        <v>5.5209999999999999</v>
      </c>
      <c r="F31" s="10">
        <f t="shared" si="3"/>
        <v>1.105</v>
      </c>
      <c r="G31" s="9"/>
      <c r="H31" s="10">
        <f t="shared" si="4"/>
        <v>21.821000000000002</v>
      </c>
      <c r="I31" s="10">
        <f t="shared" si="0"/>
        <v>7.5910000000000002</v>
      </c>
      <c r="J31" s="10">
        <f t="shared" si="0"/>
        <v>1.52</v>
      </c>
      <c r="K31" s="9"/>
      <c r="L31" s="10">
        <f t="shared" si="5"/>
        <v>44.195999999999998</v>
      </c>
      <c r="M31" s="10">
        <f t="shared" si="1"/>
        <v>15.375</v>
      </c>
      <c r="N31" s="10">
        <f t="shared" si="1"/>
        <v>3.0779999999999998</v>
      </c>
      <c r="O31" s="9"/>
      <c r="P31" s="10">
        <f t="shared" si="6"/>
        <v>166.87</v>
      </c>
      <c r="Q31" s="10">
        <f t="shared" si="2"/>
        <v>58.051000000000002</v>
      </c>
      <c r="R31" s="10">
        <f t="shared" si="2"/>
        <v>11.621</v>
      </c>
      <c r="S31" s="18"/>
      <c r="T31" s="28">
        <v>0.97974000000000006</v>
      </c>
      <c r="U31" s="28">
        <v>1.34717</v>
      </c>
      <c r="V31" s="28">
        <v>2.7284700000000002</v>
      </c>
      <c r="W31" s="28">
        <v>10.301909999999999</v>
      </c>
      <c r="X31" s="19"/>
      <c r="Y31" s="4"/>
      <c r="Z31" s="7"/>
      <c r="AA31" s="29" t="s">
        <v>195</v>
      </c>
      <c r="AB31" s="7"/>
      <c r="AC31" s="7"/>
      <c r="AD31" s="7"/>
    </row>
    <row r="32" spans="2:30">
      <c r="B32" s="10">
        <v>2130</v>
      </c>
      <c r="C32" s="7"/>
      <c r="D32" s="36">
        <f t="shared" si="3"/>
        <v>15.081</v>
      </c>
      <c r="E32" s="10">
        <f t="shared" si="3"/>
        <v>5.2460000000000004</v>
      </c>
      <c r="F32" s="10">
        <f t="shared" si="3"/>
        <v>1.05</v>
      </c>
      <c r="G32" s="10"/>
      <c r="H32" s="10">
        <f t="shared" si="4"/>
        <v>21.23</v>
      </c>
      <c r="I32" s="10">
        <f t="shared" si="0"/>
        <v>7.3860000000000001</v>
      </c>
      <c r="J32" s="10">
        <f t="shared" si="0"/>
        <v>1.478</v>
      </c>
      <c r="K32" s="10"/>
      <c r="L32" s="10">
        <f t="shared" si="5"/>
        <v>47.054000000000002</v>
      </c>
      <c r="M32" s="10">
        <f t="shared" si="1"/>
        <v>16.369</v>
      </c>
      <c r="N32" s="10">
        <f t="shared" si="1"/>
        <v>3.2770000000000001</v>
      </c>
      <c r="O32" s="10"/>
      <c r="P32" s="10">
        <f t="shared" si="6"/>
        <v>199.51</v>
      </c>
      <c r="Q32" s="10">
        <f t="shared" si="2"/>
        <v>69.406000000000006</v>
      </c>
      <c r="R32" s="10">
        <f t="shared" si="2"/>
        <v>13.894</v>
      </c>
      <c r="S32" s="18"/>
      <c r="T32" s="9">
        <v>0.93103999999999998</v>
      </c>
      <c r="U32" s="9">
        <v>1.31067</v>
      </c>
      <c r="V32" s="9">
        <v>2.9049499999999999</v>
      </c>
      <c r="W32" s="9">
        <v>12.31695</v>
      </c>
      <c r="X32" s="19"/>
      <c r="Y32" s="4"/>
      <c r="Z32" s="7"/>
      <c r="AA32" s="25"/>
      <c r="AB32" s="25" t="s">
        <v>175</v>
      </c>
      <c r="AC32" s="25" t="s">
        <v>177</v>
      </c>
      <c r="AD32" s="25" t="s">
        <v>180</v>
      </c>
    </row>
    <row r="33" spans="2:30">
      <c r="B33" s="9">
        <v>2140</v>
      </c>
      <c r="C33" s="4"/>
      <c r="D33" s="36">
        <f t="shared" si="3"/>
        <v>15.081</v>
      </c>
      <c r="E33" s="10">
        <f t="shared" si="3"/>
        <v>5.2460000000000004</v>
      </c>
      <c r="F33" s="10">
        <f t="shared" si="3"/>
        <v>1.05</v>
      </c>
      <c r="G33" s="9"/>
      <c r="H33" s="10">
        <f t="shared" si="4"/>
        <v>20.646999999999998</v>
      </c>
      <c r="I33" s="10">
        <f t="shared" si="0"/>
        <v>7.1829999999999998</v>
      </c>
      <c r="J33" s="10">
        <f t="shared" si="0"/>
        <v>1.4379999999999999</v>
      </c>
      <c r="K33" s="9"/>
      <c r="L33" s="10">
        <f t="shared" si="5"/>
        <v>50.002000000000002</v>
      </c>
      <c r="M33" s="10">
        <f t="shared" si="1"/>
        <v>17.395</v>
      </c>
      <c r="N33" s="10">
        <f t="shared" si="1"/>
        <v>3.4820000000000002</v>
      </c>
      <c r="O33" s="9"/>
      <c r="P33" s="10">
        <f t="shared" si="6"/>
        <v>235.06299999999999</v>
      </c>
      <c r="Q33" s="10">
        <f t="shared" si="2"/>
        <v>81.774000000000001</v>
      </c>
      <c r="R33" s="10">
        <f t="shared" si="2"/>
        <v>16.369</v>
      </c>
      <c r="S33" s="18"/>
      <c r="T33" s="28">
        <v>0.93103999999999998</v>
      </c>
      <c r="U33" s="28">
        <v>1.27468</v>
      </c>
      <c r="V33" s="28">
        <v>3.0869499999999999</v>
      </c>
      <c r="W33" s="28">
        <v>14.511850000000001</v>
      </c>
      <c r="X33" s="19"/>
      <c r="Y33" s="4"/>
      <c r="Z33" s="7"/>
      <c r="AA33" s="10">
        <v>1990</v>
      </c>
      <c r="AB33" s="7">
        <v>9</v>
      </c>
      <c r="AC33" s="7">
        <v>4</v>
      </c>
      <c r="AD33" s="7">
        <v>0</v>
      </c>
    </row>
    <row r="34" spans="2:30">
      <c r="B34" s="10">
        <v>2150</v>
      </c>
      <c r="C34" s="7"/>
      <c r="D34" s="36">
        <f t="shared" si="3"/>
        <v>15.081</v>
      </c>
      <c r="E34" s="10">
        <f t="shared" si="3"/>
        <v>5.2460000000000004</v>
      </c>
      <c r="F34" s="10">
        <f t="shared" si="3"/>
        <v>1.05</v>
      </c>
      <c r="G34" s="10"/>
      <c r="H34" s="10">
        <f t="shared" si="4"/>
        <v>20.071999999999999</v>
      </c>
      <c r="I34" s="10">
        <f t="shared" si="0"/>
        <v>6.9829999999999997</v>
      </c>
      <c r="J34" s="10">
        <f t="shared" si="0"/>
        <v>1.3979999999999999</v>
      </c>
      <c r="K34" s="10"/>
      <c r="L34" s="10">
        <f t="shared" si="5"/>
        <v>53.04</v>
      </c>
      <c r="M34" s="10">
        <f t="shared" si="1"/>
        <v>18.452000000000002</v>
      </c>
      <c r="N34" s="10">
        <f t="shared" si="1"/>
        <v>3.694</v>
      </c>
      <c r="O34" s="10"/>
      <c r="P34" s="10">
        <f t="shared" si="6"/>
        <v>273.52999999999997</v>
      </c>
      <c r="Q34" s="10">
        <f t="shared" si="2"/>
        <v>95.156000000000006</v>
      </c>
      <c r="R34" s="10">
        <f t="shared" si="2"/>
        <v>19.047999999999998</v>
      </c>
      <c r="S34" s="18"/>
      <c r="T34" s="9">
        <v>0.93103999999999998</v>
      </c>
      <c r="U34" s="9">
        <v>1.23919</v>
      </c>
      <c r="V34" s="9">
        <v>3.2744800000000001</v>
      </c>
      <c r="W34" s="9">
        <v>16.88663</v>
      </c>
      <c r="X34" s="19"/>
      <c r="Y34" s="4"/>
      <c r="Z34" s="7"/>
      <c r="AA34" s="10">
        <v>1991</v>
      </c>
      <c r="AB34" s="7">
        <v>7</v>
      </c>
      <c r="AC34" s="7">
        <v>3</v>
      </c>
      <c r="AD34" s="7">
        <v>0</v>
      </c>
    </row>
    <row r="35" spans="2:30">
      <c r="B35" s="4"/>
      <c r="C35" s="4"/>
      <c r="D35" s="9"/>
      <c r="E35" s="9"/>
      <c r="F35" s="9"/>
      <c r="G35" s="9"/>
      <c r="H35" s="9"/>
      <c r="I35" s="9"/>
      <c r="J35" s="9"/>
      <c r="K35" s="9"/>
      <c r="L35" s="9"/>
      <c r="M35" s="9"/>
      <c r="N35" s="9"/>
      <c r="O35" s="9"/>
      <c r="P35" s="9"/>
      <c r="Q35" s="9"/>
      <c r="R35" s="27"/>
      <c r="S35" s="30"/>
      <c r="T35" s="30"/>
      <c r="U35" s="30"/>
      <c r="V35" s="30"/>
      <c r="W35" s="30"/>
      <c r="X35" s="31"/>
      <c r="Y35" s="4"/>
      <c r="Z35" s="7"/>
      <c r="AA35" s="10">
        <v>1992</v>
      </c>
      <c r="AB35" s="7">
        <v>7</v>
      </c>
      <c r="AC35" s="7">
        <v>3</v>
      </c>
      <c r="AD35" s="7">
        <v>0</v>
      </c>
    </row>
    <row r="36" spans="2:30">
      <c r="B36" s="4"/>
      <c r="C36" s="4"/>
      <c r="D36" s="4"/>
      <c r="E36" s="4"/>
      <c r="F36" s="4"/>
      <c r="G36" s="4"/>
      <c r="H36" s="4"/>
      <c r="I36" s="4"/>
      <c r="J36" s="4"/>
      <c r="K36" s="4"/>
      <c r="L36" s="4"/>
      <c r="M36" s="4"/>
      <c r="N36" s="4"/>
      <c r="O36" s="4"/>
      <c r="P36" s="4"/>
      <c r="Q36" s="4"/>
      <c r="R36" s="4"/>
      <c r="S36" s="4"/>
      <c r="T36" s="4"/>
      <c r="U36" s="4"/>
      <c r="V36" s="4"/>
      <c r="W36" s="4"/>
      <c r="X36" s="4"/>
      <c r="Y36" s="4"/>
      <c r="Z36" s="7"/>
      <c r="AA36" s="10">
        <v>1993</v>
      </c>
      <c r="AB36" s="7">
        <v>13</v>
      </c>
      <c r="AC36" s="7">
        <v>4</v>
      </c>
      <c r="AD36" s="7">
        <v>2</v>
      </c>
    </row>
    <row r="37" spans="2:30">
      <c r="B37" s="4"/>
      <c r="C37" s="4"/>
      <c r="D37" s="4"/>
      <c r="E37" s="4"/>
      <c r="F37" s="4"/>
      <c r="G37" s="4"/>
      <c r="H37" s="4"/>
      <c r="I37" s="4"/>
      <c r="J37" s="4"/>
      <c r="K37" s="4"/>
      <c r="L37" s="4"/>
      <c r="M37" s="4"/>
      <c r="N37" s="4"/>
      <c r="O37" s="4"/>
      <c r="P37" s="4"/>
      <c r="Q37" s="4"/>
      <c r="R37" s="4"/>
      <c r="S37" s="4"/>
      <c r="T37" s="4"/>
      <c r="U37" s="4"/>
      <c r="V37" s="4"/>
      <c r="W37" s="4"/>
      <c r="X37" s="4"/>
      <c r="Y37" s="4"/>
      <c r="Z37" s="7"/>
      <c r="AA37" s="10">
        <v>1994</v>
      </c>
      <c r="AB37" s="7">
        <v>16</v>
      </c>
      <c r="AC37" s="7">
        <v>3</v>
      </c>
      <c r="AD37" s="7">
        <v>0</v>
      </c>
    </row>
    <row r="38" spans="2:30">
      <c r="B38" s="4"/>
      <c r="C38" s="4"/>
      <c r="D38" s="4"/>
      <c r="E38" s="4"/>
      <c r="F38" s="4"/>
      <c r="G38" s="4"/>
      <c r="H38" s="4"/>
      <c r="I38" s="4"/>
      <c r="J38" s="4"/>
      <c r="K38" s="4"/>
      <c r="L38" s="4"/>
      <c r="M38" s="4"/>
      <c r="N38" s="4"/>
      <c r="O38" s="4"/>
      <c r="P38" s="4"/>
      <c r="Q38" s="4"/>
      <c r="R38" s="4"/>
      <c r="S38" s="4"/>
      <c r="T38" s="4"/>
      <c r="U38" s="4"/>
      <c r="V38" s="4"/>
      <c r="W38" s="4"/>
      <c r="X38" s="4"/>
      <c r="Y38" s="4"/>
      <c r="Z38" s="7"/>
      <c r="AA38" s="10">
        <v>1995</v>
      </c>
      <c r="AB38" s="7">
        <v>14</v>
      </c>
      <c r="AC38" s="7">
        <v>4</v>
      </c>
      <c r="AD38" s="7">
        <v>3</v>
      </c>
    </row>
    <row r="39" spans="2:30">
      <c r="B39" s="4"/>
      <c r="C39" s="4"/>
      <c r="D39" s="4"/>
      <c r="E39" s="4"/>
      <c r="F39" s="4"/>
      <c r="G39" s="4"/>
      <c r="H39" s="4"/>
      <c r="I39" s="4"/>
      <c r="J39" s="4"/>
      <c r="K39" s="4"/>
      <c r="L39" s="4"/>
      <c r="M39" s="4"/>
      <c r="N39" s="4"/>
      <c r="O39" s="4"/>
      <c r="P39" s="4"/>
      <c r="Q39" s="4"/>
      <c r="R39" s="9"/>
      <c r="S39" s="9"/>
      <c r="T39" s="9"/>
      <c r="U39" s="9"/>
      <c r="V39" s="9"/>
      <c r="W39" s="9"/>
      <c r="X39" s="9"/>
      <c r="Y39" s="4"/>
      <c r="Z39" s="7"/>
      <c r="AA39" s="10">
        <v>1996</v>
      </c>
      <c r="AB39" s="7">
        <v>16</v>
      </c>
      <c r="AC39" s="7">
        <v>2</v>
      </c>
      <c r="AD39" s="7">
        <v>1</v>
      </c>
    </row>
    <row r="40" spans="2:30">
      <c r="B40" s="634" t="s">
        <v>196</v>
      </c>
      <c r="C40" s="635"/>
      <c r="D40" s="635"/>
      <c r="E40" s="635"/>
      <c r="F40" s="635"/>
      <c r="G40" s="635"/>
      <c r="H40" s="635"/>
      <c r="I40" s="635"/>
      <c r="J40" s="635"/>
      <c r="K40" s="635"/>
      <c r="L40" s="635"/>
      <c r="M40" s="635"/>
      <c r="N40" s="635"/>
      <c r="O40" s="635"/>
      <c r="P40" s="635"/>
      <c r="Q40" s="635"/>
      <c r="R40" s="635"/>
      <c r="S40" s="635"/>
      <c r="T40" s="635"/>
      <c r="U40" s="635"/>
      <c r="V40" s="635"/>
      <c r="W40" s="636"/>
      <c r="X40" s="4"/>
      <c r="Y40" s="4"/>
      <c r="Z40" s="7"/>
      <c r="AA40" s="10">
        <v>1997</v>
      </c>
      <c r="AB40" s="7">
        <v>3</v>
      </c>
      <c r="AC40" s="7">
        <v>2</v>
      </c>
      <c r="AD40" s="7">
        <v>0</v>
      </c>
    </row>
    <row r="41" spans="2:30">
      <c r="B41" s="637"/>
      <c r="C41" s="638"/>
      <c r="D41" s="638"/>
      <c r="E41" s="638"/>
      <c r="F41" s="638"/>
      <c r="G41" s="638"/>
      <c r="H41" s="638"/>
      <c r="I41" s="638"/>
      <c r="J41" s="638"/>
      <c r="K41" s="638"/>
      <c r="L41" s="638"/>
      <c r="M41" s="638"/>
      <c r="N41" s="638"/>
      <c r="O41" s="638"/>
      <c r="P41" s="638"/>
      <c r="Q41" s="638"/>
      <c r="R41" s="638"/>
      <c r="S41" s="638"/>
      <c r="T41" s="638"/>
      <c r="U41" s="638"/>
      <c r="V41" s="638"/>
      <c r="W41" s="639"/>
      <c r="X41" s="4"/>
      <c r="Y41" s="4"/>
      <c r="Z41" s="7"/>
      <c r="AA41" s="10">
        <v>1998</v>
      </c>
      <c r="AB41" s="7">
        <v>4</v>
      </c>
      <c r="AC41" s="7">
        <v>1</v>
      </c>
      <c r="AD41" s="7">
        <v>0</v>
      </c>
    </row>
    <row r="42" spans="2:30">
      <c r="B42" s="637"/>
      <c r="C42" s="638"/>
      <c r="D42" s="638"/>
      <c r="E42" s="638"/>
      <c r="F42" s="638"/>
      <c r="G42" s="638"/>
      <c r="H42" s="638"/>
      <c r="I42" s="638"/>
      <c r="J42" s="638"/>
      <c r="K42" s="638"/>
      <c r="L42" s="638"/>
      <c r="M42" s="638"/>
      <c r="N42" s="638"/>
      <c r="O42" s="638"/>
      <c r="P42" s="638"/>
      <c r="Q42" s="638"/>
      <c r="R42" s="638"/>
      <c r="S42" s="638"/>
      <c r="T42" s="638"/>
      <c r="U42" s="638"/>
      <c r="V42" s="638"/>
      <c r="W42" s="639"/>
      <c r="X42" s="4"/>
      <c r="Y42" s="4"/>
      <c r="Z42" s="7"/>
      <c r="AA42" s="10">
        <v>1999</v>
      </c>
      <c r="AB42" s="7">
        <v>5</v>
      </c>
      <c r="AC42" s="7">
        <v>1</v>
      </c>
      <c r="AD42" s="7">
        <v>1</v>
      </c>
    </row>
    <row r="43" spans="2:30">
      <c r="B43" s="637"/>
      <c r="C43" s="638"/>
      <c r="D43" s="638"/>
      <c r="E43" s="638"/>
      <c r="F43" s="638"/>
      <c r="G43" s="638"/>
      <c r="H43" s="638"/>
      <c r="I43" s="638"/>
      <c r="J43" s="638"/>
      <c r="K43" s="638"/>
      <c r="L43" s="638"/>
      <c r="M43" s="638"/>
      <c r="N43" s="638"/>
      <c r="O43" s="638"/>
      <c r="P43" s="638"/>
      <c r="Q43" s="638"/>
      <c r="R43" s="638"/>
      <c r="S43" s="638"/>
      <c r="T43" s="638"/>
      <c r="U43" s="638"/>
      <c r="V43" s="638"/>
      <c r="W43" s="639"/>
      <c r="X43" s="9"/>
      <c r="Y43" s="4"/>
      <c r="Z43" s="7"/>
      <c r="AA43" s="10">
        <v>2000</v>
      </c>
      <c r="AB43" s="7">
        <v>4</v>
      </c>
      <c r="AC43" s="7">
        <v>1</v>
      </c>
      <c r="AD43" s="7">
        <v>1</v>
      </c>
    </row>
    <row r="44" spans="2:30">
      <c r="B44" s="640"/>
      <c r="C44" s="641"/>
      <c r="D44" s="641"/>
      <c r="E44" s="641"/>
      <c r="F44" s="641"/>
      <c r="G44" s="641"/>
      <c r="H44" s="641"/>
      <c r="I44" s="641"/>
      <c r="J44" s="641"/>
      <c r="K44" s="641"/>
      <c r="L44" s="641"/>
      <c r="M44" s="641"/>
      <c r="N44" s="641"/>
      <c r="O44" s="641"/>
      <c r="P44" s="641"/>
      <c r="Q44" s="641"/>
      <c r="R44" s="641"/>
      <c r="S44" s="641"/>
      <c r="T44" s="641"/>
      <c r="U44" s="641"/>
      <c r="V44" s="641"/>
      <c r="W44" s="642"/>
      <c r="X44" s="32"/>
      <c r="Y44" s="32"/>
      <c r="Z44" s="7"/>
      <c r="AA44" s="10">
        <v>2001</v>
      </c>
      <c r="AB44" s="7">
        <v>0</v>
      </c>
      <c r="AC44" s="7">
        <v>0</v>
      </c>
      <c r="AD44" s="7">
        <v>0</v>
      </c>
    </row>
    <row r="45" spans="2:30">
      <c r="B45" s="643" t="s">
        <v>197</v>
      </c>
      <c r="C45" s="644"/>
      <c r="D45" s="644"/>
      <c r="E45" s="644"/>
      <c r="F45" s="644"/>
      <c r="G45" s="644"/>
      <c r="H45" s="644"/>
      <c r="I45" s="644"/>
      <c r="J45" s="644"/>
      <c r="K45" s="644"/>
      <c r="L45" s="644"/>
      <c r="M45" s="644"/>
      <c r="N45" s="644"/>
      <c r="O45" s="644"/>
      <c r="P45" s="644"/>
      <c r="Q45" s="644"/>
      <c r="R45" s="644"/>
      <c r="S45" s="644"/>
      <c r="T45" s="644"/>
      <c r="U45" s="644"/>
      <c r="V45" s="644"/>
      <c r="W45" s="645"/>
      <c r="X45" s="9"/>
      <c r="Y45" s="4"/>
      <c r="Z45" s="7"/>
      <c r="AA45" s="10">
        <v>2002</v>
      </c>
      <c r="AB45" s="7">
        <v>9</v>
      </c>
      <c r="AC45" s="7">
        <v>2</v>
      </c>
      <c r="AD45" s="7">
        <v>1</v>
      </c>
    </row>
    <row r="46" spans="2:30">
      <c r="B46" s="4"/>
      <c r="C46" s="4"/>
      <c r="D46" s="4"/>
      <c r="E46" s="4"/>
      <c r="F46" s="4"/>
      <c r="G46" s="4"/>
      <c r="H46" s="4"/>
      <c r="I46" s="4"/>
      <c r="J46" s="4"/>
      <c r="K46" s="4"/>
      <c r="L46" s="4"/>
      <c r="M46" s="4"/>
      <c r="N46" s="4"/>
      <c r="O46" s="4"/>
      <c r="P46" s="4"/>
      <c r="Q46" s="4"/>
      <c r="R46" s="9"/>
      <c r="S46" s="9"/>
      <c r="T46" s="9"/>
      <c r="U46" s="9"/>
      <c r="V46" s="9"/>
      <c r="W46" s="9"/>
      <c r="X46" s="9"/>
      <c r="Y46" s="4"/>
      <c r="Z46" s="7"/>
      <c r="AA46" s="10">
        <v>2003</v>
      </c>
      <c r="AB46" s="7">
        <v>9</v>
      </c>
      <c r="AC46" s="7">
        <v>3</v>
      </c>
      <c r="AD46" s="7">
        <v>1</v>
      </c>
    </row>
    <row r="47" spans="2:30">
      <c r="B47" s="4"/>
      <c r="C47" s="4"/>
      <c r="D47" s="4"/>
      <c r="E47" s="4"/>
      <c r="F47" s="4"/>
      <c r="G47" s="4"/>
      <c r="H47" s="4"/>
      <c r="I47" s="4"/>
      <c r="J47" s="4"/>
      <c r="K47" s="4"/>
      <c r="L47" s="4"/>
      <c r="M47" s="4"/>
      <c r="N47" s="4"/>
      <c r="O47" s="4"/>
      <c r="P47" s="4"/>
      <c r="Q47" s="4"/>
      <c r="R47" s="9"/>
      <c r="S47" s="9"/>
      <c r="T47" s="9"/>
      <c r="U47" s="9"/>
      <c r="V47" s="9"/>
      <c r="W47" s="9"/>
      <c r="X47" s="9"/>
      <c r="Y47" s="4"/>
      <c r="Z47" s="7"/>
      <c r="AA47" s="10">
        <v>2004</v>
      </c>
      <c r="AB47" s="7">
        <v>12</v>
      </c>
      <c r="AC47" s="7">
        <v>1</v>
      </c>
      <c r="AD47" s="7">
        <v>1</v>
      </c>
    </row>
    <row r="48" spans="2:30">
      <c r="B48" s="4"/>
      <c r="C48" s="4"/>
      <c r="D48" s="4"/>
      <c r="E48" s="4"/>
      <c r="F48" s="4"/>
      <c r="G48" s="4"/>
      <c r="H48" s="4"/>
      <c r="I48" s="4"/>
      <c r="J48" s="4"/>
      <c r="K48" s="4"/>
      <c r="L48" s="4"/>
      <c r="M48" s="4"/>
      <c r="N48" s="4"/>
      <c r="O48" s="4"/>
      <c r="P48" s="4"/>
      <c r="Q48" s="4"/>
      <c r="R48" s="9"/>
      <c r="S48" s="9"/>
      <c r="T48" s="9"/>
      <c r="U48" s="9"/>
      <c r="V48" s="9"/>
      <c r="W48" s="9"/>
      <c r="X48" s="9"/>
      <c r="Y48" s="4"/>
      <c r="Z48" s="7"/>
      <c r="AA48" s="10">
        <v>2005</v>
      </c>
      <c r="AB48" s="7">
        <v>4</v>
      </c>
      <c r="AC48" s="7">
        <v>3</v>
      </c>
      <c r="AD48" s="7">
        <v>0</v>
      </c>
    </row>
    <row r="49" spans="27:30">
      <c r="AA49" s="10">
        <v>2006</v>
      </c>
      <c r="AB49" s="7">
        <v>2</v>
      </c>
      <c r="AC49" s="7">
        <v>0</v>
      </c>
      <c r="AD49" s="7">
        <v>0</v>
      </c>
    </row>
    <row r="50" spans="27:30">
      <c r="AA50" s="10">
        <v>2007</v>
      </c>
      <c r="AB50" s="7">
        <v>5</v>
      </c>
      <c r="AC50" s="7">
        <v>0</v>
      </c>
      <c r="AD50" s="7">
        <v>1</v>
      </c>
    </row>
    <row r="51" spans="27:30">
      <c r="AA51" s="10">
        <v>2008</v>
      </c>
      <c r="AB51" s="7">
        <v>2</v>
      </c>
      <c r="AC51" s="7">
        <v>1</v>
      </c>
      <c r="AD51" s="7">
        <v>1</v>
      </c>
    </row>
    <row r="52" spans="27:30">
      <c r="AA52" s="10">
        <v>2009</v>
      </c>
      <c r="AB52" s="7">
        <v>1</v>
      </c>
      <c r="AC52" s="7">
        <v>1</v>
      </c>
      <c r="AD52" s="7">
        <v>0</v>
      </c>
    </row>
    <row r="53" spans="27:30">
      <c r="AA53" s="10">
        <v>2010</v>
      </c>
      <c r="AB53" s="7">
        <v>1</v>
      </c>
      <c r="AC53" s="7">
        <v>0</v>
      </c>
      <c r="AD53" s="7">
        <v>0</v>
      </c>
    </row>
    <row r="54" spans="27:30">
      <c r="AA54" s="10">
        <v>2011</v>
      </c>
      <c r="AB54" s="7">
        <v>1</v>
      </c>
      <c r="AC54" s="7">
        <v>0</v>
      </c>
      <c r="AD54" s="7">
        <v>0</v>
      </c>
    </row>
    <row r="55" spans="27:30">
      <c r="AA55" s="10">
        <v>2012</v>
      </c>
      <c r="AB55" s="7">
        <v>1</v>
      </c>
      <c r="AC55" s="7">
        <v>0</v>
      </c>
      <c r="AD55" s="7">
        <v>0</v>
      </c>
    </row>
    <row r="56" spans="27:30">
      <c r="AA56" s="10">
        <v>2013</v>
      </c>
      <c r="AB56" s="7">
        <v>2</v>
      </c>
      <c r="AC56" s="7">
        <v>0</v>
      </c>
      <c r="AD56" s="7">
        <v>1</v>
      </c>
    </row>
    <row r="57" spans="27:30">
      <c r="AA57" s="10">
        <v>2014</v>
      </c>
      <c r="AB57" s="7">
        <v>5</v>
      </c>
      <c r="AC57" s="7">
        <v>2</v>
      </c>
      <c r="AD57" s="7">
        <v>1</v>
      </c>
    </row>
    <row r="58" spans="27:30">
      <c r="AA58" s="10">
        <v>2015</v>
      </c>
      <c r="AB58" s="7">
        <v>8</v>
      </c>
      <c r="AC58" s="7">
        <v>1</v>
      </c>
      <c r="AD58" s="7">
        <v>0</v>
      </c>
    </row>
    <row r="59" spans="27:30">
      <c r="AA59" s="10">
        <v>2016</v>
      </c>
      <c r="AB59" s="7">
        <v>1</v>
      </c>
      <c r="AC59" s="7">
        <v>1</v>
      </c>
      <c r="AD59" s="7">
        <v>1</v>
      </c>
    </row>
    <row r="60" spans="27:30">
      <c r="AA60" s="10">
        <v>2017</v>
      </c>
      <c r="AB60" s="7">
        <v>13</v>
      </c>
      <c r="AC60" s="7">
        <v>2</v>
      </c>
      <c r="AD60" s="7">
        <v>0</v>
      </c>
    </row>
    <row r="61" spans="27:30">
      <c r="AA61" s="10">
        <v>2018</v>
      </c>
      <c r="AB61" s="7">
        <v>6</v>
      </c>
      <c r="AC61" s="7">
        <v>0</v>
      </c>
      <c r="AD61" s="7">
        <v>0</v>
      </c>
    </row>
    <row r="62" spans="27:30">
      <c r="AA62" s="10">
        <v>2019</v>
      </c>
      <c r="AB62" s="7">
        <v>0</v>
      </c>
      <c r="AC62" s="7">
        <v>1</v>
      </c>
      <c r="AD62" s="7">
        <v>0</v>
      </c>
    </row>
    <row r="63" spans="27:30">
      <c r="AA63" s="10">
        <v>2020</v>
      </c>
      <c r="AB63" s="7">
        <v>5</v>
      </c>
      <c r="AC63" s="7">
        <v>5</v>
      </c>
      <c r="AD63" s="7">
        <v>3</v>
      </c>
    </row>
  </sheetData>
  <mergeCells count="11">
    <mergeCell ref="T19:W19"/>
    <mergeCell ref="B40:W44"/>
    <mergeCell ref="B45:W45"/>
    <mergeCell ref="D18:F18"/>
    <mergeCell ref="H18:J18"/>
    <mergeCell ref="L18:N18"/>
    <mergeCell ref="P18:R18"/>
    <mergeCell ref="D19:F19"/>
    <mergeCell ref="H19:J19"/>
    <mergeCell ref="L19:N19"/>
    <mergeCell ref="P19:R19"/>
  </mergeCells>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ACF5-5FB2-4908-8B7C-C9B66F915E15}">
  <sheetPr>
    <tabColor theme="5" tint="0.79998168889431442"/>
  </sheetPr>
  <dimension ref="A1:D56"/>
  <sheetViews>
    <sheetView workbookViewId="0">
      <selection activeCell="D8" sqref="D8"/>
    </sheetView>
  </sheetViews>
  <sheetFormatPr defaultColWidth="8.7109375" defaultRowHeight="15"/>
  <cols>
    <col min="1" max="1" width="18.42578125" bestFit="1" customWidth="1"/>
    <col min="2" max="2" width="15.42578125" bestFit="1" customWidth="1"/>
    <col min="3" max="3" width="14" bestFit="1" customWidth="1"/>
    <col min="4" max="4" width="13.7109375" bestFit="1" customWidth="1"/>
  </cols>
  <sheetData>
    <row r="1" spans="1:4">
      <c r="A1" t="s">
        <v>377</v>
      </c>
      <c r="B1" s="1" t="s">
        <v>380</v>
      </c>
      <c r="C1" s="1"/>
    </row>
    <row r="2" spans="1:4">
      <c r="A2" s="37">
        <v>2020</v>
      </c>
      <c r="B2" s="3" t="s">
        <v>381</v>
      </c>
      <c r="C2" s="3" t="s">
        <v>382</v>
      </c>
      <c r="D2" s="3" t="s">
        <v>383</v>
      </c>
    </row>
    <row r="3" spans="1:4">
      <c r="A3" s="2" t="s">
        <v>103</v>
      </c>
      <c r="B3" s="40">
        <f>'Frequency 2020 Values'!B9</f>
        <v>16.197801999999999</v>
      </c>
      <c r="C3" s="40">
        <f>'Frequency 2020 Values'!C9</f>
        <v>5.6345573</v>
      </c>
      <c r="D3" s="40">
        <f>'Frequency 2020 Values'!D9</f>
        <v>1.1277885622999999</v>
      </c>
    </row>
    <row r="4" spans="1:4">
      <c r="A4" s="2" t="s">
        <v>105</v>
      </c>
      <c r="B4" s="40">
        <f>B3</f>
        <v>16.197801999999999</v>
      </c>
      <c r="C4" s="40">
        <f t="shared" ref="C4:D4" si="0">C3</f>
        <v>5.6345573</v>
      </c>
      <c r="D4" s="40">
        <f t="shared" si="0"/>
        <v>1.1277885622999999</v>
      </c>
    </row>
    <row r="5" spans="1:4">
      <c r="A5" s="38" t="s">
        <v>107</v>
      </c>
      <c r="B5" s="40">
        <f t="shared" ref="B5:B6" si="1">B4</f>
        <v>16.197801999999999</v>
      </c>
      <c r="C5" s="40">
        <f t="shared" ref="C5:C6" si="2">C4</f>
        <v>5.6345573</v>
      </c>
      <c r="D5" s="40">
        <f t="shared" ref="D5:D6" si="3">D4</f>
        <v>1.1277885622999999</v>
      </c>
    </row>
    <row r="6" spans="1:4">
      <c r="A6" s="39" t="s">
        <v>109</v>
      </c>
      <c r="B6" s="41">
        <f t="shared" si="1"/>
        <v>16.197801999999999</v>
      </c>
      <c r="C6" s="41">
        <f t="shared" si="2"/>
        <v>5.6345573</v>
      </c>
      <c r="D6" s="41">
        <f t="shared" si="3"/>
        <v>1.1277885622999999</v>
      </c>
    </row>
    <row r="7" spans="1:4">
      <c r="A7" s="37">
        <v>2021</v>
      </c>
      <c r="B7" s="3" t="s">
        <v>381</v>
      </c>
      <c r="C7" s="3" t="s">
        <v>382</v>
      </c>
      <c r="D7" s="3" t="s">
        <v>383</v>
      </c>
    </row>
    <row r="8" spans="1:4">
      <c r="A8" s="2" t="s">
        <v>103</v>
      </c>
      <c r="B8" s="40">
        <f>'High Risk Scenarios'!$D$21+($A7-$A$2)*('High Risk Scenarios'!$D$22-'High Risk Scenarios'!$D$21)/('High Risk Scenarios'!$B$22-'High Risk Scenarios'!$B$21)</f>
        <v>16.374400000000001</v>
      </c>
      <c r="C8" s="40">
        <f>'High Risk Scenarios'!$E$21+($A7-$A$2)*('High Risk Scenarios'!$E$22-'High Risk Scenarios'!$E$21)/('High Risk Scenarios'!$B$22-'High Risk Scenarios'!$B$21)</f>
        <v>5.6963999999999997</v>
      </c>
      <c r="D8" s="40">
        <f>'High Risk Scenarios'!$F$21+($A7-$A$2)*('High Risk Scenarios'!$F$22-'High Risk Scenarios'!$F$21)/('High Risk Scenarios'!$B$22-'High Risk Scenarios'!$B$21)</f>
        <v>1.1402999999999999</v>
      </c>
    </row>
    <row r="9" spans="1:4">
      <c r="A9" s="2" t="s">
        <v>105</v>
      </c>
      <c r="B9" s="40">
        <f>'High Risk Scenarios'!$H$21+($A7-$A$2)*('High Risk Scenarios'!$H$22-'High Risk Scenarios'!$H$21)/('High Risk Scenarios'!$B$22-'High Risk Scenarios'!$B$21)</f>
        <v>16.398</v>
      </c>
      <c r="C9" s="40">
        <f>'High Risk Scenarios'!$I$21+($A7-$A$2)*('High Risk Scenarios'!$I$22-'High Risk Scenarios'!$I$21)/('High Risk Scenarios'!$B$22-'High Risk Scenarios'!$B$21)</f>
        <v>5.7046000000000001</v>
      </c>
      <c r="D9" s="40">
        <f>'High Risk Scenarios'!$J$21+($A7-$A$2)*('High Risk Scenarios'!$J$22-'High Risk Scenarios'!$J$21)/('High Risk Scenarios'!$B$22-'High Risk Scenarios'!$B$21)</f>
        <v>1.1418999999999999</v>
      </c>
    </row>
    <row r="10" spans="1:4">
      <c r="A10" s="38" t="s">
        <v>107</v>
      </c>
      <c r="B10" s="40">
        <f>'High Risk Scenarios'!$L$21+($A7-$A$2)*('High Risk Scenarios'!$L$22-'High Risk Scenarios'!$L$21)/('High Risk Scenarios'!$B$22-'High Risk Scenarios'!$B$21)</f>
        <v>16.451699999999999</v>
      </c>
      <c r="C10" s="40">
        <f>'High Risk Scenarios'!$M$21+($A7-$A$2)*('High Risk Scenarios'!$M$22-'High Risk Scenarios'!$M$21)/('High Risk Scenarios'!$B$22-'High Risk Scenarios'!$B$21)</f>
        <v>5.7233000000000001</v>
      </c>
      <c r="D10" s="40">
        <f>'High Risk Scenarios'!$N$21+($A7-$A$2)*('High Risk Scenarios'!$N$22-'High Risk Scenarios'!$N$21)/('High Risk Scenarios'!$B$22-'High Risk Scenarios'!$B$21)</f>
        <v>1.1456999999999999</v>
      </c>
    </row>
    <row r="11" spans="1:4">
      <c r="A11" s="39" t="s">
        <v>109</v>
      </c>
      <c r="B11" s="41">
        <f>'High Risk Scenarios'!$P$21+($A7-$A$2)*('High Risk Scenarios'!$P$22-'High Risk Scenarios'!$P$21)/('High Risk Scenarios'!$B$22-'High Risk Scenarios'!$B$21)</f>
        <v>16.485500000000002</v>
      </c>
      <c r="C11" s="41">
        <f>'High Risk Scenarios'!$Q$21+($A7-$A$2)*('High Risk Scenarios'!$Q$22-'High Risk Scenarios'!$Q$21)/('High Risk Scenarios'!$B$22-'High Risk Scenarios'!$B$21)</f>
        <v>5.7349999999999994</v>
      </c>
      <c r="D11" s="41">
        <f>'High Risk Scenarios'!$R$21+($A7-$A$2)*('High Risk Scenarios'!$R$22-'High Risk Scenarios'!$R$21)/('High Risk Scenarios'!$B$22-'High Risk Scenarios'!$B$21)</f>
        <v>1.1479999999999999</v>
      </c>
    </row>
    <row r="12" spans="1:4">
      <c r="A12" s="37">
        <v>2022</v>
      </c>
      <c r="B12" s="3" t="s">
        <v>381</v>
      </c>
      <c r="C12" s="3" t="s">
        <v>382</v>
      </c>
      <c r="D12" s="3" t="s">
        <v>383</v>
      </c>
    </row>
    <row r="13" spans="1:4">
      <c r="A13" s="2" t="s">
        <v>103</v>
      </c>
      <c r="B13" s="40">
        <f>'High Risk Scenarios'!$D$21+($A12-$A$2)*('High Risk Scenarios'!$D$22-'High Risk Scenarios'!$D$21)/('High Risk Scenarios'!$B$22-'High Risk Scenarios'!$B$21)</f>
        <v>16.550799999999999</v>
      </c>
      <c r="C13" s="40">
        <f>'High Risk Scenarios'!$E$21+($A12-$A$2)*('High Risk Scenarios'!$E$22-'High Risk Scenarios'!$E$21)/('High Risk Scenarios'!$B$22-'High Risk Scenarios'!$B$21)</f>
        <v>5.7577999999999996</v>
      </c>
      <c r="D13" s="40">
        <f>'High Risk Scenarios'!$F$21+($A12-$A$2)*('High Risk Scenarios'!$F$22-'High Risk Scenarios'!$F$21)/('High Risk Scenarios'!$B$22-'High Risk Scenarios'!$B$21)</f>
        <v>1.1525999999999998</v>
      </c>
    </row>
    <row r="14" spans="1:4">
      <c r="A14" s="2" t="s">
        <v>105</v>
      </c>
      <c r="B14" s="40">
        <f>'High Risk Scenarios'!$H$21+($A12-$A$2)*('High Risk Scenarios'!$H$22-'High Risk Scenarios'!$H$21)/('High Risk Scenarios'!$B$22-'High Risk Scenarios'!$B$21)</f>
        <v>16.597999999999999</v>
      </c>
      <c r="C14" s="40">
        <f>'High Risk Scenarios'!$I$21+($A12-$A$2)*('High Risk Scenarios'!$I$22-'High Risk Scenarios'!$I$21)/('High Risk Scenarios'!$B$22-'High Risk Scenarios'!$B$21)</f>
        <v>5.7741999999999996</v>
      </c>
      <c r="D14" s="40">
        <f>'High Risk Scenarios'!$J$21+($A12-$A$2)*('High Risk Scenarios'!$J$22-'High Risk Scenarios'!$J$21)/('High Risk Scenarios'!$B$22-'High Risk Scenarios'!$B$21)</f>
        <v>1.1557999999999999</v>
      </c>
    </row>
    <row r="15" spans="1:4">
      <c r="A15" s="38" t="s">
        <v>107</v>
      </c>
      <c r="B15" s="40">
        <f>'High Risk Scenarios'!$L$21+($A12-$A$2)*('High Risk Scenarios'!$L$22-'High Risk Scenarios'!$L$21)/('High Risk Scenarios'!$B$22-'High Risk Scenarios'!$B$21)</f>
        <v>16.705400000000001</v>
      </c>
      <c r="C15" s="40">
        <f>'High Risk Scenarios'!$M$21+($A12-$A$2)*('High Risk Scenarios'!$M$22-'High Risk Scenarios'!$M$21)/('High Risk Scenarios'!$B$22-'High Risk Scenarios'!$B$21)</f>
        <v>5.8115999999999994</v>
      </c>
      <c r="D15" s="40">
        <f>'High Risk Scenarios'!$N$21+($A12-$A$2)*('High Risk Scenarios'!$N$22-'High Risk Scenarios'!$N$21)/('High Risk Scenarios'!$B$22-'High Risk Scenarios'!$B$21)</f>
        <v>1.1634</v>
      </c>
    </row>
    <row r="16" spans="1:4">
      <c r="A16" s="39" t="s">
        <v>109</v>
      </c>
      <c r="B16" s="41">
        <f>'High Risk Scenarios'!$P$21+($A12-$A$2)*('High Risk Scenarios'!$P$22-'High Risk Scenarios'!$P$21)/('High Risk Scenarios'!$B$22-'High Risk Scenarios'!$B$21)</f>
        <v>16.773</v>
      </c>
      <c r="C16" s="41">
        <f>'High Risk Scenarios'!$Q$21+($A12-$A$2)*('High Risk Scenarios'!$Q$22-'High Risk Scenarios'!$Q$21)/('High Risk Scenarios'!$B$22-'High Risk Scenarios'!$B$21)</f>
        <v>5.835</v>
      </c>
      <c r="D16" s="41">
        <f>'High Risk Scenarios'!$R$21+($A12-$A$2)*('High Risk Scenarios'!$R$22-'High Risk Scenarios'!$R$21)/('High Risk Scenarios'!$B$22-'High Risk Scenarios'!$B$21)</f>
        <v>1.1679999999999999</v>
      </c>
    </row>
    <row r="17" spans="1:4">
      <c r="A17" s="37">
        <v>2023</v>
      </c>
      <c r="B17" s="3" t="s">
        <v>381</v>
      </c>
      <c r="C17" s="3" t="s">
        <v>382</v>
      </c>
      <c r="D17" s="3" t="s">
        <v>383</v>
      </c>
    </row>
    <row r="18" spans="1:4">
      <c r="A18" s="2" t="s">
        <v>103</v>
      </c>
      <c r="B18" s="40">
        <f>'High Risk Scenarios'!$D$21+($A17-$A$2)*('High Risk Scenarios'!$D$22-'High Risk Scenarios'!$D$21)/('High Risk Scenarios'!$B$22-'High Risk Scenarios'!$B$21)</f>
        <v>16.7272</v>
      </c>
      <c r="C18" s="40">
        <f>'High Risk Scenarios'!$E$21+($A17-$A$2)*('High Risk Scenarios'!$E$22-'High Risk Scenarios'!$E$21)/('High Risk Scenarios'!$B$22-'High Risk Scenarios'!$B$21)</f>
        <v>5.8191999999999995</v>
      </c>
      <c r="D18" s="40">
        <f>'High Risk Scenarios'!$F$21+($A17-$A$2)*('High Risk Scenarios'!$F$22-'High Risk Scenarios'!$F$21)/('High Risk Scenarios'!$B$22-'High Risk Scenarios'!$B$21)</f>
        <v>1.1648999999999998</v>
      </c>
    </row>
    <row r="19" spans="1:4">
      <c r="A19" s="2" t="s">
        <v>105</v>
      </c>
      <c r="B19" s="40">
        <f>'High Risk Scenarios'!$H$21+($A17-$A$2)*('High Risk Scenarios'!$H$22-'High Risk Scenarios'!$H$21)/('High Risk Scenarios'!$B$22-'High Risk Scenarios'!$B$21)</f>
        <v>16.798000000000002</v>
      </c>
      <c r="C19" s="40">
        <f>'High Risk Scenarios'!$I$21+($A17-$A$2)*('High Risk Scenarios'!$I$22-'High Risk Scenarios'!$I$21)/('High Risk Scenarios'!$B$22-'High Risk Scenarios'!$B$21)</f>
        <v>5.8437999999999999</v>
      </c>
      <c r="D19" s="40">
        <f>'High Risk Scenarios'!$J$21+($A17-$A$2)*('High Risk Scenarios'!$J$22-'High Risk Scenarios'!$J$21)/('High Risk Scenarios'!$B$22-'High Risk Scenarios'!$B$21)</f>
        <v>1.1697</v>
      </c>
    </row>
    <row r="20" spans="1:4">
      <c r="A20" s="38" t="s">
        <v>107</v>
      </c>
      <c r="B20" s="40">
        <f>'High Risk Scenarios'!$L$21+($A17-$A$2)*('High Risk Scenarios'!$L$22-'High Risk Scenarios'!$L$21)/('High Risk Scenarios'!$B$22-'High Risk Scenarios'!$B$21)</f>
        <v>16.959099999999999</v>
      </c>
      <c r="C20" s="40">
        <f>'High Risk Scenarios'!$M$21+($A17-$A$2)*('High Risk Scenarios'!$M$22-'High Risk Scenarios'!$M$21)/('High Risk Scenarios'!$B$22-'High Risk Scenarios'!$B$21)</f>
        <v>5.8998999999999997</v>
      </c>
      <c r="D20" s="40">
        <f>'High Risk Scenarios'!$N$21+($A17-$A$2)*('High Risk Scenarios'!$N$22-'High Risk Scenarios'!$N$21)/('High Risk Scenarios'!$B$22-'High Risk Scenarios'!$B$21)</f>
        <v>1.1810999999999998</v>
      </c>
    </row>
    <row r="21" spans="1:4">
      <c r="A21" s="39" t="s">
        <v>109</v>
      </c>
      <c r="B21" s="41">
        <f>'High Risk Scenarios'!$P$21+($A17-$A$2)*('High Risk Scenarios'!$P$22-'High Risk Scenarios'!$P$21)/('High Risk Scenarios'!$B$22-'High Risk Scenarios'!$B$21)</f>
        <v>17.060500000000001</v>
      </c>
      <c r="C21" s="41">
        <f>'High Risk Scenarios'!$Q$21+($A17-$A$2)*('High Risk Scenarios'!$Q$22-'High Risk Scenarios'!$Q$21)/('High Risk Scenarios'!$B$22-'High Risk Scenarios'!$B$21)</f>
        <v>5.9349999999999996</v>
      </c>
      <c r="D21" s="41">
        <f>'High Risk Scenarios'!$R$21+($A17-$A$2)*('High Risk Scenarios'!$R$22-'High Risk Scenarios'!$R$21)/('High Risk Scenarios'!$B$22-'High Risk Scenarios'!$B$21)</f>
        <v>1.1879999999999999</v>
      </c>
    </row>
    <row r="22" spans="1:4">
      <c r="A22" s="37">
        <v>2024</v>
      </c>
      <c r="B22" s="3" t="s">
        <v>381</v>
      </c>
      <c r="C22" s="3" t="s">
        <v>382</v>
      </c>
      <c r="D22" s="3" t="s">
        <v>383</v>
      </c>
    </row>
    <row r="23" spans="1:4">
      <c r="A23" s="2" t="s">
        <v>103</v>
      </c>
      <c r="B23" s="40">
        <f>'High Risk Scenarios'!$D$21+($A22-$A$2)*('High Risk Scenarios'!$D$22-'High Risk Scenarios'!$D$21)/('High Risk Scenarios'!$B$22-'High Risk Scenarios'!$B$21)</f>
        <v>16.903600000000001</v>
      </c>
      <c r="C23" s="40">
        <f>'High Risk Scenarios'!$E$21+($A22-$A$2)*('High Risk Scenarios'!$E$22-'High Risk Scenarios'!$E$21)/('High Risk Scenarios'!$B$22-'High Risk Scenarios'!$B$21)</f>
        <v>5.8805999999999994</v>
      </c>
      <c r="D23" s="40">
        <f>'High Risk Scenarios'!$F$21+($A22-$A$2)*('High Risk Scenarios'!$F$22-'High Risk Scenarios'!$F$21)/('High Risk Scenarios'!$B$22-'High Risk Scenarios'!$B$21)</f>
        <v>1.1771999999999998</v>
      </c>
    </row>
    <row r="24" spans="1:4">
      <c r="A24" s="2" t="s">
        <v>105</v>
      </c>
      <c r="B24" s="40">
        <f>'High Risk Scenarios'!$H$21+($A22-$A$2)*('High Risk Scenarios'!$H$22-'High Risk Scenarios'!$H$21)/('High Risk Scenarios'!$B$22-'High Risk Scenarios'!$B$21)</f>
        <v>16.998000000000001</v>
      </c>
      <c r="C24" s="40">
        <f>'High Risk Scenarios'!$I$21+($A22-$A$2)*('High Risk Scenarios'!$I$22-'High Risk Scenarios'!$I$21)/('High Risk Scenarios'!$B$22-'High Risk Scenarios'!$B$21)</f>
        <v>5.9134000000000002</v>
      </c>
      <c r="D24" s="40">
        <f>'High Risk Scenarios'!$J$21+($A22-$A$2)*('High Risk Scenarios'!$J$22-'High Risk Scenarios'!$J$21)/('High Risk Scenarios'!$B$22-'High Risk Scenarios'!$B$21)</f>
        <v>1.1836</v>
      </c>
    </row>
    <row r="25" spans="1:4">
      <c r="A25" s="38" t="s">
        <v>107</v>
      </c>
      <c r="B25" s="40">
        <f>'High Risk Scenarios'!$L$21+($A22-$A$2)*('High Risk Scenarios'!$L$22-'High Risk Scenarios'!$L$21)/('High Risk Scenarios'!$B$22-'High Risk Scenarios'!$B$21)</f>
        <v>17.212800000000001</v>
      </c>
      <c r="C25" s="40">
        <f>'High Risk Scenarios'!$M$21+($A22-$A$2)*('High Risk Scenarios'!$M$22-'High Risk Scenarios'!$M$21)/('High Risk Scenarios'!$B$22-'High Risk Scenarios'!$B$21)</f>
        <v>5.9882</v>
      </c>
      <c r="D25" s="40">
        <f>'High Risk Scenarios'!$N$21+($A22-$A$2)*('High Risk Scenarios'!$N$22-'High Risk Scenarios'!$N$21)/('High Risk Scenarios'!$B$22-'High Risk Scenarios'!$B$21)</f>
        <v>1.1987999999999999</v>
      </c>
    </row>
    <row r="26" spans="1:4">
      <c r="A26" s="39" t="s">
        <v>109</v>
      </c>
      <c r="B26" s="41">
        <f>'High Risk Scenarios'!$P$21+($A22-$A$2)*('High Risk Scenarios'!$P$22-'High Risk Scenarios'!$P$21)/('High Risk Scenarios'!$B$22-'High Risk Scenarios'!$B$21)</f>
        <v>17.347999999999999</v>
      </c>
      <c r="C26" s="41">
        <f>'High Risk Scenarios'!$Q$21+($A22-$A$2)*('High Risk Scenarios'!$Q$22-'High Risk Scenarios'!$Q$21)/('High Risk Scenarios'!$B$22-'High Risk Scenarios'!$B$21)</f>
        <v>6.0350000000000001</v>
      </c>
      <c r="D26" s="41">
        <f>'High Risk Scenarios'!$R$21+($A22-$A$2)*('High Risk Scenarios'!$R$22-'High Risk Scenarios'!$R$21)/('High Risk Scenarios'!$B$22-'High Risk Scenarios'!$B$21)</f>
        <v>1.208</v>
      </c>
    </row>
    <row r="27" spans="1:4">
      <c r="A27" s="37">
        <v>2025</v>
      </c>
      <c r="B27" s="3" t="s">
        <v>381</v>
      </c>
      <c r="C27" s="3" t="s">
        <v>382</v>
      </c>
      <c r="D27" s="3" t="s">
        <v>383</v>
      </c>
    </row>
    <row r="28" spans="1:4">
      <c r="A28" s="2" t="s">
        <v>103</v>
      </c>
      <c r="B28" s="40">
        <f>'High Risk Scenarios'!$D$21+($A27-$A$2)*('High Risk Scenarios'!$D$22-'High Risk Scenarios'!$D$21)/('High Risk Scenarios'!$B$22-'High Risk Scenarios'!$B$21)</f>
        <v>17.079999999999998</v>
      </c>
      <c r="C28" s="40">
        <f>'High Risk Scenarios'!$E$21+($A27-$A$2)*('High Risk Scenarios'!$E$22-'High Risk Scenarios'!$E$21)/('High Risk Scenarios'!$B$22-'High Risk Scenarios'!$B$21)</f>
        <v>5.9420000000000002</v>
      </c>
      <c r="D28" s="40">
        <f>'High Risk Scenarios'!$F$21+($A27-$A$2)*('High Risk Scenarios'!$F$22-'High Risk Scenarios'!$F$21)/('High Risk Scenarios'!$B$22-'High Risk Scenarios'!$B$21)</f>
        <v>1.1894999999999998</v>
      </c>
    </row>
    <row r="29" spans="1:4">
      <c r="A29" s="2" t="s">
        <v>105</v>
      </c>
      <c r="B29" s="40">
        <f>'High Risk Scenarios'!$H$21+($A27-$A$2)*('High Risk Scenarios'!$H$22-'High Risk Scenarios'!$H$21)/('High Risk Scenarios'!$B$22-'High Risk Scenarios'!$B$21)</f>
        <v>17.198</v>
      </c>
      <c r="C29" s="40">
        <f>'High Risk Scenarios'!$I$21+($A27-$A$2)*('High Risk Scenarios'!$I$22-'High Risk Scenarios'!$I$21)/('High Risk Scenarios'!$B$22-'High Risk Scenarios'!$B$21)</f>
        <v>5.9830000000000005</v>
      </c>
      <c r="D29" s="40">
        <f>'High Risk Scenarios'!$J$21+($A27-$A$2)*('High Risk Scenarios'!$J$22-'High Risk Scenarios'!$J$21)/('High Risk Scenarios'!$B$22-'High Risk Scenarios'!$B$21)</f>
        <v>1.1974999999999998</v>
      </c>
    </row>
    <row r="30" spans="1:4">
      <c r="A30" s="38" t="s">
        <v>107</v>
      </c>
      <c r="B30" s="40">
        <f>'High Risk Scenarios'!$L$21+($A27-$A$2)*('High Risk Scenarios'!$L$22-'High Risk Scenarios'!$L$21)/('High Risk Scenarios'!$B$22-'High Risk Scenarios'!$B$21)</f>
        <v>17.4665</v>
      </c>
      <c r="C30" s="40">
        <f>'High Risk Scenarios'!$M$21+($A27-$A$2)*('High Risk Scenarios'!$M$22-'High Risk Scenarios'!$M$21)/('High Risk Scenarios'!$B$22-'High Risk Scenarios'!$B$21)</f>
        <v>6.0764999999999993</v>
      </c>
      <c r="D30" s="40">
        <f>'High Risk Scenarios'!$N$21+($A27-$A$2)*('High Risk Scenarios'!$N$22-'High Risk Scenarios'!$N$21)/('High Risk Scenarios'!$B$22-'High Risk Scenarios'!$B$21)</f>
        <v>1.2164999999999999</v>
      </c>
    </row>
    <row r="31" spans="1:4">
      <c r="A31" s="39" t="s">
        <v>109</v>
      </c>
      <c r="B31" s="41">
        <f>'High Risk Scenarios'!$P$21+($A27-$A$2)*('High Risk Scenarios'!$P$22-'High Risk Scenarios'!$P$21)/('High Risk Scenarios'!$B$22-'High Risk Scenarios'!$B$21)</f>
        <v>17.6355</v>
      </c>
      <c r="C31" s="41">
        <f>'High Risk Scenarios'!$Q$21+($A27-$A$2)*('High Risk Scenarios'!$Q$22-'High Risk Scenarios'!$Q$21)/('High Risk Scenarios'!$B$22-'High Risk Scenarios'!$B$21)</f>
        <v>6.1349999999999998</v>
      </c>
      <c r="D31" s="41">
        <f>'High Risk Scenarios'!$R$21+($A27-$A$2)*('High Risk Scenarios'!$R$22-'High Risk Scenarios'!$R$21)/('High Risk Scenarios'!$B$22-'High Risk Scenarios'!$B$21)</f>
        <v>1.228</v>
      </c>
    </row>
    <row r="32" spans="1:4">
      <c r="A32" s="37">
        <v>2026</v>
      </c>
      <c r="B32" s="3" t="s">
        <v>381</v>
      </c>
      <c r="C32" s="3" t="s">
        <v>382</v>
      </c>
      <c r="D32" s="3" t="s">
        <v>383</v>
      </c>
    </row>
    <row r="33" spans="1:4">
      <c r="A33" s="2" t="s">
        <v>103</v>
      </c>
      <c r="B33" s="40">
        <f>'High Risk Scenarios'!$D$21+($A32-$A$2)*('High Risk Scenarios'!$D$22-'High Risk Scenarios'!$D$21)/('High Risk Scenarios'!$B$22-'High Risk Scenarios'!$B$21)</f>
        <v>17.256399999999999</v>
      </c>
      <c r="C33" s="40">
        <f>'High Risk Scenarios'!$E$21+($A32-$A$2)*('High Risk Scenarios'!$E$22-'High Risk Scenarios'!$E$21)/('High Risk Scenarios'!$B$22-'High Risk Scenarios'!$B$21)</f>
        <v>6.0034000000000001</v>
      </c>
      <c r="D33" s="40">
        <f>'High Risk Scenarios'!$F$21+($A32-$A$2)*('High Risk Scenarios'!$F$22-'High Risk Scenarios'!$F$21)/('High Risk Scenarios'!$B$22-'High Risk Scenarios'!$B$21)</f>
        <v>1.2018</v>
      </c>
    </row>
    <row r="34" spans="1:4">
      <c r="A34" s="2" t="s">
        <v>105</v>
      </c>
      <c r="B34" s="40">
        <f>'High Risk Scenarios'!$H$21+($A32-$A$2)*('High Risk Scenarios'!$H$22-'High Risk Scenarios'!$H$21)/('High Risk Scenarios'!$B$22-'High Risk Scenarios'!$B$21)</f>
        <v>17.398</v>
      </c>
      <c r="C34" s="40">
        <f>'High Risk Scenarios'!$I$21+($A32-$A$2)*('High Risk Scenarios'!$I$22-'High Risk Scenarios'!$I$21)/('High Risk Scenarios'!$B$22-'High Risk Scenarios'!$B$21)</f>
        <v>6.0526</v>
      </c>
      <c r="D34" s="40">
        <f>'High Risk Scenarios'!$J$21+($A32-$A$2)*('High Risk Scenarios'!$J$22-'High Risk Scenarios'!$J$21)/('High Risk Scenarios'!$B$22-'High Risk Scenarios'!$B$21)</f>
        <v>1.2113999999999998</v>
      </c>
    </row>
    <row r="35" spans="1:4">
      <c r="A35" s="38" t="s">
        <v>107</v>
      </c>
      <c r="B35" s="40">
        <f>'High Risk Scenarios'!$L$21+($A32-$A$2)*('High Risk Scenarios'!$L$22-'High Risk Scenarios'!$L$21)/('High Risk Scenarios'!$B$22-'High Risk Scenarios'!$B$21)</f>
        <v>17.720199999999998</v>
      </c>
      <c r="C35" s="40">
        <f>'High Risk Scenarios'!$M$21+($A32-$A$2)*('High Risk Scenarios'!$M$22-'High Risk Scenarios'!$M$21)/('High Risk Scenarios'!$B$22-'High Risk Scenarios'!$B$21)</f>
        <v>6.1647999999999996</v>
      </c>
      <c r="D35" s="40">
        <f>'High Risk Scenarios'!$N$21+($A32-$A$2)*('High Risk Scenarios'!$N$22-'High Risk Scenarios'!$N$21)/('High Risk Scenarios'!$B$22-'High Risk Scenarios'!$B$21)</f>
        <v>1.2342</v>
      </c>
    </row>
    <row r="36" spans="1:4">
      <c r="A36" s="39" t="s">
        <v>109</v>
      </c>
      <c r="B36" s="41">
        <f>'High Risk Scenarios'!$P$21+($A32-$A$2)*('High Risk Scenarios'!$P$22-'High Risk Scenarios'!$P$21)/('High Risk Scenarios'!$B$22-'High Risk Scenarios'!$B$21)</f>
        <v>17.923000000000002</v>
      </c>
      <c r="C36" s="41">
        <f>'High Risk Scenarios'!$Q$21+($A32-$A$2)*('High Risk Scenarios'!$Q$22-'High Risk Scenarios'!$Q$21)/('High Risk Scenarios'!$B$22-'High Risk Scenarios'!$B$21)</f>
        <v>6.2349999999999994</v>
      </c>
      <c r="D36" s="41">
        <f>'High Risk Scenarios'!$R$21+($A32-$A$2)*('High Risk Scenarios'!$R$22-'High Risk Scenarios'!$R$21)/('High Risk Scenarios'!$B$22-'High Risk Scenarios'!$B$21)</f>
        <v>1.248</v>
      </c>
    </row>
    <row r="37" spans="1:4">
      <c r="A37" s="37">
        <v>2027</v>
      </c>
      <c r="B37" s="3" t="s">
        <v>381</v>
      </c>
      <c r="C37" s="3" t="s">
        <v>382</v>
      </c>
      <c r="D37" s="3" t="s">
        <v>383</v>
      </c>
    </row>
    <row r="38" spans="1:4">
      <c r="A38" s="2" t="s">
        <v>103</v>
      </c>
      <c r="B38" s="40">
        <f>'High Risk Scenarios'!$D$21+($A37-$A$2)*('High Risk Scenarios'!$D$22-'High Risk Scenarios'!$D$21)/('High Risk Scenarios'!$B$22-'High Risk Scenarios'!$B$21)</f>
        <v>17.4328</v>
      </c>
      <c r="C38" s="40">
        <f>'High Risk Scenarios'!$E$21+($A37-$A$2)*('High Risk Scenarios'!$E$22-'High Risk Scenarios'!$E$21)/('High Risk Scenarios'!$B$22-'High Risk Scenarios'!$B$21)</f>
        <v>6.0648</v>
      </c>
      <c r="D38" s="40">
        <f>'High Risk Scenarios'!$F$21+($A37-$A$2)*('High Risk Scenarios'!$F$22-'High Risk Scenarios'!$F$21)/('High Risk Scenarios'!$B$22-'High Risk Scenarios'!$B$21)</f>
        <v>1.2141</v>
      </c>
    </row>
    <row r="39" spans="1:4">
      <c r="A39" s="2" t="s">
        <v>105</v>
      </c>
      <c r="B39" s="40">
        <f>'High Risk Scenarios'!$H$21+($A37-$A$2)*('High Risk Scenarios'!$H$22-'High Risk Scenarios'!$H$21)/('High Risk Scenarios'!$B$22-'High Risk Scenarios'!$B$21)</f>
        <v>17.597999999999999</v>
      </c>
      <c r="C39" s="40">
        <f>'High Risk Scenarios'!$I$21+($A37-$A$2)*('High Risk Scenarios'!$I$22-'High Risk Scenarios'!$I$21)/('High Risk Scenarios'!$B$22-'High Risk Scenarios'!$B$21)</f>
        <v>6.1222000000000003</v>
      </c>
      <c r="D39" s="40">
        <f>'High Risk Scenarios'!$J$21+($A37-$A$2)*('High Risk Scenarios'!$J$22-'High Risk Scenarios'!$J$21)/('High Risk Scenarios'!$B$22-'High Risk Scenarios'!$B$21)</f>
        <v>1.2252999999999998</v>
      </c>
    </row>
    <row r="40" spans="1:4">
      <c r="A40" s="38" t="s">
        <v>107</v>
      </c>
      <c r="B40" s="40">
        <f>'High Risk Scenarios'!$L$21+($A37-$A$2)*('High Risk Scenarios'!$L$22-'High Risk Scenarios'!$L$21)/('High Risk Scenarios'!$B$22-'High Risk Scenarios'!$B$21)</f>
        <v>17.9739</v>
      </c>
      <c r="C40" s="40">
        <f>'High Risk Scenarios'!$M$21+($A37-$A$2)*('High Risk Scenarios'!$M$22-'High Risk Scenarios'!$M$21)/('High Risk Scenarios'!$B$22-'High Risk Scenarios'!$B$21)</f>
        <v>6.2530999999999999</v>
      </c>
      <c r="D40" s="40">
        <f>'High Risk Scenarios'!$N$21+($A37-$A$2)*('High Risk Scenarios'!$N$22-'High Risk Scenarios'!$N$21)/('High Risk Scenarios'!$B$22-'High Risk Scenarios'!$B$21)</f>
        <v>1.2519</v>
      </c>
    </row>
    <row r="41" spans="1:4">
      <c r="A41" s="39" t="s">
        <v>109</v>
      </c>
      <c r="B41" s="41">
        <f>'High Risk Scenarios'!$P$21+($A37-$A$2)*('High Risk Scenarios'!$P$22-'High Risk Scenarios'!$P$21)/('High Risk Scenarios'!$B$22-'High Risk Scenarios'!$B$21)</f>
        <v>18.2105</v>
      </c>
      <c r="C41" s="41">
        <f>'High Risk Scenarios'!$Q$21+($A37-$A$2)*('High Risk Scenarios'!$Q$22-'High Risk Scenarios'!$Q$21)/('High Risk Scenarios'!$B$22-'High Risk Scenarios'!$B$21)</f>
        <v>6.335</v>
      </c>
      <c r="D41" s="41">
        <f>'High Risk Scenarios'!$R$21+($A37-$A$2)*('High Risk Scenarios'!$R$22-'High Risk Scenarios'!$R$21)/('High Risk Scenarios'!$B$22-'High Risk Scenarios'!$B$21)</f>
        <v>1.268</v>
      </c>
    </row>
    <row r="42" spans="1:4">
      <c r="A42" s="37">
        <v>2028</v>
      </c>
      <c r="B42" s="3" t="s">
        <v>381</v>
      </c>
      <c r="C42" s="3" t="s">
        <v>382</v>
      </c>
      <c r="D42" s="3" t="s">
        <v>383</v>
      </c>
    </row>
    <row r="43" spans="1:4">
      <c r="A43" s="2" t="s">
        <v>103</v>
      </c>
      <c r="B43" s="40">
        <f>'High Risk Scenarios'!$D$21+($A42-$A$2)*('High Risk Scenarios'!$D$22-'High Risk Scenarios'!$D$21)/('High Risk Scenarios'!$B$22-'High Risk Scenarios'!$B$21)</f>
        <v>17.609200000000001</v>
      </c>
      <c r="C43" s="40">
        <f>'High Risk Scenarios'!$E$21+($A42-$A$2)*('High Risk Scenarios'!$E$22-'High Risk Scenarios'!$E$21)/('High Risk Scenarios'!$B$22-'High Risk Scenarios'!$B$21)</f>
        <v>6.1261999999999999</v>
      </c>
      <c r="D43" s="40">
        <f>'High Risk Scenarios'!$F$21+($A42-$A$2)*('High Risk Scenarios'!$F$22-'High Risk Scenarios'!$F$21)/('High Risk Scenarios'!$B$22-'High Risk Scenarios'!$B$21)</f>
        <v>1.2263999999999999</v>
      </c>
    </row>
    <row r="44" spans="1:4">
      <c r="A44" s="2" t="s">
        <v>105</v>
      </c>
      <c r="B44" s="40">
        <f>'High Risk Scenarios'!$H$21+($A42-$A$2)*('High Risk Scenarios'!$H$22-'High Risk Scenarios'!$H$21)/('High Risk Scenarios'!$B$22-'High Risk Scenarios'!$B$21)</f>
        <v>17.798000000000002</v>
      </c>
      <c r="C44" s="40">
        <f>'High Risk Scenarios'!$I$21+($A42-$A$2)*('High Risk Scenarios'!$I$22-'High Risk Scenarios'!$I$21)/('High Risk Scenarios'!$B$22-'High Risk Scenarios'!$B$21)</f>
        <v>6.1918000000000006</v>
      </c>
      <c r="D44" s="40">
        <f>'High Risk Scenarios'!$J$21+($A42-$A$2)*('High Risk Scenarios'!$J$22-'High Risk Scenarios'!$J$21)/('High Risk Scenarios'!$B$22-'High Risk Scenarios'!$B$21)</f>
        <v>1.2391999999999999</v>
      </c>
    </row>
    <row r="45" spans="1:4">
      <c r="A45" s="38" t="s">
        <v>107</v>
      </c>
      <c r="B45" s="40">
        <f>'High Risk Scenarios'!$L$21+($A42-$A$2)*('High Risk Scenarios'!$L$22-'High Risk Scenarios'!$L$21)/('High Risk Scenarios'!$B$22-'High Risk Scenarios'!$B$21)</f>
        <v>18.227599999999999</v>
      </c>
      <c r="C45" s="40">
        <f>'High Risk Scenarios'!$M$21+($A42-$A$2)*('High Risk Scenarios'!$M$22-'High Risk Scenarios'!$M$21)/('High Risk Scenarios'!$B$22-'High Risk Scenarios'!$B$21)</f>
        <v>6.3414000000000001</v>
      </c>
      <c r="D45" s="40">
        <f>'High Risk Scenarios'!$N$21+($A42-$A$2)*('High Risk Scenarios'!$N$22-'High Risk Scenarios'!$N$21)/('High Risk Scenarios'!$B$22-'High Risk Scenarios'!$B$21)</f>
        <v>1.2695999999999998</v>
      </c>
    </row>
    <row r="46" spans="1:4">
      <c r="A46" s="39" t="s">
        <v>109</v>
      </c>
      <c r="B46" s="41">
        <f>'High Risk Scenarios'!$P$21+($A42-$A$2)*('High Risk Scenarios'!$P$22-'High Risk Scenarios'!$P$21)/('High Risk Scenarios'!$B$22-'High Risk Scenarios'!$B$21)</f>
        <v>18.498000000000001</v>
      </c>
      <c r="C46" s="41">
        <f>'High Risk Scenarios'!$Q$21+($A42-$A$2)*('High Risk Scenarios'!$Q$22-'High Risk Scenarios'!$Q$21)/('High Risk Scenarios'!$B$22-'High Risk Scenarios'!$B$21)</f>
        <v>6.4349999999999996</v>
      </c>
      <c r="D46" s="41">
        <f>'High Risk Scenarios'!$R$21+($A42-$A$2)*('High Risk Scenarios'!$R$22-'High Risk Scenarios'!$R$21)/('High Risk Scenarios'!$B$22-'High Risk Scenarios'!$B$21)</f>
        <v>1.288</v>
      </c>
    </row>
    <row r="47" spans="1:4">
      <c r="A47" s="37">
        <v>2029</v>
      </c>
      <c r="B47" s="3" t="s">
        <v>381</v>
      </c>
      <c r="C47" s="3" t="s">
        <v>382</v>
      </c>
      <c r="D47" s="3" t="s">
        <v>383</v>
      </c>
    </row>
    <row r="48" spans="1:4">
      <c r="A48" s="2" t="s">
        <v>103</v>
      </c>
      <c r="B48" s="40">
        <f>'High Risk Scenarios'!$D$21+($A47-$A$2)*('High Risk Scenarios'!$D$22-'High Risk Scenarios'!$D$21)/('High Risk Scenarios'!$B$22-'High Risk Scenarios'!$B$21)</f>
        <v>17.785599999999999</v>
      </c>
      <c r="C48" s="40">
        <f>'High Risk Scenarios'!$E$21+($A47-$A$2)*('High Risk Scenarios'!$E$22-'High Risk Scenarios'!$E$21)/('High Risk Scenarios'!$B$22-'High Risk Scenarios'!$B$21)</f>
        <v>6.1875999999999998</v>
      </c>
      <c r="D48" s="40">
        <f>'High Risk Scenarios'!$F$21+($A47-$A$2)*('High Risk Scenarios'!$F$22-'High Risk Scenarios'!$F$21)/('High Risk Scenarios'!$B$22-'High Risk Scenarios'!$B$21)</f>
        <v>1.2386999999999999</v>
      </c>
    </row>
    <row r="49" spans="1:4">
      <c r="A49" s="2" t="s">
        <v>105</v>
      </c>
      <c r="B49" s="40">
        <f>'High Risk Scenarios'!$H$21+($A47-$A$2)*('High Risk Scenarios'!$H$22-'High Risk Scenarios'!$H$21)/('High Risk Scenarios'!$B$22-'High Risk Scenarios'!$B$21)</f>
        <v>17.998000000000001</v>
      </c>
      <c r="C49" s="40">
        <f>'High Risk Scenarios'!$I$21+($A47-$A$2)*('High Risk Scenarios'!$I$22-'High Risk Scenarios'!$I$21)/('High Risk Scenarios'!$B$22-'High Risk Scenarios'!$B$21)</f>
        <v>6.2614000000000001</v>
      </c>
      <c r="D49" s="40">
        <f>'High Risk Scenarios'!$J$21+($A47-$A$2)*('High Risk Scenarios'!$J$22-'High Risk Scenarios'!$J$21)/('High Risk Scenarios'!$B$22-'High Risk Scenarios'!$B$21)</f>
        <v>1.2530999999999999</v>
      </c>
    </row>
    <row r="50" spans="1:4">
      <c r="A50" s="38" t="s">
        <v>107</v>
      </c>
      <c r="B50" s="40">
        <f>'High Risk Scenarios'!$L$21+($A47-$A$2)*('High Risk Scenarios'!$L$22-'High Risk Scenarios'!$L$21)/('High Risk Scenarios'!$B$22-'High Risk Scenarios'!$B$21)</f>
        <v>18.481300000000001</v>
      </c>
      <c r="C50" s="40">
        <f>'High Risk Scenarios'!$M$21+($A47-$A$2)*('High Risk Scenarios'!$M$22-'High Risk Scenarios'!$M$21)/('High Risk Scenarios'!$B$22-'High Risk Scenarios'!$B$21)</f>
        <v>6.4296999999999995</v>
      </c>
      <c r="D50" s="40">
        <f>'High Risk Scenarios'!$N$21+($A47-$A$2)*('High Risk Scenarios'!$N$22-'High Risk Scenarios'!$N$21)/('High Risk Scenarios'!$B$22-'High Risk Scenarios'!$B$21)</f>
        <v>1.2872999999999999</v>
      </c>
    </row>
    <row r="51" spans="1:4">
      <c r="A51" s="39" t="s">
        <v>109</v>
      </c>
      <c r="B51" s="41">
        <f>'High Risk Scenarios'!$P$21+($A47-$A$2)*('High Risk Scenarios'!$P$22-'High Risk Scenarios'!$P$21)/('High Risk Scenarios'!$B$22-'High Risk Scenarios'!$B$21)</f>
        <v>18.785499999999999</v>
      </c>
      <c r="C51" s="41">
        <f>'High Risk Scenarios'!$Q$21+($A47-$A$2)*('High Risk Scenarios'!$Q$22-'High Risk Scenarios'!$Q$21)/('High Risk Scenarios'!$B$22-'High Risk Scenarios'!$B$21)</f>
        <v>6.5350000000000001</v>
      </c>
      <c r="D51" s="41">
        <f>'High Risk Scenarios'!$R$21+($A47-$A$2)*('High Risk Scenarios'!$R$22-'High Risk Scenarios'!$R$21)/('High Risk Scenarios'!$B$22-'High Risk Scenarios'!$B$21)</f>
        <v>1.3080000000000001</v>
      </c>
    </row>
    <row r="52" spans="1:4">
      <c r="A52" s="37">
        <v>2030</v>
      </c>
      <c r="B52" s="3" t="s">
        <v>381</v>
      </c>
      <c r="C52" s="3" t="s">
        <v>382</v>
      </c>
      <c r="D52" s="3" t="s">
        <v>383</v>
      </c>
    </row>
    <row r="53" spans="1:4">
      <c r="A53" s="2" t="s">
        <v>103</v>
      </c>
      <c r="B53" s="40">
        <f>'High Risk Scenarios'!$D$21+($A52-$A$2)*('High Risk Scenarios'!$D$22-'High Risk Scenarios'!$D$21)/('High Risk Scenarios'!$B$22-'High Risk Scenarios'!$B$21)</f>
        <v>17.962</v>
      </c>
      <c r="C53" s="40">
        <f>'High Risk Scenarios'!$E$21+($A52-$A$2)*('High Risk Scenarios'!$E$22-'High Risk Scenarios'!$E$21)/('High Risk Scenarios'!$B$22-'High Risk Scenarios'!$B$21)</f>
        <v>6.2489999999999997</v>
      </c>
      <c r="D53" s="40">
        <f>'High Risk Scenarios'!$F$21+($A52-$A$2)*('High Risk Scenarios'!$F$22-'High Risk Scenarios'!$F$21)/('High Risk Scenarios'!$B$22-'High Risk Scenarios'!$B$21)</f>
        <v>1.2509999999999999</v>
      </c>
    </row>
    <row r="54" spans="1:4">
      <c r="A54" s="2" t="s">
        <v>105</v>
      </c>
      <c r="B54" s="40">
        <f>'High Risk Scenarios'!$H$21+($A52-$A$2)*('High Risk Scenarios'!$H$22-'High Risk Scenarios'!$H$21)/('High Risk Scenarios'!$B$22-'High Risk Scenarios'!$B$21)</f>
        <v>18.198</v>
      </c>
      <c r="C54" s="40">
        <f>'High Risk Scenarios'!$I$21+($A52-$A$2)*('High Risk Scenarios'!$I$22-'High Risk Scenarios'!$I$21)/('High Risk Scenarios'!$B$22-'High Risk Scenarios'!$B$21)</f>
        <v>6.3310000000000004</v>
      </c>
      <c r="D54" s="40">
        <f>'High Risk Scenarios'!$J$21+($A52-$A$2)*('High Risk Scenarios'!$J$22-'High Risk Scenarios'!$J$21)/('High Risk Scenarios'!$B$22-'High Risk Scenarios'!$B$21)</f>
        <v>1.2669999999999999</v>
      </c>
    </row>
    <row r="55" spans="1:4">
      <c r="A55" s="38" t="s">
        <v>107</v>
      </c>
      <c r="B55" s="40">
        <f>'High Risk Scenarios'!$L$21+($A52-$A$2)*('High Risk Scenarios'!$L$22-'High Risk Scenarios'!$L$21)/('High Risk Scenarios'!$B$22-'High Risk Scenarios'!$B$21)</f>
        <v>18.734999999999999</v>
      </c>
      <c r="C55" s="40">
        <f>'High Risk Scenarios'!$M$21+($A52-$A$2)*('High Risk Scenarios'!$M$22-'High Risk Scenarios'!$M$21)/('High Risk Scenarios'!$B$22-'High Risk Scenarios'!$B$21)</f>
        <v>6.5179999999999998</v>
      </c>
      <c r="D55" s="40">
        <f>'High Risk Scenarios'!$N$21+($A52-$A$2)*('High Risk Scenarios'!$N$22-'High Risk Scenarios'!$N$21)/('High Risk Scenarios'!$B$22-'High Risk Scenarios'!$B$21)</f>
        <v>1.3049999999999999</v>
      </c>
    </row>
    <row r="56" spans="1:4">
      <c r="A56" s="39" t="s">
        <v>109</v>
      </c>
      <c r="B56" s="41">
        <f>'High Risk Scenarios'!$P$21+($A52-$A$2)*('High Risk Scenarios'!$P$22-'High Risk Scenarios'!$P$21)/('High Risk Scenarios'!$B$22-'High Risk Scenarios'!$B$21)</f>
        <v>19.073</v>
      </c>
      <c r="C56" s="41">
        <f>'High Risk Scenarios'!$Q$21+($A52-$A$2)*('High Risk Scenarios'!$Q$22-'High Risk Scenarios'!$Q$21)/('High Risk Scenarios'!$B$22-'High Risk Scenarios'!$B$21)</f>
        <v>6.6349999999999998</v>
      </c>
      <c r="D56" s="41">
        <f>'High Risk Scenarios'!$R$21+($A52-$A$2)*('High Risk Scenarios'!$R$22-'High Risk Scenarios'!$R$21)/('High Risk Scenarios'!$B$22-'High Risk Scenarios'!$B$21)</f>
        <v>1.3280000000000001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329F3-7C90-49A6-98B8-427C7EE814AA}">
  <dimension ref="B1:N53"/>
  <sheetViews>
    <sheetView topLeftCell="B1" workbookViewId="0">
      <selection activeCell="J42" sqref="J42:J43"/>
    </sheetView>
  </sheetViews>
  <sheetFormatPr defaultColWidth="8.7109375" defaultRowHeight="15"/>
  <cols>
    <col min="1" max="1" width="2.7109375" customWidth="1"/>
    <col min="2" max="2" width="17" bestFit="1" customWidth="1"/>
    <col min="3" max="3" width="12.42578125" bestFit="1" customWidth="1"/>
    <col min="4" max="4" width="22.42578125" bestFit="1" customWidth="1"/>
    <col min="5" max="6" width="23.7109375" bestFit="1" customWidth="1"/>
    <col min="7" max="7" width="11.28515625" bestFit="1" customWidth="1"/>
    <col min="8" max="8" width="10.140625" bestFit="1" customWidth="1"/>
    <col min="9" max="9" width="17" bestFit="1" customWidth="1"/>
    <col min="10" max="10" width="12" bestFit="1" customWidth="1"/>
    <col min="11" max="11" width="22.42578125" bestFit="1" customWidth="1"/>
    <col min="12" max="13" width="23.7109375" bestFit="1" customWidth="1"/>
  </cols>
  <sheetData>
    <row r="1" spans="2:14" s="77" customFormat="1"/>
    <row r="2" spans="2:14" s="77" customFormat="1" ht="26.25">
      <c r="B2" s="79" t="s">
        <v>387</v>
      </c>
    </row>
    <row r="3" spans="2:14" s="77" customFormat="1"/>
    <row r="4" spans="2:14" s="77" customFormat="1"/>
    <row r="5" spans="2:14" ht="15.75" thickBot="1"/>
    <row r="6" spans="2:14" ht="15.75" thickBot="1">
      <c r="B6" s="123" t="s">
        <v>388</v>
      </c>
      <c r="C6" s="124" t="s">
        <v>230</v>
      </c>
      <c r="D6" s="124" t="s">
        <v>3</v>
      </c>
      <c r="E6" s="124" t="s">
        <v>231</v>
      </c>
      <c r="F6" s="124" t="s">
        <v>5</v>
      </c>
      <c r="G6" s="124" t="s">
        <v>232</v>
      </c>
      <c r="H6" s="125" t="s">
        <v>233</v>
      </c>
    </row>
    <row r="7" spans="2:14">
      <c r="B7" s="145">
        <v>2019</v>
      </c>
      <c r="C7" s="146">
        <v>534828123</v>
      </c>
      <c r="D7" s="146">
        <v>223457321</v>
      </c>
      <c r="E7" s="146">
        <v>414066160</v>
      </c>
      <c r="F7" s="146">
        <v>46354925</v>
      </c>
      <c r="G7" s="146">
        <v>68360180</v>
      </c>
      <c r="H7" s="147">
        <v>9766147</v>
      </c>
    </row>
    <row r="8" spans="2:14" ht="15.75" thickBot="1">
      <c r="B8" s="142">
        <v>2020</v>
      </c>
      <c r="C8" s="143">
        <v>531771287</v>
      </c>
      <c r="D8" s="143">
        <v>222153795</v>
      </c>
      <c r="E8" s="143">
        <v>417708522</v>
      </c>
      <c r="F8" s="143">
        <v>45815957</v>
      </c>
      <c r="G8" s="143">
        <v>69643447</v>
      </c>
      <c r="H8" s="144">
        <v>9845914</v>
      </c>
    </row>
    <row r="10" spans="2:14" ht="15.75" thickBot="1">
      <c r="B10" s="156" t="s">
        <v>230</v>
      </c>
      <c r="I10" s="156" t="s">
        <v>3</v>
      </c>
    </row>
    <row r="11" spans="2:14" ht="15.75" thickBot="1">
      <c r="B11" s="88" t="s">
        <v>87</v>
      </c>
      <c r="C11" s="86" t="s">
        <v>389</v>
      </c>
      <c r="D11" s="86" t="s">
        <v>390</v>
      </c>
      <c r="E11" s="87" t="s">
        <v>391</v>
      </c>
      <c r="I11" s="88" t="s">
        <v>87</v>
      </c>
      <c r="J11" s="86" t="s">
        <v>389</v>
      </c>
      <c r="K11" s="86" t="s">
        <v>390</v>
      </c>
      <c r="L11" s="87" t="s">
        <v>391</v>
      </c>
    </row>
    <row r="12" spans="2:14">
      <c r="B12" s="153">
        <v>2019</v>
      </c>
      <c r="C12" s="152">
        <v>534828123</v>
      </c>
      <c r="D12" s="80"/>
      <c r="E12" s="81"/>
      <c r="I12" s="153">
        <v>2019</v>
      </c>
      <c r="J12" s="152">
        <v>223457321</v>
      </c>
      <c r="K12" s="80"/>
      <c r="L12" s="81"/>
      <c r="N12" s="331" t="s">
        <v>93</v>
      </c>
    </row>
    <row r="13" spans="2:14" ht="15.75" thickBot="1">
      <c r="B13" s="154">
        <v>2020</v>
      </c>
      <c r="C13" s="148">
        <v>531771287</v>
      </c>
      <c r="D13" s="148">
        <v>531771287</v>
      </c>
      <c r="E13" s="149">
        <v>531771287</v>
      </c>
      <c r="I13" s="154">
        <v>2020</v>
      </c>
      <c r="J13" s="148">
        <v>222153795</v>
      </c>
      <c r="K13" s="148">
        <v>222153795</v>
      </c>
      <c r="L13" s="149">
        <v>222153795</v>
      </c>
      <c r="N13" s="178" t="s">
        <v>392</v>
      </c>
    </row>
    <row r="14" spans="2:14">
      <c r="B14" s="154">
        <v>2021</v>
      </c>
      <c r="C14" s="182">
        <v>528714451</v>
      </c>
      <c r="D14" s="148">
        <v>528714451</v>
      </c>
      <c r="E14" s="149">
        <v>528714451</v>
      </c>
      <c r="I14" s="154">
        <v>2021</v>
      </c>
      <c r="J14" s="182">
        <v>220850269</v>
      </c>
      <c r="K14" s="148">
        <v>220850269</v>
      </c>
      <c r="L14" s="149">
        <v>220850269</v>
      </c>
    </row>
    <row r="15" spans="2:14">
      <c r="B15" s="154">
        <v>2022</v>
      </c>
      <c r="C15" s="182">
        <v>525657615</v>
      </c>
      <c r="D15" s="148">
        <v>525657615</v>
      </c>
      <c r="E15" s="149">
        <v>525657615</v>
      </c>
      <c r="I15" s="154">
        <v>2022</v>
      </c>
      <c r="J15" s="182">
        <v>219546743</v>
      </c>
      <c r="K15" s="148">
        <v>219546743</v>
      </c>
      <c r="L15" s="149">
        <v>219546743</v>
      </c>
    </row>
    <row r="16" spans="2:14">
      <c r="B16" s="154">
        <v>2023</v>
      </c>
      <c r="C16" s="182">
        <v>522600779</v>
      </c>
      <c r="D16" s="148">
        <v>522600779</v>
      </c>
      <c r="E16" s="149">
        <v>522600779</v>
      </c>
      <c r="I16" s="154">
        <v>2023</v>
      </c>
      <c r="J16" s="182">
        <v>218243217</v>
      </c>
      <c r="K16" s="148">
        <v>218243217</v>
      </c>
      <c r="L16" s="149">
        <v>218243217</v>
      </c>
    </row>
    <row r="17" spans="2:13">
      <c r="B17" s="154">
        <v>2024</v>
      </c>
      <c r="C17" s="182">
        <v>519543943</v>
      </c>
      <c r="D17" s="148">
        <v>519543943</v>
      </c>
      <c r="E17" s="149">
        <v>519543943</v>
      </c>
      <c r="I17" s="154">
        <v>2024</v>
      </c>
      <c r="J17" s="182">
        <v>216939691</v>
      </c>
      <c r="K17" s="148">
        <v>216939691</v>
      </c>
      <c r="L17" s="149">
        <v>216939691</v>
      </c>
    </row>
    <row r="18" spans="2:13">
      <c r="B18" s="154">
        <v>2025</v>
      </c>
      <c r="C18" s="182">
        <v>516487107</v>
      </c>
      <c r="D18" s="148">
        <v>516487107</v>
      </c>
      <c r="E18" s="149">
        <v>516487107</v>
      </c>
      <c r="I18" s="154">
        <v>2025</v>
      </c>
      <c r="J18" s="182">
        <v>215636165</v>
      </c>
      <c r="K18" s="148">
        <v>215636165</v>
      </c>
      <c r="L18" s="149">
        <v>215636165</v>
      </c>
    </row>
    <row r="19" spans="2:13">
      <c r="B19" s="154">
        <v>2026</v>
      </c>
      <c r="C19" s="182">
        <v>513430271</v>
      </c>
      <c r="D19" s="148">
        <v>513430271</v>
      </c>
      <c r="E19" s="149">
        <v>513430271</v>
      </c>
      <c r="I19" s="154">
        <v>2026</v>
      </c>
      <c r="J19" s="182">
        <v>214332639</v>
      </c>
      <c r="K19" s="148">
        <v>214332639</v>
      </c>
      <c r="L19" s="149">
        <v>214332639</v>
      </c>
    </row>
    <row r="20" spans="2:13">
      <c r="B20" s="154">
        <v>2027</v>
      </c>
      <c r="C20" s="182">
        <v>510373435</v>
      </c>
      <c r="D20" s="148">
        <v>510373435</v>
      </c>
      <c r="E20" s="149">
        <v>510373435</v>
      </c>
      <c r="I20" s="154">
        <v>2027</v>
      </c>
      <c r="J20" s="182">
        <v>213029113</v>
      </c>
      <c r="K20" s="148">
        <v>213029113</v>
      </c>
      <c r="L20" s="149">
        <v>213029113</v>
      </c>
    </row>
    <row r="21" spans="2:13">
      <c r="B21" s="154">
        <v>2028</v>
      </c>
      <c r="C21" s="182">
        <v>507316599</v>
      </c>
      <c r="D21" s="148">
        <v>507316599</v>
      </c>
      <c r="E21" s="149">
        <v>507316599</v>
      </c>
      <c r="I21" s="154">
        <v>2028</v>
      </c>
      <c r="J21" s="182">
        <v>211725587</v>
      </c>
      <c r="K21" s="148">
        <v>211725587</v>
      </c>
      <c r="L21" s="149">
        <v>211725587</v>
      </c>
    </row>
    <row r="22" spans="2:13">
      <c r="B22" s="154">
        <v>2029</v>
      </c>
      <c r="C22" s="182">
        <v>504259763</v>
      </c>
      <c r="D22" s="148">
        <v>504259763</v>
      </c>
      <c r="E22" s="149">
        <v>504259763</v>
      </c>
      <c r="I22" s="154">
        <v>2029</v>
      </c>
      <c r="J22" s="182">
        <v>210422061</v>
      </c>
      <c r="K22" s="148">
        <v>210422061</v>
      </c>
      <c r="L22" s="149">
        <v>210422061</v>
      </c>
    </row>
    <row r="23" spans="2:13" ht="15.75" thickBot="1">
      <c r="B23" s="155">
        <v>2030</v>
      </c>
      <c r="C23" s="183">
        <v>501202927</v>
      </c>
      <c r="D23" s="150">
        <v>501202927</v>
      </c>
      <c r="E23" s="151">
        <v>501202927</v>
      </c>
      <c r="I23" s="155">
        <v>2030</v>
      </c>
      <c r="J23" s="183">
        <v>209118535</v>
      </c>
      <c r="K23" s="150">
        <v>209118535</v>
      </c>
      <c r="L23" s="151">
        <v>209118535</v>
      </c>
    </row>
    <row r="24" spans="2:13">
      <c r="B24" s="157"/>
      <c r="C24" s="158"/>
      <c r="D24" s="159"/>
      <c r="E24" s="159"/>
      <c r="F24" s="159"/>
      <c r="I24" s="157"/>
      <c r="J24" s="158"/>
      <c r="K24" s="159"/>
      <c r="L24" s="159"/>
      <c r="M24" s="159"/>
    </row>
    <row r="25" spans="2:13" ht="15.75" thickBot="1">
      <c r="B25" s="160" t="s">
        <v>231</v>
      </c>
      <c r="I25" s="160" t="s">
        <v>5</v>
      </c>
    </row>
    <row r="26" spans="2:13" ht="15.75" thickBot="1">
      <c r="B26" s="88" t="s">
        <v>393</v>
      </c>
      <c r="C26" s="86" t="s">
        <v>389</v>
      </c>
      <c r="D26" s="86" t="s">
        <v>390</v>
      </c>
      <c r="E26" s="87" t="s">
        <v>391</v>
      </c>
      <c r="I26" s="88" t="s">
        <v>87</v>
      </c>
      <c r="J26" s="86" t="s">
        <v>389</v>
      </c>
      <c r="K26" s="86" t="s">
        <v>390</v>
      </c>
      <c r="L26" s="87" t="s">
        <v>391</v>
      </c>
    </row>
    <row r="27" spans="2:13">
      <c r="B27" s="153">
        <v>2019</v>
      </c>
      <c r="C27" s="152">
        <v>414066160</v>
      </c>
      <c r="D27" s="80"/>
      <c r="E27" s="81"/>
      <c r="I27" s="153">
        <v>2019</v>
      </c>
      <c r="J27" s="152">
        <v>46354925</v>
      </c>
      <c r="K27" s="80"/>
      <c r="L27" s="81"/>
    </row>
    <row r="28" spans="2:13">
      <c r="B28" s="154">
        <v>2020</v>
      </c>
      <c r="C28" s="148">
        <v>417708522</v>
      </c>
      <c r="D28" s="148">
        <v>417708522</v>
      </c>
      <c r="E28" s="149">
        <v>417708522</v>
      </c>
      <c r="I28" s="154">
        <v>2020</v>
      </c>
      <c r="J28" s="148">
        <v>45815957</v>
      </c>
      <c r="K28" s="148">
        <v>45815957</v>
      </c>
      <c r="L28" s="149">
        <v>45815957</v>
      </c>
    </row>
    <row r="29" spans="2:13">
      <c r="B29" s="154">
        <v>2021</v>
      </c>
      <c r="C29" s="182">
        <v>421350884</v>
      </c>
      <c r="D29" s="148">
        <v>421350884</v>
      </c>
      <c r="E29" s="149">
        <v>421350884</v>
      </c>
      <c r="I29" s="154">
        <v>2021</v>
      </c>
      <c r="J29" s="182">
        <v>45276989</v>
      </c>
      <c r="K29" s="148">
        <v>45276989</v>
      </c>
      <c r="L29" s="149">
        <v>45276989</v>
      </c>
    </row>
    <row r="30" spans="2:13">
      <c r="B30" s="154">
        <v>2022</v>
      </c>
      <c r="C30" s="182">
        <v>424993246</v>
      </c>
      <c r="D30" s="148">
        <v>424993246</v>
      </c>
      <c r="E30" s="149">
        <v>424993246</v>
      </c>
      <c r="I30" s="154">
        <v>2022</v>
      </c>
      <c r="J30" s="182">
        <v>44738021</v>
      </c>
      <c r="K30" s="148">
        <v>44738021</v>
      </c>
      <c r="L30" s="149">
        <v>44738021</v>
      </c>
    </row>
    <row r="31" spans="2:13">
      <c r="B31" s="154">
        <v>2023</v>
      </c>
      <c r="C31" s="182">
        <v>428635608</v>
      </c>
      <c r="D31" s="148">
        <v>428635608</v>
      </c>
      <c r="E31" s="149">
        <v>428635608</v>
      </c>
      <c r="I31" s="154">
        <v>2023</v>
      </c>
      <c r="J31" s="182">
        <v>44199053</v>
      </c>
      <c r="K31" s="148">
        <v>44199053</v>
      </c>
      <c r="L31" s="149">
        <v>44199053</v>
      </c>
    </row>
    <row r="32" spans="2:13">
      <c r="B32" s="154">
        <v>2024</v>
      </c>
      <c r="C32" s="182">
        <v>432277970</v>
      </c>
      <c r="D32" s="148">
        <v>432277970</v>
      </c>
      <c r="E32" s="149">
        <v>432277970</v>
      </c>
      <c r="I32" s="154">
        <v>2024</v>
      </c>
      <c r="J32" s="182">
        <v>43660085</v>
      </c>
      <c r="K32" s="148">
        <v>43660085</v>
      </c>
      <c r="L32" s="149">
        <v>43660085</v>
      </c>
    </row>
    <row r="33" spans="2:12">
      <c r="B33" s="154">
        <v>2025</v>
      </c>
      <c r="C33" s="182">
        <v>435920332</v>
      </c>
      <c r="D33" s="148">
        <v>435920332</v>
      </c>
      <c r="E33" s="149">
        <v>435920332</v>
      </c>
      <c r="I33" s="154">
        <v>2025</v>
      </c>
      <c r="J33" s="182">
        <v>43121117</v>
      </c>
      <c r="K33" s="148">
        <v>43121117</v>
      </c>
      <c r="L33" s="149">
        <v>43121117</v>
      </c>
    </row>
    <row r="34" spans="2:12">
      <c r="B34" s="154">
        <v>2026</v>
      </c>
      <c r="C34" s="182">
        <v>439562694</v>
      </c>
      <c r="D34" s="148">
        <v>439562694</v>
      </c>
      <c r="E34" s="149">
        <v>439562694</v>
      </c>
      <c r="I34" s="154">
        <v>2026</v>
      </c>
      <c r="J34" s="182">
        <v>42582149</v>
      </c>
      <c r="K34" s="148">
        <v>42582149</v>
      </c>
      <c r="L34" s="149">
        <v>42582149</v>
      </c>
    </row>
    <row r="35" spans="2:12">
      <c r="B35" s="154">
        <v>2027</v>
      </c>
      <c r="C35" s="182">
        <v>443205056</v>
      </c>
      <c r="D35" s="148">
        <v>443205056</v>
      </c>
      <c r="E35" s="149">
        <v>443205056</v>
      </c>
      <c r="I35" s="154">
        <v>2027</v>
      </c>
      <c r="J35" s="182">
        <v>42043181</v>
      </c>
      <c r="K35" s="148">
        <v>42043181</v>
      </c>
      <c r="L35" s="149">
        <v>42043181</v>
      </c>
    </row>
    <row r="36" spans="2:12">
      <c r="B36" s="154">
        <v>2028</v>
      </c>
      <c r="C36" s="182">
        <v>446847418</v>
      </c>
      <c r="D36" s="148">
        <v>446847418</v>
      </c>
      <c r="E36" s="149">
        <v>446847418</v>
      </c>
      <c r="I36" s="154">
        <v>2028</v>
      </c>
      <c r="J36" s="182">
        <v>41504213</v>
      </c>
      <c r="K36" s="148">
        <v>41504213</v>
      </c>
      <c r="L36" s="149">
        <v>41504213</v>
      </c>
    </row>
    <row r="37" spans="2:12">
      <c r="B37" s="154">
        <v>2029</v>
      </c>
      <c r="C37" s="182">
        <v>450489780</v>
      </c>
      <c r="D37" s="148">
        <v>450489780</v>
      </c>
      <c r="E37" s="149">
        <v>450489780</v>
      </c>
      <c r="I37" s="154">
        <v>2029</v>
      </c>
      <c r="J37" s="182">
        <v>40965245</v>
      </c>
      <c r="K37" s="148">
        <v>40965245</v>
      </c>
      <c r="L37" s="149">
        <v>40965245</v>
      </c>
    </row>
    <row r="38" spans="2:12" ht="15.75" thickBot="1">
      <c r="B38" s="155">
        <v>2030</v>
      </c>
      <c r="C38" s="183">
        <v>454132142</v>
      </c>
      <c r="D38" s="150">
        <v>454132142</v>
      </c>
      <c r="E38" s="151">
        <v>454132142</v>
      </c>
      <c r="I38" s="155">
        <v>2030</v>
      </c>
      <c r="J38" s="183">
        <v>40426277</v>
      </c>
      <c r="K38" s="150">
        <v>40426277</v>
      </c>
      <c r="L38" s="151">
        <v>40426277</v>
      </c>
    </row>
    <row r="40" spans="2:12" ht="15.75" thickBot="1">
      <c r="B40" s="160" t="s">
        <v>232</v>
      </c>
      <c r="I40" s="160" t="s">
        <v>233</v>
      </c>
    </row>
    <row r="41" spans="2:12" ht="15.75" thickBot="1">
      <c r="B41" s="88" t="s">
        <v>87</v>
      </c>
      <c r="C41" s="86" t="s">
        <v>389</v>
      </c>
      <c r="D41" s="86" t="s">
        <v>390</v>
      </c>
      <c r="E41" s="87" t="s">
        <v>391</v>
      </c>
      <c r="I41" s="88" t="s">
        <v>87</v>
      </c>
      <c r="J41" s="86" t="s">
        <v>389</v>
      </c>
      <c r="K41" s="86" t="s">
        <v>390</v>
      </c>
      <c r="L41" s="87" t="s">
        <v>391</v>
      </c>
    </row>
    <row r="42" spans="2:12">
      <c r="B42" s="153">
        <v>2019</v>
      </c>
      <c r="C42" s="152">
        <v>68360180</v>
      </c>
      <c r="D42" s="80"/>
      <c r="E42" s="81"/>
      <c r="I42" s="153">
        <v>2019</v>
      </c>
      <c r="J42" s="152">
        <v>9766147</v>
      </c>
      <c r="K42" s="80"/>
      <c r="L42" s="81"/>
    </row>
    <row r="43" spans="2:12">
      <c r="B43" s="154">
        <v>2020</v>
      </c>
      <c r="C43" s="148">
        <v>69643447</v>
      </c>
      <c r="D43" s="148">
        <v>69643447</v>
      </c>
      <c r="E43" s="149">
        <v>69643447</v>
      </c>
      <c r="I43" s="154">
        <v>2020</v>
      </c>
      <c r="J43" s="148">
        <v>9845914</v>
      </c>
      <c r="K43" s="148">
        <v>9845914</v>
      </c>
      <c r="L43" s="149">
        <v>9845914</v>
      </c>
    </row>
    <row r="44" spans="2:12">
      <c r="B44" s="154">
        <v>2021</v>
      </c>
      <c r="C44" s="182">
        <v>70926714</v>
      </c>
      <c r="D44" s="148">
        <v>70926714</v>
      </c>
      <c r="E44" s="149">
        <v>70926714</v>
      </c>
      <c r="I44" s="154">
        <v>2021</v>
      </c>
      <c r="J44" s="182">
        <v>9925681</v>
      </c>
      <c r="K44" s="148">
        <v>9925681</v>
      </c>
      <c r="L44" s="149">
        <v>9925681</v>
      </c>
    </row>
    <row r="45" spans="2:12">
      <c r="B45" s="154">
        <v>2022</v>
      </c>
      <c r="C45" s="182">
        <v>72209981</v>
      </c>
      <c r="D45" s="148">
        <v>72209981</v>
      </c>
      <c r="E45" s="149">
        <v>72209981</v>
      </c>
      <c r="I45" s="154">
        <v>2022</v>
      </c>
      <c r="J45" s="182">
        <v>10005448</v>
      </c>
      <c r="K45" s="148">
        <v>10005448</v>
      </c>
      <c r="L45" s="149">
        <v>10005448</v>
      </c>
    </row>
    <row r="46" spans="2:12">
      <c r="B46" s="154">
        <v>2023</v>
      </c>
      <c r="C46" s="182">
        <v>73493248</v>
      </c>
      <c r="D46" s="148">
        <v>73493248</v>
      </c>
      <c r="E46" s="149">
        <v>73493248</v>
      </c>
      <c r="I46" s="154">
        <v>2023</v>
      </c>
      <c r="J46" s="182">
        <v>10085215</v>
      </c>
      <c r="K46" s="148">
        <v>10085215</v>
      </c>
      <c r="L46" s="149">
        <v>10085215</v>
      </c>
    </row>
    <row r="47" spans="2:12">
      <c r="B47" s="154">
        <v>2024</v>
      </c>
      <c r="C47" s="182">
        <v>74776515</v>
      </c>
      <c r="D47" s="148">
        <v>74776515</v>
      </c>
      <c r="E47" s="149">
        <v>74776515</v>
      </c>
      <c r="I47" s="154">
        <v>2024</v>
      </c>
      <c r="J47" s="182">
        <v>10164982</v>
      </c>
      <c r="K47" s="148">
        <v>10164982</v>
      </c>
      <c r="L47" s="149">
        <v>10164982</v>
      </c>
    </row>
    <row r="48" spans="2:12">
      <c r="B48" s="154">
        <v>2025</v>
      </c>
      <c r="C48" s="182">
        <v>76059782</v>
      </c>
      <c r="D48" s="148">
        <v>76059782</v>
      </c>
      <c r="E48" s="149">
        <v>76059782</v>
      </c>
      <c r="I48" s="154">
        <v>2025</v>
      </c>
      <c r="J48" s="182">
        <v>10244749</v>
      </c>
      <c r="K48" s="148">
        <v>10244749</v>
      </c>
      <c r="L48" s="149">
        <v>10244749</v>
      </c>
    </row>
    <row r="49" spans="2:12">
      <c r="B49" s="154">
        <v>2026</v>
      </c>
      <c r="C49" s="182">
        <v>77343049</v>
      </c>
      <c r="D49" s="148">
        <v>77343049</v>
      </c>
      <c r="E49" s="149">
        <v>77343049</v>
      </c>
      <c r="I49" s="154">
        <v>2026</v>
      </c>
      <c r="J49" s="182">
        <v>10324516</v>
      </c>
      <c r="K49" s="148">
        <v>10324516</v>
      </c>
      <c r="L49" s="149">
        <v>10324516</v>
      </c>
    </row>
    <row r="50" spans="2:12">
      <c r="B50" s="154">
        <v>2027</v>
      </c>
      <c r="C50" s="182">
        <v>78626316</v>
      </c>
      <c r="D50" s="148">
        <v>78626316</v>
      </c>
      <c r="E50" s="149">
        <v>78626316</v>
      </c>
      <c r="I50" s="154">
        <v>2027</v>
      </c>
      <c r="J50" s="182">
        <v>10404283</v>
      </c>
      <c r="K50" s="148">
        <v>10404283</v>
      </c>
      <c r="L50" s="149">
        <v>10404283</v>
      </c>
    </row>
    <row r="51" spans="2:12">
      <c r="B51" s="154">
        <v>2028</v>
      </c>
      <c r="C51" s="182">
        <v>79909583</v>
      </c>
      <c r="D51" s="148">
        <v>79909583</v>
      </c>
      <c r="E51" s="149">
        <v>79909583</v>
      </c>
      <c r="I51" s="154">
        <v>2028</v>
      </c>
      <c r="J51" s="182">
        <v>10484050</v>
      </c>
      <c r="K51" s="148">
        <v>10484050</v>
      </c>
      <c r="L51" s="149">
        <v>10484050</v>
      </c>
    </row>
    <row r="52" spans="2:12">
      <c r="B52" s="154">
        <v>2029</v>
      </c>
      <c r="C52" s="182">
        <v>81192850</v>
      </c>
      <c r="D52" s="148">
        <v>81192850</v>
      </c>
      <c r="E52" s="149">
        <v>81192850</v>
      </c>
      <c r="I52" s="154">
        <v>2029</v>
      </c>
      <c r="J52" s="182">
        <v>10563817</v>
      </c>
      <c r="K52" s="148">
        <v>10563817</v>
      </c>
      <c r="L52" s="149">
        <v>10563817</v>
      </c>
    </row>
    <row r="53" spans="2:12" ht="15.75" thickBot="1">
      <c r="B53" s="155">
        <v>2030</v>
      </c>
      <c r="C53" s="183">
        <v>82476117</v>
      </c>
      <c r="D53" s="150">
        <v>82476117</v>
      </c>
      <c r="E53" s="151">
        <v>82476117</v>
      </c>
      <c r="I53" s="155">
        <v>2030</v>
      </c>
      <c r="J53" s="183">
        <v>10643584</v>
      </c>
      <c r="K53" s="150">
        <v>10643584</v>
      </c>
      <c r="L53" s="151">
        <v>10643584</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435193-0C36-804D-80F9-42294FA47754}">
  <sheetPr>
    <tabColor theme="7"/>
  </sheetPr>
  <dimension ref="A1"/>
  <sheetViews>
    <sheetView workbookViewId="0"/>
  </sheetViews>
  <sheetFormatPr defaultColWidth="8.7109375" defaultRowHeight="15"/>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7D3F2-626B-1948-B504-55405046E658}">
  <sheetPr>
    <tabColor theme="7" tint="0.79998168889431442"/>
  </sheetPr>
  <dimension ref="B1:T12"/>
  <sheetViews>
    <sheetView workbookViewId="0">
      <selection activeCell="B11" sqref="B11:H12"/>
    </sheetView>
  </sheetViews>
  <sheetFormatPr defaultColWidth="8.7109375" defaultRowHeight="15"/>
  <cols>
    <col min="1" max="1" width="2.42578125" customWidth="1"/>
    <col min="2" max="2" width="42.42578125" bestFit="1" customWidth="1"/>
    <col min="18" max="18" width="12.42578125" bestFit="1" customWidth="1"/>
    <col min="19" max="19" width="21.140625" customWidth="1"/>
    <col min="20" max="20" width="21.28515625" customWidth="1"/>
  </cols>
  <sheetData>
    <row r="1" spans="2:20">
      <c r="B1" s="1" t="s">
        <v>394</v>
      </c>
    </row>
    <row r="2" spans="2:20" ht="15.75" thickBot="1">
      <c r="T2" s="649"/>
    </row>
    <row r="3" spans="2:20">
      <c r="B3" s="68" t="s">
        <v>395</v>
      </c>
      <c r="C3" s="69">
        <v>3</v>
      </c>
      <c r="T3" s="649"/>
    </row>
    <row r="4" spans="2:20" ht="15.75" thickBot="1">
      <c r="B4" s="70" t="s">
        <v>396</v>
      </c>
      <c r="C4" s="71">
        <v>10</v>
      </c>
      <c r="T4" s="649"/>
    </row>
    <row r="5" spans="2:20" ht="15.75" thickBot="1"/>
    <row r="6" spans="2:20">
      <c r="B6" s="68" t="s">
        <v>397</v>
      </c>
      <c r="C6" s="72">
        <v>1</v>
      </c>
      <c r="D6" s="72">
        <v>2</v>
      </c>
      <c r="E6" s="72">
        <v>3</v>
      </c>
      <c r="F6" s="72">
        <v>4</v>
      </c>
      <c r="G6" s="72">
        <v>5</v>
      </c>
      <c r="H6" s="69">
        <v>6</v>
      </c>
    </row>
    <row r="7" spans="2:20">
      <c r="B7" s="73" t="s">
        <v>398</v>
      </c>
      <c r="C7" s="66" t="s">
        <v>177</v>
      </c>
      <c r="D7" s="66" t="s">
        <v>399</v>
      </c>
      <c r="E7" s="66" t="s">
        <v>400</v>
      </c>
      <c r="F7" s="66" t="s">
        <v>400</v>
      </c>
      <c r="G7" s="66" t="s">
        <v>400</v>
      </c>
      <c r="H7" s="74" t="s">
        <v>400</v>
      </c>
    </row>
    <row r="8" spans="2:20">
      <c r="B8" s="73" t="s">
        <v>401</v>
      </c>
      <c r="C8" s="67">
        <v>0.05</v>
      </c>
      <c r="D8" s="67">
        <v>0.13</v>
      </c>
      <c r="E8" s="67">
        <v>0</v>
      </c>
      <c r="F8" s="67">
        <v>0</v>
      </c>
      <c r="G8" s="67">
        <v>0</v>
      </c>
      <c r="H8" s="75">
        <v>0</v>
      </c>
    </row>
    <row r="9" spans="2:20" ht="15.75" thickBot="1">
      <c r="B9" s="70" t="s">
        <v>402</v>
      </c>
      <c r="C9" s="76"/>
      <c r="D9" s="76"/>
      <c r="E9" s="76"/>
      <c r="F9" s="76"/>
      <c r="G9" s="76"/>
      <c r="H9" s="71"/>
    </row>
    <row r="10" spans="2:20">
      <c r="B10" s="42"/>
    </row>
    <row r="11" spans="2:20">
      <c r="B11" t="s">
        <v>403</v>
      </c>
      <c r="C11" s="184">
        <v>0</v>
      </c>
      <c r="D11" s="180">
        <v>0.01</v>
      </c>
      <c r="E11" s="184">
        <v>0</v>
      </c>
      <c r="F11" s="184">
        <v>0</v>
      </c>
      <c r="G11" s="184">
        <v>0</v>
      </c>
      <c r="H11" s="184">
        <v>0</v>
      </c>
    </row>
    <row r="12" spans="2:20">
      <c r="B12" t="s">
        <v>404</v>
      </c>
      <c r="D12">
        <v>3</v>
      </c>
    </row>
  </sheetData>
  <mergeCells count="1">
    <mergeCell ref="T2:T4"/>
  </mergeCells>
  <pageMargins left="0.7" right="0.7" top="0.75" bottom="0.75" header="0.3" footer="0.3"/>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9D3CE-8074-AF47-983D-C8231BDFE593}">
  <dimension ref="A1:W69"/>
  <sheetViews>
    <sheetView topLeftCell="A24" workbookViewId="0">
      <selection activeCell="C36" sqref="C36"/>
    </sheetView>
  </sheetViews>
  <sheetFormatPr defaultColWidth="11.42578125" defaultRowHeight="15" outlineLevelCol="1"/>
  <cols>
    <col min="1" max="1" width="2.7109375" customWidth="1"/>
    <col min="2" max="2" width="50.42578125" customWidth="1"/>
    <col min="3" max="9" width="15.28515625" bestFit="1" customWidth="1"/>
    <col min="10" max="13" width="16.7109375" bestFit="1" customWidth="1"/>
    <col min="15" max="17" width="10.7109375" customWidth="1" outlineLevel="1"/>
    <col min="19" max="21" width="15" bestFit="1" customWidth="1"/>
  </cols>
  <sheetData>
    <row r="1" spans="1:9" s="77" customFormat="1">
      <c r="A1" s="77" t="s">
        <v>33</v>
      </c>
    </row>
    <row r="2" spans="1:9" s="77" customFormat="1" ht="26.25">
      <c r="B2" s="79" t="s">
        <v>405</v>
      </c>
    </row>
    <row r="3" spans="1:9" s="77" customFormat="1">
      <c r="B3" s="78" t="s">
        <v>406</v>
      </c>
    </row>
    <row r="4" spans="1:9" s="77" customFormat="1"/>
    <row r="6" spans="1:9" ht="15.75" thickBot="1">
      <c r="B6" s="156" t="s">
        <v>407</v>
      </c>
    </row>
    <row r="7" spans="1:9">
      <c r="B7" s="161" t="s">
        <v>408</v>
      </c>
      <c r="C7" s="165"/>
    </row>
    <row r="8" spans="1:9">
      <c r="B8" s="162" t="s">
        <v>409</v>
      </c>
      <c r="C8" s="166"/>
    </row>
    <row r="9" spans="1:9">
      <c r="B9" s="163" t="s">
        <v>410</v>
      </c>
      <c r="C9" s="167"/>
    </row>
    <row r="10" spans="1:9">
      <c r="B10" s="162" t="s">
        <v>411</v>
      </c>
      <c r="C10" s="168"/>
    </row>
    <row r="11" spans="1:9">
      <c r="B11" s="162" t="s">
        <v>412</v>
      </c>
      <c r="C11" s="166"/>
      <c r="H11" t="s">
        <v>413</v>
      </c>
      <c r="I11" t="s">
        <v>3</v>
      </c>
    </row>
    <row r="12" spans="1:9">
      <c r="B12" s="163" t="s">
        <v>414</v>
      </c>
      <c r="C12" s="167"/>
      <c r="H12" t="s">
        <v>415</v>
      </c>
      <c r="I12" t="s">
        <v>230</v>
      </c>
    </row>
    <row r="13" spans="1:9">
      <c r="B13" s="164" t="s">
        <v>416</v>
      </c>
      <c r="C13" s="168">
        <v>0.13</v>
      </c>
      <c r="H13" t="s">
        <v>417</v>
      </c>
      <c r="I13" t="s">
        <v>366</v>
      </c>
    </row>
    <row r="14" spans="1:9">
      <c r="B14" s="162" t="s">
        <v>418</v>
      </c>
      <c r="C14" s="166">
        <v>0.05</v>
      </c>
    </row>
    <row r="15" spans="1:9">
      <c r="B15" s="163" t="s">
        <v>419</v>
      </c>
      <c r="C15" s="167">
        <v>0</v>
      </c>
    </row>
    <row r="16" spans="1:9">
      <c r="B16" s="162" t="s">
        <v>420</v>
      </c>
      <c r="C16" s="168">
        <f>1-C13</f>
        <v>0.87</v>
      </c>
    </row>
    <row r="17" spans="2:23">
      <c r="B17" s="162" t="s">
        <v>421</v>
      </c>
      <c r="C17" s="166">
        <f>1-C14</f>
        <v>0.95</v>
      </c>
    </row>
    <row r="18" spans="2:23">
      <c r="B18" s="163" t="s">
        <v>422</v>
      </c>
      <c r="C18" s="167">
        <f>1-C15</f>
        <v>1</v>
      </c>
    </row>
    <row r="19" spans="2:23">
      <c r="B19" s="164" t="s">
        <v>423</v>
      </c>
      <c r="C19" s="168"/>
    </row>
    <row r="20" spans="2:23">
      <c r="B20" s="162" t="s">
        <v>424</v>
      </c>
      <c r="C20" s="166"/>
    </row>
    <row r="21" spans="2:23">
      <c r="B21" s="163" t="s">
        <v>425</v>
      </c>
      <c r="C21" s="167"/>
    </row>
    <row r="22" spans="2:23">
      <c r="B22" s="162" t="s">
        <v>426</v>
      </c>
      <c r="C22" s="203">
        <f>AVERAGE('Demographic-Economic'!E42:H42)</f>
        <v>1704</v>
      </c>
    </row>
    <row r="23" spans="2:23">
      <c r="B23" s="162" t="s">
        <v>427</v>
      </c>
      <c r="C23" s="203">
        <f>'Demographic-Economic'!C42</f>
        <v>1920</v>
      </c>
    </row>
    <row r="24" spans="2:23">
      <c r="B24" s="162" t="s">
        <v>428</v>
      </c>
      <c r="C24" s="203">
        <f>'Demographic-Economic'!D42</f>
        <v>1829</v>
      </c>
    </row>
    <row r="25" spans="2:23">
      <c r="B25" s="162"/>
      <c r="C25" s="203"/>
    </row>
    <row r="26" spans="2:23">
      <c r="B26" s="162"/>
      <c r="C26" s="203"/>
    </row>
    <row r="27" spans="2:23">
      <c r="B27" s="162"/>
      <c r="C27" s="203"/>
    </row>
    <row r="28" spans="2:23" ht="15.75" thickBot="1">
      <c r="B28" s="70" t="s">
        <v>429</v>
      </c>
      <c r="C28" s="169">
        <v>3</v>
      </c>
    </row>
    <row r="30" spans="2:23" s="77" customFormat="1">
      <c r="B30" s="78" t="s">
        <v>430</v>
      </c>
    </row>
    <row r="32" spans="2:23">
      <c r="C32" s="1">
        <v>2020</v>
      </c>
      <c r="D32" s="1">
        <v>2021</v>
      </c>
      <c r="E32" s="1">
        <v>2022</v>
      </c>
      <c r="F32" s="1">
        <v>2023</v>
      </c>
      <c r="G32" s="1">
        <v>2024</v>
      </c>
      <c r="H32" s="1">
        <v>2025</v>
      </c>
      <c r="I32" s="1">
        <v>2026</v>
      </c>
      <c r="J32" s="1">
        <v>2027</v>
      </c>
      <c r="K32" s="1">
        <v>2028</v>
      </c>
      <c r="L32" s="1">
        <v>2029</v>
      </c>
      <c r="M32" s="1">
        <v>2030</v>
      </c>
      <c r="O32" s="1" t="s">
        <v>431</v>
      </c>
      <c r="P32" s="1" t="s">
        <v>432</v>
      </c>
      <c r="Q32" s="1" t="s">
        <v>433</v>
      </c>
      <c r="S32" s="1" t="s">
        <v>434</v>
      </c>
      <c r="T32" s="1" t="s">
        <v>435</v>
      </c>
      <c r="U32" s="1" t="s">
        <v>436</v>
      </c>
      <c r="W32" s="1" t="s">
        <v>273</v>
      </c>
    </row>
    <row r="33" spans="2:23">
      <c r="B33" s="1" t="s">
        <v>437</v>
      </c>
      <c r="O33">
        <f>AVERAGE('Temp Housing Cost Projections'!E7*'jins attempt'!$C$28, 'Temp Housing Cost Projections'!F7*'jins attempt'!$C$28, 'Temp Housing Cost Projections'!G7*'jins attempt'!$C$28, 'Temp Housing Cost Projections'!H7*'jins attempt'!$C$28)</f>
        <v>5112</v>
      </c>
      <c r="P33">
        <f>'Temp Housing Cost Projections'!C7*'jins attempt'!$C$28</f>
        <v>5760</v>
      </c>
      <c r="Q33">
        <f>'Temp Housing Cost Projections'!D7*'jins attempt'!$C$28</f>
        <v>5487</v>
      </c>
      <c r="S33">
        <f>'Census Projections'!I22*'jins attempt'!$C$13/10</f>
        <v>54760.523999999998</v>
      </c>
      <c r="T33">
        <f>'Census Projections'!I8*'jins attempt'!$C$14/10</f>
        <v>31532.04</v>
      </c>
      <c r="U33">
        <f>AVERAGE('Census Projections'!I36,'Census Projections'!C8,'Census Projections'!C22,'Census Projections'!C36)*'jins attempt'!$C$15/10</f>
        <v>0</v>
      </c>
      <c r="W33" s="181">
        <f>C52/SUM('GDP Projections'!C13 * 1000,'GDP Projections'!J13 * 1000,'GDP Projections'!C28 * 1000,'GDP Projections'!J28*1000,'GDP Projections'!C43*1000,'GDP Projections'!J43*1000)</f>
        <v>3.7171800260613964E-4</v>
      </c>
    </row>
    <row r="34" spans="2:23">
      <c r="B34" t="s">
        <v>438</v>
      </c>
      <c r="C34" s="179" cm="1">
        <f t="array" ref="C34:M34">TRANSPOSE(S33:S43)</f>
        <v>54760.523999999998</v>
      </c>
      <c r="D34" s="179">
        <v>57030.324000000001</v>
      </c>
      <c r="E34" s="179">
        <v>65894.971999999994</v>
      </c>
      <c r="F34" s="179">
        <v>73821.02</v>
      </c>
      <c r="G34" s="179">
        <v>81747.055000000008</v>
      </c>
      <c r="H34" s="179">
        <v>89673.103000000003</v>
      </c>
      <c r="I34" s="179">
        <v>97599.138000000006</v>
      </c>
      <c r="J34" s="179">
        <v>105525.18600000002</v>
      </c>
      <c r="K34" s="179">
        <v>113451.23400000001</v>
      </c>
      <c r="L34" s="179">
        <v>121377.269</v>
      </c>
      <c r="M34" s="179">
        <v>129303.31700000001</v>
      </c>
      <c r="O34">
        <f>AVERAGE('Temp Housing Cost Projections'!E8*'jins attempt'!$C$28, 'Temp Housing Cost Projections'!F8*'jins attempt'!$C$28, 'Temp Housing Cost Projections'!G8*'jins attempt'!$C$28, 'Temp Housing Cost Projections'!H8*'jins attempt'!$C$28)</f>
        <v>5308.3008</v>
      </c>
      <c r="P34">
        <f>'Temp Housing Cost Projections'!C8*'jins attempt'!$C$28</f>
        <v>5981.1840000000002</v>
      </c>
      <c r="Q34">
        <f>'Temp Housing Cost Projections'!D8*'jins attempt'!$C$28</f>
        <v>5697.7008000000005</v>
      </c>
      <c r="S34">
        <f>'Census Projections'!I23*'jins attempt'!$C$13/10</f>
        <v>57030.324000000001</v>
      </c>
      <c r="T34">
        <f>'Census Projections'!I9*'jins attempt'!$C$14/10</f>
        <v>32030.04</v>
      </c>
      <c r="U34">
        <f>AVERAGE('Census Projections'!I37,'Census Projections'!C9,'Census Projections'!C23,'Census Projections'!C37)*'jins attempt'!$C$15/10</f>
        <v>0</v>
      </c>
      <c r="W34" s="181">
        <f>D52/SUM('GDP Projections'!C14 * 1000,'GDP Projections'!J14 * 1000,'GDP Projections'!C29 * 1000,'GDP Projections'!J29*1000,'GDP Projections'!C44*1000,'GDP Projections'!J44*1000)</f>
        <v>3.9822773321292014E-4</v>
      </c>
    </row>
    <row r="35" spans="2:23">
      <c r="B35" t="s">
        <v>439</v>
      </c>
      <c r="C35" s="179" cm="1">
        <f t="array" ref="C35:M35">TRANSPOSE(T33:T43)</f>
        <v>31532.04</v>
      </c>
      <c r="D35" s="179">
        <v>32030.04</v>
      </c>
      <c r="E35" s="179">
        <v>35020.01</v>
      </c>
      <c r="F35" s="179">
        <v>37655.315000000002</v>
      </c>
      <c r="G35" s="179">
        <v>40290.615000000005</v>
      </c>
      <c r="H35" s="179">
        <v>42925.919999999998</v>
      </c>
      <c r="I35" s="179">
        <v>45561.224999999999</v>
      </c>
      <c r="J35" s="179">
        <v>48196.525000000001</v>
      </c>
      <c r="K35" s="179">
        <v>50831.83</v>
      </c>
      <c r="L35" s="179">
        <v>53467.134999999995</v>
      </c>
      <c r="M35" s="179">
        <v>56102.434999999998</v>
      </c>
      <c r="O35">
        <f>AVERAGE('Temp Housing Cost Projections'!E9*'jins attempt'!$C$28, 'Temp Housing Cost Projections'!F9*'jins attempt'!$C$28, 'Temp Housing Cost Projections'!G9*'jins attempt'!$C$28, 'Temp Housing Cost Projections'!H9*'jins attempt'!$C$28)</f>
        <v>5471.2656345599999</v>
      </c>
      <c r="P35">
        <f>'Temp Housing Cost Projections'!C9*'jins attempt'!$C$28</f>
        <v>6164.8063488000007</v>
      </c>
      <c r="Q35">
        <f>'Temp Housing Cost Projections'!D9*'jins attempt'!$C$28</f>
        <v>5872.62021456</v>
      </c>
      <c r="S35">
        <f>'Census Projections'!I24*'jins attempt'!$C$13/10</f>
        <v>65894.971999999994</v>
      </c>
      <c r="T35">
        <f>'Census Projections'!I10*'jins attempt'!$C$14/10</f>
        <v>35020.01</v>
      </c>
      <c r="U35">
        <f>AVERAGE('Census Projections'!I38,'Census Projections'!C10,'Census Projections'!C24,'Census Projections'!C38)*'jins attempt'!$C$15/10</f>
        <v>0</v>
      </c>
      <c r="W35" s="181">
        <f>E52/SUM('GDP Projections'!C15 * 1000,'GDP Projections'!J15 * 1000,'GDP Projections'!C30 * 1000,'GDP Projections'!J30*1000,'GDP Projections'!C45*1000,'GDP Projections'!J45*1000)</f>
        <v>4.6476293006049912E-4</v>
      </c>
    </row>
    <row r="36" spans="2:23">
      <c r="B36" t="s">
        <v>440</v>
      </c>
      <c r="C36" cm="1">
        <f t="array" ref="C36:M36">TRANSPOSE(U33:U43)</f>
        <v>0</v>
      </c>
      <c r="D36">
        <v>0</v>
      </c>
      <c r="E36">
        <v>0</v>
      </c>
      <c r="F36">
        <v>0</v>
      </c>
      <c r="G36">
        <v>0</v>
      </c>
      <c r="H36">
        <v>0</v>
      </c>
      <c r="I36">
        <v>0</v>
      </c>
      <c r="J36">
        <v>0</v>
      </c>
      <c r="K36">
        <v>0</v>
      </c>
      <c r="L36">
        <v>0</v>
      </c>
      <c r="M36">
        <v>0</v>
      </c>
      <c r="O36">
        <f>AVERAGE('Temp Housing Cost Projections'!E10*'jins attempt'!$C$28, 'Temp Housing Cost Projections'!F10*'jins attempt'!$C$28, 'Temp Housing Cost Projections'!G10*'jins attempt'!$C$28, 'Temp Housing Cost Projections'!H10*'jins attempt'!$C$28)</f>
        <v>5635.4036035968002</v>
      </c>
      <c r="P36">
        <f>'Temp Housing Cost Projections'!C10*'jins attempt'!$C$28</f>
        <v>6349.7505392639996</v>
      </c>
      <c r="Q36">
        <f>'Temp Housing Cost Projections'!D10*'jins attempt'!$C$28</f>
        <v>6048.7988209967998</v>
      </c>
      <c r="S36">
        <f>'Census Projections'!I25*'jins attempt'!$C$13/10</f>
        <v>73821.02</v>
      </c>
      <c r="T36">
        <f>'Census Projections'!I11*'jins attempt'!$C$14/10</f>
        <v>37655.315000000002</v>
      </c>
      <c r="U36">
        <f>AVERAGE('Census Projections'!I39,'Census Projections'!C11,'Census Projections'!C25,'Census Projections'!C39)*'jins attempt'!$C$15/10</f>
        <v>0</v>
      </c>
      <c r="W36" s="181">
        <f>F52/SUM('GDP Projections'!C16 * 1000,'GDP Projections'!J16 * 1000,'GDP Projections'!C31 * 1000,'GDP Projections'!J31*1000,'GDP Projections'!C46*1000,'GDP Projections'!J46*1000)</f>
        <v>5.2852310070048954E-4</v>
      </c>
    </row>
    <row r="37" spans="2:23">
      <c r="O37">
        <f>AVERAGE('Temp Housing Cost Projections'!E11*'jins attempt'!$C$28, 'Temp Housing Cost Projections'!F11*'jins attempt'!$C$28, 'Temp Housing Cost Projections'!G11*'jins attempt'!$C$28, 'Temp Housing Cost Projections'!H11*'jins attempt'!$C$28)</f>
        <v>5801.0844695425476</v>
      </c>
      <c r="P37">
        <f>'Temp Housing Cost Projections'!C11*'jins attempt'!$C$28</f>
        <v>6536.4332051183619</v>
      </c>
      <c r="Q37">
        <f>'Temp Housing Cost Projections'!D11*'jins attempt'!$C$28</f>
        <v>6226.6335063341066</v>
      </c>
      <c r="S37">
        <f>'Census Projections'!I26*'jins attempt'!$C$13/10</f>
        <v>81747.055000000008</v>
      </c>
      <c r="T37">
        <f>'Census Projections'!I12*'jins attempt'!$C$14/10</f>
        <v>40290.615000000005</v>
      </c>
      <c r="U37">
        <f>AVERAGE('Census Projections'!I40,'Census Projections'!C12,'Census Projections'!C26,'Census Projections'!C40)*'jins attempt'!$C$15/10</f>
        <v>0</v>
      </c>
      <c r="W37" s="181">
        <f>G52/SUM('GDP Projections'!C17 * 1000,'GDP Projections'!J17 * 1000,'GDP Projections'!C32 * 1000,'GDP Projections'!J32*1000,'GDP Projections'!C47*1000,'GDP Projections'!J47*1000)</f>
        <v>5.9533511801665765E-4</v>
      </c>
    </row>
    <row r="38" spans="2:23">
      <c r="B38" s="1" t="s">
        <v>441</v>
      </c>
      <c r="O38">
        <f>AVERAGE('Temp Housing Cost Projections'!E12*'jins attempt'!$C$28, 'Temp Housing Cost Projections'!F12*'jins attempt'!$C$28, 'Temp Housing Cost Projections'!G12*'jins attempt'!$C$28, 'Temp Housing Cost Projections'!H12*'jins attempt'!$C$28)</f>
        <v>5967.5755938184166</v>
      </c>
      <c r="P38">
        <f>'Temp Housing Cost Projections'!C12*'jins attempt'!$C$28</f>
        <v>6724.0288381052587</v>
      </c>
      <c r="Q38">
        <f>'Temp Housing Cost Projections'!D12*'jins attempt'!$C$28</f>
        <v>6405.3378879658949</v>
      </c>
      <c r="S38">
        <f>'Census Projections'!I27*'jins attempt'!$C$13/10</f>
        <v>89673.103000000003</v>
      </c>
      <c r="T38">
        <f>'Census Projections'!I13*'jins attempt'!$C$14/10</f>
        <v>42925.919999999998</v>
      </c>
      <c r="U38">
        <f>AVERAGE('Census Projections'!I41,'Census Projections'!C13,'Census Projections'!C27,'Census Projections'!C41)*'jins attempt'!$C$15/10</f>
        <v>0</v>
      </c>
      <c r="W38" s="181">
        <f>H52/SUM('GDP Projections'!C18 * 1000,'GDP Projections'!J18 * 1000,'GDP Projections'!C33 * 1000,'GDP Projections'!J33*1000,'GDP Projections'!C48*1000,'GDP Projections'!J48*1000)</f>
        <v>6.6515768819126308E-4</v>
      </c>
    </row>
    <row r="39" spans="2:23">
      <c r="B39" t="s">
        <v>438</v>
      </c>
      <c r="C39" s="170" cm="1">
        <f t="array" ref="C39:M39">TRANSPOSE(Q33:Q43)</f>
        <v>5487</v>
      </c>
      <c r="D39" s="170">
        <v>5697.7008000000005</v>
      </c>
      <c r="E39" s="170">
        <v>5872.62021456</v>
      </c>
      <c r="F39" s="170">
        <v>6048.7988209967998</v>
      </c>
      <c r="G39" s="170">
        <v>6226.6335063341066</v>
      </c>
      <c r="H39" s="170">
        <v>6405.3378879658949</v>
      </c>
      <c r="I39" s="170">
        <v>6585.3278826177366</v>
      </c>
      <c r="J39" s="170">
        <v>6765.7658666014631</v>
      </c>
      <c r="K39" s="170">
        <v>6946.4118152397223</v>
      </c>
      <c r="L39" s="170">
        <v>7127.7131636174781</v>
      </c>
      <c r="M39" s="170">
        <v>7308.7570779733633</v>
      </c>
      <c r="O39">
        <f>AVERAGE('Temp Housing Cost Projections'!E13*'jins attempt'!$C$28, 'Temp Housing Cost Projections'!F13*'jins attempt'!$C$28, 'Temp Housing Cost Projections'!G13*'jins attempt'!$C$28, 'Temp Housing Cost Projections'!H13*'jins attempt'!$C$28)</f>
        <v>6135.2644680047142</v>
      </c>
      <c r="P39">
        <f>'Temp Housing Cost Projections'!C13*'jins attempt'!$C$28</f>
        <v>6912.9740484560161</v>
      </c>
      <c r="Q39">
        <f>'Temp Housing Cost Projections'!D13*'jins attempt'!$C$28</f>
        <v>6585.3278826177366</v>
      </c>
      <c r="S39">
        <f>'Census Projections'!I28*'jins attempt'!$C$13/10</f>
        <v>97599.138000000006</v>
      </c>
      <c r="T39">
        <f>'Census Projections'!I14*'jins attempt'!$C$14/10</f>
        <v>45561.224999999999</v>
      </c>
      <c r="U39">
        <f>AVERAGE('Census Projections'!I42,'Census Projections'!C14,'Census Projections'!C28,'Census Projections'!C42)*'jins attempt'!$C$15/10</f>
        <v>0</v>
      </c>
      <c r="W39" s="181">
        <f>I52/SUM('GDP Projections'!C19 * 1000,'GDP Projections'!J19 * 1000,'GDP Projections'!C34 * 1000,'GDP Projections'!J34*1000,'GDP Projections'!C49*1000,'GDP Projections'!J49*1000)</f>
        <v>7.380580360513006E-4</v>
      </c>
    </row>
    <row r="40" spans="2:23">
      <c r="B40" t="s">
        <v>439</v>
      </c>
      <c r="C40" s="170" cm="1">
        <f t="array" ref="C40:M40">TRANSPOSE(P33:P43)</f>
        <v>5760</v>
      </c>
      <c r="D40" s="170">
        <v>5981.1840000000002</v>
      </c>
      <c r="E40" s="170">
        <v>6164.8063488000007</v>
      </c>
      <c r="F40" s="170">
        <v>6349.7505392639996</v>
      </c>
      <c r="G40" s="170">
        <v>6536.4332051183619</v>
      </c>
      <c r="H40" s="170">
        <v>6724.0288381052587</v>
      </c>
      <c r="I40" s="170">
        <v>6912.9740484560161</v>
      </c>
      <c r="J40" s="170">
        <v>7102.3895373837113</v>
      </c>
      <c r="K40" s="170">
        <v>7292.0233380318568</v>
      </c>
      <c r="L40" s="170">
        <v>7482.3451471544886</v>
      </c>
      <c r="M40">
        <v>7672.3967138922126</v>
      </c>
      <c r="O40">
        <f>AVERAGE('Temp Housing Cost Projections'!E14*'jins attempt'!$C$28, 'Temp Housing Cost Projections'!F14*'jins attempt'!$C$28, 'Temp Housing Cost Projections'!G14*'jins attempt'!$C$28, 'Temp Housing Cost Projections'!H14*'jins attempt'!$C$28)</f>
        <v>6303.3707144280443</v>
      </c>
      <c r="P40">
        <f>'Temp Housing Cost Projections'!C14*'jins attempt'!$C$28</f>
        <v>7102.3895373837113</v>
      </c>
      <c r="Q40">
        <f>'Temp Housing Cost Projections'!D14*'jins attempt'!$C$28</f>
        <v>6765.7658666014631</v>
      </c>
      <c r="S40">
        <f>'Census Projections'!I29*'jins attempt'!$C$13/10</f>
        <v>105525.18600000002</v>
      </c>
      <c r="T40">
        <f>'Census Projections'!I15*'jins attempt'!$C$14/10</f>
        <v>48196.525000000001</v>
      </c>
      <c r="U40">
        <f>AVERAGE('Census Projections'!I43,'Census Projections'!C15,'Census Projections'!C29,'Census Projections'!C43)*'jins attempt'!$C$15/10</f>
        <v>0</v>
      </c>
      <c r="W40" s="181">
        <f>J52/SUM('GDP Projections'!C20 * 1000,'GDP Projections'!J20 * 1000,'GDP Projections'!C35 * 1000,'GDP Projections'!J35*1000,'GDP Projections'!C50*1000,'GDP Projections'!J50*1000)</f>
        <v>8.1396651707213137E-4</v>
      </c>
    </row>
    <row r="41" spans="2:23">
      <c r="B41" t="s">
        <v>440</v>
      </c>
      <c r="C41" s="170" cm="1">
        <f t="array" ref="C41:M41">TRANSPOSE(O33:O43)</f>
        <v>5112</v>
      </c>
      <c r="D41" s="170">
        <v>5308.3008</v>
      </c>
      <c r="E41" s="170">
        <v>5471.2656345599999</v>
      </c>
      <c r="F41" s="170">
        <v>5635.4036035968002</v>
      </c>
      <c r="G41" s="170">
        <v>5801.0844695425476</v>
      </c>
      <c r="H41" s="170">
        <v>5967.5755938184166</v>
      </c>
      <c r="I41" s="170">
        <v>6135.2644680047142</v>
      </c>
      <c r="J41" s="170">
        <v>6303.3707144280443</v>
      </c>
      <c r="K41" s="170">
        <v>6471.6707125032726</v>
      </c>
      <c r="L41" s="170">
        <v>6640.5813180996083</v>
      </c>
      <c r="M41">
        <v>6809.2520835793393</v>
      </c>
      <c r="O41">
        <f>AVERAGE('Temp Housing Cost Projections'!E15*'jins attempt'!$C$28, 'Temp Housing Cost Projections'!F15*'jins attempt'!$C$28, 'Temp Housing Cost Projections'!G15*'jins attempt'!$C$28, 'Temp Housing Cost Projections'!H15*'jins attempt'!$C$28)</f>
        <v>6471.6707125032726</v>
      </c>
      <c r="P41">
        <f>'Temp Housing Cost Projections'!C15*'jins attempt'!$C$28</f>
        <v>7292.0233380318568</v>
      </c>
      <c r="Q41">
        <f>'Temp Housing Cost Projections'!D15*'jins attempt'!$C$28</f>
        <v>6946.4118152397223</v>
      </c>
      <c r="S41">
        <f>'Census Projections'!I30*'jins attempt'!$C$13/10</f>
        <v>113451.23400000001</v>
      </c>
      <c r="T41">
        <f>'Census Projections'!I16*'jins attempt'!$C$14/10</f>
        <v>50831.83</v>
      </c>
      <c r="U41">
        <f>AVERAGE('Census Projections'!I44,'Census Projections'!C16,'Census Projections'!C30,'Census Projections'!C44)*'jins attempt'!$C$15/10</f>
        <v>0</v>
      </c>
      <c r="W41" s="181">
        <f>K52/SUM('GDP Projections'!C21 * 1000,'GDP Projections'!J21 * 1000,'GDP Projections'!C36 * 1000,'GDP Projections'!J36*1000,'GDP Projections'!C51*1000,'GDP Projections'!J51*1000)</f>
        <v>8.928626047246753E-4</v>
      </c>
    </row>
    <row r="42" spans="2:23">
      <c r="O42">
        <f>AVERAGE('Temp Housing Cost Projections'!E16*'jins attempt'!$C$28, 'Temp Housing Cost Projections'!F16*'jins attempt'!$C$28, 'Temp Housing Cost Projections'!G16*'jins attempt'!$C$28, 'Temp Housing Cost Projections'!H16*'jins attempt'!$C$28)</f>
        <v>6640.5813180996083</v>
      </c>
      <c r="P42">
        <f>'Temp Housing Cost Projections'!C16*'jins attempt'!$C$28</f>
        <v>7482.3451471544886</v>
      </c>
      <c r="Q42">
        <f>'Temp Housing Cost Projections'!D16*'jins attempt'!$C$28</f>
        <v>7127.7131636174781</v>
      </c>
      <c r="S42">
        <f>'Census Projections'!I31*'jins attempt'!$C$13/10</f>
        <v>121377.269</v>
      </c>
      <c r="T42">
        <f>'Census Projections'!I17*'jins attempt'!$C$14/10</f>
        <v>53467.134999999995</v>
      </c>
      <c r="U42">
        <f>AVERAGE('Census Projections'!I45,'Census Projections'!C17,'Census Projections'!C31,'Census Projections'!C45)*'jins attempt'!$C$15/10</f>
        <v>0</v>
      </c>
      <c r="W42" s="181">
        <f>L52/SUM('GDP Projections'!C22 * 1000,'GDP Projections'!J22 * 1000,'GDP Projections'!C37 * 1000,'GDP Projections'!J37*1000,'GDP Projections'!C52*1000,'GDP Projections'!J52*1000)</f>
        <v>9.7481180121308483E-4</v>
      </c>
    </row>
    <row r="43" spans="2:23">
      <c r="B43" s="1" t="s">
        <v>442</v>
      </c>
      <c r="O43">
        <f>AVERAGE('Temp Housing Cost Projections'!E17*'jins attempt'!$C$28, 'Temp Housing Cost Projections'!F17*'jins attempt'!$C$28, 'Temp Housing Cost Projections'!G17*'jins attempt'!$C$28, 'Temp Housing Cost Projections'!H17*'jins attempt'!$C$28)</f>
        <v>6809.2520835793393</v>
      </c>
      <c r="P43">
        <f>'Temp Housing Cost Projections'!C17*'jins attempt'!$C$28</f>
        <v>7672.3967138922126</v>
      </c>
      <c r="Q43">
        <f>'Temp Housing Cost Projections'!D17*'jins attempt'!$C$28</f>
        <v>7308.7570779733633</v>
      </c>
      <c r="S43">
        <f>'Census Projections'!I32*'jins attempt'!$C$13/10</f>
        <v>129303.31700000001</v>
      </c>
      <c r="T43">
        <f>'Census Projections'!I18*'jins attempt'!$C$14/10</f>
        <v>56102.434999999998</v>
      </c>
      <c r="U43">
        <f>AVERAGE('Census Projections'!I46,'Census Projections'!C18,'Census Projections'!C32,'Census Projections'!C46)*'jins attempt'!$C$15/10</f>
        <v>0</v>
      </c>
      <c r="W43" s="181">
        <f>M52/SUM('GDP Projections'!C23 * 1000,'GDP Projections'!J23 * 1000,'GDP Projections'!C38 * 1000,'GDP Projections'!J38*1000,'GDP Projections'!C53*1000,'GDP Projections'!J53*1000)</f>
        <v>1.0596973144976984E-3</v>
      </c>
    </row>
    <row r="44" spans="2:23">
      <c r="B44" t="s">
        <v>438</v>
      </c>
      <c r="C44" s="172">
        <f>C39*C34</f>
        <v>300470995.18799996</v>
      </c>
      <c r="D44" s="172">
        <f t="shared" ref="D44:M44" si="0">D39*D34</f>
        <v>324941722.67905921</v>
      </c>
      <c r="E44" s="172">
        <f t="shared" si="0"/>
        <v>386976144.60506517</v>
      </c>
      <c r="F44" s="172">
        <f t="shared" si="0"/>
        <v>446528498.74078119</v>
      </c>
      <c r="G44" s="172">
        <f t="shared" si="0"/>
        <v>509008951.70713711</v>
      </c>
      <c r="H44" s="172">
        <f t="shared" si="0"/>
        <v>574386524.17736816</v>
      </c>
      <c r="I44" s="172">
        <f t="shared" si="0"/>
        <v>642722324.79085636</v>
      </c>
      <c r="J44" s="172">
        <f t="shared" si="0"/>
        <v>713958701.50557065</v>
      </c>
      <c r="K44" s="172">
        <f t="shared" si="0"/>
        <v>788078992.31112659</v>
      </c>
      <c r="L44" s="172">
        <f t="shared" si="0"/>
        <v>865142358.01523972</v>
      </c>
      <c r="M44" s="172">
        <f t="shared" si="0"/>
        <v>945046533.32918358</v>
      </c>
    </row>
    <row r="45" spans="2:23">
      <c r="B45" t="s">
        <v>439</v>
      </c>
      <c r="C45" s="172">
        <f t="shared" ref="C45:M45" si="1">C40*C35</f>
        <v>181624550.40000001</v>
      </c>
      <c r="D45" s="172">
        <f t="shared" si="1"/>
        <v>191577562.76736</v>
      </c>
      <c r="E45" s="172">
        <f t="shared" si="1"/>
        <v>215891579.98303953</v>
      </c>
      <c r="F45" s="172">
        <f t="shared" si="1"/>
        <v>239101856.72740579</v>
      </c>
      <c r="G45" s="172">
        <f t="shared" si="1"/>
        <v>263356913.74063998</v>
      </c>
      <c r="H45" s="172">
        <f t="shared" si="1"/>
        <v>288635123.98219925</v>
      </c>
      <c r="I45" s="172">
        <f t="shared" si="1"/>
        <v>314963566.04086542</v>
      </c>
      <c r="J45" s="172">
        <f t="shared" si="1"/>
        <v>342310494.89825249</v>
      </c>
      <c r="K45" s="172">
        <f t="shared" si="1"/>
        <v>370666890.67486787</v>
      </c>
      <c r="L45" s="172">
        <f t="shared" si="1"/>
        <v>400059558.09950387</v>
      </c>
      <c r="M45" s="172">
        <f t="shared" si="1"/>
        <v>430440137.93535143</v>
      </c>
    </row>
    <row r="46" spans="2:23">
      <c r="B46" t="s">
        <v>440</v>
      </c>
      <c r="C46" s="172">
        <f>C41*C36</f>
        <v>0</v>
      </c>
      <c r="D46" s="172">
        <f t="shared" ref="D46:M46" si="2">D41*D36</f>
        <v>0</v>
      </c>
      <c r="E46" s="172">
        <f t="shared" si="2"/>
        <v>0</v>
      </c>
      <c r="F46" s="172">
        <f t="shared" si="2"/>
        <v>0</v>
      </c>
      <c r="G46" s="172">
        <f t="shared" si="2"/>
        <v>0</v>
      </c>
      <c r="H46" s="172">
        <f t="shared" si="2"/>
        <v>0</v>
      </c>
      <c r="I46" s="172">
        <f t="shared" si="2"/>
        <v>0</v>
      </c>
      <c r="J46" s="172">
        <f t="shared" si="2"/>
        <v>0</v>
      </c>
      <c r="K46" s="172">
        <f t="shared" si="2"/>
        <v>0</v>
      </c>
      <c r="L46" s="172">
        <f t="shared" si="2"/>
        <v>0</v>
      </c>
      <c r="M46" s="172">
        <f t="shared" si="2"/>
        <v>0</v>
      </c>
    </row>
    <row r="47" spans="2:23">
      <c r="C47" s="172"/>
      <c r="D47" s="172"/>
      <c r="E47" s="172"/>
      <c r="F47" s="172"/>
      <c r="G47" s="172"/>
      <c r="H47" s="172"/>
      <c r="I47" s="172"/>
      <c r="J47" s="172"/>
      <c r="K47" s="172"/>
      <c r="L47" s="172"/>
      <c r="M47" s="172"/>
    </row>
    <row r="48" spans="2:23">
      <c r="B48" s="1" t="s">
        <v>443</v>
      </c>
      <c r="C48" s="172"/>
      <c r="D48" s="172"/>
      <c r="E48" s="172"/>
      <c r="F48" s="172"/>
      <c r="G48" s="172"/>
      <c r="H48" s="172"/>
      <c r="I48" s="172"/>
      <c r="J48" s="172"/>
      <c r="K48" s="172"/>
      <c r="L48" s="172"/>
      <c r="M48" s="172"/>
    </row>
    <row r="49" spans="2:13">
      <c r="B49" t="s">
        <v>438</v>
      </c>
      <c r="C49" s="172"/>
      <c r="D49" s="172"/>
      <c r="E49" s="172"/>
      <c r="F49" s="172"/>
      <c r="G49" s="172"/>
      <c r="H49" s="172"/>
      <c r="I49" s="172"/>
      <c r="J49" s="172"/>
      <c r="K49" s="172"/>
      <c r="L49" s="172"/>
      <c r="M49" s="172"/>
    </row>
    <row r="50" spans="2:13">
      <c r="B50" t="s">
        <v>444</v>
      </c>
      <c r="C50" s="172"/>
      <c r="D50" s="172"/>
      <c r="E50" s="172"/>
      <c r="F50" s="172"/>
      <c r="G50" s="172"/>
      <c r="H50" s="172"/>
      <c r="I50" s="172"/>
      <c r="J50" s="172"/>
      <c r="K50" s="172"/>
      <c r="L50" s="172"/>
      <c r="M50" s="172"/>
    </row>
    <row r="51" spans="2:13" ht="15.75" thickBot="1">
      <c r="B51" t="s">
        <v>440</v>
      </c>
      <c r="C51" s="172"/>
      <c r="D51" s="172"/>
      <c r="E51" s="172"/>
      <c r="F51" s="172"/>
      <c r="G51" s="172"/>
      <c r="H51" s="172"/>
      <c r="I51" s="172"/>
      <c r="J51" s="172"/>
      <c r="K51" s="172"/>
      <c r="L51" s="172"/>
      <c r="M51" s="172"/>
    </row>
    <row r="52" spans="2:13" ht="16.5" thickTop="1" thickBot="1">
      <c r="B52" s="173" t="s">
        <v>445</v>
      </c>
      <c r="C52" s="174">
        <f t="shared" ref="C52:M52" si="3">SUM(C44:C51)</f>
        <v>482095545.58799994</v>
      </c>
      <c r="D52" s="174">
        <f t="shared" si="3"/>
        <v>516519285.44641924</v>
      </c>
      <c r="E52" s="174">
        <f t="shared" si="3"/>
        <v>602867724.58810472</v>
      </c>
      <c r="F52" s="174">
        <f t="shared" si="3"/>
        <v>685630355.46818697</v>
      </c>
      <c r="G52" s="174">
        <f t="shared" si="3"/>
        <v>772365865.44777703</v>
      </c>
      <c r="H52" s="174">
        <f t="shared" si="3"/>
        <v>863021648.15956736</v>
      </c>
      <c r="I52" s="174">
        <f t="shared" si="3"/>
        <v>957685890.83172178</v>
      </c>
      <c r="J52" s="174">
        <f t="shared" si="3"/>
        <v>1056269196.4038231</v>
      </c>
      <c r="K52" s="174">
        <f t="shared" si="3"/>
        <v>1158745882.9859943</v>
      </c>
      <c r="L52" s="174">
        <f t="shared" si="3"/>
        <v>1265201916.1147437</v>
      </c>
      <c r="M52" s="174">
        <f t="shared" si="3"/>
        <v>1375486671.264535</v>
      </c>
    </row>
    <row r="53" spans="2:13" ht="15.75" thickTop="1"/>
    <row r="54" spans="2:13">
      <c r="B54" t="s">
        <v>446</v>
      </c>
      <c r="C54" s="64"/>
    </row>
    <row r="56" spans="2:13">
      <c r="B56" t="s">
        <v>447</v>
      </c>
    </row>
    <row r="58" spans="2:13">
      <c r="B58" t="s">
        <v>448</v>
      </c>
    </row>
    <row r="69" spans="2:2">
      <c r="B69" s="171" t="s">
        <v>449</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223C7A-64BC-4AAE-9D38-210A36625436}">
  <dimension ref="B1:K94"/>
  <sheetViews>
    <sheetView workbookViewId="0">
      <selection activeCell="B25" sqref="B25"/>
    </sheetView>
  </sheetViews>
  <sheetFormatPr defaultColWidth="8.7109375" defaultRowHeight="15"/>
  <cols>
    <col min="1" max="1" width="3.42578125" customWidth="1"/>
    <col min="2" max="2" width="41.28515625" style="206" bestFit="1" customWidth="1"/>
    <col min="3" max="5" width="15.7109375" bestFit="1" customWidth="1"/>
    <col min="6" max="6" width="17.28515625" customWidth="1"/>
    <col min="7" max="8" width="16.7109375" bestFit="1" customWidth="1"/>
    <col min="9" max="9" width="18.7109375" bestFit="1" customWidth="1"/>
    <col min="10" max="10" width="18.7109375" customWidth="1"/>
    <col min="11" max="11" width="17.28515625" bestFit="1" customWidth="1"/>
  </cols>
  <sheetData>
    <row r="1" spans="2:11" ht="15.75" thickBot="1">
      <c r="B1" s="214" t="s">
        <v>210</v>
      </c>
      <c r="C1" s="213">
        <v>1</v>
      </c>
      <c r="D1" s="213">
        <v>2</v>
      </c>
      <c r="E1" s="213">
        <v>3</v>
      </c>
      <c r="F1" s="213">
        <v>4</v>
      </c>
      <c r="G1" s="213">
        <v>5</v>
      </c>
      <c r="H1" s="213">
        <v>6</v>
      </c>
      <c r="I1" s="215" t="s">
        <v>450</v>
      </c>
      <c r="J1" s="185"/>
    </row>
    <row r="2" spans="2:11">
      <c r="B2" s="205" t="s">
        <v>451</v>
      </c>
      <c r="C2" s="212">
        <f>Inputs!C8/Inputs!$C$4</f>
        <v>5.0000000000000001E-3</v>
      </c>
      <c r="D2" s="212">
        <f>Inputs!D8/Inputs!$C$4</f>
        <v>1.3000000000000001E-2</v>
      </c>
      <c r="E2" s="212">
        <f>Inputs!E8/Inputs!$C$4</f>
        <v>0</v>
      </c>
      <c r="F2" s="212">
        <f>Inputs!F8/Inputs!$C$4</f>
        <v>0</v>
      </c>
      <c r="G2" s="212">
        <f>Inputs!G8/Inputs!$C$4</f>
        <v>0</v>
      </c>
      <c r="H2" s="212">
        <f>Inputs!H8/Inputs!$C$4</f>
        <v>0</v>
      </c>
    </row>
    <row r="3" spans="2:11">
      <c r="B3" s="205" t="s">
        <v>452</v>
      </c>
      <c r="C3" s="209">
        <f>ROUND(C2*'Demographic-Economic'!C9, 0)</f>
        <v>32030</v>
      </c>
      <c r="D3" s="209">
        <f>ROUND(D2*'Demographic-Economic'!D9, 0)</f>
        <v>57030</v>
      </c>
      <c r="E3" s="209">
        <f>ROUND(E2*'Demographic-Economic'!E9, 0)</f>
        <v>0</v>
      </c>
      <c r="F3" s="209">
        <f>ROUND(F2*'Demographic-Economic'!F9, 0)</f>
        <v>0</v>
      </c>
      <c r="G3" s="209">
        <f>ROUND(G2*'Demographic-Economic'!G9, 0)</f>
        <v>0</v>
      </c>
      <c r="H3" s="209">
        <f>ROUND(H2*'Demographic-Economic'!H9, 0)</f>
        <v>0</v>
      </c>
      <c r="I3">
        <f>SUM(C3:H3)</f>
        <v>89060</v>
      </c>
    </row>
    <row r="4" spans="2:11">
      <c r="B4" s="205" t="s">
        <v>453</v>
      </c>
      <c r="C4" s="209">
        <f>ROUND(Inputs!C11*'Demographic-Economic'!C9, 0)</f>
        <v>0</v>
      </c>
      <c r="D4" s="209">
        <f>ROUND(Inputs!D11*'Demographic-Economic'!D9, 0)</f>
        <v>43869</v>
      </c>
      <c r="E4" s="209">
        <f>ROUND(Inputs!E11*'Demographic-Economic'!E9, 0)</f>
        <v>0</v>
      </c>
      <c r="F4" s="209">
        <f>ROUND(Inputs!F11*'Demographic-Economic'!F9, 0)</f>
        <v>0</v>
      </c>
      <c r="G4" s="209">
        <f>ROUND(Inputs!G11*'Demographic-Economic'!G9, 0)</f>
        <v>0</v>
      </c>
      <c r="H4" s="209">
        <f>ROUND(Inputs!H11*'Demographic-Economic'!H9, 0)</f>
        <v>0</v>
      </c>
      <c r="I4">
        <f>SUM(C4:H4)</f>
        <v>43869</v>
      </c>
    </row>
    <row r="5" spans="2:11">
      <c r="B5" s="205"/>
      <c r="C5" s="209"/>
      <c r="D5" s="209"/>
      <c r="E5" s="209"/>
      <c r="F5" s="209"/>
      <c r="G5" s="209"/>
      <c r="H5" s="209"/>
    </row>
    <row r="6" spans="2:11">
      <c r="B6" s="216" t="s">
        <v>49</v>
      </c>
      <c r="C6" s="218">
        <f>'Demographic-Economic'!C14-'Demographic-Economic'!C27</f>
        <v>415716</v>
      </c>
      <c r="D6" s="218">
        <f>'Demographic-Economic'!D14-'Demographic-Economic'!D27</f>
        <v>889104</v>
      </c>
      <c r="E6" s="218">
        <f>'Demographic-Economic'!E14-'Demographic-Economic'!E27</f>
        <v>346800</v>
      </c>
      <c r="F6" s="218">
        <f>'Demographic-Economic'!F14-'Demographic-Economic'!F27</f>
        <v>93000</v>
      </c>
      <c r="G6" s="218">
        <f>'Demographic-Economic'!G14-'Demographic-Economic'!G27</f>
        <v>66144</v>
      </c>
      <c r="H6" s="218">
        <f>'Demographic-Economic'!H14-'Demographic-Economic'!H27</f>
        <v>25428</v>
      </c>
    </row>
    <row r="7" spans="2:11">
      <c r="B7" s="205" t="s">
        <v>454</v>
      </c>
      <c r="C7" s="211"/>
      <c r="D7" s="211"/>
      <c r="E7" s="211"/>
      <c r="F7" s="211">
        <f>$I$3*(F6/SUM($F$6:$H$6))</f>
        <v>44874.520512320392</v>
      </c>
      <c r="G7" s="211">
        <f t="shared" ref="G7:H7" si="0">$I$3*(G6/SUM($F$6:$H$6))</f>
        <v>31915.917040504515</v>
      </c>
      <c r="H7" s="211">
        <f t="shared" si="0"/>
        <v>12269.562447175085</v>
      </c>
      <c r="I7" s="61">
        <f>SUM(C7:H7)</f>
        <v>89060</v>
      </c>
      <c r="J7" s="61"/>
    </row>
    <row r="8" spans="2:11">
      <c r="B8" s="205" t="s">
        <v>455</v>
      </c>
      <c r="C8" s="212">
        <f>C7/'Demographic-Economic'!C9</f>
        <v>0</v>
      </c>
      <c r="D8" s="212">
        <f>D7/'Demographic-Economic'!D9</f>
        <v>0</v>
      </c>
      <c r="E8" s="212">
        <f>E7/'Demographic-Economic'!E9</f>
        <v>0</v>
      </c>
      <c r="F8" s="212">
        <f>F7/'Demographic-Economic'!F9</f>
        <v>4.5075376389512055E-2</v>
      </c>
      <c r="G8" s="212">
        <f>G7/'Demographic-Economic'!G9</f>
        <v>2.5388607584865847E-2</v>
      </c>
      <c r="H8" s="212">
        <f>H7/'Demographic-Economic'!H9</f>
        <v>3.9095458924964265E-2</v>
      </c>
      <c r="I8" s="61"/>
      <c r="J8" s="61"/>
    </row>
    <row r="9" spans="2:11">
      <c r="B9" s="205" t="s">
        <v>456</v>
      </c>
      <c r="C9" s="211"/>
      <c r="D9" s="211"/>
      <c r="E9" s="211">
        <f>$I$4*(E6/SUM($E$6:$H$6))</f>
        <v>28631.108150222444</v>
      </c>
      <c r="F9" s="211">
        <f>$I$4*(F6/SUM($E$6:$H$6))</f>
        <v>7677.89232402159</v>
      </c>
      <c r="G9" s="211">
        <f>$I$4*(G6/SUM($E$6:$H$6))</f>
        <v>5460.7151600009029</v>
      </c>
      <c r="H9" s="211">
        <f>$I$4*(H6/SUM($E$6:$H$6))</f>
        <v>2099.2843657550643</v>
      </c>
      <c r="I9" s="61">
        <f>SUM(C9:H9)</f>
        <v>43869</v>
      </c>
      <c r="J9" s="61"/>
    </row>
    <row r="10" spans="2:11">
      <c r="B10" s="60"/>
      <c r="C10" s="61"/>
      <c r="D10" s="61"/>
      <c r="E10" s="61"/>
      <c r="F10" s="61"/>
      <c r="G10" s="61"/>
      <c r="H10" s="61"/>
      <c r="I10" s="61"/>
      <c r="J10" s="61"/>
    </row>
    <row r="11" spans="2:11">
      <c r="B11" s="206" t="s">
        <v>457</v>
      </c>
      <c r="C11" s="209"/>
      <c r="D11" s="209"/>
      <c r="E11" s="209"/>
      <c r="F11" s="209"/>
      <c r="G11" s="209"/>
      <c r="H11" s="209"/>
    </row>
    <row r="12" spans="2:11">
      <c r="B12" s="207" t="s">
        <v>458</v>
      </c>
      <c r="C12" s="209"/>
      <c r="D12" s="209"/>
      <c r="E12" s="209"/>
      <c r="F12" s="209"/>
      <c r="G12" s="209"/>
      <c r="H12" s="209"/>
    </row>
    <row r="13" spans="2:11" ht="14.85" customHeight="1">
      <c r="B13" s="216" t="s">
        <v>459</v>
      </c>
      <c r="C13" s="217">
        <f>'Demographic-Economic'!C18</f>
        <v>1260</v>
      </c>
      <c r="D13" s="217">
        <f>'Demographic-Economic'!D18</f>
        <v>1287</v>
      </c>
      <c r="E13" s="217">
        <f>'Demographic-Economic'!E18</f>
        <v>1318</v>
      </c>
      <c r="F13" s="217">
        <f>'Demographic-Economic'!F18</f>
        <v>923</v>
      </c>
      <c r="G13" s="217">
        <f>'Demographic-Economic'!G18</f>
        <v>1068</v>
      </c>
      <c r="H13" s="217">
        <f>'Demographic-Economic'!H18</f>
        <v>882</v>
      </c>
      <c r="K13" t="s">
        <v>265</v>
      </c>
    </row>
    <row r="14" spans="2:11" ht="14.85" customHeight="1">
      <c r="B14" s="206">
        <v>2021</v>
      </c>
      <c r="C14" s="210">
        <f t="shared" ref="C14:C24" si="1">C13*(1+$K14)</f>
        <v>1308.384</v>
      </c>
      <c r="D14" s="210">
        <f t="shared" ref="D14:D24" si="2">D13*(1+$K14)</f>
        <v>1336.4208000000001</v>
      </c>
      <c r="E14" s="210">
        <f t="shared" ref="E14:E24" si="3">E13*(1+$K14)</f>
        <v>1368.6112000000001</v>
      </c>
      <c r="F14" s="210">
        <f t="shared" ref="F14:F24" si="4">F13*(1+$K14)</f>
        <v>958.44320000000005</v>
      </c>
      <c r="G14" s="210">
        <f t="shared" ref="G14:G24" si="5">G13*(1+$K14)</f>
        <v>1109.0111999999999</v>
      </c>
      <c r="H14" s="210">
        <f t="shared" ref="H14:H24" si="6">H13*(1+$K14)</f>
        <v>915.86879999999996</v>
      </c>
      <c r="K14" s="180">
        <f>'Projections - Shaun''s Attempt'!$B$118</f>
        <v>3.8399999999999997E-2</v>
      </c>
    </row>
    <row r="15" spans="2:11" ht="14.85" customHeight="1">
      <c r="B15" s="206">
        <v>2022</v>
      </c>
      <c r="C15" s="210">
        <f t="shared" si="1"/>
        <v>1358.6259456</v>
      </c>
      <c r="D15" s="210">
        <f t="shared" si="2"/>
        <v>1387.7393587200002</v>
      </c>
      <c r="E15" s="210">
        <f t="shared" si="3"/>
        <v>1421.1658700800001</v>
      </c>
      <c r="F15" s="210">
        <f t="shared" si="4"/>
        <v>995.24741888000005</v>
      </c>
      <c r="G15" s="210">
        <f t="shared" si="5"/>
        <v>1151.5972300799999</v>
      </c>
      <c r="H15" s="210">
        <f t="shared" si="6"/>
        <v>951.03816191999999</v>
      </c>
      <c r="K15" s="180">
        <f>INDEX('Projections - Shaun''s Attempt'!$A$15:$L$121,MATCH("Median",'Projections - Shaun''s Attempt'!$A$15:$A$120, 0),MATCH('Voluntary Relocation Cost'!B15,'Projections - Shaun''s Attempt'!$B$15:$L$15, 0))</f>
        <v>3.8399999999999997E-2</v>
      </c>
    </row>
    <row r="16" spans="2:11" ht="14.85" customHeight="1">
      <c r="B16" s="206">
        <v>2023</v>
      </c>
      <c r="C16" s="210">
        <f t="shared" ca="1" si="1"/>
        <v>1410.3021889961419</v>
      </c>
      <c r="D16" s="210">
        <f t="shared" ca="1" si="2"/>
        <v>1440.5229501889164</v>
      </c>
      <c r="E16" s="210">
        <f t="shared" ca="1" si="3"/>
        <v>1475.2208611880278</v>
      </c>
      <c r="F16" s="210">
        <f t="shared" ca="1" si="4"/>
        <v>1033.1023178122532</v>
      </c>
      <c r="G16" s="210">
        <f t="shared" ca="1" si="5"/>
        <v>1195.3989982919677</v>
      </c>
      <c r="H16" s="210">
        <f t="shared" ca="1" si="6"/>
        <v>987.2115322972993</v>
      </c>
      <c r="K16" s="180">
        <f ca="1">INDEX('Projections - Shaun''s Attempt'!$A$15:$L$121,MATCH("Median",'Projections - Shaun''s Attempt'!$A$15:$A$120, 0),MATCH('Voluntary Relocation Cost'!B16,'Projections - Shaun''s Attempt'!$B$15:$L$15, 0))</f>
        <v>3.8035666522856282E-2</v>
      </c>
    </row>
    <row r="17" spans="2:11" ht="14.85" customHeight="1">
      <c r="B17" s="206">
        <v>2024</v>
      </c>
      <c r="C17" s="210">
        <f t="shared" ca="1" si="1"/>
        <v>1465.9986757465033</v>
      </c>
      <c r="D17" s="210">
        <f t="shared" ca="1" si="2"/>
        <v>1497.4129330839285</v>
      </c>
      <c r="E17" s="210">
        <f t="shared" ca="1" si="3"/>
        <v>1533.4811544713423</v>
      </c>
      <c r="F17" s="210">
        <f t="shared" ca="1" si="4"/>
        <v>1073.9022045349386</v>
      </c>
      <c r="G17" s="210">
        <f t="shared" ca="1" si="5"/>
        <v>1242.6084013470359</v>
      </c>
      <c r="H17" s="210">
        <f t="shared" ca="1" si="6"/>
        <v>1026.1990730225523</v>
      </c>
      <c r="K17" s="180">
        <f ca="1">INDEX('Projections - Shaun''s Attempt'!$A$15:$L$121,MATCH("Median",'Projections - Shaun''s Attempt'!$A$15:$A$120, 0),MATCH('Voluntary Relocation Cost'!B17,'Projections - Shaun''s Attempt'!$B$15:$L$15, 0))</f>
        <v>3.9492590442624445E-2</v>
      </c>
    </row>
    <row r="18" spans="2:11" ht="14.85" customHeight="1">
      <c r="B18" s="206">
        <v>2025</v>
      </c>
      <c r="C18" s="210">
        <f t="shared" ca="1" si="1"/>
        <v>1524.2706358094813</v>
      </c>
      <c r="D18" s="210">
        <f t="shared" ca="1" si="2"/>
        <v>1556.9335780053989</v>
      </c>
      <c r="E18" s="210">
        <f t="shared" ca="1" si="3"/>
        <v>1594.4354746007114</v>
      </c>
      <c r="F18" s="210">
        <f t="shared" ca="1" si="4"/>
        <v>1116.5887276604376</v>
      </c>
      <c r="G18" s="210">
        <f t="shared" ca="1" si="5"/>
        <v>1292.0008246385123</v>
      </c>
      <c r="H18" s="210">
        <f t="shared" ca="1" si="6"/>
        <v>1066.9894450666368</v>
      </c>
      <c r="K18" s="180">
        <f ca="1">INDEX('Projections - Shaun''s Attempt'!$A$15:$L$121,MATCH("Median",'Projections - Shaun''s Attempt'!$A$15:$A$120, 0),MATCH('Voluntary Relocation Cost'!B18,'Projections - Shaun''s Attempt'!$B$15:$L$15, 0))</f>
        <v>3.9748985471153381E-2</v>
      </c>
    </row>
    <row r="19" spans="2:11" ht="14.85" customHeight="1">
      <c r="B19" s="206">
        <v>2026</v>
      </c>
      <c r="C19" s="210">
        <f t="shared" ca="1" si="1"/>
        <v>1590.527215928144</v>
      </c>
      <c r="D19" s="210">
        <f t="shared" ca="1" si="2"/>
        <v>1624.6099419837471</v>
      </c>
      <c r="E19" s="210">
        <f t="shared" ca="1" si="3"/>
        <v>1663.7419607883285</v>
      </c>
      <c r="F19" s="210">
        <f t="shared" ca="1" si="4"/>
        <v>1165.1243018267278</v>
      </c>
      <c r="G19" s="210">
        <f t="shared" ca="1" si="5"/>
        <v>1348.1611639771884</v>
      </c>
      <c r="H19" s="210">
        <f t="shared" ca="1" si="6"/>
        <v>1113.3690511497007</v>
      </c>
      <c r="K19" s="180">
        <f ca="1">INDEX('Projections - Shaun''s Attempt'!$A$15:$L$121,MATCH("Median",'Projections - Shaun''s Attempt'!$A$15:$A$120, 0),MATCH('Voluntary Relocation Cost'!B19,'Projections - Shaun''s Attempt'!$B$15:$L$15, 0))</f>
        <v>4.3467727162162725E-2</v>
      </c>
    </row>
    <row r="20" spans="2:11" ht="14.85" customHeight="1">
      <c r="B20" s="206">
        <v>2027</v>
      </c>
      <c r="C20" s="210">
        <f t="shared" ca="1" si="1"/>
        <v>1660.7128245817746</v>
      </c>
      <c r="D20" s="210">
        <f t="shared" ca="1" si="2"/>
        <v>1696.29952796567</v>
      </c>
      <c r="E20" s="210">
        <f t="shared" ca="1" si="3"/>
        <v>1737.1583355545865</v>
      </c>
      <c r="F20" s="210">
        <f t="shared" ca="1" si="4"/>
        <v>1216.5380453087128</v>
      </c>
      <c r="G20" s="210">
        <f t="shared" ca="1" si="5"/>
        <v>1407.6518227407419</v>
      </c>
      <c r="H20" s="210">
        <f t="shared" ca="1" si="6"/>
        <v>1162.4989772072422</v>
      </c>
      <c r="K20" s="180">
        <f ca="1">INDEX('Projections - Shaun''s Attempt'!$A$15:$L$121,MATCH("Median",'Projections - Shaun''s Attempt'!$A$15:$A$120, 0),MATCH('Voluntary Relocation Cost'!B20,'Projections - Shaun''s Attempt'!$B$15:$L$15, 0))</f>
        <v>4.4127260414512329E-2</v>
      </c>
    </row>
    <row r="21" spans="2:11" ht="14.85" customHeight="1">
      <c r="B21" s="206">
        <v>2028</v>
      </c>
      <c r="C21" s="210">
        <f t="shared" ca="1" si="1"/>
        <v>1735.3437039433197</v>
      </c>
      <c r="D21" s="210">
        <f t="shared" ca="1" si="2"/>
        <v>1772.5296404563912</v>
      </c>
      <c r="E21" s="210">
        <f t="shared" ca="1" si="3"/>
        <v>1815.2246046010282</v>
      </c>
      <c r="F21" s="210">
        <f t="shared" ca="1" si="4"/>
        <v>1271.2081259838765</v>
      </c>
      <c r="G21" s="210">
        <f t="shared" ca="1" si="5"/>
        <v>1470.9103776281468</v>
      </c>
      <c r="H21" s="210">
        <f t="shared" ca="1" si="6"/>
        <v>1214.7405927603238</v>
      </c>
      <c r="K21" s="180">
        <f ca="1">INDEX('Projections - Shaun''s Attempt'!$A$15:$L$121,MATCH("Median",'Projections - Shaun''s Attempt'!$A$15:$A$120, 0),MATCH('Voluntary Relocation Cost'!B21,'Projections - Shaun''s Attempt'!$B$15:$L$15, 0))</f>
        <v>4.4939063670047637E-2</v>
      </c>
    </row>
    <row r="22" spans="2:11" ht="14.85" customHeight="1">
      <c r="B22" s="206">
        <v>2029</v>
      </c>
      <c r="C22" s="210">
        <f t="shared" ca="1" si="1"/>
        <v>1807.3798757048266</v>
      </c>
      <c r="D22" s="210">
        <f t="shared" ca="1" si="2"/>
        <v>1846.1094444699306</v>
      </c>
      <c r="E22" s="210">
        <f t="shared" ca="1" si="3"/>
        <v>1890.5767271261602</v>
      </c>
      <c r="F22" s="210">
        <f t="shared" ca="1" si="4"/>
        <v>1323.9774803774249</v>
      </c>
      <c r="G22" s="210">
        <f t="shared" ca="1" si="5"/>
        <v>1531.9696089307574</v>
      </c>
      <c r="H22" s="210">
        <f t="shared" ca="1" si="6"/>
        <v>1265.1659129933787</v>
      </c>
      <c r="K22" s="180">
        <f ca="1">INDEX('Projections - Shaun''s Attempt'!$A$15:$L$121,MATCH("Median",'Projections - Shaun''s Attempt'!$A$15:$A$120, 0),MATCH('Voluntary Relocation Cost'!B22,'Projections - Shaun''s Attempt'!$B$15:$L$15, 0))</f>
        <v>4.1511183979182395E-2</v>
      </c>
    </row>
    <row r="23" spans="2:11" ht="14.85" customHeight="1">
      <c r="B23" s="206">
        <v>2030</v>
      </c>
      <c r="C23" s="210">
        <f t="shared" ca="1" si="1"/>
        <v>1882.6918429875004</v>
      </c>
      <c r="D23" s="210">
        <f t="shared" ca="1" si="2"/>
        <v>1923.0352396229473</v>
      </c>
      <c r="E23" s="210">
        <f t="shared" ca="1" si="3"/>
        <v>1969.3554357599412</v>
      </c>
      <c r="F23" s="210">
        <f t="shared" ca="1" si="4"/>
        <v>1379.1464849821136</v>
      </c>
      <c r="G23" s="210">
        <f t="shared" ca="1" si="5"/>
        <v>1595.8054669132141</v>
      </c>
      <c r="H23" s="210">
        <f t="shared" ca="1" si="6"/>
        <v>1317.8842900912503</v>
      </c>
      <c r="K23" s="180">
        <f ca="1">INDEX('Projections - Shaun''s Attempt'!$A$15:$L$121,MATCH("Median",'Projections - Shaun''s Attempt'!$A$15:$A$120, 0),MATCH('Voluntary Relocation Cost'!B23,'Projections - Shaun''s Attempt'!$B$15:$L$15, 0))</f>
        <v>4.1669141222071202E-2</v>
      </c>
    </row>
    <row r="24" spans="2:11" ht="14.85" customHeight="1">
      <c r="B24" s="206">
        <v>2031</v>
      </c>
      <c r="C24" s="210">
        <f t="shared" ca="1" si="1"/>
        <v>1967.1556225777879</v>
      </c>
      <c r="D24" s="210">
        <f t="shared" ca="1" si="2"/>
        <v>2009.3089573473123</v>
      </c>
      <c r="E24" s="210">
        <f t="shared" ca="1" si="3"/>
        <v>2057.7072306012101</v>
      </c>
      <c r="F24" s="210">
        <f t="shared" ca="1" si="4"/>
        <v>1441.0195552692844</v>
      </c>
      <c r="G24" s="210">
        <f t="shared" ca="1" si="5"/>
        <v>1667.3985753278387</v>
      </c>
      <c r="H24" s="210">
        <f t="shared" ca="1" si="6"/>
        <v>1377.0089358044513</v>
      </c>
      <c r="K24" s="180">
        <f ca="1">INDEX('Projections - Shaun''s Attempt'!$A$15:$L$121,MATCH("Median",'Projections - Shaun''s Attempt'!$A$15:$A$120, 0),MATCH('Voluntary Relocation Cost'!B24,'Projections - Shaun''s Attempt'!$B$15:$L$15, 0))</f>
        <v>4.486330564658865E-2</v>
      </c>
    </row>
    <row r="25" spans="2:11" ht="14.85" customHeight="1">
      <c r="B25" s="208"/>
      <c r="C25" s="210"/>
      <c r="D25" s="210"/>
      <c r="E25" s="210"/>
      <c r="F25" s="210"/>
      <c r="G25" s="210"/>
      <c r="H25" s="210"/>
      <c r="K25" s="180" t="s">
        <v>460</v>
      </c>
    </row>
    <row r="26" spans="2:11" ht="14.85" customHeight="1">
      <c r="B26" s="207" t="s">
        <v>461</v>
      </c>
      <c r="C26" s="210"/>
      <c r="D26" s="210"/>
      <c r="E26" s="210"/>
      <c r="F26" s="210"/>
      <c r="G26" s="210"/>
      <c r="H26" s="210"/>
      <c r="K26" s="180"/>
    </row>
    <row r="27" spans="2:11">
      <c r="B27" s="206">
        <v>2021</v>
      </c>
      <c r="C27" s="211">
        <f t="shared" ref="C27:H27" si="7">C$9*C14</f>
        <v>0</v>
      </c>
      <c r="D27" s="211">
        <f t="shared" si="7"/>
        <v>0</v>
      </c>
      <c r="E27" s="211">
        <f t="shared" si="7"/>
        <v>39184855.282805718</v>
      </c>
      <c r="F27" s="211">
        <f t="shared" si="7"/>
        <v>7358823.6882906901</v>
      </c>
      <c r="G27" s="211">
        <f t="shared" si="7"/>
        <v>6055994.2724507926</v>
      </c>
      <c r="H27" s="211">
        <f t="shared" si="7"/>
        <v>1922669.0529228519</v>
      </c>
      <c r="I27" s="204">
        <f t="shared" ref="I27:I37" si="8">SUM(C27:H27)</f>
        <v>54522342.296470053</v>
      </c>
      <c r="J27" s="63"/>
      <c r="K27" s="195">
        <f t="shared" ref="K27:K37" si="9">I27/(I84*1000)</f>
        <v>4.0361872373778734E-5</v>
      </c>
    </row>
    <row r="28" spans="2:11">
      <c r="B28" s="206">
        <v>2022</v>
      </c>
      <c r="C28" s="211">
        <f t="shared" ref="C28:H28" si="10">C$9*C15</f>
        <v>0</v>
      </c>
      <c r="D28" s="211">
        <f t="shared" si="10"/>
        <v>0</v>
      </c>
      <c r="E28" s="211">
        <f t="shared" si="10"/>
        <v>40689553.725665465</v>
      </c>
      <c r="F28" s="211">
        <f t="shared" si="10"/>
        <v>7641402.5179210529</v>
      </c>
      <c r="G28" s="211">
        <f t="shared" si="10"/>
        <v>6288544.4525129031</v>
      </c>
      <c r="H28" s="211">
        <f t="shared" si="10"/>
        <v>1996499.5445550894</v>
      </c>
      <c r="I28" s="204">
        <f t="shared" si="8"/>
        <v>56616000.240654513</v>
      </c>
      <c r="J28" s="63"/>
      <c r="K28" s="195">
        <f t="shared" si="9"/>
        <v>4.1920712395484995E-5</v>
      </c>
    </row>
    <row r="29" spans="2:11">
      <c r="B29" s="206">
        <v>2023</v>
      </c>
      <c r="C29" s="211">
        <f t="shared" ref="C29:H29" ca="1" si="11">C$9*C16</f>
        <v>0</v>
      </c>
      <c r="D29" s="211">
        <f t="shared" ca="1" si="11"/>
        <v>0</v>
      </c>
      <c r="E29" s="211">
        <f t="shared" ca="1" si="11"/>
        <v>42237208.022138715</v>
      </c>
      <c r="F29" s="211">
        <f t="shared" ca="1" si="11"/>
        <v>7932048.3558596121</v>
      </c>
      <c r="G29" s="211">
        <f t="shared" ca="1" si="11"/>
        <v>6527733.4322228413</v>
      </c>
      <c r="H29" s="211">
        <f t="shared" ca="1" si="11"/>
        <v>2072437.7354448212</v>
      </c>
      <c r="I29" s="204">
        <f t="shared" ca="1" si="8"/>
        <v>58769427.545665994</v>
      </c>
      <c r="J29" s="63"/>
      <c r="K29" s="195">
        <f t="shared" ca="1" si="9"/>
        <v>4.3539759293181746E-5</v>
      </c>
    </row>
    <row r="30" spans="2:11">
      <c r="B30" s="206">
        <v>2024</v>
      </c>
      <c r="C30" s="211">
        <f t="shared" ref="C30:H30" ca="1" si="12">C$9*C17</f>
        <v>0</v>
      </c>
      <c r="D30" s="211">
        <f t="shared" ca="1" si="12"/>
        <v>0</v>
      </c>
      <c r="E30" s="211">
        <f t="shared" ca="1" si="12"/>
        <v>43905264.779996969</v>
      </c>
      <c r="F30" s="211">
        <f t="shared" ca="1" si="12"/>
        <v>8245305.492948669</v>
      </c>
      <c r="G30" s="211">
        <f t="shared" ca="1" si="12"/>
        <v>6785530.5351802446</v>
      </c>
      <c r="H30" s="211">
        <f t="shared" ca="1" si="12"/>
        <v>2154283.6701485836</v>
      </c>
      <c r="I30" s="204">
        <f t="shared" ca="1" si="8"/>
        <v>61090384.478274465</v>
      </c>
      <c r="J30" s="63"/>
      <c r="K30" s="195">
        <f t="shared" ca="1" si="9"/>
        <v>4.5205472128127417E-5</v>
      </c>
    </row>
    <row r="31" spans="2:11">
      <c r="B31" s="206">
        <v>2025</v>
      </c>
      <c r="C31" s="211">
        <f t="shared" ref="C31:H31" ca="1" si="13">C$9*C18</f>
        <v>0</v>
      </c>
      <c r="D31" s="211">
        <f t="shared" ca="1" si="13"/>
        <v>0</v>
      </c>
      <c r="E31" s="211">
        <f t="shared" ca="1" si="13"/>
        <v>45650454.511844218</v>
      </c>
      <c r="F31" s="211">
        <f t="shared" ca="1" si="13"/>
        <v>8573048.0211931076</v>
      </c>
      <c r="G31" s="211">
        <f t="shared" ca="1" si="13"/>
        <v>7055248.489837192</v>
      </c>
      <c r="H31" s="211">
        <f t="shared" ca="1" si="13"/>
        <v>2239914.2604540628</v>
      </c>
      <c r="I31" s="204">
        <f t="shared" ca="1" si="8"/>
        <v>63518665.283328585</v>
      </c>
      <c r="J31" s="63"/>
      <c r="K31" s="195">
        <f t="shared" ca="1" si="9"/>
        <v>4.7000787745080074E-5</v>
      </c>
    </row>
    <row r="32" spans="2:11">
      <c r="B32" s="206">
        <v>2026</v>
      </c>
      <c r="C32" s="211">
        <f t="shared" ref="C32:H32" ca="1" si="14">C$9*C19</f>
        <v>0</v>
      </c>
      <c r="D32" s="211">
        <f t="shared" ca="1" si="14"/>
        <v>0</v>
      </c>
      <c r="E32" s="211">
        <f t="shared" ca="1" si="14"/>
        <v>47634776.013393782</v>
      </c>
      <c r="F32" s="211">
        <f t="shared" ca="1" si="14"/>
        <v>8945698.933526447</v>
      </c>
      <c r="G32" s="211">
        <f t="shared" ca="1" si="14"/>
        <v>7361924.1062546959</v>
      </c>
      <c r="H32" s="211">
        <f t="shared" ca="1" si="14"/>
        <v>2337278.2423941172</v>
      </c>
      <c r="I32" s="204">
        <f t="shared" ca="1" si="8"/>
        <v>66279677.295569047</v>
      </c>
      <c r="J32" s="63"/>
      <c r="K32" s="195">
        <f t="shared" ca="1" si="9"/>
        <v>4.8879459109557904E-5</v>
      </c>
    </row>
    <row r="33" spans="2:11">
      <c r="B33" s="206">
        <v>2027</v>
      </c>
      <c r="C33" s="211">
        <f t="shared" ref="C33:H33" ca="1" si="15">C$9*C20</f>
        <v>0</v>
      </c>
      <c r="D33" s="211">
        <f t="shared" ca="1" si="15"/>
        <v>0</v>
      </c>
      <c r="E33" s="211">
        <f t="shared" ca="1" si="15"/>
        <v>49736768.179323778</v>
      </c>
      <c r="F33" s="211">
        <f t="shared" ca="1" si="15"/>
        <v>9340448.1199559942</v>
      </c>
      <c r="G33" s="211">
        <f t="shared" ca="1" si="15"/>
        <v>7686785.6484432723</v>
      </c>
      <c r="H33" s="211">
        <f t="shared" ca="1" si="15"/>
        <v>2440415.9280574163</v>
      </c>
      <c r="I33" s="204">
        <f t="shared" ca="1" si="8"/>
        <v>69204417.875780463</v>
      </c>
      <c r="J33" s="63"/>
      <c r="K33" s="195">
        <f t="shared" ca="1" si="9"/>
        <v>5.1015034195371393E-5</v>
      </c>
    </row>
    <row r="34" spans="2:11">
      <c r="B34" s="206">
        <v>2028</v>
      </c>
      <c r="C34" s="211">
        <f t="shared" ref="C34:H34" ca="1" si="16">C$9*C21</f>
        <v>0</v>
      </c>
      <c r="D34" s="211">
        <f t="shared" ca="1" si="16"/>
        <v>0</v>
      </c>
      <c r="E34" s="211">
        <f t="shared" ca="1" si="16"/>
        <v>51971891.971276812</v>
      </c>
      <c r="F34" s="211">
        <f t="shared" ca="1" si="16"/>
        <v>9760199.1127254758</v>
      </c>
      <c r="G34" s="211">
        <f t="shared" ca="1" si="16"/>
        <v>8032222.5981166735</v>
      </c>
      <c r="H34" s="211">
        <f t="shared" ca="1" si="16"/>
        <v>2550085.9348297874</v>
      </c>
      <c r="I34" s="204">
        <f t="shared" ca="1" si="8"/>
        <v>72314399.616948739</v>
      </c>
      <c r="J34" s="63"/>
      <c r="K34" s="195">
        <f t="shared" ca="1" si="9"/>
        <v>5.327756966449396E-5</v>
      </c>
    </row>
    <row r="35" spans="2:11">
      <c r="B35" s="206">
        <v>2029</v>
      </c>
      <c r="C35" s="211">
        <f t="shared" ref="C35:H35" ca="1" si="17">C$9*C22</f>
        <v>0</v>
      </c>
      <c r="D35" s="211">
        <f t="shared" ca="1" si="17"/>
        <v>0</v>
      </c>
      <c r="E35" s="211">
        <f t="shared" ca="1" si="17"/>
        <v>54129306.740642682</v>
      </c>
      <c r="F35" s="211">
        <f t="shared" ca="1" si="17"/>
        <v>10165356.533767276</v>
      </c>
      <c r="G35" s="211">
        <f t="shared" ca="1" si="17"/>
        <v>8365649.6681488417</v>
      </c>
      <c r="H35" s="211">
        <f t="shared" ca="1" si="17"/>
        <v>2655943.0212332318</v>
      </c>
      <c r="I35" s="204">
        <f t="shared" ca="1" si="8"/>
        <v>75316255.963792026</v>
      </c>
      <c r="J35" s="63"/>
      <c r="K35" s="195">
        <f t="shared" ca="1" si="9"/>
        <v>5.5683712099774467E-5</v>
      </c>
    </row>
    <row r="36" spans="2:11">
      <c r="B36" s="206">
        <v>2030</v>
      </c>
      <c r="C36" s="211">
        <f t="shared" ref="C36:H36" ca="1" si="18">C$9*C23</f>
        <v>0</v>
      </c>
      <c r="D36" s="211">
        <f t="shared" ca="1" si="18"/>
        <v>0</v>
      </c>
      <c r="E36" s="211">
        <f t="shared" ca="1" si="18"/>
        <v>56384828.467471324</v>
      </c>
      <c r="F36" s="211">
        <f t="shared" ca="1" si="18"/>
        <v>10588938.210745526</v>
      </c>
      <c r="G36" s="211">
        <f t="shared" ca="1" si="18"/>
        <v>8714239.1055853069</v>
      </c>
      <c r="H36" s="211">
        <f t="shared" ca="1" si="18"/>
        <v>2766613.8860627734</v>
      </c>
      <c r="I36" s="204">
        <f t="shared" ca="1" si="8"/>
        <v>78454619.669864923</v>
      </c>
      <c r="J36" s="63"/>
      <c r="K36" s="195">
        <f t="shared" ca="1" si="9"/>
        <v>5.8007606469661453E-5</v>
      </c>
    </row>
    <row r="37" spans="2:11">
      <c r="B37" s="206">
        <v>2031</v>
      </c>
      <c r="C37" s="211">
        <f t="shared" ref="C37:H37" ca="1" si="19">C$9*C24</f>
        <v>0</v>
      </c>
      <c r="D37" s="211">
        <f t="shared" ca="1" si="19"/>
        <v>0</v>
      </c>
      <c r="E37" s="211">
        <f t="shared" ca="1" si="19"/>
        <v>58914438.260837957</v>
      </c>
      <c r="F37" s="211">
        <f t="shared" ca="1" si="19"/>
        <v>11063992.982167045</v>
      </c>
      <c r="G37" s="211">
        <f t="shared" ca="1" si="19"/>
        <v>9105188.6780566368</v>
      </c>
      <c r="H37" s="211">
        <f t="shared" ca="1" si="19"/>
        <v>2890733.3304393035</v>
      </c>
      <c r="I37" s="204">
        <f t="shared" ca="1" si="8"/>
        <v>81974353.251500949</v>
      </c>
      <c r="J37" s="63"/>
      <c r="K37" s="195">
        <f t="shared" ca="1" si="9"/>
        <v>6.0437653285683854E-5</v>
      </c>
    </row>
    <row r="38" spans="2:11">
      <c r="B38"/>
    </row>
    <row r="39" spans="2:11">
      <c r="B39" s="206" t="s">
        <v>462</v>
      </c>
    </row>
    <row r="40" spans="2:11">
      <c r="B40" s="207" t="s">
        <v>463</v>
      </c>
    </row>
    <row r="41" spans="2:11">
      <c r="B41" s="205" t="s">
        <v>459</v>
      </c>
      <c r="C41">
        <f>'Demographic-Economic'!C56</f>
        <v>360376.14999999997</v>
      </c>
      <c r="D41">
        <f>'Demographic-Economic'!D56</f>
        <v>314308.30000000005</v>
      </c>
      <c r="E41">
        <f>'Demographic-Economic'!E56</f>
        <v>303256</v>
      </c>
      <c r="F41">
        <f>'Demographic-Economic'!F56</f>
        <v>191633.7</v>
      </c>
      <c r="G41">
        <f>'Demographic-Economic'!G56</f>
        <v>208903.4</v>
      </c>
      <c r="H41">
        <f>'Demographic-Economic'!H56</f>
        <v>249034.95</v>
      </c>
    </row>
    <row r="68" spans="2:11">
      <c r="B68" s="206" t="s">
        <v>464</v>
      </c>
      <c r="C68" s="61">
        <f>'Demographic-Economic'!C$38</f>
        <v>531771287</v>
      </c>
      <c r="D68" s="61">
        <f>'Demographic-Economic'!D$38</f>
        <v>222153795</v>
      </c>
      <c r="E68" s="61">
        <f>'Demographic-Economic'!E$38</f>
        <v>417708522</v>
      </c>
      <c r="F68" s="61">
        <f>'Demographic-Economic'!F$38</f>
        <v>45815957</v>
      </c>
      <c r="G68" s="61">
        <f>'Demographic-Economic'!G$38</f>
        <v>69643447</v>
      </c>
      <c r="H68" s="61">
        <f>'Demographic-Economic'!H$38</f>
        <v>9845914</v>
      </c>
      <c r="I68" s="61">
        <f>SUM(C68:H68)</f>
        <v>1296938922</v>
      </c>
      <c r="J68" s="61"/>
      <c r="K68" s="64"/>
    </row>
    <row r="69" spans="2:11">
      <c r="B69" s="207" t="s">
        <v>465</v>
      </c>
    </row>
    <row r="70" spans="2:11">
      <c r="B70" s="205" t="s">
        <v>459</v>
      </c>
      <c r="C70" s="194">
        <f>('Demographic-Economic'!C39-'Demographic-Economic'!C41)/'Demographic-Economic'!C41</f>
        <v>-1.6093588817699422E-3</v>
      </c>
      <c r="D70" s="194">
        <f>('Demographic-Economic'!D39-'Demographic-Economic'!D41)/'Demographic-Economic'!D41</f>
        <v>-1.7277424493736294E-3</v>
      </c>
      <c r="E70" s="194">
        <f>('Demographic-Economic'!E39-'Demographic-Economic'!E41)/'Demographic-Economic'!E41</f>
        <v>1.2962691622428021E-2</v>
      </c>
      <c r="F70" s="194">
        <f>('Demographic-Economic'!F39-'Demographic-Economic'!F41)/'Demographic-Economic'!F41</f>
        <v>-7.5452081545182717E-3</v>
      </c>
      <c r="G70" s="194">
        <f>('Demographic-Economic'!G39-'Demographic-Economic'!G41)/'Demographic-Economic'!G41</f>
        <v>2.2979460490847627E-2</v>
      </c>
      <c r="H70" s="194">
        <f>('Demographic-Economic'!H39-'Demographic-Economic'!H41)/'Demographic-Economic'!H41</f>
        <v>1.2331228655519482E-2</v>
      </c>
      <c r="I70" s="194"/>
    </row>
    <row r="71" spans="2:11">
      <c r="B71" s="206">
        <v>2021</v>
      </c>
      <c r="C71" s="180">
        <f t="shared" ref="C71:H71" si="20">($I$70-C$70)/20+C70-C2+C8</f>
        <v>-6.5288909376814454E-3</v>
      </c>
      <c r="D71" s="180">
        <f t="shared" si="20"/>
        <v>-1.4641355326904949E-2</v>
      </c>
      <c r="E71" s="180">
        <f t="shared" si="20"/>
        <v>1.231455704130662E-2</v>
      </c>
      <c r="F71" s="180">
        <f t="shared" si="20"/>
        <v>3.7907428642719697E-2</v>
      </c>
      <c r="G71" s="180">
        <f t="shared" si="20"/>
        <v>4.7219095051171098E-2</v>
      </c>
      <c r="H71" s="180">
        <f t="shared" si="20"/>
        <v>5.0810126147707774E-2</v>
      </c>
      <c r="I71" s="194"/>
    </row>
    <row r="72" spans="2:11">
      <c r="B72" s="206">
        <v>2022</v>
      </c>
      <c r="C72" s="180">
        <f>($I$70-C$70)/20+C71</f>
        <v>-6.448422993592948E-3</v>
      </c>
      <c r="D72" s="180">
        <f t="shared" ref="D72:H81" si="21">($I$70-D$70)/20+D71</f>
        <v>-1.4554968204436268E-2</v>
      </c>
      <c r="E72" s="180">
        <f t="shared" si="21"/>
        <v>1.1666422460185219E-2</v>
      </c>
      <c r="F72" s="180">
        <f t="shared" si="21"/>
        <v>3.828468905044561E-2</v>
      </c>
      <c r="G72" s="180">
        <f t="shared" si="21"/>
        <v>4.6070122026628718E-2</v>
      </c>
      <c r="H72" s="180">
        <f t="shared" si="21"/>
        <v>5.0193564714931797E-2</v>
      </c>
      <c r="I72" s="194"/>
    </row>
    <row r="73" spans="2:11">
      <c r="B73" s="206">
        <v>2023</v>
      </c>
      <c r="C73" s="180">
        <f t="shared" ref="C73:C81" si="22">($I$70-C$70)/20+C72</f>
        <v>-6.3679550495044507E-3</v>
      </c>
      <c r="D73" s="180">
        <f t="shared" si="21"/>
        <v>-1.4468581081967587E-2</v>
      </c>
      <c r="E73" s="180">
        <f t="shared" si="21"/>
        <v>1.1018287879063818E-2</v>
      </c>
      <c r="F73" s="180">
        <f t="shared" si="21"/>
        <v>3.8661949458171523E-2</v>
      </c>
      <c r="G73" s="180">
        <f t="shared" si="21"/>
        <v>4.4921149002086339E-2</v>
      </c>
      <c r="H73" s="180">
        <f t="shared" si="21"/>
        <v>4.9577003282155821E-2</v>
      </c>
      <c r="I73" s="194"/>
    </row>
    <row r="74" spans="2:11">
      <c r="B74" s="206">
        <v>2024</v>
      </c>
      <c r="C74" s="180">
        <f t="shared" si="22"/>
        <v>-6.2874871054159533E-3</v>
      </c>
      <c r="D74" s="180">
        <f t="shared" si="21"/>
        <v>-1.4382193959498905E-2</v>
      </c>
      <c r="E74" s="180">
        <f t="shared" si="21"/>
        <v>1.0370153297942417E-2</v>
      </c>
      <c r="F74" s="180">
        <f t="shared" si="21"/>
        <v>3.9039209865897435E-2</v>
      </c>
      <c r="G74" s="180">
        <f t="shared" si="21"/>
        <v>4.3772175977543959E-2</v>
      </c>
      <c r="H74" s="180">
        <f t="shared" si="21"/>
        <v>4.8960441849379845E-2</v>
      </c>
      <c r="I74" s="194"/>
    </row>
    <row r="75" spans="2:11">
      <c r="B75" s="206">
        <v>2025</v>
      </c>
      <c r="C75" s="180">
        <f t="shared" si="22"/>
        <v>-6.207019161327456E-3</v>
      </c>
      <c r="D75" s="180">
        <f t="shared" si="21"/>
        <v>-1.4295806837030224E-2</v>
      </c>
      <c r="E75" s="180">
        <f t="shared" si="21"/>
        <v>9.7220187168210164E-3</v>
      </c>
      <c r="F75" s="180">
        <f t="shared" si="21"/>
        <v>3.9416470273623348E-2</v>
      </c>
      <c r="G75" s="180">
        <f t="shared" si="21"/>
        <v>4.2623202953001579E-2</v>
      </c>
      <c r="H75" s="180">
        <f t="shared" si="21"/>
        <v>4.8343880416603868E-2</v>
      </c>
      <c r="I75" s="194"/>
    </row>
    <row r="76" spans="2:11">
      <c r="B76" s="206">
        <v>2026</v>
      </c>
      <c r="C76" s="180">
        <f t="shared" si="22"/>
        <v>-6.1265512172389586E-3</v>
      </c>
      <c r="D76" s="180">
        <f t="shared" si="21"/>
        <v>-1.4209419714561543E-2</v>
      </c>
      <c r="E76" s="180">
        <f t="shared" si="21"/>
        <v>9.0738841356996155E-3</v>
      </c>
      <c r="F76" s="180">
        <f t="shared" si="21"/>
        <v>3.9793730681349261E-2</v>
      </c>
      <c r="G76" s="180">
        <f t="shared" si="21"/>
        <v>4.14742299284592E-2</v>
      </c>
      <c r="H76" s="180">
        <f t="shared" si="21"/>
        <v>4.7727318983827892E-2</v>
      </c>
      <c r="I76" s="194"/>
    </row>
    <row r="77" spans="2:11">
      <c r="B77" s="206">
        <v>2027</v>
      </c>
      <c r="C77" s="180">
        <f t="shared" si="22"/>
        <v>-6.0460832731504613E-3</v>
      </c>
      <c r="D77" s="180">
        <f t="shared" si="21"/>
        <v>-1.4123032592092861E-2</v>
      </c>
      <c r="E77" s="180">
        <f t="shared" si="21"/>
        <v>8.4257495545782147E-3</v>
      </c>
      <c r="F77" s="180">
        <f t="shared" si="21"/>
        <v>4.0170991089075174E-2</v>
      </c>
      <c r="G77" s="180">
        <f t="shared" si="21"/>
        <v>4.032525690391682E-2</v>
      </c>
      <c r="H77" s="180">
        <f t="shared" si="21"/>
        <v>4.7110757551051916E-2</v>
      </c>
      <c r="I77" s="194"/>
    </row>
    <row r="78" spans="2:11">
      <c r="B78" s="206">
        <v>2028</v>
      </c>
      <c r="C78" s="180">
        <f t="shared" si="22"/>
        <v>-5.9656153290619639E-3</v>
      </c>
      <c r="D78" s="180">
        <f t="shared" si="21"/>
        <v>-1.403664546962418E-2</v>
      </c>
      <c r="E78" s="180">
        <f t="shared" si="21"/>
        <v>7.7776149734568138E-3</v>
      </c>
      <c r="F78" s="180">
        <f t="shared" si="21"/>
        <v>4.0548251496801087E-2</v>
      </c>
      <c r="G78" s="180">
        <f t="shared" si="21"/>
        <v>3.9176283879374441E-2</v>
      </c>
      <c r="H78" s="180">
        <f t="shared" si="21"/>
        <v>4.6494196118275939E-2</v>
      </c>
      <c r="I78" s="194"/>
    </row>
    <row r="79" spans="2:11">
      <c r="B79" s="206">
        <v>2029</v>
      </c>
      <c r="C79" s="180">
        <f t="shared" si="22"/>
        <v>-5.8851473849734666E-3</v>
      </c>
      <c r="D79" s="180">
        <f t="shared" si="21"/>
        <v>-1.3950258347155499E-2</v>
      </c>
      <c r="E79" s="180">
        <f t="shared" si="21"/>
        <v>7.129480392335413E-3</v>
      </c>
      <c r="F79" s="180">
        <f t="shared" si="21"/>
        <v>4.0925511904527E-2</v>
      </c>
      <c r="G79" s="180">
        <f t="shared" si="21"/>
        <v>3.8027310854832061E-2</v>
      </c>
      <c r="H79" s="180">
        <f t="shared" si="21"/>
        <v>4.5877634685499963E-2</v>
      </c>
      <c r="I79" s="194"/>
    </row>
    <row r="80" spans="2:11">
      <c r="B80" s="206">
        <v>2030</v>
      </c>
      <c r="C80" s="180">
        <f t="shared" si="22"/>
        <v>-5.8046794408849692E-3</v>
      </c>
      <c r="D80" s="180">
        <f t="shared" si="21"/>
        <v>-1.3863871224686818E-2</v>
      </c>
      <c r="E80" s="180">
        <f t="shared" si="21"/>
        <v>6.4813458112140121E-3</v>
      </c>
      <c r="F80" s="180">
        <f t="shared" si="21"/>
        <v>4.1302772312252913E-2</v>
      </c>
      <c r="G80" s="180">
        <f t="shared" si="21"/>
        <v>3.6878337830289681E-2</v>
      </c>
      <c r="H80" s="180">
        <f t="shared" si="21"/>
        <v>4.5261073252723986E-2</v>
      </c>
      <c r="I80" s="194"/>
    </row>
    <row r="81" spans="2:9">
      <c r="B81" s="206">
        <v>2031</v>
      </c>
      <c r="C81" s="180">
        <f t="shared" si="22"/>
        <v>-5.7242114967964719E-3</v>
      </c>
      <c r="D81" s="180">
        <f t="shared" si="21"/>
        <v>-1.3777484102218136E-2</v>
      </c>
      <c r="E81" s="180">
        <f t="shared" si="21"/>
        <v>5.8332112300926112E-3</v>
      </c>
      <c r="F81" s="180">
        <f t="shared" si="21"/>
        <v>4.1680032719978825E-2</v>
      </c>
      <c r="G81" s="180">
        <f t="shared" si="21"/>
        <v>3.5729364805747302E-2</v>
      </c>
      <c r="H81" s="180">
        <f t="shared" si="21"/>
        <v>4.464451181994801E-2</v>
      </c>
      <c r="I81" s="194"/>
    </row>
    <row r="83" spans="2:9">
      <c r="B83" s="207" t="s">
        <v>466</v>
      </c>
    </row>
    <row r="84" spans="2:9">
      <c r="B84" s="206">
        <v>2021</v>
      </c>
      <c r="C84" s="61">
        <f t="shared" ref="C84:H94" si="23">C$68*(1+C71)*(1+$K14)</f>
        <v>548586107.61750054</v>
      </c>
      <c r="D84" s="61">
        <f t="shared" si="23"/>
        <v>227306966.98443171</v>
      </c>
      <c r="E84" s="61">
        <f t="shared" si="23"/>
        <v>439089950.2497679</v>
      </c>
      <c r="F84" s="61">
        <f t="shared" si="23"/>
        <v>49378746.650109351</v>
      </c>
      <c r="G84" s="61">
        <f t="shared" si="23"/>
        <v>75732534.329257831</v>
      </c>
      <c r="H84" s="61">
        <f t="shared" si="23"/>
        <v>10743479.679862855</v>
      </c>
      <c r="I84" s="61">
        <f>SUM(C84:H84)</f>
        <v>1350837785.5109301</v>
      </c>
    </row>
    <row r="85" spans="2:9">
      <c r="B85" s="206">
        <v>2022</v>
      </c>
      <c r="C85" s="61">
        <f t="shared" si="23"/>
        <v>548630541.3165108</v>
      </c>
      <c r="D85" s="61">
        <f t="shared" si="23"/>
        <v>227326895.15464771</v>
      </c>
      <c r="E85" s="61">
        <f t="shared" si="23"/>
        <v>438808822.82845384</v>
      </c>
      <c r="F85" s="61">
        <f t="shared" si="23"/>
        <v>49396694.923317656</v>
      </c>
      <c r="G85" s="61">
        <f t="shared" si="23"/>
        <v>75649443.179148212</v>
      </c>
      <c r="H85" s="61">
        <f t="shared" si="23"/>
        <v>10737175.957563661</v>
      </c>
      <c r="I85" s="61">
        <f t="shared" ref="I85:I94" si="24">SUM(C85:H85)</f>
        <v>1350549573.3596418</v>
      </c>
    </row>
    <row r="86" spans="2:9">
      <c r="B86" s="206">
        <v>2023</v>
      </c>
      <c r="C86" s="61">
        <f t="shared" ca="1" si="23"/>
        <v>548482466.67435288</v>
      </c>
      <c r="D86" s="61">
        <f t="shared" ca="1" si="23"/>
        <v>227267056.3192209</v>
      </c>
      <c r="E86" s="61">
        <f t="shared" ca="1" si="23"/>
        <v>438373833.38856167</v>
      </c>
      <c r="F86" s="61">
        <f t="shared" ca="1" si="23"/>
        <v>49397305.553250156</v>
      </c>
      <c r="G86" s="61">
        <f t="shared" ca="1" si="23"/>
        <v>75539838.785789564</v>
      </c>
      <c r="H86" s="61">
        <f t="shared" ca="1" si="23"/>
        <v>10727107.196749195</v>
      </c>
      <c r="I86" s="61">
        <f t="shared" ca="1" si="24"/>
        <v>1349787607.9179242</v>
      </c>
    </row>
    <row r="87" spans="2:9">
      <c r="B87" s="206">
        <v>2024</v>
      </c>
      <c r="C87" s="61">
        <f t="shared" ca="1" si="23"/>
        <v>549296763.85864162</v>
      </c>
      <c r="D87" s="61">
        <f t="shared" ca="1" si="23"/>
        <v>227605983.71739686</v>
      </c>
      <c r="E87" s="61">
        <f t="shared" ca="1" si="23"/>
        <v>438707685.10032314</v>
      </c>
      <c r="F87" s="61">
        <f t="shared" ca="1" si="23"/>
        <v>49484603.77423542</v>
      </c>
      <c r="G87" s="61">
        <f t="shared" ca="1" si="23"/>
        <v>75562683.34562242</v>
      </c>
      <c r="H87" s="61">
        <f t="shared" ca="1" si="23"/>
        <v>10735852.758976961</v>
      </c>
      <c r="I87" s="61">
        <f t="shared" ca="1" si="24"/>
        <v>1351393572.5551963</v>
      </c>
    </row>
    <row r="88" spans="2:9">
      <c r="B88" s="206">
        <v>2025</v>
      </c>
      <c r="C88" s="61">
        <f t="shared" ca="1" si="23"/>
        <v>549476741.5376848</v>
      </c>
      <c r="D88" s="61">
        <f t="shared" ca="1" si="23"/>
        <v>227682077.70767087</v>
      </c>
      <c r="E88" s="61">
        <f t="shared" ca="1" si="23"/>
        <v>438534401.48148847</v>
      </c>
      <c r="F88" s="61">
        <f t="shared" ca="1" si="23"/>
        <v>49514780.940606229</v>
      </c>
      <c r="G88" s="61">
        <f t="shared" ca="1" si="23"/>
        <v>75498122.091576219</v>
      </c>
      <c r="H88" s="61">
        <f t="shared" ca="1" si="23"/>
        <v>10732188.888777196</v>
      </c>
      <c r="I88" s="61">
        <f t="shared" ca="1" si="24"/>
        <v>1351438312.6478038</v>
      </c>
    </row>
    <row r="89" spans="2:9">
      <c r="B89" s="206">
        <v>2026</v>
      </c>
      <c r="C89" s="61">
        <f t="shared" ca="1" si="23"/>
        <v>551486637.63766301</v>
      </c>
      <c r="D89" s="61">
        <f t="shared" ca="1" si="23"/>
        <v>228516425.48129693</v>
      </c>
      <c r="E89" s="61">
        <f t="shared" ca="1" si="23"/>
        <v>439820353.86177248</v>
      </c>
      <c r="F89" s="61">
        <f t="shared" ca="1" si="23"/>
        <v>49709910.204508536</v>
      </c>
      <c r="G89" s="61">
        <f t="shared" ca="1" si="23"/>
        <v>75684650.232107371</v>
      </c>
      <c r="H89" s="61">
        <f t="shared" ca="1" si="23"/>
        <v>10764238.89585744</v>
      </c>
      <c r="I89" s="61">
        <f t="shared" ca="1" si="24"/>
        <v>1355982216.3132057</v>
      </c>
    </row>
    <row r="90" spans="2:9">
      <c r="B90" s="206">
        <v>2027</v>
      </c>
      <c r="C90" s="61">
        <f t="shared" ca="1" si="23"/>
        <v>551879888.54644442</v>
      </c>
      <c r="D90" s="61">
        <f t="shared" ca="1" si="23"/>
        <v>228680899.44647825</v>
      </c>
      <c r="E90" s="61">
        <f t="shared" ca="1" si="23"/>
        <v>439815668.34011006</v>
      </c>
      <c r="F90" s="61">
        <f t="shared" ca="1" si="23"/>
        <v>49759377.070961036</v>
      </c>
      <c r="G90" s="61">
        <f t="shared" ca="1" si="23"/>
        <v>75648937.965990141</v>
      </c>
      <c r="H90" s="61">
        <f t="shared" ca="1" si="23"/>
        <v>10764704.040529814</v>
      </c>
      <c r="I90" s="61">
        <f t="shared" ca="1" si="24"/>
        <v>1356549475.4105134</v>
      </c>
    </row>
    <row r="91" spans="2:9">
      <c r="B91" s="206">
        <v>2028</v>
      </c>
      <c r="C91" s="61">
        <f t="shared" ca="1" si="23"/>
        <v>552353685.6616925</v>
      </c>
      <c r="D91" s="61">
        <f t="shared" ca="1" si="23"/>
        <v>228878751.26259032</v>
      </c>
      <c r="E91" s="61">
        <f t="shared" ca="1" si="23"/>
        <v>439874724.87492371</v>
      </c>
      <c r="F91" s="61">
        <f t="shared" ca="1" si="23"/>
        <v>49816126.013454624</v>
      </c>
      <c r="G91" s="61">
        <f t="shared" ca="1" si="23"/>
        <v>75624140.207252324</v>
      </c>
      <c r="H91" s="61">
        <f t="shared" ca="1" si="23"/>
        <v>10766730.120854571</v>
      </c>
      <c r="I91" s="61">
        <f t="shared" ca="1" si="24"/>
        <v>1357314158.1407681</v>
      </c>
    </row>
    <row r="92" spans="2:9">
      <c r="B92" s="206">
        <v>2029</v>
      </c>
      <c r="C92" s="61">
        <f t="shared" ca="1" si="23"/>
        <v>550586278.90500045</v>
      </c>
      <c r="D92" s="61">
        <f t="shared" ca="1" si="23"/>
        <v>228147911.79499435</v>
      </c>
      <c r="E92" s="61">
        <f t="shared" ca="1" si="23"/>
        <v>438149764.18588328</v>
      </c>
      <c r="F92" s="61">
        <f t="shared" ca="1" si="23"/>
        <v>49670708.306240402</v>
      </c>
      <c r="G92" s="61">
        <f t="shared" ca="1" si="23"/>
        <v>75292718.218392313</v>
      </c>
      <c r="H92" s="61">
        <f t="shared" ca="1" si="23"/>
        <v>10725087.695712417</v>
      </c>
      <c r="I92" s="61">
        <f t="shared" ca="1" si="24"/>
        <v>1352572469.1062231</v>
      </c>
    </row>
    <row r="93" spans="2:9">
      <c r="B93" s="206">
        <v>2030</v>
      </c>
      <c r="C93" s="61">
        <f t="shared" ca="1" si="23"/>
        <v>550714355.28320956</v>
      </c>
      <c r="D93" s="61">
        <f t="shared" ca="1" si="23"/>
        <v>228202503.97925851</v>
      </c>
      <c r="E93" s="61">
        <f t="shared" ca="1" si="23"/>
        <v>437934202.19579124</v>
      </c>
      <c r="F93" s="61">
        <f t="shared" ca="1" si="23"/>
        <v>49696246.223705232</v>
      </c>
      <c r="G93" s="61">
        <f t="shared" ca="1" si="23"/>
        <v>75220784.490108371</v>
      </c>
      <c r="H93" s="61">
        <f t="shared" ca="1" si="23"/>
        <v>10720390.711589348</v>
      </c>
      <c r="I93" s="61">
        <f t="shared" ca="1" si="24"/>
        <v>1352488482.8836622</v>
      </c>
    </row>
    <row r="94" spans="2:9">
      <c r="B94" s="206">
        <v>2031</v>
      </c>
      <c r="C94" s="61">
        <f t="shared" ca="1" si="23"/>
        <v>552447770.85257781</v>
      </c>
      <c r="D94" s="61">
        <f t="shared" ca="1" si="23"/>
        <v>228922314.19291911</v>
      </c>
      <c r="E94" s="61">
        <f t="shared" ca="1" si="23"/>
        <v>438994202.25996441</v>
      </c>
      <c r="F94" s="61">
        <f t="shared" ca="1" si="23"/>
        <v>49866694.312663242</v>
      </c>
      <c r="G94" s="61">
        <f t="shared" ca="1" si="23"/>
        <v>75367832.460060716</v>
      </c>
      <c r="H94" s="61">
        <f t="shared" ca="1" si="23"/>
        <v>10746920.657987596</v>
      </c>
      <c r="I94" s="61">
        <f t="shared" ca="1" si="24"/>
        <v>1356345734.7361732</v>
      </c>
    </row>
  </sheetData>
  <pageMargins left="0.7" right="0.7" top="0.75" bottom="0.75" header="0.3" footer="0.3"/>
  <pageSetup orientation="portrait" r:id="rId1"/>
  <legacyDrawing r:id="rId2"/>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932211-5E26-45A0-9D8D-AA84CF9A9C91}">
  <dimension ref="A1:Z420"/>
  <sheetViews>
    <sheetView workbookViewId="0">
      <selection activeCell="B3" sqref="B3"/>
    </sheetView>
  </sheetViews>
  <sheetFormatPr defaultColWidth="8.7109375" defaultRowHeight="15"/>
  <cols>
    <col min="1" max="1" width="29.7109375" bestFit="1" customWidth="1"/>
    <col min="2" max="2" width="12.42578125" bestFit="1" customWidth="1"/>
    <col min="14" max="14" width="9.140625" customWidth="1"/>
    <col min="15" max="15" width="24.140625" bestFit="1" customWidth="1"/>
  </cols>
  <sheetData>
    <row r="1" spans="1:26">
      <c r="A1" t="s">
        <v>467</v>
      </c>
    </row>
    <row r="3" spans="1:26">
      <c r="A3" t="s">
        <v>468</v>
      </c>
      <c r="B3" s="180">
        <f>AVERAGE('Inflation-Interest'!D10:D68)</f>
        <v>2.8983050847457623E-4</v>
      </c>
    </row>
    <row r="4" spans="1:26">
      <c r="A4" t="s">
        <v>469</v>
      </c>
      <c r="B4">
        <f>_xlfn.STDEV.S('Inflation-Interest'!D10:D68)</f>
        <v>1.3795332105528007E-2</v>
      </c>
    </row>
    <row r="6" spans="1:26">
      <c r="A6" t="s">
        <v>470</v>
      </c>
      <c r="B6" s="180" cm="1">
        <f t="array" ref="B6">AVERAGE('Inflation-Interest'!$E$9:$E$68-'Inflation-Interest'!$C$9:$C$68)</f>
        <v>1.8027500000000012E-2</v>
      </c>
    </row>
    <row r="7" spans="1:26">
      <c r="A7" t="s">
        <v>471</v>
      </c>
      <c r="B7" cm="1">
        <f t="array" ref="B7">_xlfn.STDEV.S('Inflation-Interest'!$E$9:$E$68-'Inflation-Interest'!$C$9:$C$68)</f>
        <v>2.6364176106597016E-2</v>
      </c>
    </row>
    <row r="9" spans="1:26">
      <c r="A9" t="s">
        <v>472</v>
      </c>
      <c r="B9" s="181" cm="1">
        <f t="array" ref="B9">AVERAGE('Inflation-Interest'!$F$9:$F$68-'Inflation-Interest'!$E$9:$E$68)</f>
        <v>2.9166666666666856E-5</v>
      </c>
    </row>
    <row r="10" spans="1:26">
      <c r="A10" t="s">
        <v>473</v>
      </c>
      <c r="B10" cm="1">
        <f t="array" ref="B10">_xlfn.STDEV.S('Inflation-Interest'!$F$9:$F$68-'Inflation-Interest'!$E$9:$E$68)</f>
        <v>6.5892972521230326E-3</v>
      </c>
    </row>
    <row r="12" spans="1:26">
      <c r="A12" t="s">
        <v>474</v>
      </c>
      <c r="B12" s="180" cm="1">
        <f t="array" ref="B12">AVERAGE('Inflation-Interest'!$G$9:$G$68-'Inflation-Interest'!$F$9:$F$68)</f>
        <v>1.1502500000000004E-2</v>
      </c>
    </row>
    <row r="13" spans="1:26">
      <c r="A13" t="s">
        <v>475</v>
      </c>
      <c r="B13" cm="1">
        <f t="array" ref="B13">_xlfn.STDEV.S('Inflation-Interest'!$G$9:$G$68-'Inflation-Interest'!$F$9:$F$68)</f>
        <v>1.1731402249041394E-2</v>
      </c>
    </row>
    <row r="15" spans="1:26">
      <c r="B15" t="s">
        <v>476</v>
      </c>
      <c r="C15">
        <v>2022</v>
      </c>
      <c r="D15">
        <v>2023</v>
      </c>
      <c r="E15">
        <v>2024</v>
      </c>
      <c r="F15">
        <v>2025</v>
      </c>
      <c r="G15">
        <v>2026</v>
      </c>
      <c r="H15">
        <v>2027</v>
      </c>
      <c r="I15">
        <v>2028</v>
      </c>
      <c r="J15">
        <v>2029</v>
      </c>
      <c r="K15">
        <v>2030</v>
      </c>
      <c r="L15">
        <v>2031</v>
      </c>
      <c r="P15">
        <v>2021</v>
      </c>
      <c r="Q15">
        <v>2022</v>
      </c>
      <c r="R15">
        <v>2023</v>
      </c>
      <c r="S15">
        <v>2024</v>
      </c>
      <c r="T15">
        <v>2025</v>
      </c>
      <c r="U15">
        <v>2026</v>
      </c>
      <c r="V15">
        <v>2027</v>
      </c>
      <c r="W15">
        <v>2028</v>
      </c>
      <c r="X15">
        <v>2029</v>
      </c>
      <c r="Y15">
        <v>2030</v>
      </c>
      <c r="Z15">
        <v>2031</v>
      </c>
    </row>
    <row r="16" spans="1:26">
      <c r="A16" t="s">
        <v>265</v>
      </c>
      <c r="B16" s="180">
        <f>'Inflation-Interest'!$C$68</f>
        <v>3.8399999999999997E-2</v>
      </c>
      <c r="C16" s="180">
        <f ca="1">B16+Q16</f>
        <v>5.5759218862149282E-2</v>
      </c>
      <c r="D16" s="180">
        <f ca="1">C16+R16</f>
        <v>5.4267659809485558E-2</v>
      </c>
      <c r="E16" s="180">
        <f t="shared" ref="E16:L16" ca="1" si="0">D16+S16</f>
        <v>3.5787738394258521E-2</v>
      </c>
      <c r="F16" s="180">
        <f t="shared" ca="1" si="0"/>
        <v>6.2549590259389803E-2</v>
      </c>
      <c r="G16" s="180">
        <f t="shared" ca="1" si="0"/>
        <v>9.2533319252568705E-2</v>
      </c>
      <c r="H16" s="180">
        <f t="shared" ca="1" si="0"/>
        <v>9.852598120781289E-2</v>
      </c>
      <c r="I16" s="180">
        <f t="shared" ca="1" si="0"/>
        <v>0.10861783571363394</v>
      </c>
      <c r="J16" s="180">
        <f t="shared" ca="1" si="0"/>
        <v>0.12348094841823601</v>
      </c>
      <c r="K16" s="180">
        <f t="shared" ca="1" si="0"/>
        <v>9.2258029629771865E-2</v>
      </c>
      <c r="L16" s="180">
        <f t="shared" ca="1" si="0"/>
        <v>9.1740338862007595E-2</v>
      </c>
      <c r="O16" t="s">
        <v>477</v>
      </c>
      <c r="Q16">
        <f t="shared" ref="Q16:Z16" ca="1" si="1">_xlfn.NORM.INV(RAND(), $B$3, $B$4)</f>
        <v>1.7359218862149289E-2</v>
      </c>
      <c r="R16">
        <f t="shared" ca="1" si="1"/>
        <v>-1.4915590526637253E-3</v>
      </c>
      <c r="S16">
        <f t="shared" ca="1" si="1"/>
        <v>-1.8479921415227037E-2</v>
      </c>
      <c r="T16">
        <f t="shared" ca="1" si="1"/>
        <v>2.6761851865131275E-2</v>
      </c>
      <c r="U16">
        <f t="shared" ca="1" si="1"/>
        <v>2.9983728993178905E-2</v>
      </c>
      <c r="V16">
        <f t="shared" ca="1" si="1"/>
        <v>5.9926619552441848E-3</v>
      </c>
      <c r="W16">
        <f t="shared" ca="1" si="1"/>
        <v>1.0091854505821051E-2</v>
      </c>
      <c r="X16">
        <f t="shared" ca="1" si="1"/>
        <v>1.4863112704602064E-2</v>
      </c>
      <c r="Y16">
        <f t="shared" ca="1" si="1"/>
        <v>-3.1222918788464147E-2</v>
      </c>
      <c r="Z16">
        <f t="shared" ca="1" si="1"/>
        <v>-5.1769076776427047E-4</v>
      </c>
    </row>
    <row r="17" spans="2:26" hidden="1">
      <c r="B17" s="180">
        <f>'Inflation-Interest'!$C$68</f>
        <v>3.8399999999999997E-2</v>
      </c>
      <c r="C17" s="180">
        <f t="shared" ref="C17:D17" ca="1" si="2">B17+Q17</f>
        <v>7.1158112349375024E-2</v>
      </c>
      <c r="D17" s="180">
        <f t="shared" ca="1" si="2"/>
        <v>6.9932932211472856E-2</v>
      </c>
      <c r="E17" s="180">
        <f t="shared" ref="E17:E80" ca="1" si="3">D17+S17</f>
        <v>8.996286728178049E-2</v>
      </c>
      <c r="F17" s="180">
        <f t="shared" ref="F17:F80" ca="1" si="4">E17+T17</f>
        <v>9.4845117325221259E-2</v>
      </c>
      <c r="G17" s="180">
        <f t="shared" ref="G17:G80" ca="1" si="5">F17+U17</f>
        <v>7.2574834586180859E-2</v>
      </c>
      <c r="H17" s="180">
        <f t="shared" ref="H17:H80" ca="1" si="6">G17+V17</f>
        <v>6.2039056630209574E-2</v>
      </c>
      <c r="I17" s="180">
        <f t="shared" ref="I17:I80" ca="1" si="7">H17+W17</f>
        <v>6.0459791131715207E-2</v>
      </c>
      <c r="J17" s="180">
        <f t="shared" ref="J17:J80" ca="1" si="8">I17+X17</f>
        <v>6.2008215290674761E-2</v>
      </c>
      <c r="K17" s="180">
        <f t="shared" ref="K17:K80" ca="1" si="9">J17+Y17</f>
        <v>7.1506624316010223E-2</v>
      </c>
      <c r="L17" s="180">
        <f t="shared" ref="L17:L80" ca="1" si="10">K17+Z17</f>
        <v>7.0466755056068059E-2</v>
      </c>
      <c r="Q17">
        <f t="shared" ref="Q17:Z40" ca="1" si="11">_xlfn.NORM.INV(RAND(), $B$3, $B$4)</f>
        <v>3.2758112349375021E-2</v>
      </c>
      <c r="R17">
        <f t="shared" ca="1" si="11"/>
        <v>-1.2251801379021699E-3</v>
      </c>
      <c r="S17">
        <f t="shared" ca="1" si="11"/>
        <v>2.0029935070307637E-2</v>
      </c>
      <c r="T17">
        <f t="shared" ca="1" si="11"/>
        <v>4.8822500434407669E-3</v>
      </c>
      <c r="U17">
        <f t="shared" ca="1" si="11"/>
        <v>-2.2270282739040404E-2</v>
      </c>
      <c r="V17">
        <f t="shared" ca="1" si="11"/>
        <v>-1.0535777955971283E-2</v>
      </c>
      <c r="W17">
        <f t="shared" ca="1" si="11"/>
        <v>-1.5792654984943658E-3</v>
      </c>
      <c r="X17">
        <f t="shared" ca="1" si="11"/>
        <v>1.5484241589595535E-3</v>
      </c>
      <c r="Y17">
        <f t="shared" ca="1" si="11"/>
        <v>9.4984090253354605E-3</v>
      </c>
      <c r="Z17">
        <f t="shared" ca="1" si="11"/>
        <v>-1.0398692599421664E-3</v>
      </c>
    </row>
    <row r="18" spans="2:26" hidden="1">
      <c r="B18" s="180">
        <f>'Inflation-Interest'!$C$68</f>
        <v>3.8399999999999997E-2</v>
      </c>
      <c r="C18" s="180">
        <f t="shared" ref="C18:D18" ca="1" si="12">B18+Q18</f>
        <v>5.8995682796105176E-2</v>
      </c>
      <c r="D18" s="180">
        <f t="shared" ca="1" si="12"/>
        <v>4.4267164599154904E-2</v>
      </c>
      <c r="E18" s="180">
        <f t="shared" ca="1" si="3"/>
        <v>5.3780274410312245E-2</v>
      </c>
      <c r="F18" s="180">
        <f t="shared" ca="1" si="4"/>
        <v>8.1309465949286244E-2</v>
      </c>
      <c r="G18" s="180">
        <f t="shared" ca="1" si="5"/>
        <v>7.101291693843137E-2</v>
      </c>
      <c r="H18" s="180">
        <f t="shared" ca="1" si="6"/>
        <v>6.6483225260775908E-2</v>
      </c>
      <c r="I18" s="180">
        <f t="shared" ca="1" si="7"/>
        <v>7.4407972296260588E-2</v>
      </c>
      <c r="J18" s="180">
        <f t="shared" ca="1" si="8"/>
        <v>6.3474289641836823E-2</v>
      </c>
      <c r="K18" s="180">
        <f t="shared" ca="1" si="9"/>
        <v>6.6008838598433914E-2</v>
      </c>
      <c r="L18" s="180">
        <f t="shared" ca="1" si="10"/>
        <v>7.3782946290773296E-2</v>
      </c>
      <c r="Q18">
        <f t="shared" ca="1" si="11"/>
        <v>2.0595682796105182E-2</v>
      </c>
      <c r="R18">
        <f t="shared" ca="1" si="11"/>
        <v>-1.4728518196950273E-2</v>
      </c>
      <c r="S18">
        <f t="shared" ca="1" si="11"/>
        <v>9.5131098111573397E-3</v>
      </c>
      <c r="T18">
        <f t="shared" ca="1" si="11"/>
        <v>2.7529191538974002E-2</v>
      </c>
      <c r="U18">
        <f t="shared" ca="1" si="11"/>
        <v>-1.0296549010854878E-2</v>
      </c>
      <c r="V18">
        <f t="shared" ca="1" si="11"/>
        <v>-4.5296916776554645E-3</v>
      </c>
      <c r="W18">
        <f t="shared" ca="1" si="11"/>
        <v>7.9247470354846788E-3</v>
      </c>
      <c r="X18">
        <f t="shared" ca="1" si="11"/>
        <v>-1.0933682654423765E-2</v>
      </c>
      <c r="Y18">
        <f t="shared" ca="1" si="11"/>
        <v>2.5345489565970943E-3</v>
      </c>
      <c r="Z18">
        <f t="shared" ca="1" si="11"/>
        <v>7.7741076923393783E-3</v>
      </c>
    </row>
    <row r="19" spans="2:26" hidden="1">
      <c r="B19" s="180">
        <f>'Inflation-Interest'!$C$68</f>
        <v>3.8399999999999997E-2</v>
      </c>
      <c r="C19" s="180">
        <f t="shared" ref="C19:D19" ca="1" si="13">B19+Q19</f>
        <v>5.9806212046954688E-2</v>
      </c>
      <c r="D19" s="180">
        <f t="shared" ca="1" si="13"/>
        <v>6.2369342563024503E-2</v>
      </c>
      <c r="E19" s="180">
        <f t="shared" ca="1" si="3"/>
        <v>5.2052420647079517E-2</v>
      </c>
      <c r="F19" s="180">
        <f t="shared" ca="1" si="4"/>
        <v>3.9628127981324431E-2</v>
      </c>
      <c r="G19" s="180">
        <f t="shared" ca="1" si="5"/>
        <v>4.1125654867014069E-2</v>
      </c>
      <c r="H19" s="180">
        <f t="shared" ca="1" si="6"/>
        <v>5.2050484959561619E-2</v>
      </c>
      <c r="I19" s="180">
        <f t="shared" ca="1" si="7"/>
        <v>5.4898873092821203E-2</v>
      </c>
      <c r="J19" s="180">
        <f t="shared" ca="1" si="8"/>
        <v>4.1186537389603116E-2</v>
      </c>
      <c r="K19" s="180">
        <f t="shared" ca="1" si="9"/>
        <v>4.4931316010557047E-2</v>
      </c>
      <c r="L19" s="180">
        <f t="shared" ca="1" si="10"/>
        <v>4.5206559194664112E-2</v>
      </c>
      <c r="Q19">
        <f t="shared" ca="1" si="11"/>
        <v>2.1406212046954694E-2</v>
      </c>
      <c r="R19">
        <f t="shared" ca="1" si="11"/>
        <v>2.563130516069813E-3</v>
      </c>
      <c r="S19">
        <f t="shared" ca="1" si="11"/>
        <v>-1.0316921915944988E-2</v>
      </c>
      <c r="T19">
        <f t="shared" ca="1" si="11"/>
        <v>-1.2424292665755088E-2</v>
      </c>
      <c r="U19">
        <f t="shared" ca="1" si="11"/>
        <v>1.4975268856896357E-3</v>
      </c>
      <c r="V19">
        <f t="shared" ca="1" si="11"/>
        <v>1.0924830092547553E-2</v>
      </c>
      <c r="W19">
        <f t="shared" ca="1" si="11"/>
        <v>2.8483881332595851E-3</v>
      </c>
      <c r="X19">
        <f t="shared" ca="1" si="11"/>
        <v>-1.3712335703218085E-2</v>
      </c>
      <c r="Y19">
        <f t="shared" ca="1" si="11"/>
        <v>3.7447786209539287E-3</v>
      </c>
      <c r="Z19">
        <f t="shared" ca="1" si="11"/>
        <v>2.7524318410706271E-4</v>
      </c>
    </row>
    <row r="20" spans="2:26" hidden="1">
      <c r="B20" s="180">
        <f>'Inflation-Interest'!$C$68</f>
        <v>3.8399999999999997E-2</v>
      </c>
      <c r="C20" s="180">
        <f t="shared" ref="C20:D20" ca="1" si="14">B20+Q20</f>
        <v>2.8872042867935127E-2</v>
      </c>
      <c r="D20" s="180">
        <f t="shared" ca="1" si="14"/>
        <v>4.1634358869024987E-2</v>
      </c>
      <c r="E20" s="180">
        <f t="shared" ca="1" si="3"/>
        <v>5.1450681682965599E-2</v>
      </c>
      <c r="F20" s="180">
        <f t="shared" ca="1" si="4"/>
        <v>5.669318398387619E-2</v>
      </c>
      <c r="G20" s="180">
        <f t="shared" ca="1" si="5"/>
        <v>5.9872593079259982E-2</v>
      </c>
      <c r="H20" s="180">
        <f t="shared" ca="1" si="6"/>
        <v>5.228862779167838E-2</v>
      </c>
      <c r="I20" s="180">
        <f t="shared" ca="1" si="7"/>
        <v>5.3132840362538472E-2</v>
      </c>
      <c r="J20" s="180">
        <f t="shared" ca="1" si="8"/>
        <v>4.1905338509531945E-2</v>
      </c>
      <c r="K20" s="180">
        <f t="shared" ca="1" si="9"/>
        <v>6.9983738089060166E-2</v>
      </c>
      <c r="L20" s="180">
        <f t="shared" ca="1" si="10"/>
        <v>6.7401781136524438E-2</v>
      </c>
      <c r="Q20">
        <f t="shared" ca="1" si="11"/>
        <v>-9.5279571320648713E-3</v>
      </c>
      <c r="R20">
        <f t="shared" ca="1" si="11"/>
        <v>1.2762316001089858E-2</v>
      </c>
      <c r="S20">
        <f t="shared" ca="1" si="11"/>
        <v>9.8163228139406117E-3</v>
      </c>
      <c r="T20">
        <f t="shared" ca="1" si="11"/>
        <v>5.2425023009105929E-3</v>
      </c>
      <c r="U20">
        <f t="shared" ca="1" si="11"/>
        <v>3.1794090953837931E-3</v>
      </c>
      <c r="V20">
        <f t="shared" ca="1" si="11"/>
        <v>-7.5839652875816007E-3</v>
      </c>
      <c r="W20">
        <f t="shared" ca="1" si="11"/>
        <v>8.4421257086009379E-4</v>
      </c>
      <c r="X20">
        <f t="shared" ca="1" si="11"/>
        <v>-1.1227501853006527E-2</v>
      </c>
      <c r="Y20">
        <f t="shared" ca="1" si="11"/>
        <v>2.8078399579528214E-2</v>
      </c>
      <c r="Z20">
        <f t="shared" ca="1" si="11"/>
        <v>-2.5819569525357276E-3</v>
      </c>
    </row>
    <row r="21" spans="2:26" hidden="1">
      <c r="B21" s="180">
        <f>'Inflation-Interest'!$C$68</f>
        <v>3.8399999999999997E-2</v>
      </c>
      <c r="C21" s="180">
        <f t="shared" ref="C21:D21" ca="1" si="15">B21+Q21</f>
        <v>6.8403943544487894E-2</v>
      </c>
      <c r="D21" s="180">
        <f t="shared" ca="1" si="15"/>
        <v>8.8806821151407644E-2</v>
      </c>
      <c r="E21" s="180">
        <f t="shared" ca="1" si="3"/>
        <v>8.8684658843994998E-2</v>
      </c>
      <c r="F21" s="180">
        <f t="shared" ca="1" si="4"/>
        <v>7.9909271811109503E-2</v>
      </c>
      <c r="G21" s="180">
        <f t="shared" ca="1" si="5"/>
        <v>6.2526947701244645E-2</v>
      </c>
      <c r="H21" s="180">
        <f t="shared" ca="1" si="6"/>
        <v>6.7238159832645111E-2</v>
      </c>
      <c r="I21" s="180">
        <f t="shared" ca="1" si="7"/>
        <v>6.8879652627748464E-2</v>
      </c>
      <c r="J21" s="180">
        <f t="shared" ca="1" si="8"/>
        <v>7.7620700245752128E-2</v>
      </c>
      <c r="K21" s="180">
        <f t="shared" ca="1" si="9"/>
        <v>8.4230619708761584E-2</v>
      </c>
      <c r="L21" s="180">
        <f t="shared" ca="1" si="10"/>
        <v>7.9481964266942498E-2</v>
      </c>
      <c r="Q21">
        <f t="shared" ca="1" si="11"/>
        <v>3.000394354448789E-2</v>
      </c>
      <c r="R21">
        <f t="shared" ca="1" si="11"/>
        <v>2.0402877606919743E-2</v>
      </c>
      <c r="S21">
        <f t="shared" ca="1" si="11"/>
        <v>-1.2216230741265153E-4</v>
      </c>
      <c r="T21">
        <f t="shared" ca="1" si="11"/>
        <v>-8.7753870328854903E-3</v>
      </c>
      <c r="U21">
        <f t="shared" ca="1" si="11"/>
        <v>-1.7382324109864851E-2</v>
      </c>
      <c r="V21">
        <f t="shared" ca="1" si="11"/>
        <v>4.7112121314004645E-3</v>
      </c>
      <c r="W21">
        <f t="shared" ca="1" si="11"/>
        <v>1.6414927951033582E-3</v>
      </c>
      <c r="X21">
        <f t="shared" ca="1" si="11"/>
        <v>8.7410476180036709E-3</v>
      </c>
      <c r="Y21">
        <f t="shared" ca="1" si="11"/>
        <v>6.6099194630094629E-3</v>
      </c>
      <c r="Z21">
        <f t="shared" ca="1" si="11"/>
        <v>-4.7486554418190849E-3</v>
      </c>
    </row>
    <row r="22" spans="2:26" hidden="1">
      <c r="B22" s="180">
        <f>'Inflation-Interest'!$C$68</f>
        <v>3.8399999999999997E-2</v>
      </c>
      <c r="C22" s="180">
        <f t="shared" ref="C22:D22" ca="1" si="16">B22+Q22</f>
        <v>5.5349379349441521E-2</v>
      </c>
      <c r="D22" s="180">
        <f t="shared" ca="1" si="16"/>
        <v>3.2453037655313516E-2</v>
      </c>
      <c r="E22" s="180">
        <f t="shared" ca="1" si="3"/>
        <v>4.7513367942429385E-2</v>
      </c>
      <c r="F22" s="180">
        <f t="shared" ca="1" si="4"/>
        <v>4.5288374292276272E-2</v>
      </c>
      <c r="G22" s="180">
        <f t="shared" ca="1" si="5"/>
        <v>3.4219384688364732E-2</v>
      </c>
      <c r="H22" s="180">
        <f t="shared" ca="1" si="6"/>
        <v>3.6029559218646937E-2</v>
      </c>
      <c r="I22" s="180">
        <f t="shared" ca="1" si="7"/>
        <v>2.8506121531532574E-2</v>
      </c>
      <c r="J22" s="180">
        <f t="shared" ca="1" si="8"/>
        <v>4.1432943934610458E-2</v>
      </c>
      <c r="K22" s="180">
        <f t="shared" ca="1" si="9"/>
        <v>4.4795295282620252E-2</v>
      </c>
      <c r="L22" s="180">
        <f t="shared" ca="1" si="10"/>
        <v>4.5038398759067524E-2</v>
      </c>
      <c r="Q22">
        <f t="shared" ca="1" si="11"/>
        <v>1.6949379349441528E-2</v>
      </c>
      <c r="R22">
        <f t="shared" ca="1" si="11"/>
        <v>-2.2896341694128002E-2</v>
      </c>
      <c r="S22">
        <f t="shared" ca="1" si="11"/>
        <v>1.5060330287115871E-2</v>
      </c>
      <c r="T22">
        <f t="shared" ca="1" si="11"/>
        <v>-2.2249936501531143E-3</v>
      </c>
      <c r="U22">
        <f t="shared" ca="1" si="11"/>
        <v>-1.1068989603911544E-2</v>
      </c>
      <c r="V22">
        <f t="shared" ca="1" si="11"/>
        <v>1.8101745302822071E-3</v>
      </c>
      <c r="W22">
        <f t="shared" ca="1" si="11"/>
        <v>-7.5234376871143628E-3</v>
      </c>
      <c r="X22">
        <f t="shared" ca="1" si="11"/>
        <v>1.2926822403077881E-2</v>
      </c>
      <c r="Y22">
        <f t="shared" ca="1" si="11"/>
        <v>3.3623513480097937E-3</v>
      </c>
      <c r="Z22">
        <f t="shared" ca="1" si="11"/>
        <v>2.4310347644726892E-4</v>
      </c>
    </row>
    <row r="23" spans="2:26" hidden="1">
      <c r="B23" s="180">
        <f>'Inflation-Interest'!$C$68</f>
        <v>3.8399999999999997E-2</v>
      </c>
      <c r="C23" s="180">
        <f t="shared" ref="C23:D23" ca="1" si="17">B23+Q23</f>
        <v>4.5600287240397476E-2</v>
      </c>
      <c r="D23" s="180">
        <f t="shared" ca="1" si="17"/>
        <v>3.9037581116905397E-2</v>
      </c>
      <c r="E23" s="180">
        <f t="shared" ca="1" si="3"/>
        <v>1.7607198877687243E-2</v>
      </c>
      <c r="F23" s="180">
        <f t="shared" ca="1" si="4"/>
        <v>2.1137340585506065E-2</v>
      </c>
      <c r="G23" s="180">
        <f t="shared" ca="1" si="5"/>
        <v>-1.6035205381625083E-3</v>
      </c>
      <c r="H23" s="180">
        <f t="shared" ca="1" si="6"/>
        <v>-3.2951257678780935E-3</v>
      </c>
      <c r="I23" s="180">
        <f t="shared" ca="1" si="7"/>
        <v>-2.4585819471345154E-3</v>
      </c>
      <c r="J23" s="180">
        <f t="shared" ca="1" si="8"/>
        <v>2.4361182840920651E-2</v>
      </c>
      <c r="K23" s="180">
        <f t="shared" ca="1" si="9"/>
        <v>1.9166259719310182E-2</v>
      </c>
      <c r="L23" s="180">
        <f t="shared" ca="1" si="10"/>
        <v>9.8230025570750362E-3</v>
      </c>
      <c r="Q23">
        <f t="shared" ca="1" si="11"/>
        <v>7.2002872403974811E-3</v>
      </c>
      <c r="R23">
        <f t="shared" ca="1" si="11"/>
        <v>-6.5627061234920774E-3</v>
      </c>
      <c r="S23">
        <f t="shared" ca="1" si="11"/>
        <v>-2.1430382239218154E-2</v>
      </c>
      <c r="T23">
        <f t="shared" ca="1" si="11"/>
        <v>3.5301417078188232E-3</v>
      </c>
      <c r="U23">
        <f t="shared" ca="1" si="11"/>
        <v>-2.2740861123668573E-2</v>
      </c>
      <c r="V23">
        <f t="shared" ca="1" si="11"/>
        <v>-1.6916052297155852E-3</v>
      </c>
      <c r="W23">
        <f t="shared" ca="1" si="11"/>
        <v>8.3654382074357827E-4</v>
      </c>
      <c r="X23">
        <f t="shared" ca="1" si="11"/>
        <v>2.6819764788055166E-2</v>
      </c>
      <c r="Y23">
        <f t="shared" ca="1" si="11"/>
        <v>-5.1949231216104697E-3</v>
      </c>
      <c r="Z23">
        <f t="shared" ca="1" si="11"/>
        <v>-9.3432571622351461E-3</v>
      </c>
    </row>
    <row r="24" spans="2:26" hidden="1">
      <c r="B24" s="180">
        <f>'Inflation-Interest'!$C$68</f>
        <v>3.8399999999999997E-2</v>
      </c>
      <c r="C24" s="180">
        <f t="shared" ref="C24:D24" ca="1" si="18">B24+Q24</f>
        <v>3.9432784921843121E-2</v>
      </c>
      <c r="D24" s="180">
        <f t="shared" ca="1" si="18"/>
        <v>6.346161344540599E-2</v>
      </c>
      <c r="E24" s="180">
        <f t="shared" ca="1" si="3"/>
        <v>8.3971191132374987E-2</v>
      </c>
      <c r="F24" s="180">
        <f t="shared" ca="1" si="4"/>
        <v>6.8183624473689558E-2</v>
      </c>
      <c r="G24" s="180">
        <f t="shared" ca="1" si="5"/>
        <v>4.3795146509780461E-2</v>
      </c>
      <c r="H24" s="180">
        <f t="shared" ca="1" si="6"/>
        <v>1.9825841681487686E-2</v>
      </c>
      <c r="I24" s="180">
        <f t="shared" ca="1" si="7"/>
        <v>2.3189512633940441E-2</v>
      </c>
      <c r="J24" s="180">
        <f t="shared" ca="1" si="8"/>
        <v>3.1932308392678507E-2</v>
      </c>
      <c r="K24" s="180">
        <f t="shared" ca="1" si="9"/>
        <v>3.8130117323327599E-2</v>
      </c>
      <c r="L24" s="180">
        <f t="shared" ca="1" si="10"/>
        <v>3.3860424184597337E-2</v>
      </c>
      <c r="Q24">
        <f t="shared" ca="1" si="11"/>
        <v>1.0327849218431248E-3</v>
      </c>
      <c r="R24">
        <f t="shared" ca="1" si="11"/>
        <v>2.4028828523562872E-2</v>
      </c>
      <c r="S24">
        <f t="shared" ca="1" si="11"/>
        <v>2.0509577686968993E-2</v>
      </c>
      <c r="T24">
        <f t="shared" ca="1" si="11"/>
        <v>-1.5787566658685429E-2</v>
      </c>
      <c r="U24">
        <f t="shared" ca="1" si="11"/>
        <v>-2.4388477963909097E-2</v>
      </c>
      <c r="V24">
        <f t="shared" ca="1" si="11"/>
        <v>-2.3969304828292775E-2</v>
      </c>
      <c r="W24">
        <f t="shared" ca="1" si="11"/>
        <v>3.3636709524527534E-3</v>
      </c>
      <c r="X24">
        <f t="shared" ca="1" si="11"/>
        <v>8.7427957587380648E-3</v>
      </c>
      <c r="Y24">
        <f t="shared" ca="1" si="11"/>
        <v>6.1978089306490925E-3</v>
      </c>
      <c r="Z24">
        <f t="shared" ca="1" si="11"/>
        <v>-4.269693138730264E-3</v>
      </c>
    </row>
    <row r="25" spans="2:26" hidden="1">
      <c r="B25" s="180">
        <f>'Inflation-Interest'!$C$68</f>
        <v>3.8399999999999997E-2</v>
      </c>
      <c r="C25" s="180">
        <f t="shared" ref="C25:D25" ca="1" si="19">B25+Q25</f>
        <v>2.261467505232443E-2</v>
      </c>
      <c r="D25" s="180">
        <f t="shared" ca="1" si="19"/>
        <v>3.1451019053804485E-2</v>
      </c>
      <c r="E25" s="180">
        <f t="shared" ca="1" si="3"/>
        <v>2.9853558650257371E-3</v>
      </c>
      <c r="F25" s="180">
        <f t="shared" ca="1" si="4"/>
        <v>-6.3976061533827962E-3</v>
      </c>
      <c r="G25" s="180">
        <f t="shared" ca="1" si="5"/>
        <v>-1.2951676016705802E-2</v>
      </c>
      <c r="H25" s="180">
        <f t="shared" ca="1" si="6"/>
        <v>1.9487956764882557E-3</v>
      </c>
      <c r="I25" s="180">
        <f t="shared" ca="1" si="7"/>
        <v>-1.3994003501184462E-2</v>
      </c>
      <c r="J25" s="180">
        <f t="shared" ca="1" si="8"/>
        <v>-1.1407519734497155E-3</v>
      </c>
      <c r="K25" s="180">
        <f t="shared" ca="1" si="9"/>
        <v>-4.2604817213913234E-3</v>
      </c>
      <c r="L25" s="180">
        <f t="shared" ca="1" si="10"/>
        <v>2.7421360588135209E-3</v>
      </c>
      <c r="Q25">
        <f t="shared" ca="1" si="11"/>
        <v>-1.5785324947675566E-2</v>
      </c>
      <c r="R25">
        <f t="shared" ca="1" si="11"/>
        <v>8.8363440014800568E-3</v>
      </c>
      <c r="S25">
        <f t="shared" ca="1" si="11"/>
        <v>-2.8465663188778748E-2</v>
      </c>
      <c r="T25">
        <f t="shared" ca="1" si="11"/>
        <v>-9.3829620184085333E-3</v>
      </c>
      <c r="U25">
        <f t="shared" ca="1" si="11"/>
        <v>-6.554069863323006E-3</v>
      </c>
      <c r="V25">
        <f t="shared" ca="1" si="11"/>
        <v>1.4900471693194058E-2</v>
      </c>
      <c r="W25">
        <f t="shared" ca="1" si="11"/>
        <v>-1.5942799177672717E-2</v>
      </c>
      <c r="X25">
        <f t="shared" ca="1" si="11"/>
        <v>1.2853251527734746E-2</v>
      </c>
      <c r="Y25">
        <f t="shared" ca="1" si="11"/>
        <v>-3.1197297479416083E-3</v>
      </c>
      <c r="Z25">
        <f t="shared" ca="1" si="11"/>
        <v>7.0026177802048443E-3</v>
      </c>
    </row>
    <row r="26" spans="2:26" hidden="1">
      <c r="B26" s="180">
        <f>'Inflation-Interest'!$C$68</f>
        <v>3.8399999999999997E-2</v>
      </c>
      <c r="C26" s="180">
        <f t="shared" ref="C26:D26" ca="1" si="20">B26+Q26</f>
        <v>3.4178327072520706E-2</v>
      </c>
      <c r="D26" s="180">
        <f t="shared" ca="1" si="20"/>
        <v>3.5501304299381829E-2</v>
      </c>
      <c r="E26" s="180">
        <f t="shared" ca="1" si="3"/>
        <v>5.4665144942494942E-2</v>
      </c>
      <c r="F26" s="180">
        <f t="shared" ca="1" si="4"/>
        <v>5.0035538208816517E-2</v>
      </c>
      <c r="G26" s="180">
        <f t="shared" ca="1" si="5"/>
        <v>6.1444255332861006E-2</v>
      </c>
      <c r="H26" s="180">
        <f t="shared" ca="1" si="6"/>
        <v>6.6510200175118606E-2</v>
      </c>
      <c r="I26" s="180">
        <f t="shared" ca="1" si="7"/>
        <v>7.7805507596353851E-2</v>
      </c>
      <c r="J26" s="180">
        <f t="shared" ca="1" si="8"/>
        <v>8.5165635536800621E-2</v>
      </c>
      <c r="K26" s="180">
        <f t="shared" ca="1" si="9"/>
        <v>6.8328159866833729E-2</v>
      </c>
      <c r="L26" s="180">
        <f t="shared" ca="1" si="10"/>
        <v>5.5985534789598668E-2</v>
      </c>
      <c r="Q26">
        <f t="shared" ca="1" si="11"/>
        <v>-4.2216729274792896E-3</v>
      </c>
      <c r="R26">
        <f t="shared" ca="1" si="11"/>
        <v>1.3229772268611223E-3</v>
      </c>
      <c r="S26">
        <f t="shared" ca="1" si="11"/>
        <v>1.9163840643113116E-2</v>
      </c>
      <c r="T26">
        <f t="shared" ca="1" si="11"/>
        <v>-4.6296067336784232E-3</v>
      </c>
      <c r="U26">
        <f t="shared" ca="1" si="11"/>
        <v>1.140871712404449E-2</v>
      </c>
      <c r="V26">
        <f t="shared" ca="1" si="11"/>
        <v>5.0659448422575963E-3</v>
      </c>
      <c r="W26">
        <f t="shared" ca="1" si="11"/>
        <v>1.1295307421235244E-2</v>
      </c>
      <c r="X26">
        <f t="shared" ca="1" si="11"/>
        <v>7.360127940446777E-3</v>
      </c>
      <c r="Y26">
        <f t="shared" ca="1" si="11"/>
        <v>-1.6837475669966896E-2</v>
      </c>
      <c r="Z26">
        <f t="shared" ca="1" si="11"/>
        <v>-1.2342625077235062E-2</v>
      </c>
    </row>
    <row r="27" spans="2:26" hidden="1">
      <c r="B27" s="180">
        <f>'Inflation-Interest'!$C$68</f>
        <v>3.8399999999999997E-2</v>
      </c>
      <c r="C27" s="180">
        <f t="shared" ref="C27:D27" ca="1" si="21">B27+Q27</f>
        <v>2.5000505377382954E-2</v>
      </c>
      <c r="D27" s="180">
        <f t="shared" ca="1" si="21"/>
        <v>2.1764643113309692E-2</v>
      </c>
      <c r="E27" s="180">
        <f t="shared" ca="1" si="3"/>
        <v>1.3506685092940186E-2</v>
      </c>
      <c r="F27" s="180">
        <f t="shared" ca="1" si="4"/>
        <v>2.6161243002948253E-2</v>
      </c>
      <c r="G27" s="180">
        <f t="shared" ca="1" si="5"/>
        <v>3.6203478197408517E-2</v>
      </c>
      <c r="H27" s="180">
        <f t="shared" ca="1" si="6"/>
        <v>2.1666304756850371E-2</v>
      </c>
      <c r="I27" s="180">
        <f t="shared" ca="1" si="7"/>
        <v>1.4183602122536484E-2</v>
      </c>
      <c r="J27" s="180">
        <f t="shared" ca="1" si="8"/>
        <v>3.0844666701620959E-2</v>
      </c>
      <c r="K27" s="180">
        <f t="shared" ca="1" si="9"/>
        <v>4.6462305772357333E-2</v>
      </c>
      <c r="L27" s="180">
        <f t="shared" ca="1" si="10"/>
        <v>5.102185037975053E-2</v>
      </c>
      <c r="Q27">
        <f t="shared" ca="1" si="11"/>
        <v>-1.3399494622617043E-2</v>
      </c>
      <c r="R27">
        <f t="shared" ca="1" si="11"/>
        <v>-3.2358622640732636E-3</v>
      </c>
      <c r="S27">
        <f t="shared" ca="1" si="11"/>
        <v>-8.2579580203695057E-3</v>
      </c>
      <c r="T27">
        <f t="shared" ca="1" si="11"/>
        <v>1.2654557910008067E-2</v>
      </c>
      <c r="U27">
        <f t="shared" ca="1" si="11"/>
        <v>1.004223519446026E-2</v>
      </c>
      <c r="V27">
        <f t="shared" ca="1" si="11"/>
        <v>-1.4537173440558148E-2</v>
      </c>
      <c r="W27">
        <f t="shared" ca="1" si="11"/>
        <v>-7.4827026343138869E-3</v>
      </c>
      <c r="X27">
        <f t="shared" ca="1" si="11"/>
        <v>1.6661064579084475E-2</v>
      </c>
      <c r="Y27">
        <f t="shared" ca="1" si="11"/>
        <v>1.5617639070736372E-2</v>
      </c>
      <c r="Z27">
        <f t="shared" ca="1" si="11"/>
        <v>4.5595446073931943E-3</v>
      </c>
    </row>
    <row r="28" spans="2:26" hidden="1">
      <c r="B28" s="180">
        <f>'Inflation-Interest'!$C$68</f>
        <v>3.8399999999999997E-2</v>
      </c>
      <c r="C28" s="180">
        <f t="shared" ref="C28:D28" ca="1" si="22">B28+Q28</f>
        <v>4.0503773418683102E-2</v>
      </c>
      <c r="D28" s="180">
        <f t="shared" ca="1" si="22"/>
        <v>6.7573653984159612E-2</v>
      </c>
      <c r="E28" s="180">
        <f t="shared" ca="1" si="3"/>
        <v>6.8177243281486208E-2</v>
      </c>
      <c r="F28" s="180">
        <f t="shared" ca="1" si="4"/>
        <v>5.420504844466454E-2</v>
      </c>
      <c r="G28" s="180">
        <f t="shared" ca="1" si="5"/>
        <v>5.9433575620139928E-2</v>
      </c>
      <c r="H28" s="180">
        <f t="shared" ca="1" si="6"/>
        <v>5.5620493363215263E-2</v>
      </c>
      <c r="I28" s="180">
        <f t="shared" ca="1" si="7"/>
        <v>5.0297964187978897E-2</v>
      </c>
      <c r="J28" s="180">
        <f t="shared" ca="1" si="8"/>
        <v>3.2498036736547706E-2</v>
      </c>
      <c r="K28" s="180">
        <f t="shared" ca="1" si="9"/>
        <v>3.1918563954070736E-2</v>
      </c>
      <c r="L28" s="180">
        <f t="shared" ca="1" si="10"/>
        <v>3.1438466814157358E-2</v>
      </c>
      <c r="Q28">
        <f t="shared" ca="1" si="11"/>
        <v>2.103773418683107E-3</v>
      </c>
      <c r="R28">
        <f t="shared" ca="1" si="11"/>
        <v>2.7069880565476507E-2</v>
      </c>
      <c r="S28">
        <f t="shared" ca="1" si="11"/>
        <v>6.0358929732659767E-4</v>
      </c>
      <c r="T28">
        <f t="shared" ca="1" si="11"/>
        <v>-1.397219483682167E-2</v>
      </c>
      <c r="U28">
        <f t="shared" ca="1" si="11"/>
        <v>5.2285271754753905E-3</v>
      </c>
      <c r="V28">
        <f t="shared" ca="1" si="11"/>
        <v>-3.8130822569246636E-3</v>
      </c>
      <c r="W28">
        <f t="shared" ca="1" si="11"/>
        <v>-5.3225291752363631E-3</v>
      </c>
      <c r="X28">
        <f t="shared" ca="1" si="11"/>
        <v>-1.7799927451431191E-2</v>
      </c>
      <c r="Y28">
        <f t="shared" ca="1" si="11"/>
        <v>-5.794727824769716E-4</v>
      </c>
      <c r="Z28">
        <f t="shared" ca="1" si="11"/>
        <v>-4.8009713991338027E-4</v>
      </c>
    </row>
    <row r="29" spans="2:26" hidden="1">
      <c r="B29" s="180">
        <f>'Inflation-Interest'!$C$68</f>
        <v>3.8399999999999997E-2</v>
      </c>
      <c r="C29" s="180">
        <f t="shared" ref="C29:D29" ca="1" si="23">B29+Q29</f>
        <v>4.225432192803677E-2</v>
      </c>
      <c r="D29" s="180">
        <f t="shared" ca="1" si="23"/>
        <v>6.593280949623774E-2</v>
      </c>
      <c r="E29" s="180">
        <f t="shared" ca="1" si="3"/>
        <v>4.7936300456489694E-2</v>
      </c>
      <c r="F29" s="180">
        <f t="shared" ca="1" si="4"/>
        <v>5.7700920640007355E-2</v>
      </c>
      <c r="G29" s="180">
        <f t="shared" ca="1" si="5"/>
        <v>7.3754370491045815E-2</v>
      </c>
      <c r="H29" s="180">
        <f t="shared" ca="1" si="6"/>
        <v>7.1430147825076423E-2</v>
      </c>
      <c r="I29" s="180">
        <f t="shared" ca="1" si="7"/>
        <v>5.8545470603270436E-2</v>
      </c>
      <c r="J29" s="180">
        <f t="shared" ca="1" si="8"/>
        <v>7.9201788338543008E-2</v>
      </c>
      <c r="K29" s="180">
        <f t="shared" ca="1" si="9"/>
        <v>9.3801252746472441E-2</v>
      </c>
      <c r="L29" s="180">
        <f t="shared" ca="1" si="10"/>
        <v>0.10067715012567266</v>
      </c>
      <c r="Q29">
        <f t="shared" ca="1" si="11"/>
        <v>3.8543219280367724E-3</v>
      </c>
      <c r="R29">
        <f t="shared" ca="1" si="11"/>
        <v>2.3678487568200974E-2</v>
      </c>
      <c r="S29">
        <f t="shared" ca="1" si="11"/>
        <v>-1.7996509039748042E-2</v>
      </c>
      <c r="T29">
        <f t="shared" ca="1" si="11"/>
        <v>9.7646201835176576E-3</v>
      </c>
      <c r="U29">
        <f t="shared" ca="1" si="11"/>
        <v>1.6053449851038456E-2</v>
      </c>
      <c r="V29">
        <f t="shared" ca="1" si="11"/>
        <v>-2.3242226659693959E-3</v>
      </c>
      <c r="W29">
        <f t="shared" ca="1" si="11"/>
        <v>-1.2884677221805987E-2</v>
      </c>
      <c r="X29">
        <f t="shared" ca="1" si="11"/>
        <v>2.0656317735272572E-2</v>
      </c>
      <c r="Y29">
        <f t="shared" ca="1" si="11"/>
        <v>1.4599464407929433E-2</v>
      </c>
      <c r="Z29">
        <f t="shared" ca="1" si="11"/>
        <v>6.875897379200217E-3</v>
      </c>
    </row>
    <row r="30" spans="2:26" hidden="1">
      <c r="B30" s="180">
        <f>'Inflation-Interest'!$C$68</f>
        <v>3.8399999999999997E-2</v>
      </c>
      <c r="C30" s="180">
        <f t="shared" ref="C30:D30" ca="1" si="24">B30+Q30</f>
        <v>2.1330681500427117E-2</v>
      </c>
      <c r="D30" s="180">
        <f t="shared" ca="1" si="24"/>
        <v>4.2172213336127168E-2</v>
      </c>
      <c r="E30" s="180">
        <f t="shared" ca="1" si="3"/>
        <v>3.053885339351654E-2</v>
      </c>
      <c r="F30" s="180">
        <f t="shared" ca="1" si="4"/>
        <v>9.787330931168195E-3</v>
      </c>
      <c r="G30" s="180">
        <f t="shared" ca="1" si="5"/>
        <v>2.1917978424837101E-3</v>
      </c>
      <c r="H30" s="180">
        <f t="shared" ca="1" si="6"/>
        <v>-1.5091506659352022E-2</v>
      </c>
      <c r="I30" s="180">
        <f t="shared" ca="1" si="7"/>
        <v>-5.4874837306303926E-3</v>
      </c>
      <c r="J30" s="180">
        <f t="shared" ca="1" si="8"/>
        <v>3.1702214902283483E-3</v>
      </c>
      <c r="K30" s="180">
        <f t="shared" ca="1" si="9"/>
        <v>-1.1478428420407248E-2</v>
      </c>
      <c r="L30" s="180">
        <f t="shared" ca="1" si="10"/>
        <v>-3.5274346543397804E-2</v>
      </c>
      <c r="Q30">
        <f t="shared" ca="1" si="11"/>
        <v>-1.706931849957288E-2</v>
      </c>
      <c r="R30">
        <f t="shared" ca="1" si="11"/>
        <v>2.0841531835700054E-2</v>
      </c>
      <c r="S30">
        <f t="shared" ca="1" si="11"/>
        <v>-1.1633359942610628E-2</v>
      </c>
      <c r="T30">
        <f t="shared" ca="1" si="11"/>
        <v>-2.0751522462348345E-2</v>
      </c>
      <c r="U30">
        <f t="shared" ca="1" si="11"/>
        <v>-7.5955330886844849E-3</v>
      </c>
      <c r="V30">
        <f t="shared" ca="1" si="11"/>
        <v>-1.7283304501835732E-2</v>
      </c>
      <c r="W30">
        <f t="shared" ca="1" si="11"/>
        <v>9.6040229287216294E-3</v>
      </c>
      <c r="X30">
        <f t="shared" ca="1" si="11"/>
        <v>8.6577052208587409E-3</v>
      </c>
      <c r="Y30">
        <f t="shared" ca="1" si="11"/>
        <v>-1.4648649910635596E-2</v>
      </c>
      <c r="Z30">
        <f t="shared" ca="1" si="11"/>
        <v>-2.3795918122990554E-2</v>
      </c>
    </row>
    <row r="31" spans="2:26" hidden="1">
      <c r="B31" s="180">
        <f>'Inflation-Interest'!$C$68</f>
        <v>3.8399999999999997E-2</v>
      </c>
      <c r="C31" s="180">
        <f t="shared" ref="C31:D31" ca="1" si="25">B31+Q31</f>
        <v>3.3361050110017415E-2</v>
      </c>
      <c r="D31" s="180">
        <f t="shared" ca="1" si="25"/>
        <v>2.8230657826746733E-2</v>
      </c>
      <c r="E31" s="180">
        <f t="shared" ca="1" si="3"/>
        <v>1.597528176788866E-2</v>
      </c>
      <c r="F31" s="180">
        <f t="shared" ca="1" si="4"/>
        <v>-2.9891245365398847E-3</v>
      </c>
      <c r="G31" s="180">
        <f t="shared" ca="1" si="5"/>
        <v>-2.3170087002955503E-2</v>
      </c>
      <c r="H31" s="180">
        <f t="shared" ca="1" si="6"/>
        <v>-2.5849914852167307E-2</v>
      </c>
      <c r="I31" s="180">
        <f t="shared" ca="1" si="7"/>
        <v>-4.1833120856286182E-2</v>
      </c>
      <c r="J31" s="180">
        <f t="shared" ca="1" si="8"/>
        <v>-5.0579350207889361E-2</v>
      </c>
      <c r="K31" s="180">
        <f t="shared" ca="1" si="9"/>
        <v>-3.1238818194513768E-2</v>
      </c>
      <c r="L31" s="180">
        <f t="shared" ca="1" si="10"/>
        <v>-1.448653905654915E-2</v>
      </c>
      <c r="Q31">
        <f t="shared" ca="1" si="11"/>
        <v>-5.0389498899825781E-3</v>
      </c>
      <c r="R31">
        <f t="shared" ca="1" si="11"/>
        <v>-5.1303922832706805E-3</v>
      </c>
      <c r="S31">
        <f t="shared" ca="1" si="11"/>
        <v>-1.2255376058858073E-2</v>
      </c>
      <c r="T31">
        <f t="shared" ca="1" si="11"/>
        <v>-1.8964406304428544E-2</v>
      </c>
      <c r="U31">
        <f t="shared" ca="1" si="11"/>
        <v>-2.0180962466415618E-2</v>
      </c>
      <c r="V31">
        <f t="shared" ca="1" si="11"/>
        <v>-2.6798278492118034E-3</v>
      </c>
      <c r="W31">
        <f t="shared" ca="1" si="11"/>
        <v>-1.5983206004118879E-2</v>
      </c>
      <c r="X31">
        <f t="shared" ca="1" si="11"/>
        <v>-8.7462293516031801E-3</v>
      </c>
      <c r="Y31">
        <f t="shared" ca="1" si="11"/>
        <v>1.9340532013375593E-2</v>
      </c>
      <c r="Z31">
        <f t="shared" ca="1" si="11"/>
        <v>1.6752279137964617E-2</v>
      </c>
    </row>
    <row r="32" spans="2:26" hidden="1">
      <c r="B32" s="180">
        <f>'Inflation-Interest'!$C$68</f>
        <v>3.8399999999999997E-2</v>
      </c>
      <c r="C32" s="180">
        <f t="shared" ref="C32:D32" ca="1" si="26">B32+Q32</f>
        <v>1.23270062441697E-2</v>
      </c>
      <c r="D32" s="180">
        <f t="shared" ca="1" si="26"/>
        <v>2.0637625423029021E-2</v>
      </c>
      <c r="E32" s="180">
        <f t="shared" ca="1" si="3"/>
        <v>3.4098578413410713E-2</v>
      </c>
      <c r="F32" s="180">
        <f t="shared" ca="1" si="4"/>
        <v>4.1157903174517958E-2</v>
      </c>
      <c r="G32" s="180">
        <f t="shared" ca="1" si="5"/>
        <v>4.4145362656388819E-2</v>
      </c>
      <c r="H32" s="180">
        <f t="shared" ca="1" si="6"/>
        <v>3.7382341626867495E-2</v>
      </c>
      <c r="I32" s="180">
        <f t="shared" ca="1" si="7"/>
        <v>3.2745102676656507E-2</v>
      </c>
      <c r="J32" s="180">
        <f t="shared" ca="1" si="8"/>
        <v>5.2692735464725658E-2</v>
      </c>
      <c r="K32" s="180">
        <f t="shared" ca="1" si="9"/>
        <v>4.6488208578902929E-2</v>
      </c>
      <c r="L32" s="180">
        <f t="shared" ca="1" si="10"/>
        <v>3.6879742121817369E-2</v>
      </c>
      <c r="Q32">
        <f t="shared" ca="1" si="11"/>
        <v>-2.6072993755830297E-2</v>
      </c>
      <c r="R32">
        <f t="shared" ca="1" si="11"/>
        <v>8.3106191788593214E-3</v>
      </c>
      <c r="S32">
        <f t="shared" ca="1" si="11"/>
        <v>1.346095299038169E-2</v>
      </c>
      <c r="T32">
        <f t="shared" ca="1" si="11"/>
        <v>7.0593247611072446E-3</v>
      </c>
      <c r="U32">
        <f t="shared" ca="1" si="11"/>
        <v>2.9874594818708588E-3</v>
      </c>
      <c r="V32">
        <f t="shared" ca="1" si="11"/>
        <v>-6.7630210295213265E-3</v>
      </c>
      <c r="W32">
        <f t="shared" ca="1" si="11"/>
        <v>-4.6372389502109907E-3</v>
      </c>
      <c r="X32">
        <f t="shared" ca="1" si="11"/>
        <v>1.9947632788069151E-2</v>
      </c>
      <c r="Y32">
        <f t="shared" ca="1" si="11"/>
        <v>-6.2045268858227295E-3</v>
      </c>
      <c r="Z32">
        <f t="shared" ca="1" si="11"/>
        <v>-9.6084664570855599E-3</v>
      </c>
    </row>
    <row r="33" spans="2:26" hidden="1">
      <c r="B33" s="180">
        <f>'Inflation-Interest'!$C$68</f>
        <v>3.8399999999999997E-2</v>
      </c>
      <c r="C33" s="180">
        <f t="shared" ref="C33:D33" ca="1" si="27">B33+Q33</f>
        <v>2.8029724936437801E-2</v>
      </c>
      <c r="D33" s="180">
        <f t="shared" ca="1" si="27"/>
        <v>2.9954629142031439E-2</v>
      </c>
      <c r="E33" s="180">
        <f t="shared" ca="1" si="3"/>
        <v>4.0470826980963326E-2</v>
      </c>
      <c r="F33" s="180">
        <f t="shared" ca="1" si="4"/>
        <v>3.1506002957904705E-2</v>
      </c>
      <c r="G33" s="180">
        <f t="shared" ca="1" si="5"/>
        <v>3.574528145297011E-2</v>
      </c>
      <c r="H33" s="180">
        <f t="shared" ca="1" si="6"/>
        <v>5.5255047425882983E-2</v>
      </c>
      <c r="I33" s="180">
        <f t="shared" ca="1" si="7"/>
        <v>5.4607940484842979E-2</v>
      </c>
      <c r="J33" s="180">
        <f t="shared" ca="1" si="8"/>
        <v>5.8146802860434443E-2</v>
      </c>
      <c r="K33" s="180">
        <f t="shared" ca="1" si="9"/>
        <v>4.3703422177490119E-2</v>
      </c>
      <c r="L33" s="180">
        <f t="shared" ca="1" si="10"/>
        <v>1.7574976156198869E-2</v>
      </c>
      <c r="Q33">
        <f t="shared" ca="1" si="11"/>
        <v>-1.0370275063562194E-2</v>
      </c>
      <c r="R33">
        <f t="shared" ca="1" si="11"/>
        <v>1.9249042055936372E-3</v>
      </c>
      <c r="S33">
        <f t="shared" ca="1" si="11"/>
        <v>1.0516197838931887E-2</v>
      </c>
      <c r="T33">
        <f t="shared" ca="1" si="11"/>
        <v>-8.9648240230586172E-3</v>
      </c>
      <c r="U33">
        <f t="shared" ca="1" si="11"/>
        <v>4.2392784950654044E-3</v>
      </c>
      <c r="V33">
        <f t="shared" ca="1" si="11"/>
        <v>1.9509765972912877E-2</v>
      </c>
      <c r="W33">
        <f t="shared" ca="1" si="11"/>
        <v>-6.4710694104000259E-4</v>
      </c>
      <c r="X33">
        <f t="shared" ca="1" si="11"/>
        <v>3.5388623755914662E-3</v>
      </c>
      <c r="Y33">
        <f t="shared" ca="1" si="11"/>
        <v>-1.4443380682944325E-2</v>
      </c>
      <c r="Z33">
        <f t="shared" ca="1" si="11"/>
        <v>-2.612844602129125E-2</v>
      </c>
    </row>
    <row r="34" spans="2:26" hidden="1">
      <c r="B34" s="180">
        <f>'Inflation-Interest'!$C$68</f>
        <v>3.8399999999999997E-2</v>
      </c>
      <c r="C34" s="180">
        <f t="shared" ref="C34:D34" ca="1" si="28">B34+Q34</f>
        <v>5.6957450123708141E-2</v>
      </c>
      <c r="D34" s="180">
        <f t="shared" ca="1" si="28"/>
        <v>5.2620717847270647E-2</v>
      </c>
      <c r="E34" s="180">
        <f t="shared" ca="1" si="3"/>
        <v>5.3765813257072415E-2</v>
      </c>
      <c r="F34" s="180">
        <f t="shared" ca="1" si="4"/>
        <v>4.2970121273783697E-2</v>
      </c>
      <c r="G34" s="180">
        <f t="shared" ca="1" si="5"/>
        <v>5.2669788230457017E-2</v>
      </c>
      <c r="H34" s="180">
        <f t="shared" ca="1" si="6"/>
        <v>3.9560360404691103E-2</v>
      </c>
      <c r="I34" s="180">
        <f t="shared" ca="1" si="7"/>
        <v>3.19608460017081E-2</v>
      </c>
      <c r="J34" s="180">
        <f t="shared" ca="1" si="8"/>
        <v>3.8322241578643945E-2</v>
      </c>
      <c r="K34" s="180">
        <f t="shared" ca="1" si="9"/>
        <v>2.3832680864927774E-2</v>
      </c>
      <c r="L34" s="180">
        <f t="shared" ca="1" si="10"/>
        <v>2.7427572421248832E-2</v>
      </c>
      <c r="Q34">
        <f t="shared" ca="1" si="11"/>
        <v>1.8557450123708144E-2</v>
      </c>
      <c r="R34">
        <f t="shared" ca="1" si="11"/>
        <v>-4.3367322764374929E-3</v>
      </c>
      <c r="S34">
        <f t="shared" ca="1" si="11"/>
        <v>1.1450954098017698E-3</v>
      </c>
      <c r="T34">
        <f t="shared" ca="1" si="11"/>
        <v>-1.0795691983288716E-2</v>
      </c>
      <c r="U34">
        <f t="shared" ca="1" si="11"/>
        <v>9.6996669566733213E-3</v>
      </c>
      <c r="V34">
        <f t="shared" ca="1" si="11"/>
        <v>-1.3109427825765914E-2</v>
      </c>
      <c r="W34">
        <f t="shared" ca="1" si="11"/>
        <v>-7.5995144029830011E-3</v>
      </c>
      <c r="X34">
        <f t="shared" ca="1" si="11"/>
        <v>6.3613955769358426E-3</v>
      </c>
      <c r="Y34">
        <f t="shared" ca="1" si="11"/>
        <v>-1.4489560713716172E-2</v>
      </c>
      <c r="Z34">
        <f t="shared" ca="1" si="11"/>
        <v>3.5948915563210593E-3</v>
      </c>
    </row>
    <row r="35" spans="2:26" hidden="1">
      <c r="B35" s="180">
        <f>'Inflation-Interest'!$C$68</f>
        <v>3.8399999999999997E-2</v>
      </c>
      <c r="C35" s="180">
        <f t="shared" ref="C35:D35" ca="1" si="29">B35+Q35</f>
        <v>2.3995086430352905E-2</v>
      </c>
      <c r="D35" s="180">
        <f t="shared" ca="1" si="29"/>
        <v>1.332827605249725E-2</v>
      </c>
      <c r="E35" s="180">
        <f t="shared" ca="1" si="3"/>
        <v>-3.8867881023520595E-3</v>
      </c>
      <c r="F35" s="180">
        <f t="shared" ca="1" si="4"/>
        <v>1.181587213896439E-2</v>
      </c>
      <c r="G35" s="180">
        <f t="shared" ca="1" si="5"/>
        <v>-6.1951750607044942E-4</v>
      </c>
      <c r="H35" s="180">
        <f t="shared" ca="1" si="6"/>
        <v>-1.7452056541140976E-2</v>
      </c>
      <c r="I35" s="180">
        <f t="shared" ca="1" si="7"/>
        <v>-3.6864666107369104E-2</v>
      </c>
      <c r="J35" s="180">
        <f t="shared" ca="1" si="8"/>
        <v>-2.8674883368456968E-2</v>
      </c>
      <c r="K35" s="180">
        <f t="shared" ca="1" si="9"/>
        <v>-3.9041171417424636E-2</v>
      </c>
      <c r="L35" s="180">
        <f t="shared" ca="1" si="10"/>
        <v>-3.6941335368816143E-2</v>
      </c>
      <c r="Q35">
        <f t="shared" ca="1" si="11"/>
        <v>-1.440491356964709E-2</v>
      </c>
      <c r="R35">
        <f t="shared" ca="1" si="11"/>
        <v>-1.0666810377855655E-2</v>
      </c>
      <c r="S35">
        <f t="shared" ca="1" si="11"/>
        <v>-1.7215064154849309E-2</v>
      </c>
      <c r="T35">
        <f t="shared" ca="1" si="11"/>
        <v>1.570266024131645E-2</v>
      </c>
      <c r="U35">
        <f t="shared" ca="1" si="11"/>
        <v>-1.243538964503484E-2</v>
      </c>
      <c r="V35">
        <f t="shared" ca="1" si="11"/>
        <v>-1.6832539035070527E-2</v>
      </c>
      <c r="W35">
        <f t="shared" ca="1" si="11"/>
        <v>-1.9412609566228124E-2</v>
      </c>
      <c r="X35">
        <f t="shared" ca="1" si="11"/>
        <v>8.189782738912136E-3</v>
      </c>
      <c r="Y35">
        <f t="shared" ca="1" si="11"/>
        <v>-1.0366288048967668E-2</v>
      </c>
      <c r="Z35">
        <f t="shared" ca="1" si="11"/>
        <v>2.099836048608493E-3</v>
      </c>
    </row>
    <row r="36" spans="2:26" hidden="1">
      <c r="B36" s="180">
        <f>'Inflation-Interest'!$C$68</f>
        <v>3.8399999999999997E-2</v>
      </c>
      <c r="C36" s="180">
        <f t="shared" ref="C36:D36" ca="1" si="30">B36+Q36</f>
        <v>3.5075463744554877E-2</v>
      </c>
      <c r="D36" s="180">
        <f t="shared" ca="1" si="30"/>
        <v>2.8828365168706252E-2</v>
      </c>
      <c r="E36" s="180">
        <f t="shared" ca="1" si="3"/>
        <v>3.9351913278919938E-2</v>
      </c>
      <c r="F36" s="180">
        <f t="shared" ca="1" si="4"/>
        <v>2.5780900499902941E-2</v>
      </c>
      <c r="G36" s="180">
        <f t="shared" ca="1" si="5"/>
        <v>2.8626960691378739E-2</v>
      </c>
      <c r="H36" s="180">
        <f t="shared" ca="1" si="6"/>
        <v>2.519986429413059E-2</v>
      </c>
      <c r="I36" s="180">
        <f t="shared" ca="1" si="7"/>
        <v>2.152391547029921E-2</v>
      </c>
      <c r="J36" s="180">
        <f t="shared" ca="1" si="8"/>
        <v>-6.7448047980155079E-3</v>
      </c>
      <c r="K36" s="180">
        <f t="shared" ca="1" si="9"/>
        <v>5.6590237958480376E-4</v>
      </c>
      <c r="L36" s="180">
        <f t="shared" ca="1" si="10"/>
        <v>1.0735568341088516E-2</v>
      </c>
      <c r="Q36">
        <f t="shared" ca="1" si="11"/>
        <v>-3.3245362554451229E-3</v>
      </c>
      <c r="R36">
        <f t="shared" ca="1" si="11"/>
        <v>-6.2470985758486244E-3</v>
      </c>
      <c r="S36">
        <f t="shared" ca="1" si="11"/>
        <v>1.0523548110213688E-2</v>
      </c>
      <c r="T36">
        <f t="shared" ca="1" si="11"/>
        <v>-1.3571012779016997E-2</v>
      </c>
      <c r="U36">
        <f t="shared" ca="1" si="11"/>
        <v>2.8460601914757971E-3</v>
      </c>
      <c r="V36">
        <f t="shared" ca="1" si="11"/>
        <v>-3.427096397248149E-3</v>
      </c>
      <c r="W36">
        <f t="shared" ca="1" si="11"/>
        <v>-3.6759488238313808E-3</v>
      </c>
      <c r="X36">
        <f t="shared" ca="1" si="11"/>
        <v>-2.8268720268314718E-2</v>
      </c>
      <c r="Y36">
        <f t="shared" ca="1" si="11"/>
        <v>7.3107071776003117E-3</v>
      </c>
      <c r="Z36">
        <f t="shared" ca="1" si="11"/>
        <v>1.0169665961503711E-2</v>
      </c>
    </row>
    <row r="37" spans="2:26" hidden="1">
      <c r="B37" s="180">
        <f>'Inflation-Interest'!$C$68</f>
        <v>3.8399999999999997E-2</v>
      </c>
      <c r="C37" s="180">
        <f t="shared" ref="C37:D37" ca="1" si="31">B37+Q37</f>
        <v>3.7949386912531448E-2</v>
      </c>
      <c r="D37" s="180">
        <f t="shared" ca="1" si="31"/>
        <v>5.8554405213420556E-2</v>
      </c>
      <c r="E37" s="180">
        <f t="shared" ca="1" si="3"/>
        <v>5.3321863244849943E-2</v>
      </c>
      <c r="F37" s="180">
        <f t="shared" ca="1" si="4"/>
        <v>6.9678784175618486E-2</v>
      </c>
      <c r="G37" s="180">
        <f t="shared" ca="1" si="5"/>
        <v>6.332249624496511E-2</v>
      </c>
      <c r="H37" s="180">
        <f t="shared" ca="1" si="6"/>
        <v>5.7853026783390805E-2</v>
      </c>
      <c r="I37" s="180">
        <f t="shared" ca="1" si="7"/>
        <v>5.7659919305788156E-2</v>
      </c>
      <c r="J37" s="180">
        <f t="shared" ca="1" si="8"/>
        <v>5.0864642081164223E-2</v>
      </c>
      <c r="K37" s="180">
        <f t="shared" ca="1" si="9"/>
        <v>5.8534859035171347E-2</v>
      </c>
      <c r="L37" s="180">
        <f t="shared" ca="1" si="10"/>
        <v>6.8699523977763022E-2</v>
      </c>
      <c r="Q37">
        <f t="shared" ca="1" si="11"/>
        <v>-4.5061308746855013E-4</v>
      </c>
      <c r="R37">
        <f t="shared" ca="1" si="11"/>
        <v>2.0605018300889108E-2</v>
      </c>
      <c r="S37">
        <f t="shared" ca="1" si="11"/>
        <v>-5.2325419685706129E-3</v>
      </c>
      <c r="T37">
        <f t="shared" ca="1" si="11"/>
        <v>1.6356920930768543E-2</v>
      </c>
      <c r="U37">
        <f t="shared" ca="1" si="11"/>
        <v>-6.3562879306533733E-3</v>
      </c>
      <c r="V37">
        <f t="shared" ca="1" si="11"/>
        <v>-5.4694694615743016E-3</v>
      </c>
      <c r="W37">
        <f t="shared" ca="1" si="11"/>
        <v>-1.9310747760265028E-4</v>
      </c>
      <c r="X37">
        <f t="shared" ca="1" si="11"/>
        <v>-6.7952772246239303E-3</v>
      </c>
      <c r="Y37">
        <f t="shared" ca="1" si="11"/>
        <v>7.6702169540071238E-3</v>
      </c>
      <c r="Z37">
        <f t="shared" ca="1" si="11"/>
        <v>1.0164664942591672E-2</v>
      </c>
    </row>
    <row r="38" spans="2:26" hidden="1">
      <c r="B38" s="180">
        <f>'Inflation-Interest'!$C$68</f>
        <v>3.8399999999999997E-2</v>
      </c>
      <c r="C38" s="180">
        <f t="shared" ref="C38:D38" ca="1" si="32">B38+Q38</f>
        <v>4.0382314458230879E-2</v>
      </c>
      <c r="D38" s="180">
        <f t="shared" ca="1" si="32"/>
        <v>2.824179580764228E-2</v>
      </c>
      <c r="E38" s="180">
        <f t="shared" ca="1" si="3"/>
        <v>1.4070068767923513E-2</v>
      </c>
      <c r="F38" s="180">
        <f t="shared" ca="1" si="4"/>
        <v>2.7201815537301496E-2</v>
      </c>
      <c r="G38" s="180">
        <f t="shared" ca="1" si="5"/>
        <v>3.2530154889306752E-3</v>
      </c>
      <c r="H38" s="180">
        <f t="shared" ca="1" si="6"/>
        <v>-1.7837885378814457E-2</v>
      </c>
      <c r="I38" s="180">
        <f t="shared" ca="1" si="7"/>
        <v>-1.7066116128499415E-2</v>
      </c>
      <c r="J38" s="180">
        <f t="shared" ca="1" si="8"/>
        <v>-2.6041728941202158E-2</v>
      </c>
      <c r="K38" s="180">
        <f t="shared" ca="1" si="9"/>
        <v>-3.6662930192825162E-2</v>
      </c>
      <c r="L38" s="180">
        <f t="shared" ca="1" si="10"/>
        <v>-3.407024123039578E-2</v>
      </c>
      <c r="Q38">
        <f t="shared" ca="1" si="11"/>
        <v>1.9823144582308805E-3</v>
      </c>
      <c r="R38">
        <f t="shared" ca="1" si="11"/>
        <v>-1.2140518650588602E-2</v>
      </c>
      <c r="S38">
        <f t="shared" ca="1" si="11"/>
        <v>-1.4171727039718767E-2</v>
      </c>
      <c r="T38">
        <f t="shared" ca="1" si="11"/>
        <v>1.3131746769377983E-2</v>
      </c>
      <c r="U38">
        <f t="shared" ca="1" si="11"/>
        <v>-2.394880004837082E-2</v>
      </c>
      <c r="V38">
        <f t="shared" ca="1" si="11"/>
        <v>-2.1090900867745132E-2</v>
      </c>
      <c r="W38">
        <f t="shared" ca="1" si="11"/>
        <v>7.7176925031504143E-4</v>
      </c>
      <c r="X38">
        <f t="shared" ca="1" si="11"/>
        <v>-8.9756128127027428E-3</v>
      </c>
      <c r="Y38">
        <f t="shared" ca="1" si="11"/>
        <v>-1.0621201251623004E-2</v>
      </c>
      <c r="Z38">
        <f t="shared" ca="1" si="11"/>
        <v>2.5926889624293802E-3</v>
      </c>
    </row>
    <row r="39" spans="2:26" hidden="1">
      <c r="B39" s="180">
        <f>'Inflation-Interest'!$C$68</f>
        <v>3.8399999999999997E-2</v>
      </c>
      <c r="C39" s="180">
        <f t="shared" ref="C39:D39" ca="1" si="33">B39+Q39</f>
        <v>3.0392643466786169E-2</v>
      </c>
      <c r="D39" s="180">
        <f t="shared" ca="1" si="33"/>
        <v>4.0064132628552518E-2</v>
      </c>
      <c r="E39" s="180">
        <f t="shared" ca="1" si="3"/>
        <v>2.9552431230566882E-2</v>
      </c>
      <c r="F39" s="180">
        <f t="shared" ca="1" si="4"/>
        <v>5.1586718954830676E-2</v>
      </c>
      <c r="G39" s="180">
        <f t="shared" ca="1" si="5"/>
        <v>4.9571921818380833E-2</v>
      </c>
      <c r="H39" s="180">
        <f t="shared" ca="1" si="6"/>
        <v>4.3388656706438627E-2</v>
      </c>
      <c r="I39" s="180">
        <f t="shared" ca="1" si="7"/>
        <v>6.6516385720084475E-2</v>
      </c>
      <c r="J39" s="180">
        <f t="shared" ca="1" si="8"/>
        <v>5.6286831730459445E-2</v>
      </c>
      <c r="K39" s="180">
        <f t="shared" ca="1" si="9"/>
        <v>4.7484474943328317E-2</v>
      </c>
      <c r="L39" s="180">
        <f t="shared" ca="1" si="10"/>
        <v>3.1786112593113827E-2</v>
      </c>
      <c r="Q39">
        <f t="shared" ca="1" si="11"/>
        <v>-8.0073565332138275E-3</v>
      </c>
      <c r="R39">
        <f t="shared" ca="1" si="11"/>
        <v>9.6714891617663522E-3</v>
      </c>
      <c r="S39">
        <f t="shared" ca="1" si="11"/>
        <v>-1.0511701397985636E-2</v>
      </c>
      <c r="T39">
        <f t="shared" ca="1" si="11"/>
        <v>2.2034287724263798E-2</v>
      </c>
      <c r="U39">
        <f t="shared" ca="1" si="11"/>
        <v>-2.0147971364498423E-3</v>
      </c>
      <c r="V39">
        <f t="shared" ca="1" si="11"/>
        <v>-6.1832651119422075E-3</v>
      </c>
      <c r="W39">
        <f t="shared" ca="1" si="11"/>
        <v>2.3127729013645841E-2</v>
      </c>
      <c r="X39">
        <f t="shared" ca="1" si="11"/>
        <v>-1.0229553989625028E-2</v>
      </c>
      <c r="Y39">
        <f t="shared" ca="1" si="11"/>
        <v>-8.8023567871311301E-3</v>
      </c>
      <c r="Z39">
        <f t="shared" ca="1" si="11"/>
        <v>-1.5698362350214486E-2</v>
      </c>
    </row>
    <row r="40" spans="2:26" hidden="1">
      <c r="B40" s="180">
        <f>'Inflation-Interest'!$C$68</f>
        <v>3.8399999999999997E-2</v>
      </c>
      <c r="C40" s="180">
        <f t="shared" ref="C40:D40" ca="1" si="34">B40+Q40</f>
        <v>2.097344458606621E-2</v>
      </c>
      <c r="D40" s="180">
        <f t="shared" ca="1" si="34"/>
        <v>1.4620041927163581E-2</v>
      </c>
      <c r="E40" s="180">
        <f t="shared" ca="1" si="3"/>
        <v>4.2894967121510724E-2</v>
      </c>
      <c r="F40" s="180">
        <f t="shared" ca="1" si="4"/>
        <v>4.3965333050541754E-2</v>
      </c>
      <c r="G40" s="180">
        <f t="shared" ca="1" si="5"/>
        <v>5.5518180717950033E-2</v>
      </c>
      <c r="H40" s="180">
        <f t="shared" ca="1" si="6"/>
        <v>4.6411717719890541E-2</v>
      </c>
      <c r="I40" s="180">
        <f t="shared" ca="1" si="7"/>
        <v>4.1658270571536163E-2</v>
      </c>
      <c r="J40" s="180">
        <f t="shared" ca="1" si="8"/>
        <v>3.6521699217673571E-2</v>
      </c>
      <c r="K40" s="180">
        <f t="shared" ca="1" si="9"/>
        <v>3.6247274192572433E-2</v>
      </c>
      <c r="L40" s="180">
        <f t="shared" ca="1" si="10"/>
        <v>3.4291221912348131E-2</v>
      </c>
      <c r="Q40">
        <f t="shared" ca="1" si="11"/>
        <v>-1.7426555413933786E-2</v>
      </c>
      <c r="R40">
        <f t="shared" ref="R40:Z68" ca="1" si="35">_xlfn.NORM.INV(RAND(), $B$3, $B$4)</f>
        <v>-6.3534026589026297E-3</v>
      </c>
      <c r="S40">
        <f t="shared" ca="1" si="35"/>
        <v>2.8274925194347145E-2</v>
      </c>
      <c r="T40">
        <f t="shared" ca="1" si="35"/>
        <v>1.0703659290310268E-3</v>
      </c>
      <c r="U40">
        <f t="shared" ca="1" si="35"/>
        <v>1.1552847667408283E-2</v>
      </c>
      <c r="V40">
        <f t="shared" ca="1" si="35"/>
        <v>-9.1064629980594954E-3</v>
      </c>
      <c r="W40">
        <f t="shared" ca="1" si="35"/>
        <v>-4.7534471483543774E-3</v>
      </c>
      <c r="X40">
        <f t="shared" ca="1" si="35"/>
        <v>-5.1365713538625924E-3</v>
      </c>
      <c r="Y40">
        <f t="shared" ca="1" si="35"/>
        <v>-2.7442502510113782E-4</v>
      </c>
      <c r="Z40">
        <f t="shared" ca="1" si="35"/>
        <v>-1.9560522802243002E-3</v>
      </c>
    </row>
    <row r="41" spans="2:26" hidden="1">
      <c r="B41" s="180">
        <f>'Inflation-Interest'!$C$68</f>
        <v>3.8399999999999997E-2</v>
      </c>
      <c r="C41" s="180">
        <f t="shared" ref="C41:D41" ca="1" si="36">B41+Q41</f>
        <v>2.0415159921793168E-2</v>
      </c>
      <c r="D41" s="180">
        <f t="shared" ca="1" si="36"/>
        <v>8.0953584701872524E-3</v>
      </c>
      <c r="E41" s="180">
        <f t="shared" ca="1" si="3"/>
        <v>-6.4816589491613254E-3</v>
      </c>
      <c r="F41" s="180">
        <f t="shared" ca="1" si="4"/>
        <v>2.2571350058876987E-4</v>
      </c>
      <c r="G41" s="180">
        <f t="shared" ca="1" si="5"/>
        <v>1.9426313763078219E-2</v>
      </c>
      <c r="H41" s="180">
        <f t="shared" ca="1" si="6"/>
        <v>3.6820614540808587E-2</v>
      </c>
      <c r="I41" s="180">
        <f t="shared" ca="1" si="7"/>
        <v>3.9985233801196798E-2</v>
      </c>
      <c r="J41" s="180">
        <f t="shared" ca="1" si="8"/>
        <v>4.0318630454941946E-2</v>
      </c>
      <c r="K41" s="180">
        <f t="shared" ca="1" si="9"/>
        <v>4.1760338479329445E-2</v>
      </c>
      <c r="L41" s="180">
        <f t="shared" ca="1" si="10"/>
        <v>2.3600821424395083E-2</v>
      </c>
      <c r="Q41">
        <f t="shared" ref="Q41:T72" ca="1" si="37">_xlfn.NORM.INV(RAND(), $B$3, $B$4)</f>
        <v>-1.7984840078206828E-2</v>
      </c>
      <c r="R41">
        <f t="shared" ca="1" si="35"/>
        <v>-1.2319801451605916E-2</v>
      </c>
      <c r="S41">
        <f t="shared" ca="1" si="35"/>
        <v>-1.4577017419348578E-2</v>
      </c>
      <c r="T41">
        <f t="shared" ca="1" si="35"/>
        <v>6.7073724497500953E-3</v>
      </c>
      <c r="U41">
        <f t="shared" ca="1" si="35"/>
        <v>1.9200600262489449E-2</v>
      </c>
      <c r="V41">
        <f t="shared" ca="1" si="35"/>
        <v>1.7394300777730368E-2</v>
      </c>
      <c r="W41">
        <f t="shared" ca="1" si="35"/>
        <v>3.1646192603882106E-3</v>
      </c>
      <c r="X41">
        <f t="shared" ca="1" si="35"/>
        <v>3.3339665374515075E-4</v>
      </c>
      <c r="Y41">
        <f t="shared" ca="1" si="35"/>
        <v>1.4417080243874982E-3</v>
      </c>
      <c r="Z41">
        <f t="shared" ca="1" si="35"/>
        <v>-1.8159517054934363E-2</v>
      </c>
    </row>
    <row r="42" spans="2:26" hidden="1">
      <c r="B42" s="180">
        <f>'Inflation-Interest'!$C$68</f>
        <v>3.8399999999999997E-2</v>
      </c>
      <c r="C42" s="180">
        <f t="shared" ref="C42:D42" ca="1" si="38">B42+Q42</f>
        <v>5.198861504662966E-2</v>
      </c>
      <c r="D42" s="180">
        <f t="shared" ca="1" si="38"/>
        <v>4.0349200463893904E-2</v>
      </c>
      <c r="E42" s="180">
        <f t="shared" ca="1" si="3"/>
        <v>3.8564055808312209E-2</v>
      </c>
      <c r="F42" s="180">
        <f t="shared" ca="1" si="4"/>
        <v>5.4155685435310394E-2</v>
      </c>
      <c r="G42" s="180">
        <f t="shared" ca="1" si="5"/>
        <v>4.4058709412275604E-2</v>
      </c>
      <c r="H42" s="180">
        <f t="shared" ca="1" si="6"/>
        <v>6.1379030995421788E-2</v>
      </c>
      <c r="I42" s="180">
        <f t="shared" ca="1" si="7"/>
        <v>7.8327950428926596E-2</v>
      </c>
      <c r="J42" s="180">
        <f t="shared" ca="1" si="8"/>
        <v>7.9407680592928742E-2</v>
      </c>
      <c r="K42" s="180">
        <f t="shared" ca="1" si="9"/>
        <v>6.9107103088314428E-2</v>
      </c>
      <c r="L42" s="180">
        <f t="shared" ca="1" si="10"/>
        <v>8.191310105997178E-2</v>
      </c>
      <c r="Q42">
        <f t="shared" ca="1" si="37"/>
        <v>1.3588615046629665E-2</v>
      </c>
      <c r="R42">
        <f t="shared" ca="1" si="35"/>
        <v>-1.1639414582735756E-2</v>
      </c>
      <c r="S42">
        <f t="shared" ca="1" si="35"/>
        <v>-1.7851446555816955E-3</v>
      </c>
      <c r="T42">
        <f t="shared" ca="1" si="35"/>
        <v>1.5591629626998189E-2</v>
      </c>
      <c r="U42">
        <f t="shared" ca="1" si="35"/>
        <v>-1.0096976023034786E-2</v>
      </c>
      <c r="V42">
        <f t="shared" ca="1" si="35"/>
        <v>1.7320321583146184E-2</v>
      </c>
      <c r="W42">
        <f t="shared" ca="1" si="35"/>
        <v>1.6948919433504805E-2</v>
      </c>
      <c r="X42">
        <f t="shared" ca="1" si="35"/>
        <v>1.0797301640021516E-3</v>
      </c>
      <c r="Y42">
        <f t="shared" ca="1" si="35"/>
        <v>-1.0300577504614314E-2</v>
      </c>
      <c r="Z42">
        <f t="shared" ca="1" si="35"/>
        <v>1.2805997971657346E-2</v>
      </c>
    </row>
    <row r="43" spans="2:26" hidden="1">
      <c r="B43" s="180">
        <f>'Inflation-Interest'!$C$68</f>
        <v>3.8399999999999997E-2</v>
      </c>
      <c r="C43" s="180">
        <f t="shared" ref="C43:D43" ca="1" si="39">B43+Q43</f>
        <v>4.3766650917855865E-2</v>
      </c>
      <c r="D43" s="180">
        <f t="shared" ca="1" si="39"/>
        <v>6.4998566711622505E-2</v>
      </c>
      <c r="E43" s="180">
        <f t="shared" ca="1" si="3"/>
        <v>0.10050959462187867</v>
      </c>
      <c r="F43" s="180">
        <f t="shared" ca="1" si="4"/>
        <v>0.12902097690450484</v>
      </c>
      <c r="G43" s="180">
        <f t="shared" ca="1" si="5"/>
        <v>0.11893014644053389</v>
      </c>
      <c r="H43" s="180">
        <f t="shared" ca="1" si="6"/>
        <v>0.11861029952645935</v>
      </c>
      <c r="I43" s="180">
        <f t="shared" ca="1" si="7"/>
        <v>0.1243122565585226</v>
      </c>
      <c r="J43" s="180">
        <f t="shared" ca="1" si="8"/>
        <v>0.13732356635998744</v>
      </c>
      <c r="K43" s="180">
        <f t="shared" ca="1" si="9"/>
        <v>0.13518883128273385</v>
      </c>
      <c r="L43" s="180">
        <f t="shared" ca="1" si="10"/>
        <v>0.12665669095719542</v>
      </c>
      <c r="Q43">
        <f t="shared" ca="1" si="37"/>
        <v>5.36665091785587E-3</v>
      </c>
      <c r="R43">
        <f t="shared" ca="1" si="35"/>
        <v>2.1231915793766636E-2</v>
      </c>
      <c r="S43">
        <f t="shared" ca="1" si="35"/>
        <v>3.5511027910256163E-2</v>
      </c>
      <c r="T43">
        <f t="shared" ca="1" si="35"/>
        <v>2.8511382282626178E-2</v>
      </c>
      <c r="U43">
        <f t="shared" ca="1" si="35"/>
        <v>-1.0090830463970949E-2</v>
      </c>
      <c r="V43">
        <f t="shared" ca="1" si="35"/>
        <v>-3.1984691407454261E-4</v>
      </c>
      <c r="W43">
        <f t="shared" ca="1" si="35"/>
        <v>5.7019570320632493E-3</v>
      </c>
      <c r="X43">
        <f t="shared" ca="1" si="35"/>
        <v>1.3011309801464846E-2</v>
      </c>
      <c r="Y43">
        <f t="shared" ca="1" si="35"/>
        <v>-2.1347350772535781E-3</v>
      </c>
      <c r="Z43">
        <f t="shared" ca="1" si="35"/>
        <v>-8.5321403255384284E-3</v>
      </c>
    </row>
    <row r="44" spans="2:26" hidden="1">
      <c r="B44" s="180">
        <f>'Inflation-Interest'!$C$68</f>
        <v>3.8399999999999997E-2</v>
      </c>
      <c r="C44" s="180">
        <f t="shared" ref="C44:D44" ca="1" si="40">B44+Q44</f>
        <v>4.4961847105526788E-2</v>
      </c>
      <c r="D44" s="180">
        <f t="shared" ca="1" si="40"/>
        <v>6.0977609977589844E-2</v>
      </c>
      <c r="E44" s="180">
        <f t="shared" ca="1" si="3"/>
        <v>6.7286891098232868E-2</v>
      </c>
      <c r="F44" s="180">
        <f t="shared" ca="1" si="4"/>
        <v>7.601445012855465E-2</v>
      </c>
      <c r="G44" s="180">
        <f t="shared" ca="1" si="5"/>
        <v>7.0737657495427875E-2</v>
      </c>
      <c r="H44" s="180">
        <f t="shared" ca="1" si="6"/>
        <v>7.1611925833231088E-2</v>
      </c>
      <c r="I44" s="180">
        <f t="shared" ca="1" si="7"/>
        <v>7.6105429948923081E-2</v>
      </c>
      <c r="J44" s="180">
        <f t="shared" ca="1" si="8"/>
        <v>6.8347983732020709E-2</v>
      </c>
      <c r="K44" s="180">
        <f t="shared" ca="1" si="9"/>
        <v>8.2246497180382905E-2</v>
      </c>
      <c r="L44" s="180">
        <f t="shared" ca="1" si="10"/>
        <v>9.4855809417313752E-2</v>
      </c>
      <c r="Q44">
        <f t="shared" ca="1" si="37"/>
        <v>6.5618471055267913E-3</v>
      </c>
      <c r="R44">
        <f t="shared" ca="1" si="35"/>
        <v>1.6015762872063053E-2</v>
      </c>
      <c r="S44">
        <f t="shared" ca="1" si="35"/>
        <v>6.3092811206430189E-3</v>
      </c>
      <c r="T44">
        <f t="shared" ca="1" si="35"/>
        <v>8.7275590303217826E-3</v>
      </c>
      <c r="U44">
        <f t="shared" ca="1" si="35"/>
        <v>-5.2767926331267808E-3</v>
      </c>
      <c r="V44">
        <f t="shared" ca="1" si="35"/>
        <v>8.7426833780321215E-4</v>
      </c>
      <c r="W44">
        <f t="shared" ca="1" si="35"/>
        <v>4.4935041156919956E-3</v>
      </c>
      <c r="X44">
        <f t="shared" ca="1" si="35"/>
        <v>-7.7574462169023705E-3</v>
      </c>
      <c r="Y44">
        <f t="shared" ca="1" si="35"/>
        <v>1.3898513448362192E-2</v>
      </c>
      <c r="Z44">
        <f t="shared" ca="1" si="35"/>
        <v>1.2609312236930853E-2</v>
      </c>
    </row>
    <row r="45" spans="2:26" hidden="1">
      <c r="B45" s="180">
        <f>'Inflation-Interest'!$C$68</f>
        <v>3.8399999999999997E-2</v>
      </c>
      <c r="C45" s="180">
        <f t="shared" ref="C45:D45" ca="1" si="41">B45+Q45</f>
        <v>4.756676644076039E-2</v>
      </c>
      <c r="D45" s="180">
        <f t="shared" ca="1" si="41"/>
        <v>6.2300121330930006E-2</v>
      </c>
      <c r="E45" s="180">
        <f t="shared" ca="1" si="3"/>
        <v>5.065462418306399E-2</v>
      </c>
      <c r="F45" s="180">
        <f t="shared" ca="1" si="4"/>
        <v>3.4818983881503299E-2</v>
      </c>
      <c r="G45" s="180">
        <f t="shared" ca="1" si="5"/>
        <v>3.3639783405803543E-2</v>
      </c>
      <c r="H45" s="180">
        <f t="shared" ca="1" si="6"/>
        <v>3.3827904514616723E-2</v>
      </c>
      <c r="I45" s="180">
        <f t="shared" ca="1" si="7"/>
        <v>2.8356484384457484E-2</v>
      </c>
      <c r="J45" s="180">
        <f t="shared" ca="1" si="8"/>
        <v>-9.9549585046172819E-3</v>
      </c>
      <c r="K45" s="180">
        <f t="shared" ca="1" si="9"/>
        <v>-2.6212165847220623E-2</v>
      </c>
      <c r="L45" s="180">
        <f t="shared" ca="1" si="10"/>
        <v>7.6758663065223942E-5</v>
      </c>
      <c r="Q45">
        <f t="shared" ca="1" si="37"/>
        <v>9.1667664407603933E-3</v>
      </c>
      <c r="R45">
        <f t="shared" ca="1" si="35"/>
        <v>1.4733354890169616E-2</v>
      </c>
      <c r="S45">
        <f t="shared" ca="1" si="35"/>
        <v>-1.1645497147866014E-2</v>
      </c>
      <c r="T45">
        <f t="shared" ca="1" si="35"/>
        <v>-1.5835640301560691E-2</v>
      </c>
      <c r="U45">
        <f t="shared" ca="1" si="35"/>
        <v>-1.1792004756997576E-3</v>
      </c>
      <c r="V45">
        <f t="shared" ca="1" si="35"/>
        <v>1.8812110881317982E-4</v>
      </c>
      <c r="W45">
        <f t="shared" ca="1" si="35"/>
        <v>-5.4714201301592396E-3</v>
      </c>
      <c r="X45">
        <f t="shared" ca="1" si="35"/>
        <v>-3.8311442889074766E-2</v>
      </c>
      <c r="Y45">
        <f t="shared" ca="1" si="35"/>
        <v>-1.6257207342603341E-2</v>
      </c>
      <c r="Z45">
        <f t="shared" ca="1" si="35"/>
        <v>2.6288924510285847E-2</v>
      </c>
    </row>
    <row r="46" spans="2:26" hidden="1">
      <c r="B46" s="180">
        <f>'Inflation-Interest'!$C$68</f>
        <v>3.8399999999999997E-2</v>
      </c>
      <c r="C46" s="180">
        <f t="shared" ref="C46:D46" ca="1" si="42">B46+Q46</f>
        <v>4.0526973403898506E-2</v>
      </c>
      <c r="D46" s="180">
        <f t="shared" ca="1" si="42"/>
        <v>5.4193367005569718E-2</v>
      </c>
      <c r="E46" s="180">
        <f t="shared" ca="1" si="3"/>
        <v>4.1234139040397216E-2</v>
      </c>
      <c r="F46" s="180">
        <f t="shared" ca="1" si="4"/>
        <v>4.564586930529177E-2</v>
      </c>
      <c r="G46" s="180">
        <f t="shared" ca="1" si="5"/>
        <v>4.3873520141525305E-2</v>
      </c>
      <c r="H46" s="180">
        <f t="shared" ca="1" si="6"/>
        <v>4.7588645736929829E-2</v>
      </c>
      <c r="I46" s="180">
        <f t="shared" ca="1" si="7"/>
        <v>3.4347815957595867E-2</v>
      </c>
      <c r="J46" s="180">
        <f t="shared" ca="1" si="8"/>
        <v>3.82015274857187E-2</v>
      </c>
      <c r="K46" s="180">
        <f t="shared" ca="1" si="9"/>
        <v>6.353543547213257E-3</v>
      </c>
      <c r="L46" s="180">
        <f t="shared" ca="1" si="10"/>
        <v>-6.8843285727961633E-3</v>
      </c>
      <c r="Q46">
        <f t="shared" ca="1" si="37"/>
        <v>2.1269734038985065E-3</v>
      </c>
      <c r="R46">
        <f t="shared" ca="1" si="35"/>
        <v>1.366639360167121E-2</v>
      </c>
      <c r="S46">
        <f t="shared" ca="1" si="35"/>
        <v>-1.2959227965172501E-2</v>
      </c>
      <c r="T46">
        <f t="shared" ca="1" si="35"/>
        <v>4.4117302648945551E-3</v>
      </c>
      <c r="U46">
        <f t="shared" ca="1" si="35"/>
        <v>-1.7723491637664664E-3</v>
      </c>
      <c r="V46">
        <f t="shared" ca="1" si="35"/>
        <v>3.7151255954045248E-3</v>
      </c>
      <c r="W46">
        <f t="shared" ca="1" si="35"/>
        <v>-1.3240829779333959E-2</v>
      </c>
      <c r="X46">
        <f t="shared" ca="1" si="35"/>
        <v>3.8537115281228338E-3</v>
      </c>
      <c r="Y46">
        <f t="shared" ca="1" si="35"/>
        <v>-3.1847983938505443E-2</v>
      </c>
      <c r="Z46">
        <f t="shared" ca="1" si="35"/>
        <v>-1.323787212000942E-2</v>
      </c>
    </row>
    <row r="47" spans="2:26" hidden="1">
      <c r="B47" s="180">
        <f>'Inflation-Interest'!$C$68</f>
        <v>3.8399999999999997E-2</v>
      </c>
      <c r="C47" s="180">
        <f t="shared" ref="C47:D47" ca="1" si="43">B47+Q47</f>
        <v>2.8250520772403392E-2</v>
      </c>
      <c r="D47" s="180">
        <f t="shared" ca="1" si="43"/>
        <v>1.0969724590025983E-2</v>
      </c>
      <c r="E47" s="180">
        <f t="shared" ca="1" si="3"/>
        <v>-1.1426939046403888E-3</v>
      </c>
      <c r="F47" s="180">
        <f t="shared" ca="1" si="4"/>
        <v>-1.0978604160562358E-2</v>
      </c>
      <c r="G47" s="180">
        <f t="shared" ca="1" si="5"/>
        <v>4.6994541298180648E-3</v>
      </c>
      <c r="H47" s="180">
        <f t="shared" ca="1" si="6"/>
        <v>6.0987055380935448E-3</v>
      </c>
      <c r="I47" s="180">
        <f t="shared" ca="1" si="7"/>
        <v>-7.8819273425808807E-3</v>
      </c>
      <c r="J47" s="180">
        <f t="shared" ca="1" si="8"/>
        <v>-2.0750016561481469E-2</v>
      </c>
      <c r="K47" s="180">
        <f t="shared" ca="1" si="9"/>
        <v>-1.3345113419032158E-2</v>
      </c>
      <c r="L47" s="180">
        <f t="shared" ca="1" si="10"/>
        <v>-1.2211819529989188E-2</v>
      </c>
      <c r="Q47">
        <f t="shared" ca="1" si="37"/>
        <v>-1.0149479227596606E-2</v>
      </c>
      <c r="R47">
        <f t="shared" ca="1" si="35"/>
        <v>-1.7280796182377409E-2</v>
      </c>
      <c r="S47">
        <f t="shared" ca="1" si="35"/>
        <v>-1.2112418494666372E-2</v>
      </c>
      <c r="T47">
        <f t="shared" ca="1" si="35"/>
        <v>-9.8359102559219692E-3</v>
      </c>
      <c r="U47">
        <f t="shared" ca="1" si="35"/>
        <v>1.5678058290380423E-2</v>
      </c>
      <c r="V47">
        <f t="shared" ca="1" si="35"/>
        <v>1.3992514082754805E-3</v>
      </c>
      <c r="W47">
        <f t="shared" ca="1" si="35"/>
        <v>-1.3980632880674426E-2</v>
      </c>
      <c r="X47">
        <f t="shared" ca="1" si="35"/>
        <v>-1.286808921890059E-2</v>
      </c>
      <c r="Y47">
        <f t="shared" ca="1" si="35"/>
        <v>7.4049031424493093E-3</v>
      </c>
      <c r="Z47">
        <f t="shared" ca="1" si="35"/>
        <v>1.1332938890429706E-3</v>
      </c>
    </row>
    <row r="48" spans="2:26" hidden="1">
      <c r="B48" s="180">
        <f>'Inflation-Interest'!$C$68</f>
        <v>3.8399999999999997E-2</v>
      </c>
      <c r="C48" s="180">
        <f t="shared" ref="C48:D48" ca="1" si="44">B48+Q48</f>
        <v>4.2676304481984652E-2</v>
      </c>
      <c r="D48" s="180">
        <f t="shared" ca="1" si="44"/>
        <v>5.5749495114506872E-2</v>
      </c>
      <c r="E48" s="180">
        <f t="shared" ca="1" si="3"/>
        <v>6.5931792120151753E-2</v>
      </c>
      <c r="F48" s="180">
        <f t="shared" ca="1" si="4"/>
        <v>5.4534747623465663E-2</v>
      </c>
      <c r="G48" s="180">
        <f t="shared" ca="1" si="5"/>
        <v>6.6212045667040587E-2</v>
      </c>
      <c r="H48" s="180">
        <f t="shared" ca="1" si="6"/>
        <v>6.1738833736824449E-2</v>
      </c>
      <c r="I48" s="180">
        <f t="shared" ca="1" si="7"/>
        <v>7.2992964277381764E-2</v>
      </c>
      <c r="J48" s="180">
        <f t="shared" ca="1" si="8"/>
        <v>7.6993561692600715E-2</v>
      </c>
      <c r="K48" s="180">
        <f t="shared" ca="1" si="9"/>
        <v>3.3608616449786757E-2</v>
      </c>
      <c r="L48" s="180">
        <f t="shared" ca="1" si="10"/>
        <v>3.7759825306436727E-2</v>
      </c>
      <c r="Q48">
        <f t="shared" ca="1" si="37"/>
        <v>4.2763044819846569E-3</v>
      </c>
      <c r="R48">
        <f t="shared" ca="1" si="35"/>
        <v>1.3073190632522217E-2</v>
      </c>
      <c r="S48">
        <f t="shared" ca="1" si="35"/>
        <v>1.0182297005644884E-2</v>
      </c>
      <c r="T48">
        <f t="shared" ca="1" si="35"/>
        <v>-1.1397044496686088E-2</v>
      </c>
      <c r="U48">
        <f t="shared" ca="1" si="35"/>
        <v>1.1677298043574921E-2</v>
      </c>
      <c r="V48">
        <f t="shared" ca="1" si="35"/>
        <v>-4.4732119302161397E-3</v>
      </c>
      <c r="W48">
        <f t="shared" ca="1" si="35"/>
        <v>1.1254130540557319E-2</v>
      </c>
      <c r="X48">
        <f t="shared" ca="1" si="35"/>
        <v>4.0005974152189537E-3</v>
      </c>
      <c r="Y48">
        <f t="shared" ca="1" si="35"/>
        <v>-4.3384945242813958E-2</v>
      </c>
      <c r="Z48">
        <f t="shared" ca="1" si="35"/>
        <v>4.1512088566499714E-3</v>
      </c>
    </row>
    <row r="49" spans="2:26" hidden="1">
      <c r="B49" s="180">
        <f>'Inflation-Interest'!$C$68</f>
        <v>3.8399999999999997E-2</v>
      </c>
      <c r="C49" s="180">
        <f t="shared" ref="C49:D49" ca="1" si="45">B49+Q49</f>
        <v>5.3587683368487654E-2</v>
      </c>
      <c r="D49" s="180">
        <f t="shared" ca="1" si="45"/>
        <v>5.6425148014000642E-2</v>
      </c>
      <c r="E49" s="180">
        <f t="shared" ca="1" si="3"/>
        <v>3.6838877536393852E-2</v>
      </c>
      <c r="F49" s="180">
        <f t="shared" ca="1" si="4"/>
        <v>3.7145029841657864E-2</v>
      </c>
      <c r="G49" s="180">
        <f t="shared" ca="1" si="5"/>
        <v>2.7629105013661611E-2</v>
      </c>
      <c r="H49" s="180">
        <f t="shared" ca="1" si="6"/>
        <v>6.0635645081277778E-2</v>
      </c>
      <c r="I49" s="180">
        <f t="shared" ca="1" si="7"/>
        <v>7.088678904034898E-2</v>
      </c>
      <c r="J49" s="180">
        <f t="shared" ca="1" si="8"/>
        <v>8.5520009218900087E-2</v>
      </c>
      <c r="K49" s="180">
        <f t="shared" ca="1" si="9"/>
        <v>7.771966933515867E-2</v>
      </c>
      <c r="L49" s="180">
        <f t="shared" ca="1" si="10"/>
        <v>7.2516946211695882E-2</v>
      </c>
      <c r="Q49">
        <f t="shared" ca="1" si="37"/>
        <v>1.5187683368487659E-2</v>
      </c>
      <c r="R49">
        <f t="shared" ca="1" si="35"/>
        <v>2.8374646455129869E-3</v>
      </c>
      <c r="S49">
        <f t="shared" ca="1" si="35"/>
        <v>-1.958627047760679E-2</v>
      </c>
      <c r="T49">
        <f t="shared" ca="1" si="35"/>
        <v>3.0615230526401347E-4</v>
      </c>
      <c r="U49">
        <f t="shared" ca="1" si="35"/>
        <v>-9.5159248279962534E-3</v>
      </c>
      <c r="V49">
        <f t="shared" ca="1" si="35"/>
        <v>3.300654006761617E-2</v>
      </c>
      <c r="W49">
        <f t="shared" ca="1" si="35"/>
        <v>1.0251143959071196E-2</v>
      </c>
      <c r="X49">
        <f t="shared" ca="1" si="35"/>
        <v>1.4633220178551107E-2</v>
      </c>
      <c r="Y49">
        <f t="shared" ca="1" si="35"/>
        <v>-7.800339883741415E-3</v>
      </c>
      <c r="Z49">
        <f t="shared" ca="1" si="35"/>
        <v>-5.2027231234627854E-3</v>
      </c>
    </row>
    <row r="50" spans="2:26" hidden="1">
      <c r="B50" s="180">
        <f>'Inflation-Interest'!$C$68</f>
        <v>3.8399999999999997E-2</v>
      </c>
      <c r="C50" s="180">
        <f t="shared" ref="C50:D50" ca="1" si="46">B50+Q50</f>
        <v>5.686644672690698E-2</v>
      </c>
      <c r="D50" s="180">
        <f t="shared" ca="1" si="46"/>
        <v>5.4016252650324025E-2</v>
      </c>
      <c r="E50" s="180">
        <f t="shared" ca="1" si="3"/>
        <v>5.3518004461163601E-2</v>
      </c>
      <c r="F50" s="180">
        <f t="shared" ca="1" si="4"/>
        <v>3.1856334058643188E-2</v>
      </c>
      <c r="G50" s="180">
        <f t="shared" ca="1" si="5"/>
        <v>3.3665372915785807E-2</v>
      </c>
      <c r="H50" s="180">
        <f t="shared" ca="1" si="6"/>
        <v>3.8089592738438691E-2</v>
      </c>
      <c r="I50" s="180">
        <f t="shared" ca="1" si="7"/>
        <v>4.0685333607549862E-2</v>
      </c>
      <c r="J50" s="180">
        <f t="shared" ca="1" si="8"/>
        <v>6.2856284523497022E-2</v>
      </c>
      <c r="K50" s="180">
        <f t="shared" ca="1" si="9"/>
        <v>7.1743291505896353E-2</v>
      </c>
      <c r="L50" s="180">
        <f t="shared" ca="1" si="10"/>
        <v>4.979798230599454E-2</v>
      </c>
      <c r="Q50">
        <f t="shared" ca="1" si="37"/>
        <v>1.846644672690698E-2</v>
      </c>
      <c r="R50">
        <f t="shared" ca="1" si="35"/>
        <v>-2.8501940765829582E-3</v>
      </c>
      <c r="S50">
        <f t="shared" ca="1" si="35"/>
        <v>-4.9824818916042145E-4</v>
      </c>
      <c r="T50">
        <f t="shared" ca="1" si="35"/>
        <v>-2.166167040252041E-2</v>
      </c>
      <c r="U50">
        <f t="shared" ca="1" si="35"/>
        <v>1.8090388571426221E-3</v>
      </c>
      <c r="V50">
        <f t="shared" ca="1" si="35"/>
        <v>4.4242198226528851E-3</v>
      </c>
      <c r="W50">
        <f t="shared" ca="1" si="35"/>
        <v>2.5957408691111685E-3</v>
      </c>
      <c r="X50">
        <f t="shared" ca="1" si="35"/>
        <v>2.2170950915947164E-2</v>
      </c>
      <c r="Y50">
        <f t="shared" ca="1" si="35"/>
        <v>8.8870069823993331E-3</v>
      </c>
      <c r="Z50">
        <f t="shared" ca="1" si="35"/>
        <v>-2.1945309199901814E-2</v>
      </c>
    </row>
    <row r="51" spans="2:26" hidden="1">
      <c r="B51" s="180">
        <f>'Inflation-Interest'!$C$68</f>
        <v>3.8399999999999997E-2</v>
      </c>
      <c r="C51" s="180">
        <f t="shared" ref="C51:D51" ca="1" si="47">B51+Q51</f>
        <v>2.4465002179568585E-2</v>
      </c>
      <c r="D51" s="180">
        <f t="shared" ca="1" si="47"/>
        <v>2.5292101169159507E-2</v>
      </c>
      <c r="E51" s="180">
        <f t="shared" ca="1" si="3"/>
        <v>4.3395001254492679E-2</v>
      </c>
      <c r="F51" s="180">
        <f t="shared" ca="1" si="4"/>
        <v>4.1822898764503194E-2</v>
      </c>
      <c r="G51" s="180">
        <f t="shared" ca="1" si="5"/>
        <v>6.7336187542093848E-2</v>
      </c>
      <c r="H51" s="180">
        <f t="shared" ca="1" si="6"/>
        <v>6.5981233808247053E-2</v>
      </c>
      <c r="I51" s="180">
        <f t="shared" ca="1" si="7"/>
        <v>6.0877677028506848E-2</v>
      </c>
      <c r="J51" s="180">
        <f t="shared" ca="1" si="8"/>
        <v>9.5307063156815863E-2</v>
      </c>
      <c r="K51" s="180">
        <f t="shared" ca="1" si="9"/>
        <v>0.10632548198878669</v>
      </c>
      <c r="L51" s="180">
        <f t="shared" ca="1" si="10"/>
        <v>9.9081004289889973E-2</v>
      </c>
      <c r="Q51">
        <f t="shared" ca="1" si="37"/>
        <v>-1.3934997820431411E-2</v>
      </c>
      <c r="R51">
        <f t="shared" ca="1" si="35"/>
        <v>8.2709898959092208E-4</v>
      </c>
      <c r="S51">
        <f t="shared" ca="1" si="35"/>
        <v>1.8102900085333176E-2</v>
      </c>
      <c r="T51">
        <f t="shared" ca="1" si="35"/>
        <v>-1.572102489989486E-3</v>
      </c>
      <c r="U51">
        <f t="shared" ca="1" si="35"/>
        <v>2.5513288777590657E-2</v>
      </c>
      <c r="V51">
        <f t="shared" ca="1" si="35"/>
        <v>-1.3549537338467972E-3</v>
      </c>
      <c r="W51">
        <f t="shared" ca="1" si="35"/>
        <v>-5.1035567797402068E-3</v>
      </c>
      <c r="X51">
        <f t="shared" ca="1" si="35"/>
        <v>3.4429386128309009E-2</v>
      </c>
      <c r="Y51">
        <f t="shared" ca="1" si="35"/>
        <v>1.1018418831970829E-2</v>
      </c>
      <c r="Z51">
        <f t="shared" ca="1" si="35"/>
        <v>-7.2444776988967157E-3</v>
      </c>
    </row>
    <row r="52" spans="2:26" hidden="1">
      <c r="B52" s="180">
        <f>'Inflation-Interest'!$C$68</f>
        <v>3.8399999999999997E-2</v>
      </c>
      <c r="C52" s="180">
        <f t="shared" ref="C52:D52" ca="1" si="48">B52+Q52</f>
        <v>3.4252043603272123E-2</v>
      </c>
      <c r="D52" s="180">
        <f t="shared" ca="1" si="48"/>
        <v>3.5407325808803229E-2</v>
      </c>
      <c r="E52" s="180">
        <f t="shared" ca="1" si="3"/>
        <v>5.7123926880889977E-2</v>
      </c>
      <c r="F52" s="180">
        <f t="shared" ca="1" si="4"/>
        <v>5.5751157860612383E-2</v>
      </c>
      <c r="G52" s="180">
        <f t="shared" ca="1" si="5"/>
        <v>6.0712549587700046E-2</v>
      </c>
      <c r="H52" s="180">
        <f t="shared" ca="1" si="6"/>
        <v>8.37058760922057E-2</v>
      </c>
      <c r="I52" s="180">
        <f t="shared" ca="1" si="7"/>
        <v>7.7993111013438282E-2</v>
      </c>
      <c r="J52" s="180">
        <f t="shared" ca="1" si="8"/>
        <v>7.5285544271787158E-2</v>
      </c>
      <c r="K52" s="180">
        <f t="shared" ca="1" si="9"/>
        <v>5.5043254159536079E-2</v>
      </c>
      <c r="L52" s="180">
        <f t="shared" ca="1" si="10"/>
        <v>4.6741050476386443E-2</v>
      </c>
      <c r="Q52">
        <f t="shared" ca="1" si="37"/>
        <v>-4.1479563967278758E-3</v>
      </c>
      <c r="R52">
        <f t="shared" ca="1" si="35"/>
        <v>1.1552822055311033E-3</v>
      </c>
      <c r="S52">
        <f t="shared" ca="1" si="35"/>
        <v>2.1716601072086752E-2</v>
      </c>
      <c r="T52">
        <f t="shared" ca="1" si="35"/>
        <v>-1.3727690202775915E-3</v>
      </c>
      <c r="U52">
        <f t="shared" ca="1" si="35"/>
        <v>4.961391727087666E-3</v>
      </c>
      <c r="V52">
        <f t="shared" ca="1" si="35"/>
        <v>2.2993326504505661E-2</v>
      </c>
      <c r="W52">
        <f t="shared" ca="1" si="35"/>
        <v>-5.7127650787674135E-3</v>
      </c>
      <c r="X52">
        <f t="shared" ca="1" si="35"/>
        <v>-2.7075667416511205E-3</v>
      </c>
      <c r="Y52">
        <f t="shared" ca="1" si="35"/>
        <v>-2.0242290112251076E-2</v>
      </c>
      <c r="Z52">
        <f t="shared" ca="1" si="35"/>
        <v>-8.3022036831496334E-3</v>
      </c>
    </row>
    <row r="53" spans="2:26" hidden="1">
      <c r="B53" s="180">
        <f>'Inflation-Interest'!$C$68</f>
        <v>3.8399999999999997E-2</v>
      </c>
      <c r="C53" s="180">
        <f t="shared" ref="C53:D53" ca="1" si="49">B53+Q53</f>
        <v>5.3045452668760679E-2</v>
      </c>
      <c r="D53" s="180">
        <f t="shared" ca="1" si="49"/>
        <v>6.8792787217192009E-2</v>
      </c>
      <c r="E53" s="180">
        <f t="shared" ca="1" si="3"/>
        <v>7.9598807471320754E-2</v>
      </c>
      <c r="F53" s="180">
        <f t="shared" ca="1" si="4"/>
        <v>5.8112321555467569E-2</v>
      </c>
      <c r="G53" s="180">
        <f t="shared" ca="1" si="5"/>
        <v>7.8531467340796135E-2</v>
      </c>
      <c r="H53" s="180">
        <f t="shared" ca="1" si="6"/>
        <v>9.0163008764805375E-2</v>
      </c>
      <c r="I53" s="180">
        <f t="shared" ca="1" si="7"/>
        <v>7.6612413288966591E-2</v>
      </c>
      <c r="J53" s="180">
        <f t="shared" ca="1" si="8"/>
        <v>5.9450758020185693E-2</v>
      </c>
      <c r="K53" s="180">
        <f t="shared" ca="1" si="9"/>
        <v>5.4091238056195409E-2</v>
      </c>
      <c r="L53" s="180">
        <f t="shared" ca="1" si="10"/>
        <v>5.8739455036389047E-2</v>
      </c>
      <c r="Q53">
        <f t="shared" ca="1" si="37"/>
        <v>1.4645452668760684E-2</v>
      </c>
      <c r="R53">
        <f t="shared" ca="1" si="35"/>
        <v>1.5747334548431337E-2</v>
      </c>
      <c r="S53">
        <f t="shared" ca="1" si="35"/>
        <v>1.0806020254128738E-2</v>
      </c>
      <c r="T53">
        <f t="shared" ca="1" si="35"/>
        <v>-2.1486485915853188E-2</v>
      </c>
      <c r="U53">
        <f t="shared" ca="1" si="35"/>
        <v>2.0419145785328562E-2</v>
      </c>
      <c r="V53">
        <f t="shared" ca="1" si="35"/>
        <v>1.1631541424009247E-2</v>
      </c>
      <c r="W53">
        <f t="shared" ca="1" si="35"/>
        <v>-1.3550595475838777E-2</v>
      </c>
      <c r="X53">
        <f t="shared" ca="1" si="35"/>
        <v>-1.7161655268780898E-2</v>
      </c>
      <c r="Y53">
        <f t="shared" ca="1" si="35"/>
        <v>-5.3595199639902861E-3</v>
      </c>
      <c r="Z53">
        <f t="shared" ca="1" si="35"/>
        <v>4.6482169801936365E-3</v>
      </c>
    </row>
    <row r="54" spans="2:26" hidden="1">
      <c r="B54" s="180">
        <f>'Inflation-Interest'!$C$68</f>
        <v>3.8399999999999997E-2</v>
      </c>
      <c r="C54" s="180">
        <f t="shared" ref="C54:D54" ca="1" si="50">B54+Q54</f>
        <v>2.7195099756489705E-2</v>
      </c>
      <c r="D54" s="180">
        <f t="shared" ca="1" si="50"/>
        <v>3.0888893608520894E-2</v>
      </c>
      <c r="E54" s="180">
        <f t="shared" ca="1" si="3"/>
        <v>1.8126481953752771E-2</v>
      </c>
      <c r="F54" s="180">
        <f t="shared" ca="1" si="4"/>
        <v>-3.0675963069581376E-2</v>
      </c>
      <c r="G54" s="180">
        <f t="shared" ca="1" si="5"/>
        <v>1.2960448656920281E-3</v>
      </c>
      <c r="H54" s="180">
        <f t="shared" ca="1" si="6"/>
        <v>7.3968613078285138E-3</v>
      </c>
      <c r="I54" s="180">
        <f t="shared" ca="1" si="7"/>
        <v>3.56863871859338E-3</v>
      </c>
      <c r="J54" s="180">
        <f t="shared" ca="1" si="8"/>
        <v>2.4963866481021002E-2</v>
      </c>
      <c r="K54" s="180">
        <f t="shared" ca="1" si="9"/>
        <v>1.1225948060349815E-2</v>
      </c>
      <c r="L54" s="180">
        <f t="shared" ca="1" si="10"/>
        <v>-1.5043646679255132E-2</v>
      </c>
      <c r="Q54">
        <f t="shared" ca="1" si="37"/>
        <v>-1.1204900243510294E-2</v>
      </c>
      <c r="R54">
        <f t="shared" ca="1" si="35"/>
        <v>3.6937938520311881E-3</v>
      </c>
      <c r="S54">
        <f t="shared" ca="1" si="35"/>
        <v>-1.2762411654768125E-2</v>
      </c>
      <c r="T54">
        <f t="shared" ca="1" si="35"/>
        <v>-4.8802445023334147E-2</v>
      </c>
      <c r="U54">
        <f t="shared" ca="1" si="35"/>
        <v>3.1972007935273404E-2</v>
      </c>
      <c r="V54">
        <f t="shared" ca="1" si="35"/>
        <v>6.1008164421364856E-3</v>
      </c>
      <c r="W54">
        <f t="shared" ca="1" si="35"/>
        <v>-3.8282225892351338E-3</v>
      </c>
      <c r="X54">
        <f t="shared" ca="1" si="35"/>
        <v>2.139522776242762E-2</v>
      </c>
      <c r="Y54">
        <f t="shared" ca="1" si="35"/>
        <v>-1.3737918420671187E-2</v>
      </c>
      <c r="Z54">
        <f t="shared" ca="1" si="35"/>
        <v>-2.6269594739604947E-2</v>
      </c>
    </row>
    <row r="55" spans="2:26" hidden="1">
      <c r="B55" s="180">
        <f>'Inflation-Interest'!$C$68</f>
        <v>3.8399999999999997E-2</v>
      </c>
      <c r="C55" s="180">
        <f t="shared" ref="C55:D55" ca="1" si="51">B55+Q55</f>
        <v>4.0471942160238188E-2</v>
      </c>
      <c r="D55" s="180">
        <f t="shared" ca="1" si="51"/>
        <v>6.8526139775290998E-2</v>
      </c>
      <c r="E55" s="180">
        <f t="shared" ca="1" si="3"/>
        <v>6.3591181321578344E-2</v>
      </c>
      <c r="F55" s="180">
        <f t="shared" ca="1" si="4"/>
        <v>6.9690642295514374E-2</v>
      </c>
      <c r="G55" s="180">
        <f t="shared" ca="1" si="5"/>
        <v>6.1499031596244237E-2</v>
      </c>
      <c r="H55" s="180">
        <f t="shared" ca="1" si="6"/>
        <v>4.9974636257420026E-2</v>
      </c>
      <c r="I55" s="180">
        <f t="shared" ca="1" si="7"/>
        <v>6.8631228109301959E-2</v>
      </c>
      <c r="J55" s="180">
        <f t="shared" ca="1" si="8"/>
        <v>8.0204214275092195E-2</v>
      </c>
      <c r="K55" s="180">
        <f t="shared" ca="1" si="9"/>
        <v>6.8854182706083247E-2</v>
      </c>
      <c r="L55" s="180">
        <f t="shared" ca="1" si="10"/>
        <v>4.9033381375998289E-2</v>
      </c>
      <c r="Q55">
        <f t="shared" ca="1" si="37"/>
        <v>2.0719421602381897E-3</v>
      </c>
      <c r="R55">
        <f t="shared" ca="1" si="35"/>
        <v>2.8054197615052814E-2</v>
      </c>
      <c r="S55">
        <f t="shared" ca="1" si="35"/>
        <v>-4.9349584537126496E-3</v>
      </c>
      <c r="T55">
        <f t="shared" ca="1" si="35"/>
        <v>6.0994609739360352E-3</v>
      </c>
      <c r="U55">
        <f t="shared" ca="1" si="35"/>
        <v>-8.1916106992701351E-3</v>
      </c>
      <c r="V55">
        <f t="shared" ca="1" si="35"/>
        <v>-1.1524395338824213E-2</v>
      </c>
      <c r="W55">
        <f t="shared" ca="1" si="35"/>
        <v>1.8656591851881937E-2</v>
      </c>
      <c r="X55">
        <f t="shared" ca="1" si="35"/>
        <v>1.1572986165790243E-2</v>
      </c>
      <c r="Y55">
        <f t="shared" ca="1" si="35"/>
        <v>-1.1350031569008944E-2</v>
      </c>
      <c r="Z55">
        <f t="shared" ca="1" si="35"/>
        <v>-1.9820801330084955E-2</v>
      </c>
    </row>
    <row r="56" spans="2:26" hidden="1">
      <c r="B56" s="180">
        <f>'Inflation-Interest'!$C$68</f>
        <v>3.8399999999999997E-2</v>
      </c>
      <c r="C56" s="180">
        <f t="shared" ref="C56:D56" ca="1" si="52">B56+Q56</f>
        <v>2.6533196231238645E-2</v>
      </c>
      <c r="D56" s="180">
        <f t="shared" ca="1" si="52"/>
        <v>2.3820309910906907E-2</v>
      </c>
      <c r="E56" s="180">
        <f t="shared" ca="1" si="3"/>
        <v>1.5388974089674868E-2</v>
      </c>
      <c r="F56" s="180">
        <f t="shared" ca="1" si="4"/>
        <v>-1.2873419258396034E-2</v>
      </c>
      <c r="G56" s="180">
        <f t="shared" ca="1" si="5"/>
        <v>-2.0683175118660132E-3</v>
      </c>
      <c r="H56" s="180">
        <f t="shared" ca="1" si="6"/>
        <v>-3.1579924579493964E-3</v>
      </c>
      <c r="I56" s="180">
        <f t="shared" ca="1" si="7"/>
        <v>-1.8731639094359761E-2</v>
      </c>
      <c r="J56" s="180">
        <f t="shared" ca="1" si="8"/>
        <v>-2.2488382067569167E-2</v>
      </c>
      <c r="K56" s="180">
        <f t="shared" ca="1" si="9"/>
        <v>-2.4768459507165587E-2</v>
      </c>
      <c r="L56" s="180">
        <f t="shared" ca="1" si="10"/>
        <v>-2.1858489551596843E-2</v>
      </c>
      <c r="Q56">
        <f t="shared" ca="1" si="37"/>
        <v>-1.1866803768761352E-2</v>
      </c>
      <c r="R56">
        <f t="shared" ca="1" si="35"/>
        <v>-2.7128863203317367E-3</v>
      </c>
      <c r="S56">
        <f t="shared" ca="1" si="35"/>
        <v>-8.4313358212320388E-3</v>
      </c>
      <c r="T56">
        <f t="shared" ca="1" si="35"/>
        <v>-2.8262393348070902E-2</v>
      </c>
      <c r="U56">
        <f t="shared" ca="1" si="35"/>
        <v>1.0805101746530021E-2</v>
      </c>
      <c r="V56">
        <f t="shared" ca="1" si="35"/>
        <v>-1.089674946083383E-3</v>
      </c>
      <c r="W56">
        <f t="shared" ca="1" si="35"/>
        <v>-1.5573646636410365E-2</v>
      </c>
      <c r="X56">
        <f t="shared" ca="1" si="35"/>
        <v>-3.7567429732094067E-3</v>
      </c>
      <c r="Y56">
        <f t="shared" ca="1" si="35"/>
        <v>-2.2800774395964206E-3</v>
      </c>
      <c r="Z56">
        <f t="shared" ca="1" si="35"/>
        <v>2.9099699555687449E-3</v>
      </c>
    </row>
    <row r="57" spans="2:26" hidden="1">
      <c r="B57" s="180">
        <f>'Inflation-Interest'!$C$68</f>
        <v>3.8399999999999997E-2</v>
      </c>
      <c r="C57" s="180">
        <f t="shared" ref="C57:D57" ca="1" si="53">B57+Q57</f>
        <v>3.4120467864189756E-2</v>
      </c>
      <c r="D57" s="180">
        <f t="shared" ca="1" si="53"/>
        <v>3.2772392950162259E-2</v>
      </c>
      <c r="E57" s="180">
        <f t="shared" ca="1" si="3"/>
        <v>4.1360412868277692E-2</v>
      </c>
      <c r="F57" s="180">
        <f t="shared" ca="1" si="4"/>
        <v>3.9748156577671979E-2</v>
      </c>
      <c r="G57" s="180">
        <f t="shared" ca="1" si="5"/>
        <v>4.0484965850576017E-2</v>
      </c>
      <c r="H57" s="180">
        <f t="shared" ca="1" si="6"/>
        <v>6.3516132793151062E-2</v>
      </c>
      <c r="I57" s="180">
        <f t="shared" ca="1" si="7"/>
        <v>5.9234444644897424E-2</v>
      </c>
      <c r="J57" s="180">
        <f t="shared" ca="1" si="8"/>
        <v>8.7846879967499208E-2</v>
      </c>
      <c r="K57" s="180">
        <f t="shared" ca="1" si="9"/>
        <v>7.4619602203447807E-2</v>
      </c>
      <c r="L57" s="180">
        <f t="shared" ca="1" si="10"/>
        <v>8.6795646238537555E-2</v>
      </c>
      <c r="Q57">
        <f t="shared" ca="1" si="37"/>
        <v>-4.2795321358102389E-3</v>
      </c>
      <c r="R57">
        <f t="shared" ca="1" si="35"/>
        <v>-1.3480749140274975E-3</v>
      </c>
      <c r="S57">
        <f t="shared" ca="1" si="35"/>
        <v>8.5880199181154349E-3</v>
      </c>
      <c r="T57">
        <f t="shared" ca="1" si="35"/>
        <v>-1.6122562906057149E-3</v>
      </c>
      <c r="U57">
        <f t="shared" ca="1" si="35"/>
        <v>7.3680927290403482E-4</v>
      </c>
      <c r="V57">
        <f t="shared" ca="1" si="35"/>
        <v>2.3031166942575045E-2</v>
      </c>
      <c r="W57">
        <f t="shared" ca="1" si="35"/>
        <v>-4.281688148253639E-3</v>
      </c>
      <c r="X57">
        <f t="shared" ca="1" si="35"/>
        <v>2.8612435322601784E-2</v>
      </c>
      <c r="Y57">
        <f t="shared" ca="1" si="35"/>
        <v>-1.3227277764051403E-2</v>
      </c>
      <c r="Z57">
        <f t="shared" ca="1" si="35"/>
        <v>1.2176044035089748E-2</v>
      </c>
    </row>
    <row r="58" spans="2:26" hidden="1">
      <c r="B58" s="180">
        <f>'Inflation-Interest'!$C$68</f>
        <v>3.8399999999999997E-2</v>
      </c>
      <c r="C58" s="180">
        <f t="shared" ref="C58:D58" ca="1" si="54">B58+Q58</f>
        <v>3.4541447812874874E-2</v>
      </c>
      <c r="D58" s="180">
        <f t="shared" ca="1" si="54"/>
        <v>2.6634541043867609E-2</v>
      </c>
      <c r="E58" s="180">
        <f t="shared" ca="1" si="3"/>
        <v>5.4464304108379047E-2</v>
      </c>
      <c r="F58" s="180">
        <f t="shared" ca="1" si="4"/>
        <v>3.9586436420409168E-2</v>
      </c>
      <c r="G58" s="180">
        <f t="shared" ca="1" si="5"/>
        <v>5.0799968023704359E-2</v>
      </c>
      <c r="H58" s="180">
        <f t="shared" ca="1" si="6"/>
        <v>5.5425751813853577E-2</v>
      </c>
      <c r="I58" s="180">
        <f t="shared" ca="1" si="7"/>
        <v>5.8920518863254265E-2</v>
      </c>
      <c r="J58" s="180">
        <f t="shared" ca="1" si="8"/>
        <v>5.6225351283753104E-2</v>
      </c>
      <c r="K58" s="180">
        <f t="shared" ca="1" si="9"/>
        <v>6.1166054343695896E-2</v>
      </c>
      <c r="L58" s="180">
        <f t="shared" ca="1" si="10"/>
        <v>7.6098390587627032E-2</v>
      </c>
      <c r="Q58">
        <f t="shared" ca="1" si="37"/>
        <v>-3.8585521871251196E-3</v>
      </c>
      <c r="R58">
        <f t="shared" ca="1" si="35"/>
        <v>-7.9069067690072641E-3</v>
      </c>
      <c r="S58">
        <f t="shared" ca="1" si="35"/>
        <v>2.7829763064511435E-2</v>
      </c>
      <c r="T58">
        <f t="shared" ca="1" si="35"/>
        <v>-1.487786768796988E-2</v>
      </c>
      <c r="U58">
        <f t="shared" ca="1" si="35"/>
        <v>1.1213531603295187E-2</v>
      </c>
      <c r="V58">
        <f t="shared" ca="1" si="35"/>
        <v>4.6257837901492165E-3</v>
      </c>
      <c r="W58">
        <f t="shared" ca="1" si="35"/>
        <v>3.4947670494006899E-3</v>
      </c>
      <c r="X58">
        <f t="shared" ca="1" si="35"/>
        <v>-2.6951675795011576E-3</v>
      </c>
      <c r="Y58">
        <f t="shared" ca="1" si="35"/>
        <v>4.9407030599427889E-3</v>
      </c>
      <c r="Z58">
        <f t="shared" ca="1" si="35"/>
        <v>1.4932336243931133E-2</v>
      </c>
    </row>
    <row r="59" spans="2:26" hidden="1">
      <c r="B59" s="180">
        <f>'Inflation-Interest'!$C$68</f>
        <v>3.8399999999999997E-2</v>
      </c>
      <c r="C59" s="180">
        <f t="shared" ref="C59:D59" ca="1" si="55">B59+Q59</f>
        <v>1.837464027612979E-2</v>
      </c>
      <c r="D59" s="180">
        <f t="shared" ca="1" si="55"/>
        <v>3.7798500518356801E-2</v>
      </c>
      <c r="E59" s="180">
        <f t="shared" ca="1" si="3"/>
        <v>3.0823471207281364E-2</v>
      </c>
      <c r="F59" s="180">
        <f t="shared" ca="1" si="4"/>
        <v>7.6588509374470246E-3</v>
      </c>
      <c r="G59" s="180">
        <f t="shared" ca="1" si="5"/>
        <v>2.5724472025698657E-3</v>
      </c>
      <c r="H59" s="180">
        <f t="shared" ca="1" si="6"/>
        <v>-7.6723512017430866E-3</v>
      </c>
      <c r="I59" s="180">
        <f t="shared" ca="1" si="7"/>
        <v>-2.2954903522055425E-2</v>
      </c>
      <c r="J59" s="180">
        <f t="shared" ca="1" si="8"/>
        <v>-5.735708152934383E-3</v>
      </c>
      <c r="K59" s="180">
        <f t="shared" ca="1" si="9"/>
        <v>8.7804770436662027E-3</v>
      </c>
      <c r="L59" s="180">
        <f t="shared" ca="1" si="10"/>
        <v>5.7558556786378844E-3</v>
      </c>
      <c r="Q59">
        <f t="shared" ca="1" si="37"/>
        <v>-2.0025359723870206E-2</v>
      </c>
      <c r="R59">
        <f t="shared" ca="1" si="35"/>
        <v>1.9423860242227007E-2</v>
      </c>
      <c r="S59">
        <f t="shared" ca="1" si="35"/>
        <v>-6.9750293110754369E-3</v>
      </c>
      <c r="T59">
        <f t="shared" ca="1" si="35"/>
        <v>-2.3164620269834339E-2</v>
      </c>
      <c r="U59">
        <f t="shared" ca="1" si="35"/>
        <v>-5.0864037348771589E-3</v>
      </c>
      <c r="V59">
        <f t="shared" ca="1" si="35"/>
        <v>-1.0244798404312952E-2</v>
      </c>
      <c r="W59">
        <f t="shared" ca="1" si="35"/>
        <v>-1.528255232031234E-2</v>
      </c>
      <c r="X59">
        <f t="shared" ca="1" si="35"/>
        <v>1.7219195369121042E-2</v>
      </c>
      <c r="Y59">
        <f t="shared" ca="1" si="35"/>
        <v>1.4516185196600586E-2</v>
      </c>
      <c r="Z59">
        <f t="shared" ca="1" si="35"/>
        <v>-3.0246213650283178E-3</v>
      </c>
    </row>
    <row r="60" spans="2:26" hidden="1">
      <c r="B60" s="180">
        <f>'Inflation-Interest'!$C$68</f>
        <v>3.8399999999999997E-2</v>
      </c>
      <c r="C60" s="180">
        <f t="shared" ref="C60:D60" ca="1" si="56">B60+Q60</f>
        <v>3.8827872595113222E-2</v>
      </c>
      <c r="D60" s="180">
        <f t="shared" ca="1" si="56"/>
        <v>4.031263453418106E-2</v>
      </c>
      <c r="E60" s="180">
        <f t="shared" ca="1" si="3"/>
        <v>4.8112764116830443E-2</v>
      </c>
      <c r="F60" s="180">
        <f t="shared" ca="1" si="4"/>
        <v>3.6430612918360888E-2</v>
      </c>
      <c r="G60" s="180">
        <f t="shared" ca="1" si="5"/>
        <v>6.6599094366419052E-3</v>
      </c>
      <c r="H60" s="180">
        <f t="shared" ca="1" si="6"/>
        <v>1.6729327562796915E-2</v>
      </c>
      <c r="I60" s="180">
        <f t="shared" ca="1" si="7"/>
        <v>-7.8732241840253486E-4</v>
      </c>
      <c r="J60" s="180">
        <f t="shared" ca="1" si="8"/>
        <v>8.700783062367946E-3</v>
      </c>
      <c r="K60" s="180">
        <f t="shared" ca="1" si="9"/>
        <v>1.8293884519924607E-2</v>
      </c>
      <c r="L60" s="180">
        <f t="shared" ca="1" si="10"/>
        <v>-4.962363510079771E-3</v>
      </c>
      <c r="Q60">
        <f t="shared" ca="1" si="37"/>
        <v>4.2787259511322187E-4</v>
      </c>
      <c r="R60">
        <f t="shared" ca="1" si="35"/>
        <v>1.484761939067842E-3</v>
      </c>
      <c r="S60">
        <f t="shared" ca="1" si="35"/>
        <v>7.800129582649383E-3</v>
      </c>
      <c r="T60">
        <f t="shared" ca="1" si="35"/>
        <v>-1.1682151198469553E-2</v>
      </c>
      <c r="U60">
        <f t="shared" ca="1" si="35"/>
        <v>-2.9770703481718983E-2</v>
      </c>
      <c r="V60">
        <f t="shared" ca="1" si="35"/>
        <v>1.0069418126155008E-2</v>
      </c>
      <c r="W60">
        <f t="shared" ca="1" si="35"/>
        <v>-1.751664998119945E-2</v>
      </c>
      <c r="X60">
        <f t="shared" ca="1" si="35"/>
        <v>9.4881054807704809E-3</v>
      </c>
      <c r="Y60">
        <f t="shared" ca="1" si="35"/>
        <v>9.5931014575566624E-3</v>
      </c>
      <c r="Z60">
        <f t="shared" ca="1" si="35"/>
        <v>-2.3256248030004378E-2</v>
      </c>
    </row>
    <row r="61" spans="2:26" hidden="1">
      <c r="B61" s="180">
        <f>'Inflation-Interest'!$C$68</f>
        <v>3.8399999999999997E-2</v>
      </c>
      <c r="C61" s="180">
        <f t="shared" ref="C61:D61" ca="1" si="57">B61+Q61</f>
        <v>4.794566037271316E-2</v>
      </c>
      <c r="D61" s="180">
        <f t="shared" ca="1" si="57"/>
        <v>5.2396272394353932E-2</v>
      </c>
      <c r="E61" s="180">
        <f t="shared" ca="1" si="3"/>
        <v>4.6741004914566578E-2</v>
      </c>
      <c r="F61" s="180">
        <f t="shared" ca="1" si="4"/>
        <v>6.580341219200822E-2</v>
      </c>
      <c r="G61" s="180">
        <f t="shared" ca="1" si="5"/>
        <v>4.6340369109320156E-2</v>
      </c>
      <c r="H61" s="180">
        <f t="shared" ca="1" si="6"/>
        <v>6.0582038134409488E-2</v>
      </c>
      <c r="I61" s="180">
        <f t="shared" ca="1" si="7"/>
        <v>6.1202582994696879E-2</v>
      </c>
      <c r="J61" s="180">
        <f t="shared" ca="1" si="8"/>
        <v>5.6237335058623501E-2</v>
      </c>
      <c r="K61" s="180">
        <f t="shared" ca="1" si="9"/>
        <v>6.4181573498824945E-2</v>
      </c>
      <c r="L61" s="180">
        <f t="shared" ca="1" si="10"/>
        <v>6.3222132674910156E-2</v>
      </c>
      <c r="Q61">
        <f t="shared" ca="1" si="37"/>
        <v>9.5456603727131616E-3</v>
      </c>
      <c r="R61">
        <f t="shared" ca="1" si="35"/>
        <v>4.4506120216407721E-3</v>
      </c>
      <c r="S61">
        <f t="shared" ca="1" si="35"/>
        <v>-5.6552674797873551E-3</v>
      </c>
      <c r="T61">
        <f t="shared" ca="1" si="35"/>
        <v>1.9062407277441643E-2</v>
      </c>
      <c r="U61">
        <f t="shared" ca="1" si="35"/>
        <v>-1.9463043082688061E-2</v>
      </c>
      <c r="V61">
        <f t="shared" ca="1" si="35"/>
        <v>1.4241669025089335E-2</v>
      </c>
      <c r="W61">
        <f t="shared" ca="1" si="35"/>
        <v>6.205448602873908E-4</v>
      </c>
      <c r="X61">
        <f t="shared" ca="1" si="35"/>
        <v>-4.9652479360733767E-3</v>
      </c>
      <c r="Y61">
        <f t="shared" ca="1" si="35"/>
        <v>7.9442384402014475E-3</v>
      </c>
      <c r="Z61">
        <f t="shared" ca="1" si="35"/>
        <v>-9.5944082391479597E-4</v>
      </c>
    </row>
    <row r="62" spans="2:26" hidden="1">
      <c r="B62" s="180">
        <f>'Inflation-Interest'!$C$68</f>
        <v>3.8399999999999997E-2</v>
      </c>
      <c r="C62" s="180">
        <f t="shared" ref="C62:D62" ca="1" si="58">B62+Q62</f>
        <v>2.5187054625721343E-2</v>
      </c>
      <c r="D62" s="180">
        <f t="shared" ca="1" si="58"/>
        <v>4.2045399650397955E-2</v>
      </c>
      <c r="E62" s="180">
        <f t="shared" ca="1" si="3"/>
        <v>4.9358210318234903E-2</v>
      </c>
      <c r="F62" s="180">
        <f t="shared" ca="1" si="4"/>
        <v>5.8470203713738005E-2</v>
      </c>
      <c r="G62" s="180">
        <f t="shared" ca="1" si="5"/>
        <v>5.4418901716796413E-2</v>
      </c>
      <c r="H62" s="180">
        <f t="shared" ca="1" si="6"/>
        <v>3.6840056859715267E-2</v>
      </c>
      <c r="I62" s="180">
        <f t="shared" ca="1" si="7"/>
        <v>4.2551356834815854E-2</v>
      </c>
      <c r="J62" s="180">
        <f t="shared" ca="1" si="8"/>
        <v>3.6058858885272049E-2</v>
      </c>
      <c r="K62" s="180">
        <f t="shared" ca="1" si="9"/>
        <v>6.8495043805859336E-3</v>
      </c>
      <c r="L62" s="180">
        <f t="shared" ca="1" si="10"/>
        <v>8.9480924603371811E-3</v>
      </c>
      <c r="Q62">
        <f t="shared" ca="1" si="37"/>
        <v>-1.3212945374278652E-2</v>
      </c>
      <c r="R62">
        <f t="shared" ca="1" si="35"/>
        <v>1.6858345024676608E-2</v>
      </c>
      <c r="S62">
        <f t="shared" ca="1" si="35"/>
        <v>7.3128106678369501E-3</v>
      </c>
      <c r="T62">
        <f t="shared" ca="1" si="35"/>
        <v>9.1119933955030995E-3</v>
      </c>
      <c r="U62">
        <f t="shared" ca="1" si="35"/>
        <v>-4.0513019969415929E-3</v>
      </c>
      <c r="V62">
        <f t="shared" ca="1" si="35"/>
        <v>-1.7578844857081142E-2</v>
      </c>
      <c r="W62">
        <f t="shared" ca="1" si="35"/>
        <v>5.7112999751005832E-3</v>
      </c>
      <c r="X62">
        <f t="shared" ca="1" si="35"/>
        <v>-6.492497949543808E-3</v>
      </c>
      <c r="Y62">
        <f t="shared" ca="1" si="35"/>
        <v>-2.9209354504686116E-2</v>
      </c>
      <c r="Z62">
        <f t="shared" ca="1" si="35"/>
        <v>2.0985880797512479E-3</v>
      </c>
    </row>
    <row r="63" spans="2:26" hidden="1">
      <c r="B63" s="180">
        <f>'Inflation-Interest'!$C$68</f>
        <v>3.8399999999999997E-2</v>
      </c>
      <c r="C63" s="180">
        <f t="shared" ref="C63:D63" ca="1" si="59">B63+Q63</f>
        <v>3.8121946133181109E-2</v>
      </c>
      <c r="D63" s="180">
        <f t="shared" ca="1" si="59"/>
        <v>4.4423695494861019E-2</v>
      </c>
      <c r="E63" s="180">
        <f t="shared" ca="1" si="3"/>
        <v>5.4049187647025064E-2</v>
      </c>
      <c r="F63" s="180">
        <f t="shared" ca="1" si="4"/>
        <v>5.8734695104342309E-2</v>
      </c>
      <c r="G63" s="180">
        <f t="shared" ca="1" si="5"/>
        <v>6.2042745271396131E-2</v>
      </c>
      <c r="H63" s="180">
        <f t="shared" ca="1" si="6"/>
        <v>6.5352696089678392E-2</v>
      </c>
      <c r="I63" s="180">
        <f t="shared" ca="1" si="7"/>
        <v>7.6948365981784339E-2</v>
      </c>
      <c r="J63" s="180">
        <f t="shared" ca="1" si="8"/>
        <v>8.7375333742759007E-2</v>
      </c>
      <c r="K63" s="180">
        <f t="shared" ca="1" si="9"/>
        <v>6.2462054329683811E-2</v>
      </c>
      <c r="L63" s="180">
        <f t="shared" ca="1" si="10"/>
        <v>4.5882626188237324E-2</v>
      </c>
      <c r="Q63">
        <f t="shared" ca="1" si="37"/>
        <v>-2.7805386681888799E-4</v>
      </c>
      <c r="R63">
        <f t="shared" ca="1" si="35"/>
        <v>6.3017493616799088E-3</v>
      </c>
      <c r="S63">
        <f t="shared" ca="1" si="35"/>
        <v>9.6254921521640446E-3</v>
      </c>
      <c r="T63">
        <f t="shared" ca="1" si="35"/>
        <v>4.6855074573172451E-3</v>
      </c>
      <c r="U63">
        <f t="shared" ca="1" si="35"/>
        <v>3.3080501670538246E-3</v>
      </c>
      <c r="V63">
        <f t="shared" ca="1" si="35"/>
        <v>3.3099508182822578E-3</v>
      </c>
      <c r="W63">
        <f t="shared" ca="1" si="35"/>
        <v>1.1595669892105948E-2</v>
      </c>
      <c r="X63">
        <f t="shared" ca="1" si="35"/>
        <v>1.0426967760974662E-2</v>
      </c>
      <c r="Y63">
        <f t="shared" ca="1" si="35"/>
        <v>-2.4913279413075196E-2</v>
      </c>
      <c r="Z63">
        <f t="shared" ca="1" si="35"/>
        <v>-1.6579428141446487E-2</v>
      </c>
    </row>
    <row r="64" spans="2:26" hidden="1">
      <c r="B64" s="180">
        <f>'Inflation-Interest'!$C$68</f>
        <v>3.8399999999999997E-2</v>
      </c>
      <c r="C64" s="180">
        <f t="shared" ref="C64:D64" ca="1" si="60">B64+Q64</f>
        <v>3.3473858220127349E-2</v>
      </c>
      <c r="D64" s="180">
        <f t="shared" ca="1" si="60"/>
        <v>4.4878772268830712E-2</v>
      </c>
      <c r="E64" s="180">
        <f t="shared" ca="1" si="3"/>
        <v>2.3134302915738043E-2</v>
      </c>
      <c r="F64" s="180">
        <f t="shared" ca="1" si="4"/>
        <v>1.5046853030141024E-2</v>
      </c>
      <c r="G64" s="180">
        <f t="shared" ca="1" si="5"/>
        <v>-3.5635704229069129E-3</v>
      </c>
      <c r="H64" s="180">
        <f t="shared" ca="1" si="6"/>
        <v>1.7427686595308273E-2</v>
      </c>
      <c r="I64" s="180">
        <f t="shared" ca="1" si="7"/>
        <v>2.1741138229470932E-2</v>
      </c>
      <c r="J64" s="180">
        <f t="shared" ca="1" si="8"/>
        <v>2.4797766171755421E-2</v>
      </c>
      <c r="K64" s="180">
        <f t="shared" ca="1" si="9"/>
        <v>1.7203509831710664E-2</v>
      </c>
      <c r="L64" s="180">
        <f t="shared" ca="1" si="10"/>
        <v>3.3557648468056658E-2</v>
      </c>
      <c r="Q64">
        <f t="shared" ca="1" si="37"/>
        <v>-4.9261417798726493E-3</v>
      </c>
      <c r="R64">
        <f t="shared" ca="1" si="35"/>
        <v>1.1404914048703365E-2</v>
      </c>
      <c r="S64">
        <f t="shared" ca="1" si="35"/>
        <v>-2.1744469353092669E-2</v>
      </c>
      <c r="T64">
        <f t="shared" ca="1" si="35"/>
        <v>-8.0874498855970194E-3</v>
      </c>
      <c r="U64">
        <f t="shared" ca="1" si="35"/>
        <v>-1.8610423453047937E-2</v>
      </c>
      <c r="V64">
        <f t="shared" ca="1" si="35"/>
        <v>2.0991257018215186E-2</v>
      </c>
      <c r="W64">
        <f t="shared" ca="1" si="35"/>
        <v>4.3134516341626593E-3</v>
      </c>
      <c r="X64">
        <f t="shared" ca="1" si="35"/>
        <v>3.0566279422844906E-3</v>
      </c>
      <c r="Y64">
        <f t="shared" ca="1" si="35"/>
        <v>-7.5942563400447586E-3</v>
      </c>
      <c r="Z64">
        <f t="shared" ca="1" si="35"/>
        <v>1.6354138636345994E-2</v>
      </c>
    </row>
    <row r="65" spans="2:26" hidden="1">
      <c r="B65" s="180">
        <f>'Inflation-Interest'!$C$68</f>
        <v>3.8399999999999997E-2</v>
      </c>
      <c r="C65" s="180">
        <f t="shared" ref="C65:D65" ca="1" si="61">B65+Q65</f>
        <v>1.2785500747021603E-2</v>
      </c>
      <c r="D65" s="180">
        <f t="shared" ca="1" si="61"/>
        <v>3.4298160871957591E-2</v>
      </c>
      <c r="E65" s="180">
        <f t="shared" ca="1" si="3"/>
        <v>3.0312796434161036E-2</v>
      </c>
      <c r="F65" s="180">
        <f t="shared" ca="1" si="4"/>
        <v>4.2685985751418361E-2</v>
      </c>
      <c r="G65" s="180">
        <f t="shared" ca="1" si="5"/>
        <v>7.1368558951084557E-2</v>
      </c>
      <c r="H65" s="180">
        <f t="shared" ca="1" si="6"/>
        <v>7.520722044269669E-2</v>
      </c>
      <c r="I65" s="180">
        <f t="shared" ca="1" si="7"/>
        <v>4.8701809973224153E-2</v>
      </c>
      <c r="J65" s="180">
        <f t="shared" ca="1" si="8"/>
        <v>6.1668271604446545E-2</v>
      </c>
      <c r="K65" s="180">
        <f t="shared" ca="1" si="9"/>
        <v>5.9329249922853676E-2</v>
      </c>
      <c r="L65" s="180">
        <f t="shared" ca="1" si="10"/>
        <v>7.9505769090828293E-2</v>
      </c>
      <c r="Q65">
        <f t="shared" ca="1" si="37"/>
        <v>-2.5614499252978394E-2</v>
      </c>
      <c r="R65">
        <f t="shared" ca="1" si="35"/>
        <v>2.1512660124935988E-2</v>
      </c>
      <c r="S65">
        <f t="shared" ca="1" si="35"/>
        <v>-3.9853644377965533E-3</v>
      </c>
      <c r="T65">
        <f t="shared" ca="1" si="35"/>
        <v>1.2373189317257323E-2</v>
      </c>
      <c r="U65">
        <f t="shared" ca="1" si="35"/>
        <v>2.8682573199666193E-2</v>
      </c>
      <c r="V65">
        <f t="shared" ca="1" si="35"/>
        <v>3.8386614916121331E-3</v>
      </c>
      <c r="W65">
        <f t="shared" ca="1" si="35"/>
        <v>-2.6505410469472541E-2</v>
      </c>
      <c r="X65">
        <f t="shared" ca="1" si="35"/>
        <v>1.2966461631222394E-2</v>
      </c>
      <c r="Y65">
        <f t="shared" ca="1" si="35"/>
        <v>-2.33902168159287E-3</v>
      </c>
      <c r="Z65">
        <f t="shared" ca="1" si="35"/>
        <v>2.0176519167974621E-2</v>
      </c>
    </row>
    <row r="66" spans="2:26" hidden="1">
      <c r="B66" s="180">
        <f>'Inflation-Interest'!$C$68</f>
        <v>3.8399999999999997E-2</v>
      </c>
      <c r="C66" s="180">
        <f t="shared" ref="C66:D66" ca="1" si="62">B66+Q66</f>
        <v>4.2417831803673568E-2</v>
      </c>
      <c r="D66" s="180">
        <f t="shared" ca="1" si="62"/>
        <v>5.6846254093075435E-2</v>
      </c>
      <c r="E66" s="180">
        <f t="shared" ca="1" si="3"/>
        <v>6.4838939857367286E-2</v>
      </c>
      <c r="F66" s="180">
        <f t="shared" ca="1" si="4"/>
        <v>7.5602257687773067E-2</v>
      </c>
      <c r="G66" s="180">
        <f t="shared" ca="1" si="5"/>
        <v>8.7935709653274852E-2</v>
      </c>
      <c r="H66" s="180">
        <f t="shared" ca="1" si="6"/>
        <v>8.7410040113642895E-2</v>
      </c>
      <c r="I66" s="180">
        <f t="shared" ca="1" si="7"/>
        <v>9.73084489678014E-2</v>
      </c>
      <c r="J66" s="180">
        <f t="shared" ca="1" si="8"/>
        <v>9.9507437725283865E-2</v>
      </c>
      <c r="K66" s="180">
        <f t="shared" ca="1" si="9"/>
        <v>0.10019798162231024</v>
      </c>
      <c r="L66" s="180">
        <f t="shared" ca="1" si="10"/>
        <v>8.9512849351230786E-2</v>
      </c>
      <c r="Q66">
        <f t="shared" ca="1" si="37"/>
        <v>4.0178318036735699E-3</v>
      </c>
      <c r="R66">
        <f t="shared" ca="1" si="35"/>
        <v>1.442842228940187E-2</v>
      </c>
      <c r="S66">
        <f t="shared" ca="1" si="35"/>
        <v>7.9926857642918531E-3</v>
      </c>
      <c r="T66">
        <f t="shared" ca="1" si="35"/>
        <v>1.0763317830405779E-2</v>
      </c>
      <c r="U66">
        <f t="shared" ca="1" si="35"/>
        <v>1.2333451965501781E-2</v>
      </c>
      <c r="V66">
        <f t="shared" ca="1" si="35"/>
        <v>-5.256695396319525E-4</v>
      </c>
      <c r="W66">
        <f t="shared" ca="1" si="35"/>
        <v>9.8984088541585018E-3</v>
      </c>
      <c r="X66">
        <f t="shared" ca="1" si="35"/>
        <v>2.1989887574824672E-3</v>
      </c>
      <c r="Y66">
        <f t="shared" ca="1" si="35"/>
        <v>6.9054389702636601E-4</v>
      </c>
      <c r="Z66">
        <f t="shared" ca="1" si="35"/>
        <v>-1.0685132271079449E-2</v>
      </c>
    </row>
    <row r="67" spans="2:26" hidden="1">
      <c r="B67" s="180">
        <f>'Inflation-Interest'!$C$68</f>
        <v>3.8399999999999997E-2</v>
      </c>
      <c r="C67" s="180">
        <f t="shared" ref="C67:D67" ca="1" si="63">B67+Q67</f>
        <v>4.8502002535286089E-2</v>
      </c>
      <c r="D67" s="180">
        <f t="shared" ca="1" si="63"/>
        <v>5.0842783804680533E-2</v>
      </c>
      <c r="E67" s="180">
        <f t="shared" ca="1" si="3"/>
        <v>6.3614143690561301E-2</v>
      </c>
      <c r="F67" s="180">
        <f t="shared" ca="1" si="4"/>
        <v>8.4311230935148793E-2</v>
      </c>
      <c r="G67" s="180">
        <f t="shared" ca="1" si="5"/>
        <v>8.1130464533764185E-2</v>
      </c>
      <c r="H67" s="180">
        <f t="shared" ca="1" si="6"/>
        <v>8.4410290999429871E-2</v>
      </c>
      <c r="I67" s="180">
        <f t="shared" ca="1" si="7"/>
        <v>6.7826902735407577E-2</v>
      </c>
      <c r="J67" s="180">
        <f t="shared" ca="1" si="8"/>
        <v>7.9907828494066774E-2</v>
      </c>
      <c r="K67" s="180">
        <f t="shared" ca="1" si="9"/>
        <v>9.9612753539918164E-2</v>
      </c>
      <c r="L67" s="180">
        <f t="shared" ca="1" si="10"/>
        <v>9.1086476599421123E-2</v>
      </c>
      <c r="Q67">
        <f t="shared" ca="1" si="37"/>
        <v>1.0102002535286092E-2</v>
      </c>
      <c r="R67">
        <f t="shared" ca="1" si="35"/>
        <v>2.340781269394447E-3</v>
      </c>
      <c r="S67">
        <f t="shared" ca="1" si="35"/>
        <v>1.2771359885880764E-2</v>
      </c>
      <c r="T67">
        <f t="shared" ca="1" si="35"/>
        <v>2.0697087244587492E-2</v>
      </c>
      <c r="U67">
        <f t="shared" ca="1" si="35"/>
        <v>-3.1807664013846102E-3</v>
      </c>
      <c r="V67">
        <f t="shared" ca="1" si="35"/>
        <v>3.2798264656656909E-3</v>
      </c>
      <c r="W67">
        <f t="shared" ca="1" si="35"/>
        <v>-1.6583388264022295E-2</v>
      </c>
      <c r="X67">
        <f t="shared" ca="1" si="35"/>
        <v>1.2080925758659194E-2</v>
      </c>
      <c r="Y67">
        <f t="shared" ca="1" si="35"/>
        <v>1.9704925045851394E-2</v>
      </c>
      <c r="Z67">
        <f t="shared" ca="1" si="35"/>
        <v>-8.5262769404970424E-3</v>
      </c>
    </row>
    <row r="68" spans="2:26" hidden="1">
      <c r="B68" s="180">
        <f>'Inflation-Interest'!$C$68</f>
        <v>3.8399999999999997E-2</v>
      </c>
      <c r="C68" s="180">
        <f t="shared" ref="C68:D68" ca="1" si="64">B68+Q68</f>
        <v>1.8777374316914393E-2</v>
      </c>
      <c r="D68" s="180">
        <f t="shared" ca="1" si="64"/>
        <v>2.7370004670312968E-2</v>
      </c>
      <c r="E68" s="180">
        <f t="shared" ca="1" si="3"/>
        <v>3.5798921909346047E-2</v>
      </c>
      <c r="F68" s="180">
        <f t="shared" ca="1" si="4"/>
        <v>2.5484200388711319E-2</v>
      </c>
      <c r="G68" s="180">
        <f t="shared" ca="1" si="5"/>
        <v>1.3445592882630371E-2</v>
      </c>
      <c r="H68" s="180">
        <f t="shared" ca="1" si="6"/>
        <v>9.0724220985287062E-3</v>
      </c>
      <c r="I68" s="180">
        <f t="shared" ca="1" si="7"/>
        <v>1.5682082521842965E-2</v>
      </c>
      <c r="J68" s="180">
        <f t="shared" ca="1" si="8"/>
        <v>1.7616949532942489E-2</v>
      </c>
      <c r="K68" s="180">
        <f t="shared" ca="1" si="9"/>
        <v>1.4696695180260167E-2</v>
      </c>
      <c r="L68" s="180">
        <f t="shared" ca="1" si="10"/>
        <v>2.2845584761779111E-2</v>
      </c>
      <c r="Q68">
        <f t="shared" ca="1" si="37"/>
        <v>-1.9622625683085603E-2</v>
      </c>
      <c r="R68">
        <f t="shared" ca="1" si="35"/>
        <v>8.5926303533985764E-3</v>
      </c>
      <c r="S68">
        <f t="shared" ca="1" si="35"/>
        <v>8.4289172390330791E-3</v>
      </c>
      <c r="T68">
        <f t="shared" ca="1" si="35"/>
        <v>-1.031472152063473E-2</v>
      </c>
      <c r="U68">
        <f t="shared" ref="U68:Z99" ca="1" si="65">_xlfn.NORM.INV(RAND(), $B$3, $B$4)</f>
        <v>-1.2038607506080948E-2</v>
      </c>
      <c r="V68">
        <f t="shared" ca="1" si="65"/>
        <v>-4.3731707841016638E-3</v>
      </c>
      <c r="W68">
        <f t="shared" ca="1" si="65"/>
        <v>6.6096604233142585E-3</v>
      </c>
      <c r="X68">
        <f t="shared" ca="1" si="65"/>
        <v>1.934867011099523E-3</v>
      </c>
      <c r="Y68">
        <f t="shared" ca="1" si="65"/>
        <v>-2.9202543526823219E-3</v>
      </c>
      <c r="Z68">
        <f t="shared" ca="1" si="65"/>
        <v>8.1488895815189435E-3</v>
      </c>
    </row>
    <row r="69" spans="2:26" hidden="1">
      <c r="B69" s="180">
        <f>'Inflation-Interest'!$C$68</f>
        <v>3.8399999999999997E-2</v>
      </c>
      <c r="C69" s="180">
        <f t="shared" ref="C69:D69" ca="1" si="66">B69+Q69</f>
        <v>4.8111342968002783E-2</v>
      </c>
      <c r="D69" s="180">
        <f t="shared" ca="1" si="66"/>
        <v>4.3190804788216783E-2</v>
      </c>
      <c r="E69" s="180">
        <f t="shared" ca="1" si="3"/>
        <v>3.4550694858120734E-2</v>
      </c>
      <c r="F69" s="180">
        <f t="shared" ca="1" si="4"/>
        <v>4.0601996613076459E-2</v>
      </c>
      <c r="G69" s="180">
        <f t="shared" ca="1" si="5"/>
        <v>3.1511799762247439E-2</v>
      </c>
      <c r="H69" s="180">
        <f t="shared" ca="1" si="6"/>
        <v>3.7702853305928083E-2</v>
      </c>
      <c r="I69" s="180">
        <f t="shared" ca="1" si="7"/>
        <v>4.3639032567254946E-2</v>
      </c>
      <c r="J69" s="180">
        <f t="shared" ca="1" si="8"/>
        <v>5.781659133946792E-2</v>
      </c>
      <c r="K69" s="180">
        <f t="shared" ca="1" si="9"/>
        <v>6.693644491748027E-2</v>
      </c>
      <c r="L69" s="180">
        <f t="shared" ca="1" si="10"/>
        <v>6.7484204361289712E-2</v>
      </c>
      <c r="Q69">
        <f t="shared" ca="1" si="37"/>
        <v>9.7113429680027886E-3</v>
      </c>
      <c r="R69">
        <f t="shared" ca="1" si="37"/>
        <v>-4.9205381797859989E-3</v>
      </c>
      <c r="S69">
        <f t="shared" ca="1" si="37"/>
        <v>-8.6401099300960488E-3</v>
      </c>
      <c r="T69">
        <f t="shared" ca="1" si="37"/>
        <v>6.0513017549557275E-3</v>
      </c>
      <c r="U69">
        <f t="shared" ca="1" si="65"/>
        <v>-9.0901968508290219E-3</v>
      </c>
      <c r="V69">
        <f t="shared" ca="1" si="65"/>
        <v>6.1910535436806441E-3</v>
      </c>
      <c r="W69">
        <f t="shared" ca="1" si="65"/>
        <v>5.9361792613268627E-3</v>
      </c>
      <c r="X69">
        <f t="shared" ca="1" si="65"/>
        <v>1.4177558772212974E-2</v>
      </c>
      <c r="Y69">
        <f t="shared" ca="1" si="65"/>
        <v>9.1198535780123487E-3</v>
      </c>
      <c r="Z69">
        <f t="shared" ca="1" si="65"/>
        <v>5.4775944380943764E-4</v>
      </c>
    </row>
    <row r="70" spans="2:26" hidden="1">
      <c r="B70" s="180">
        <f>'Inflation-Interest'!$C$68</f>
        <v>3.8399999999999997E-2</v>
      </c>
      <c r="C70" s="180">
        <f t="shared" ref="C70:D70" ca="1" si="67">B70+Q70</f>
        <v>4.8548209747436483E-2</v>
      </c>
      <c r="D70" s="180">
        <f t="shared" ca="1" si="67"/>
        <v>1.5616651587412281E-2</v>
      </c>
      <c r="E70" s="180">
        <f t="shared" ca="1" si="3"/>
        <v>2.6636558323882148E-2</v>
      </c>
      <c r="F70" s="180">
        <f t="shared" ca="1" si="4"/>
        <v>1.5090073009018922E-2</v>
      </c>
      <c r="G70" s="180">
        <f t="shared" ca="1" si="5"/>
        <v>7.3894826153434439E-3</v>
      </c>
      <c r="H70" s="180">
        <f t="shared" ca="1" si="6"/>
        <v>1.4810721772938771E-2</v>
      </c>
      <c r="I70" s="180">
        <f t="shared" ca="1" si="7"/>
        <v>5.7840895830524441E-3</v>
      </c>
      <c r="J70" s="180">
        <f t="shared" ca="1" si="8"/>
        <v>2.9470993016711425E-2</v>
      </c>
      <c r="K70" s="180">
        <f t="shared" ca="1" si="9"/>
        <v>2.1107264823562771E-2</v>
      </c>
      <c r="L70" s="180">
        <f t="shared" ca="1" si="10"/>
        <v>1.2681522917598706E-2</v>
      </c>
      <c r="Q70">
        <f t="shared" ca="1" si="37"/>
        <v>1.0148209747436486E-2</v>
      </c>
      <c r="R70">
        <f t="shared" ca="1" si="37"/>
        <v>-3.2931558160024202E-2</v>
      </c>
      <c r="S70">
        <f t="shared" ca="1" si="37"/>
        <v>1.1019906736469869E-2</v>
      </c>
      <c r="T70">
        <f t="shared" ca="1" si="37"/>
        <v>-1.1546485314863226E-2</v>
      </c>
      <c r="U70">
        <f t="shared" ca="1" si="65"/>
        <v>-7.7005903936754778E-3</v>
      </c>
      <c r="V70">
        <f t="shared" ca="1" si="65"/>
        <v>7.4212391575953279E-3</v>
      </c>
      <c r="W70">
        <f t="shared" ca="1" si="65"/>
        <v>-9.0266321898863269E-3</v>
      </c>
      <c r="X70">
        <f t="shared" ca="1" si="65"/>
        <v>2.3686903433658982E-2</v>
      </c>
      <c r="Y70">
        <f t="shared" ca="1" si="65"/>
        <v>-8.3637281931486541E-3</v>
      </c>
      <c r="Z70">
        <f t="shared" ca="1" si="65"/>
        <v>-8.4257419059640647E-3</v>
      </c>
    </row>
    <row r="71" spans="2:26" hidden="1">
      <c r="B71" s="180">
        <f>'Inflation-Interest'!$C$68</f>
        <v>3.8399999999999997E-2</v>
      </c>
      <c r="C71" s="180">
        <f t="shared" ref="C71:D71" ca="1" si="68">B71+Q71</f>
        <v>3.9631396880277961E-2</v>
      </c>
      <c r="D71" s="180">
        <f t="shared" ca="1" si="68"/>
        <v>2.5576301269148574E-2</v>
      </c>
      <c r="E71" s="180">
        <f t="shared" ca="1" si="3"/>
        <v>4.9975592799287316E-2</v>
      </c>
      <c r="F71" s="180">
        <f t="shared" ca="1" si="4"/>
        <v>7.3174893918216091E-2</v>
      </c>
      <c r="G71" s="180">
        <f t="shared" ca="1" si="5"/>
        <v>7.935032104045929E-2</v>
      </c>
      <c r="H71" s="180">
        <f t="shared" ca="1" si="6"/>
        <v>7.7456837311512747E-2</v>
      </c>
      <c r="I71" s="180">
        <f t="shared" ca="1" si="7"/>
        <v>8.6486792628298184E-2</v>
      </c>
      <c r="J71" s="180">
        <f t="shared" ca="1" si="8"/>
        <v>9.7680964960479608E-2</v>
      </c>
      <c r="K71" s="180">
        <f t="shared" ca="1" si="9"/>
        <v>0.11433677352050489</v>
      </c>
      <c r="L71" s="180">
        <f t="shared" ca="1" si="10"/>
        <v>0.11526225234576573</v>
      </c>
      <c r="Q71">
        <f t="shared" ca="1" si="37"/>
        <v>1.2313968802779662E-3</v>
      </c>
      <c r="R71">
        <f t="shared" ca="1" si="37"/>
        <v>-1.4055095611129389E-2</v>
      </c>
      <c r="S71">
        <f t="shared" ca="1" si="37"/>
        <v>2.4399291530138745E-2</v>
      </c>
      <c r="T71">
        <f t="shared" ca="1" si="37"/>
        <v>2.3199301118928779E-2</v>
      </c>
      <c r="U71">
        <f t="shared" ca="1" si="65"/>
        <v>6.1754271222432015E-3</v>
      </c>
      <c r="V71">
        <f t="shared" ca="1" si="65"/>
        <v>-1.8934837289465403E-3</v>
      </c>
      <c r="W71">
        <f t="shared" ca="1" si="65"/>
        <v>9.0299553167854322E-3</v>
      </c>
      <c r="X71">
        <f t="shared" ca="1" si="65"/>
        <v>1.1194172332181427E-2</v>
      </c>
      <c r="Y71">
        <f t="shared" ca="1" si="65"/>
        <v>1.6655808560025281E-2</v>
      </c>
      <c r="Z71">
        <f t="shared" ca="1" si="65"/>
        <v>9.2547882526084358E-4</v>
      </c>
    </row>
    <row r="72" spans="2:26" hidden="1">
      <c r="B72" s="180">
        <f>'Inflation-Interest'!$C$68</f>
        <v>3.8399999999999997E-2</v>
      </c>
      <c r="C72" s="180">
        <f t="shared" ref="C72:D72" ca="1" si="69">B72+Q72</f>
        <v>3.3731251843357735E-2</v>
      </c>
      <c r="D72" s="180">
        <f t="shared" ca="1" si="69"/>
        <v>3.4638237758516432E-2</v>
      </c>
      <c r="E72" s="180">
        <f t="shared" ca="1" si="3"/>
        <v>2.6322530363143165E-2</v>
      </c>
      <c r="F72" s="180">
        <f t="shared" ca="1" si="4"/>
        <v>7.1515199154471965E-2</v>
      </c>
      <c r="G72" s="180">
        <f t="shared" ca="1" si="5"/>
        <v>6.3568283110415888E-2</v>
      </c>
      <c r="H72" s="180">
        <f t="shared" ca="1" si="6"/>
        <v>6.5724509080481081E-2</v>
      </c>
      <c r="I72" s="180">
        <f t="shared" ca="1" si="7"/>
        <v>5.2517110395640755E-2</v>
      </c>
      <c r="J72" s="180">
        <f t="shared" ca="1" si="8"/>
        <v>6.9623726323477034E-2</v>
      </c>
      <c r="K72" s="180">
        <f t="shared" ca="1" si="9"/>
        <v>8.2486748657777456E-2</v>
      </c>
      <c r="L72" s="180">
        <f t="shared" ca="1" si="10"/>
        <v>9.4475102758893079E-2</v>
      </c>
      <c r="Q72">
        <f t="shared" ca="1" si="37"/>
        <v>-4.6687481566422585E-3</v>
      </c>
      <c r="R72">
        <f t="shared" ca="1" si="37"/>
        <v>9.0698591515869917E-4</v>
      </c>
      <c r="S72">
        <f t="shared" ca="1" si="37"/>
        <v>-8.3157073953732657E-3</v>
      </c>
      <c r="T72">
        <f t="shared" ca="1" si="37"/>
        <v>4.5192668791328792E-2</v>
      </c>
      <c r="U72">
        <f t="shared" ca="1" si="65"/>
        <v>-7.9469160440560713E-3</v>
      </c>
      <c r="V72">
        <f t="shared" ca="1" si="65"/>
        <v>2.1562259700651913E-3</v>
      </c>
      <c r="W72">
        <f t="shared" ca="1" si="65"/>
        <v>-1.3207398684840324E-2</v>
      </c>
      <c r="X72">
        <f t="shared" ca="1" si="65"/>
        <v>1.7106615927836282E-2</v>
      </c>
      <c r="Y72">
        <f t="shared" ca="1" si="65"/>
        <v>1.2863022334300428E-2</v>
      </c>
      <c r="Z72">
        <f t="shared" ca="1" si="65"/>
        <v>1.1988354101115628E-2</v>
      </c>
    </row>
    <row r="73" spans="2:26" hidden="1">
      <c r="B73" s="180">
        <f>'Inflation-Interest'!$C$68</f>
        <v>3.8399999999999997E-2</v>
      </c>
      <c r="C73" s="180">
        <f t="shared" ref="C73:D73" ca="1" si="70">B73+Q73</f>
        <v>3.7739233915260441E-2</v>
      </c>
      <c r="D73" s="180">
        <f t="shared" ca="1" si="70"/>
        <v>4.5801156324187575E-2</v>
      </c>
      <c r="E73" s="180">
        <f t="shared" ca="1" si="3"/>
        <v>5.7198357266660213E-2</v>
      </c>
      <c r="F73" s="180">
        <f t="shared" ca="1" si="4"/>
        <v>5.2195962648638988E-2</v>
      </c>
      <c r="G73" s="180">
        <f t="shared" ca="1" si="5"/>
        <v>7.0779166107288766E-2</v>
      </c>
      <c r="H73" s="180">
        <f t="shared" ca="1" si="6"/>
        <v>6.178005596706692E-2</v>
      </c>
      <c r="I73" s="180">
        <f t="shared" ca="1" si="7"/>
        <v>4.1364097386828627E-2</v>
      </c>
      <c r="J73" s="180">
        <f t="shared" ca="1" si="8"/>
        <v>5.5970354203034055E-2</v>
      </c>
      <c r="K73" s="180">
        <f t="shared" ca="1" si="9"/>
        <v>6.7810842245025871E-2</v>
      </c>
      <c r="L73" s="180">
        <f t="shared" ca="1" si="10"/>
        <v>5.7690836834762595E-2</v>
      </c>
      <c r="Q73">
        <f t="shared" ref="Q73:Z110" ca="1" si="71">_xlfn.NORM.INV(RAND(), $B$3, $B$4)</f>
        <v>-6.6076608473955535E-4</v>
      </c>
      <c r="R73">
        <f t="shared" ca="1" si="71"/>
        <v>8.0619224089271361E-3</v>
      </c>
      <c r="S73">
        <f t="shared" ca="1" si="71"/>
        <v>1.1397200942472636E-2</v>
      </c>
      <c r="T73">
        <f t="shared" ca="1" si="71"/>
        <v>-5.002394618021223E-3</v>
      </c>
      <c r="U73">
        <f t="shared" ca="1" si="65"/>
        <v>1.858320345864977E-2</v>
      </c>
      <c r="V73">
        <f t="shared" ca="1" si="65"/>
        <v>-8.9991101402218474E-3</v>
      </c>
      <c r="W73">
        <f t="shared" ca="1" si="65"/>
        <v>-2.0415958580238293E-2</v>
      </c>
      <c r="X73">
        <f t="shared" ca="1" si="65"/>
        <v>1.4606256816205428E-2</v>
      </c>
      <c r="Y73">
        <f t="shared" ca="1" si="65"/>
        <v>1.1840488041991809E-2</v>
      </c>
      <c r="Z73">
        <f t="shared" ca="1" si="65"/>
        <v>-1.0120005410263276E-2</v>
      </c>
    </row>
    <row r="74" spans="2:26" hidden="1">
      <c r="B74" s="180">
        <f>'Inflation-Interest'!$C$68</f>
        <v>3.8399999999999997E-2</v>
      </c>
      <c r="C74" s="180">
        <f t="shared" ref="C74:D74" ca="1" si="72">B74+Q74</f>
        <v>6.5179398015194442E-2</v>
      </c>
      <c r="D74" s="180">
        <f t="shared" ca="1" si="72"/>
        <v>6.9438357427425046E-2</v>
      </c>
      <c r="E74" s="180">
        <f t="shared" ca="1" si="3"/>
        <v>7.2606653565446003E-2</v>
      </c>
      <c r="F74" s="180">
        <f t="shared" ca="1" si="4"/>
        <v>8.3219179860174242E-2</v>
      </c>
      <c r="G74" s="180">
        <f t="shared" ca="1" si="5"/>
        <v>7.2514971973525036E-2</v>
      </c>
      <c r="H74" s="180">
        <f t="shared" ca="1" si="6"/>
        <v>8.1119097037499463E-2</v>
      </c>
      <c r="I74" s="180">
        <f t="shared" ca="1" si="7"/>
        <v>9.5791271628387006E-2</v>
      </c>
      <c r="J74" s="180">
        <f t="shared" ca="1" si="8"/>
        <v>9.1529709322935193E-2</v>
      </c>
      <c r="K74" s="180">
        <f t="shared" ca="1" si="9"/>
        <v>9.8863693109133108E-2</v>
      </c>
      <c r="L74" s="180">
        <f t="shared" ca="1" si="10"/>
        <v>0.11968726227230221</v>
      </c>
      <c r="Q74">
        <f t="shared" ca="1" si="71"/>
        <v>2.6779398015194442E-2</v>
      </c>
      <c r="R74">
        <f t="shared" ca="1" si="71"/>
        <v>4.2589594122306043E-3</v>
      </c>
      <c r="S74">
        <f t="shared" ca="1" si="71"/>
        <v>3.1682961380209524E-3</v>
      </c>
      <c r="T74">
        <f t="shared" ca="1" si="71"/>
        <v>1.0612526294728235E-2</v>
      </c>
      <c r="U74">
        <f t="shared" ca="1" si="65"/>
        <v>-1.0704207886649202E-2</v>
      </c>
      <c r="V74">
        <f t="shared" ca="1" si="65"/>
        <v>8.6041250639744254E-3</v>
      </c>
      <c r="W74">
        <f t="shared" ca="1" si="65"/>
        <v>1.4672174590887545E-2</v>
      </c>
      <c r="X74">
        <f t="shared" ca="1" si="65"/>
        <v>-4.2615623054518114E-3</v>
      </c>
      <c r="Y74">
        <f t="shared" ca="1" si="65"/>
        <v>7.3339837861979189E-3</v>
      </c>
      <c r="Z74">
        <f t="shared" ca="1" si="65"/>
        <v>2.0823569163169103E-2</v>
      </c>
    </row>
    <row r="75" spans="2:26" hidden="1">
      <c r="B75" s="180">
        <f>'Inflation-Interest'!$C$68</f>
        <v>3.8399999999999997E-2</v>
      </c>
      <c r="C75" s="180">
        <f t="shared" ref="C75:D75" ca="1" si="73">B75+Q75</f>
        <v>6.0185276155433773E-2</v>
      </c>
      <c r="D75" s="180">
        <f t="shared" ca="1" si="73"/>
        <v>4.1941743488884152E-2</v>
      </c>
      <c r="E75" s="180">
        <f t="shared" ca="1" si="3"/>
        <v>3.872885450513059E-2</v>
      </c>
      <c r="F75" s="180">
        <f t="shared" ca="1" si="4"/>
        <v>4.5700267764849326E-2</v>
      </c>
      <c r="G75" s="180">
        <f t="shared" ca="1" si="5"/>
        <v>6.7544518783958507E-2</v>
      </c>
      <c r="H75" s="180">
        <f t="shared" ca="1" si="6"/>
        <v>6.5921557684295293E-2</v>
      </c>
      <c r="I75" s="180">
        <f t="shared" ca="1" si="7"/>
        <v>4.3347193925259583E-2</v>
      </c>
      <c r="J75" s="180">
        <f t="shared" ca="1" si="8"/>
        <v>5.4857727455179341E-2</v>
      </c>
      <c r="K75" s="180">
        <f t="shared" ca="1" si="9"/>
        <v>3.143201435067159E-2</v>
      </c>
      <c r="L75" s="180">
        <f t="shared" ca="1" si="10"/>
        <v>2.7724122823127181E-2</v>
      </c>
      <c r="Q75">
        <f t="shared" ca="1" si="71"/>
        <v>2.1785276155433773E-2</v>
      </c>
      <c r="R75">
        <f t="shared" ca="1" si="71"/>
        <v>-1.8243532666549621E-2</v>
      </c>
      <c r="S75">
        <f t="shared" ca="1" si="71"/>
        <v>-3.2128889837535631E-3</v>
      </c>
      <c r="T75">
        <f t="shared" ca="1" si="71"/>
        <v>6.9714132597187388E-3</v>
      </c>
      <c r="U75">
        <f t="shared" ca="1" si="65"/>
        <v>2.1844251019109188E-2</v>
      </c>
      <c r="V75">
        <f t="shared" ca="1" si="65"/>
        <v>-1.6229610996632091E-3</v>
      </c>
      <c r="W75">
        <f t="shared" ca="1" si="65"/>
        <v>-2.2574363759035709E-2</v>
      </c>
      <c r="X75">
        <f t="shared" ca="1" si="65"/>
        <v>1.1510533529919757E-2</v>
      </c>
      <c r="Y75">
        <f t="shared" ca="1" si="65"/>
        <v>-2.342571310450775E-2</v>
      </c>
      <c r="Z75">
        <f t="shared" ca="1" si="65"/>
        <v>-3.7078915275444097E-3</v>
      </c>
    </row>
    <row r="76" spans="2:26" hidden="1">
      <c r="B76" s="180">
        <f>'Inflation-Interest'!$C$68</f>
        <v>3.8399999999999997E-2</v>
      </c>
      <c r="C76" s="180">
        <f t="shared" ref="C76:D76" ca="1" si="74">B76+Q76</f>
        <v>5.3317895656424176E-2</v>
      </c>
      <c r="D76" s="180">
        <f t="shared" ca="1" si="74"/>
        <v>5.2717778360816515E-2</v>
      </c>
      <c r="E76" s="180">
        <f t="shared" ca="1" si="3"/>
        <v>7.7416773781347481E-2</v>
      </c>
      <c r="F76" s="180">
        <f t="shared" ca="1" si="4"/>
        <v>0.10824130895448858</v>
      </c>
      <c r="G76" s="180">
        <f t="shared" ca="1" si="5"/>
        <v>9.1771645891804116E-2</v>
      </c>
      <c r="H76" s="180">
        <f t="shared" ca="1" si="6"/>
        <v>7.5066619921549185E-2</v>
      </c>
      <c r="I76" s="180">
        <f t="shared" ca="1" si="7"/>
        <v>5.9602520815391205E-2</v>
      </c>
      <c r="J76" s="180">
        <f t="shared" ca="1" si="8"/>
        <v>4.9981605258034321E-2</v>
      </c>
      <c r="K76" s="180">
        <f t="shared" ca="1" si="9"/>
        <v>4.0504264304476373E-2</v>
      </c>
      <c r="L76" s="180">
        <f t="shared" ca="1" si="10"/>
        <v>1.5172648965824161E-2</v>
      </c>
      <c r="Q76">
        <f t="shared" ca="1" si="71"/>
        <v>1.4917895656424181E-2</v>
      </c>
      <c r="R76">
        <f t="shared" ca="1" si="71"/>
        <v>-6.0011729560766037E-4</v>
      </c>
      <c r="S76">
        <f t="shared" ca="1" si="71"/>
        <v>2.4698995420530969E-2</v>
      </c>
      <c r="T76">
        <f t="shared" ca="1" si="71"/>
        <v>3.0824535173141102E-2</v>
      </c>
      <c r="U76">
        <f t="shared" ca="1" si="65"/>
        <v>-1.6469663062684468E-2</v>
      </c>
      <c r="V76">
        <f t="shared" ca="1" si="65"/>
        <v>-1.670502597025493E-2</v>
      </c>
      <c r="W76">
        <f t="shared" ca="1" si="65"/>
        <v>-1.5464099106157984E-2</v>
      </c>
      <c r="X76">
        <f t="shared" ca="1" si="65"/>
        <v>-9.6209155573568853E-3</v>
      </c>
      <c r="Y76">
        <f t="shared" ca="1" si="65"/>
        <v>-9.4773409535579486E-3</v>
      </c>
      <c r="Z76">
        <f t="shared" ca="1" si="65"/>
        <v>-2.5331615338652212E-2</v>
      </c>
    </row>
    <row r="77" spans="2:26" hidden="1">
      <c r="B77" s="180">
        <f>'Inflation-Interest'!$C$68</f>
        <v>3.8399999999999997E-2</v>
      </c>
      <c r="C77" s="180">
        <f t="shared" ref="C77:D77" ca="1" si="75">B77+Q77</f>
        <v>3.9067966023679214E-2</v>
      </c>
      <c r="D77" s="180">
        <f t="shared" ca="1" si="75"/>
        <v>1.7355215136720965E-2</v>
      </c>
      <c r="E77" s="180">
        <f t="shared" ca="1" si="3"/>
        <v>1.6240842821303829E-3</v>
      </c>
      <c r="F77" s="180">
        <f t="shared" ca="1" si="4"/>
        <v>-1.916330308970644E-2</v>
      </c>
      <c r="G77" s="180">
        <f t="shared" ca="1" si="5"/>
        <v>-2.4487038520229959E-2</v>
      </c>
      <c r="H77" s="180">
        <f t="shared" ca="1" si="6"/>
        <v>-3.6006173794601568E-2</v>
      </c>
      <c r="I77" s="180">
        <f t="shared" ca="1" si="7"/>
        <v>-9.7285773694808578E-3</v>
      </c>
      <c r="J77" s="180">
        <f t="shared" ca="1" si="8"/>
        <v>-2.6421808857298871E-3</v>
      </c>
      <c r="K77" s="180">
        <f t="shared" ca="1" si="9"/>
        <v>1.3157073995910398E-2</v>
      </c>
      <c r="L77" s="180">
        <f t="shared" ca="1" si="10"/>
        <v>9.5954135225528661E-3</v>
      </c>
      <c r="Q77">
        <f t="shared" ca="1" si="71"/>
        <v>6.6796602367921688E-4</v>
      </c>
      <c r="R77">
        <f t="shared" ca="1" si="71"/>
        <v>-2.1712750886958249E-2</v>
      </c>
      <c r="S77">
        <f t="shared" ca="1" si="71"/>
        <v>-1.5731130854590582E-2</v>
      </c>
      <c r="T77">
        <f t="shared" ca="1" si="71"/>
        <v>-2.0787387371836823E-2</v>
      </c>
      <c r="U77">
        <f t="shared" ca="1" si="65"/>
        <v>-5.3237354305235209E-3</v>
      </c>
      <c r="V77">
        <f t="shared" ca="1" si="65"/>
        <v>-1.151913527437161E-2</v>
      </c>
      <c r="W77">
        <f t="shared" ca="1" si="65"/>
        <v>2.627759642512071E-2</v>
      </c>
      <c r="X77">
        <f t="shared" ca="1" si="65"/>
        <v>7.0863964837509707E-3</v>
      </c>
      <c r="Y77">
        <f t="shared" ca="1" si="65"/>
        <v>1.5799254881640284E-2</v>
      </c>
      <c r="Z77">
        <f t="shared" ca="1" si="65"/>
        <v>-3.5616604733575319E-3</v>
      </c>
    </row>
    <row r="78" spans="2:26" hidden="1">
      <c r="B78" s="180">
        <f>'Inflation-Interest'!$C$68</f>
        <v>3.8399999999999997E-2</v>
      </c>
      <c r="C78" s="180">
        <f t="shared" ref="C78:D78" ca="1" si="76">B78+Q78</f>
        <v>6.5800782884672115E-3</v>
      </c>
      <c r="D78" s="180">
        <f t="shared" ca="1" si="76"/>
        <v>2.5985376552701212E-2</v>
      </c>
      <c r="E78" s="180">
        <f t="shared" ca="1" si="3"/>
        <v>2.782565070388365E-2</v>
      </c>
      <c r="F78" s="180">
        <f t="shared" ca="1" si="4"/>
        <v>3.6891557576316472E-2</v>
      </c>
      <c r="G78" s="180">
        <f t="shared" ca="1" si="5"/>
        <v>3.1726198703429444E-2</v>
      </c>
      <c r="H78" s="180">
        <f t="shared" ca="1" si="6"/>
        <v>3.6764638870470996E-2</v>
      </c>
      <c r="I78" s="180">
        <f t="shared" ca="1" si="7"/>
        <v>3.2857063880345289E-2</v>
      </c>
      <c r="J78" s="180">
        <f t="shared" ca="1" si="8"/>
        <v>3.2170102235938441E-2</v>
      </c>
      <c r="K78" s="180">
        <f t="shared" ca="1" si="9"/>
        <v>5.017029053442075E-2</v>
      </c>
      <c r="L78" s="180">
        <f t="shared" ca="1" si="10"/>
        <v>3.0481390360633201E-2</v>
      </c>
      <c r="Q78">
        <f t="shared" ca="1" si="71"/>
        <v>-3.1819921711532785E-2</v>
      </c>
      <c r="R78">
        <f t="shared" ca="1" si="71"/>
        <v>1.9405298264234001E-2</v>
      </c>
      <c r="S78">
        <f t="shared" ca="1" si="71"/>
        <v>1.8402741511824386E-3</v>
      </c>
      <c r="T78">
        <f t="shared" ca="1" si="71"/>
        <v>9.065906872432819E-3</v>
      </c>
      <c r="U78">
        <f t="shared" ca="1" si="65"/>
        <v>-5.1653588728870275E-3</v>
      </c>
      <c r="V78">
        <f t="shared" ca="1" si="65"/>
        <v>5.038440167041555E-3</v>
      </c>
      <c r="W78">
        <f t="shared" ca="1" si="65"/>
        <v>-3.9075749901257041E-3</v>
      </c>
      <c r="X78">
        <f t="shared" ca="1" si="65"/>
        <v>-6.8696164440684433E-4</v>
      </c>
      <c r="Y78">
        <f t="shared" ca="1" si="65"/>
        <v>1.8000188298482312E-2</v>
      </c>
      <c r="Z78">
        <f t="shared" ca="1" si="65"/>
        <v>-1.9688900173787549E-2</v>
      </c>
    </row>
    <row r="79" spans="2:26" hidden="1">
      <c r="B79" s="180">
        <f>'Inflation-Interest'!$C$68</f>
        <v>3.8399999999999997E-2</v>
      </c>
      <c r="C79" s="180">
        <f t="shared" ref="C79:D79" ca="1" si="77">B79+Q79</f>
        <v>4.3550042739080044E-2</v>
      </c>
      <c r="D79" s="180">
        <f t="shared" ca="1" si="77"/>
        <v>3.7679864386399774E-2</v>
      </c>
      <c r="E79" s="180">
        <f t="shared" ca="1" si="3"/>
        <v>3.4541611204451234E-2</v>
      </c>
      <c r="F79" s="180">
        <f t="shared" ca="1" si="4"/>
        <v>2.6147420586723001E-2</v>
      </c>
      <c r="G79" s="180">
        <f t="shared" ca="1" si="5"/>
        <v>2.023186629909458E-2</v>
      </c>
      <c r="H79" s="180">
        <f t="shared" ca="1" si="6"/>
        <v>1.8530303070571741E-2</v>
      </c>
      <c r="I79" s="180">
        <f t="shared" ca="1" si="7"/>
        <v>1.1693759408733377E-2</v>
      </c>
      <c r="J79" s="180">
        <f t="shared" ca="1" si="8"/>
        <v>8.3990847320688025E-4</v>
      </c>
      <c r="K79" s="180">
        <f t="shared" ca="1" si="9"/>
        <v>-7.8163556970563593E-3</v>
      </c>
      <c r="L79" s="180">
        <f t="shared" ca="1" si="10"/>
        <v>-2.110595440885777E-2</v>
      </c>
      <c r="Q79">
        <f t="shared" ca="1" si="71"/>
        <v>5.1500427390800451E-3</v>
      </c>
      <c r="R79">
        <f t="shared" ca="1" si="71"/>
        <v>-5.8701783526802697E-3</v>
      </c>
      <c r="S79">
        <f t="shared" ca="1" si="71"/>
        <v>-3.138253181948538E-3</v>
      </c>
      <c r="T79">
        <f t="shared" ca="1" si="71"/>
        <v>-8.3941906177282307E-3</v>
      </c>
      <c r="U79">
        <f t="shared" ca="1" si="65"/>
        <v>-5.9155542876284202E-3</v>
      </c>
      <c r="V79">
        <f t="shared" ca="1" si="65"/>
        <v>-1.7015632285228375E-3</v>
      </c>
      <c r="W79">
        <f t="shared" ca="1" si="65"/>
        <v>-6.8365436618383641E-3</v>
      </c>
      <c r="X79">
        <f t="shared" ca="1" si="65"/>
        <v>-1.0853850935526497E-2</v>
      </c>
      <c r="Y79">
        <f t="shared" ca="1" si="65"/>
        <v>-8.6562641702632396E-3</v>
      </c>
      <c r="Z79">
        <f t="shared" ca="1" si="65"/>
        <v>-1.3289598711801413E-2</v>
      </c>
    </row>
    <row r="80" spans="2:26" hidden="1">
      <c r="B80" s="180">
        <f>'Inflation-Interest'!$C$68</f>
        <v>3.8399999999999997E-2</v>
      </c>
      <c r="C80" s="180">
        <f t="shared" ref="C80:D80" ca="1" si="78">B80+Q80</f>
        <v>4.0873236405549462E-2</v>
      </c>
      <c r="D80" s="180">
        <f t="shared" ca="1" si="78"/>
        <v>4.9938918832627063E-2</v>
      </c>
      <c r="E80" s="180">
        <f t="shared" ca="1" si="3"/>
        <v>5.5121657634599766E-2</v>
      </c>
      <c r="F80" s="180">
        <f t="shared" ca="1" si="4"/>
        <v>6.1259957880520223E-2</v>
      </c>
      <c r="G80" s="180">
        <f t="shared" ca="1" si="5"/>
        <v>6.7966204413765011E-2</v>
      </c>
      <c r="H80" s="180">
        <f t="shared" ca="1" si="6"/>
        <v>6.8420181328454774E-2</v>
      </c>
      <c r="I80" s="180">
        <f t="shared" ca="1" si="7"/>
        <v>6.9257370763301351E-2</v>
      </c>
      <c r="J80" s="180">
        <f t="shared" ca="1" si="8"/>
        <v>6.7665131105089746E-2</v>
      </c>
      <c r="K80" s="180">
        <f t="shared" ca="1" si="9"/>
        <v>7.1102603225278463E-2</v>
      </c>
      <c r="L80" s="180">
        <f t="shared" ca="1" si="10"/>
        <v>7.6459697696753495E-2</v>
      </c>
      <c r="Q80">
        <f t="shared" ca="1" si="71"/>
        <v>2.4732364055494662E-3</v>
      </c>
      <c r="R80">
        <f t="shared" ca="1" si="71"/>
        <v>9.0656824270775992E-3</v>
      </c>
      <c r="S80">
        <f t="shared" ca="1" si="71"/>
        <v>5.1827388019727002E-3</v>
      </c>
      <c r="T80">
        <f t="shared" ca="1" si="71"/>
        <v>6.1383002459204587E-3</v>
      </c>
      <c r="U80">
        <f t="shared" ca="1" si="65"/>
        <v>6.7062465332447824E-3</v>
      </c>
      <c r="V80">
        <f t="shared" ca="1" si="65"/>
        <v>4.5397691468975794E-4</v>
      </c>
      <c r="W80">
        <f t="shared" ca="1" si="65"/>
        <v>8.3718943484657618E-4</v>
      </c>
      <c r="X80">
        <f t="shared" ca="1" si="65"/>
        <v>-1.5922396582116049E-3</v>
      </c>
      <c r="Y80">
        <f t="shared" ca="1" si="65"/>
        <v>3.4374721201887123E-3</v>
      </c>
      <c r="Z80">
        <f t="shared" ca="1" si="65"/>
        <v>5.3570944714750332E-3</v>
      </c>
    </row>
    <row r="81" spans="2:26" hidden="1">
      <c r="B81" s="180">
        <f>'Inflation-Interest'!$C$68</f>
        <v>3.8399999999999997E-2</v>
      </c>
      <c r="C81" s="180">
        <f t="shared" ref="C81:D81" ca="1" si="79">B81+Q81</f>
        <v>2.3854387017445279E-2</v>
      </c>
      <c r="D81" s="180">
        <f t="shared" ca="1" si="79"/>
        <v>2.365564725572547E-2</v>
      </c>
      <c r="E81" s="180">
        <f t="shared" ref="E81:E115" ca="1" si="80">D81+S81</f>
        <v>2.1274273061284217E-2</v>
      </c>
      <c r="F81" s="180">
        <f t="shared" ref="F81:F115" ca="1" si="81">E81+T81</f>
        <v>3.5380446741744426E-3</v>
      </c>
      <c r="G81" s="180">
        <f t="shared" ref="G81:G115" ca="1" si="82">F81+U81</f>
        <v>7.360648967323519E-3</v>
      </c>
      <c r="H81" s="180">
        <f t="shared" ref="H81:H115" ca="1" si="83">G81+V81</f>
        <v>-1.22834684027386E-2</v>
      </c>
      <c r="I81" s="180">
        <f t="shared" ref="I81:I115" ca="1" si="84">H81+W81</f>
        <v>-4.6061355505437884E-3</v>
      </c>
      <c r="J81" s="180">
        <f t="shared" ref="J81:J115" ca="1" si="85">I81+X81</f>
        <v>-1.1124847713538423E-2</v>
      </c>
      <c r="K81" s="180">
        <f t="shared" ref="K81:K115" ca="1" si="86">J81+Y81</f>
        <v>-1.335390671145051E-2</v>
      </c>
      <c r="L81" s="180">
        <f t="shared" ref="L81:L115" ca="1" si="87">K81+Z81</f>
        <v>-5.8258553658233885E-3</v>
      </c>
      <c r="Q81">
        <f t="shared" ca="1" si="71"/>
        <v>-1.4545612982554718E-2</v>
      </c>
      <c r="R81">
        <f t="shared" ca="1" si="71"/>
        <v>-1.9873976171980694E-4</v>
      </c>
      <c r="S81">
        <f t="shared" ca="1" si="71"/>
        <v>-2.3813741944412516E-3</v>
      </c>
      <c r="T81">
        <f t="shared" ca="1" si="71"/>
        <v>-1.7736228387109775E-2</v>
      </c>
      <c r="U81">
        <f t="shared" ca="1" si="65"/>
        <v>3.8226042931490769E-3</v>
      </c>
      <c r="V81">
        <f t="shared" ca="1" si="65"/>
        <v>-1.9644117370062119E-2</v>
      </c>
      <c r="W81">
        <f t="shared" ca="1" si="65"/>
        <v>7.6773328521948115E-3</v>
      </c>
      <c r="X81">
        <f t="shared" ca="1" si="65"/>
        <v>-6.5187121629946346E-3</v>
      </c>
      <c r="Y81">
        <f t="shared" ca="1" si="65"/>
        <v>-2.2290589979120875E-3</v>
      </c>
      <c r="Z81">
        <f t="shared" ca="1" si="65"/>
        <v>7.5280513456271216E-3</v>
      </c>
    </row>
    <row r="82" spans="2:26" hidden="1">
      <c r="B82" s="180">
        <f>'Inflation-Interest'!$C$68</f>
        <v>3.8399999999999997E-2</v>
      </c>
      <c r="C82" s="180">
        <f t="shared" ref="C82:D82" ca="1" si="88">B82+Q82</f>
        <v>3.5149178398713066E-2</v>
      </c>
      <c r="D82" s="180">
        <f t="shared" ca="1" si="88"/>
        <v>2.1886498873901282E-2</v>
      </c>
      <c r="E82" s="180">
        <f t="shared" ca="1" si="80"/>
        <v>3.5148245952944024E-2</v>
      </c>
      <c r="F82" s="180">
        <f t="shared" ca="1" si="81"/>
        <v>3.3123525258754727E-2</v>
      </c>
      <c r="G82" s="180">
        <f t="shared" ca="1" si="82"/>
        <v>4.2930686988511817E-2</v>
      </c>
      <c r="H82" s="180">
        <f t="shared" ca="1" si="83"/>
        <v>1.8071088875334901E-2</v>
      </c>
      <c r="I82" s="180">
        <f t="shared" ca="1" si="84"/>
        <v>5.6124140068368016E-2</v>
      </c>
      <c r="J82" s="180">
        <f t="shared" ca="1" si="85"/>
        <v>6.1450112728167069E-2</v>
      </c>
      <c r="K82" s="180">
        <f t="shared" ca="1" si="86"/>
        <v>6.4516912286395625E-2</v>
      </c>
      <c r="L82" s="180">
        <f t="shared" ca="1" si="87"/>
        <v>5.5480658688502348E-2</v>
      </c>
      <c r="Q82">
        <f t="shared" ca="1" si="71"/>
        <v>-3.2508216012869296E-3</v>
      </c>
      <c r="R82">
        <f t="shared" ca="1" si="71"/>
        <v>-1.3262679524811784E-2</v>
      </c>
      <c r="S82">
        <f t="shared" ca="1" si="71"/>
        <v>1.326174707904274E-2</v>
      </c>
      <c r="T82">
        <f t="shared" ca="1" si="71"/>
        <v>-2.0247206941892948E-3</v>
      </c>
      <c r="U82">
        <f t="shared" ca="1" si="65"/>
        <v>9.8071617297570881E-3</v>
      </c>
      <c r="V82">
        <f t="shared" ca="1" si="65"/>
        <v>-2.4859598113176916E-2</v>
      </c>
      <c r="W82">
        <f t="shared" ca="1" si="65"/>
        <v>3.8053051193033115E-2</v>
      </c>
      <c r="X82">
        <f t="shared" ca="1" si="65"/>
        <v>5.3259726597990539E-3</v>
      </c>
      <c r="Y82">
        <f t="shared" ca="1" si="65"/>
        <v>3.0667995582285552E-3</v>
      </c>
      <c r="Z82">
        <f t="shared" ca="1" si="65"/>
        <v>-9.0362535978932776E-3</v>
      </c>
    </row>
    <row r="83" spans="2:26" hidden="1">
      <c r="B83" s="180">
        <f>'Inflation-Interest'!$C$68</f>
        <v>3.8399999999999997E-2</v>
      </c>
      <c r="C83" s="180">
        <f t="shared" ref="C83:D83" ca="1" si="89">B83+Q83</f>
        <v>5.5613271776245372E-2</v>
      </c>
      <c r="D83" s="180">
        <f t="shared" ca="1" si="89"/>
        <v>4.5410861036406729E-2</v>
      </c>
      <c r="E83" s="180">
        <f t="shared" ca="1" si="80"/>
        <v>3.7423672868581767E-2</v>
      </c>
      <c r="F83" s="180">
        <f t="shared" ca="1" si="81"/>
        <v>1.9234787802629993E-2</v>
      </c>
      <c r="G83" s="180">
        <f t="shared" ca="1" si="82"/>
        <v>2.1348591981444297E-2</v>
      </c>
      <c r="H83" s="180">
        <f t="shared" ca="1" si="83"/>
        <v>6.6302158309607135E-3</v>
      </c>
      <c r="I83" s="180">
        <f t="shared" ca="1" si="84"/>
        <v>-4.701190480084454E-3</v>
      </c>
      <c r="J83" s="180">
        <f t="shared" ca="1" si="85"/>
        <v>6.9435773876757607E-3</v>
      </c>
      <c r="K83" s="180">
        <f t="shared" ca="1" si="86"/>
        <v>-1.8614969648387457E-2</v>
      </c>
      <c r="L83" s="180">
        <f t="shared" ca="1" si="87"/>
        <v>-2.4164609528510936E-2</v>
      </c>
      <c r="Q83">
        <f t="shared" ca="1" si="71"/>
        <v>1.7213271776245376E-2</v>
      </c>
      <c r="R83">
        <f t="shared" ca="1" si="71"/>
        <v>-1.0202410739838644E-2</v>
      </c>
      <c r="S83">
        <f t="shared" ca="1" si="71"/>
        <v>-7.9871881678249615E-3</v>
      </c>
      <c r="T83">
        <f t="shared" ca="1" si="71"/>
        <v>-1.8188885065951774E-2</v>
      </c>
      <c r="U83">
        <f t="shared" ca="1" si="65"/>
        <v>2.1138041788143045E-3</v>
      </c>
      <c r="V83">
        <f t="shared" ca="1" si="65"/>
        <v>-1.4718376150483584E-2</v>
      </c>
      <c r="W83">
        <f t="shared" ca="1" si="65"/>
        <v>-1.1331406311045168E-2</v>
      </c>
      <c r="X83">
        <f t="shared" ca="1" si="65"/>
        <v>1.1644767867760215E-2</v>
      </c>
      <c r="Y83">
        <f t="shared" ca="1" si="65"/>
        <v>-2.5558547036063219E-2</v>
      </c>
      <c r="Z83">
        <f t="shared" ca="1" si="65"/>
        <v>-5.5496398801234805E-3</v>
      </c>
    </row>
    <row r="84" spans="2:26" hidden="1">
      <c r="B84" s="180">
        <f>'Inflation-Interest'!$C$68</f>
        <v>3.8399999999999997E-2</v>
      </c>
      <c r="C84" s="180">
        <f t="shared" ref="C84:D84" ca="1" si="90">B84+Q84</f>
        <v>3.8916665487818657E-2</v>
      </c>
      <c r="D84" s="180">
        <f t="shared" ca="1" si="90"/>
        <v>9.4417897710223006E-3</v>
      </c>
      <c r="E84" s="180">
        <f t="shared" ca="1" si="80"/>
        <v>2.9027457068703907E-2</v>
      </c>
      <c r="F84" s="180">
        <f t="shared" ca="1" si="81"/>
        <v>2.5194097097238532E-2</v>
      </c>
      <c r="G84" s="180">
        <f t="shared" ca="1" si="82"/>
        <v>1.2005335686808769E-2</v>
      </c>
      <c r="H84" s="180">
        <f t="shared" ca="1" si="83"/>
        <v>3.5813459782371142E-3</v>
      </c>
      <c r="I84" s="180">
        <f t="shared" ca="1" si="84"/>
        <v>1.0212663938881636E-2</v>
      </c>
      <c r="J84" s="180">
        <f t="shared" ca="1" si="85"/>
        <v>2.877127963111939E-2</v>
      </c>
      <c r="K84" s="180">
        <f t="shared" ca="1" si="86"/>
        <v>3.1753125526858175E-2</v>
      </c>
      <c r="L84" s="180">
        <f t="shared" ca="1" si="87"/>
        <v>4.1119620147326424E-2</v>
      </c>
      <c r="Q84">
        <f t="shared" ca="1" si="71"/>
        <v>5.166654878186619E-4</v>
      </c>
      <c r="R84">
        <f t="shared" ca="1" si="71"/>
        <v>-2.9474875716796356E-2</v>
      </c>
      <c r="S84">
        <f t="shared" ca="1" si="71"/>
        <v>1.9585667297681606E-2</v>
      </c>
      <c r="T84">
        <f t="shared" ca="1" si="71"/>
        <v>-3.8333599714653749E-3</v>
      </c>
      <c r="U84">
        <f t="shared" ca="1" si="65"/>
        <v>-1.3188761410429763E-2</v>
      </c>
      <c r="V84">
        <f t="shared" ca="1" si="65"/>
        <v>-8.4239897085716543E-3</v>
      </c>
      <c r="W84">
        <f t="shared" ca="1" si="65"/>
        <v>6.6313179606445217E-3</v>
      </c>
      <c r="X84">
        <f t="shared" ca="1" si="65"/>
        <v>1.8558615692237754E-2</v>
      </c>
      <c r="Y84">
        <f t="shared" ca="1" si="65"/>
        <v>2.9818458957387882E-3</v>
      </c>
      <c r="Z84">
        <f t="shared" ca="1" si="65"/>
        <v>9.3664946204682492E-3</v>
      </c>
    </row>
    <row r="85" spans="2:26" hidden="1">
      <c r="B85" s="180">
        <f>'Inflation-Interest'!$C$68</f>
        <v>3.8399999999999997E-2</v>
      </c>
      <c r="C85" s="180">
        <f t="shared" ref="C85:D85" ca="1" si="91">B85+Q85</f>
        <v>1.4512498502899047E-2</v>
      </c>
      <c r="D85" s="180">
        <f t="shared" ca="1" si="91"/>
        <v>2.1132306175512636E-2</v>
      </c>
      <c r="E85" s="180">
        <f t="shared" ca="1" si="80"/>
        <v>8.5071141613189492E-3</v>
      </c>
      <c r="F85" s="180">
        <f t="shared" ca="1" si="81"/>
        <v>2.9001332530608312E-2</v>
      </c>
      <c r="G85" s="180">
        <f t="shared" ca="1" si="82"/>
        <v>3.9727367005903277E-2</v>
      </c>
      <c r="H85" s="180">
        <f t="shared" ca="1" si="83"/>
        <v>1.3233373784432435E-2</v>
      </c>
      <c r="I85" s="180">
        <f t="shared" ca="1" si="84"/>
        <v>4.4879354207336131E-2</v>
      </c>
      <c r="J85" s="180">
        <f t="shared" ca="1" si="85"/>
        <v>4.3239751830785239E-2</v>
      </c>
      <c r="K85" s="180">
        <f t="shared" ca="1" si="86"/>
        <v>5.9719772920726846E-2</v>
      </c>
      <c r="L85" s="180">
        <f t="shared" ca="1" si="87"/>
        <v>5.4677538794284337E-2</v>
      </c>
      <c r="Q85">
        <f t="shared" ca="1" si="71"/>
        <v>-2.3887501497100949E-2</v>
      </c>
      <c r="R85">
        <f t="shared" ca="1" si="71"/>
        <v>6.6198076726135891E-3</v>
      </c>
      <c r="S85">
        <f t="shared" ca="1" si="71"/>
        <v>-1.2625192014193687E-2</v>
      </c>
      <c r="T85">
        <f t="shared" ca="1" si="71"/>
        <v>2.0494218369289361E-2</v>
      </c>
      <c r="U85">
        <f t="shared" ca="1" si="65"/>
        <v>1.0726034475294964E-2</v>
      </c>
      <c r="V85">
        <f t="shared" ca="1" si="65"/>
        <v>-2.6493993221470842E-2</v>
      </c>
      <c r="W85">
        <f t="shared" ca="1" si="65"/>
        <v>3.1645980422903695E-2</v>
      </c>
      <c r="X85">
        <f t="shared" ca="1" si="65"/>
        <v>-1.639602376550892E-3</v>
      </c>
      <c r="Y85">
        <f t="shared" ca="1" si="65"/>
        <v>1.6480021089941607E-2</v>
      </c>
      <c r="Z85">
        <f t="shared" ca="1" si="65"/>
        <v>-5.0422341264425071E-3</v>
      </c>
    </row>
    <row r="86" spans="2:26" hidden="1">
      <c r="B86" s="180">
        <f>'Inflation-Interest'!$C$68</f>
        <v>3.8399999999999997E-2</v>
      </c>
      <c r="C86" s="180">
        <f t="shared" ref="C86:D86" ca="1" si="92">B86+Q86</f>
        <v>3.1090939621953674E-2</v>
      </c>
      <c r="D86" s="180">
        <f t="shared" ca="1" si="92"/>
        <v>2.3439369434854491E-2</v>
      </c>
      <c r="E86" s="180">
        <f t="shared" ca="1" si="80"/>
        <v>2.5067353987104687E-2</v>
      </c>
      <c r="F86" s="180">
        <f t="shared" ca="1" si="81"/>
        <v>4.0013941050463069E-2</v>
      </c>
      <c r="G86" s="180">
        <f t="shared" ca="1" si="82"/>
        <v>2.0336138184236578E-2</v>
      </c>
      <c r="H86" s="180">
        <f t="shared" ca="1" si="83"/>
        <v>3.1331272790755489E-2</v>
      </c>
      <c r="I86" s="180">
        <f t="shared" ca="1" si="84"/>
        <v>2.943015043124288E-2</v>
      </c>
      <c r="J86" s="180">
        <f t="shared" ca="1" si="85"/>
        <v>3.4780118064884971E-3</v>
      </c>
      <c r="K86" s="180">
        <f t="shared" ca="1" si="86"/>
        <v>1.0694829568661326E-2</v>
      </c>
      <c r="L86" s="180">
        <f t="shared" ca="1" si="87"/>
        <v>1.2920244651852812E-2</v>
      </c>
      <c r="Q86">
        <f t="shared" ca="1" si="71"/>
        <v>-7.3090603780463243E-3</v>
      </c>
      <c r="R86">
        <f t="shared" ca="1" si="71"/>
        <v>-7.6515701870991833E-3</v>
      </c>
      <c r="S86">
        <f t="shared" ca="1" si="71"/>
        <v>1.6279845522501953E-3</v>
      </c>
      <c r="T86">
        <f t="shared" ca="1" si="71"/>
        <v>1.4946587063358382E-2</v>
      </c>
      <c r="U86">
        <f t="shared" ca="1" si="65"/>
        <v>-1.9677802866226491E-2</v>
      </c>
      <c r="V86">
        <f t="shared" ca="1" si="65"/>
        <v>1.0995134606518912E-2</v>
      </c>
      <c r="W86">
        <f t="shared" ca="1" si="65"/>
        <v>-1.9011223595126079E-3</v>
      </c>
      <c r="X86">
        <f t="shared" ca="1" si="65"/>
        <v>-2.5952138624754383E-2</v>
      </c>
      <c r="Y86">
        <f t="shared" ca="1" si="65"/>
        <v>7.2168177621728287E-3</v>
      </c>
      <c r="Z86">
        <f t="shared" ca="1" si="65"/>
        <v>2.2254150831914864E-3</v>
      </c>
    </row>
    <row r="87" spans="2:26" hidden="1">
      <c r="B87" s="180">
        <f>'Inflation-Interest'!$C$68</f>
        <v>3.8399999999999997E-2</v>
      </c>
      <c r="C87" s="180">
        <f t="shared" ref="C87:D87" ca="1" si="93">B87+Q87</f>
        <v>4.1079078007173593E-2</v>
      </c>
      <c r="D87" s="180">
        <f t="shared" ca="1" si="93"/>
        <v>4.4893562771416186E-2</v>
      </c>
      <c r="E87" s="180">
        <f t="shared" ca="1" si="80"/>
        <v>3.8032228945835474E-2</v>
      </c>
      <c r="F87" s="180">
        <f t="shared" ca="1" si="81"/>
        <v>4.6561923132256114E-2</v>
      </c>
      <c r="G87" s="180">
        <f t="shared" ca="1" si="82"/>
        <v>4.8205992220430899E-2</v>
      </c>
      <c r="H87" s="180">
        <f t="shared" ca="1" si="83"/>
        <v>4.9154307017439905E-2</v>
      </c>
      <c r="I87" s="180">
        <f t="shared" ca="1" si="84"/>
        <v>2.9881956588044874E-2</v>
      </c>
      <c r="J87" s="180">
        <f t="shared" ca="1" si="85"/>
        <v>3.3734752014969227E-2</v>
      </c>
      <c r="K87" s="180">
        <f t="shared" ca="1" si="86"/>
        <v>2.5012787355460378E-2</v>
      </c>
      <c r="L87" s="180">
        <f t="shared" ca="1" si="87"/>
        <v>4.1206791944108201E-2</v>
      </c>
      <c r="Q87">
        <f t="shared" ca="1" si="71"/>
        <v>2.6790780071735952E-3</v>
      </c>
      <c r="R87">
        <f t="shared" ca="1" si="71"/>
        <v>3.8144847642425936E-3</v>
      </c>
      <c r="S87">
        <f t="shared" ca="1" si="71"/>
        <v>-6.8613338255807147E-3</v>
      </c>
      <c r="T87">
        <f t="shared" ca="1" si="71"/>
        <v>8.5296941864206367E-3</v>
      </c>
      <c r="U87">
        <f t="shared" ca="1" si="65"/>
        <v>1.644069088174786E-3</v>
      </c>
      <c r="V87">
        <f t="shared" ca="1" si="65"/>
        <v>9.483147970090085E-4</v>
      </c>
      <c r="W87">
        <f t="shared" ca="1" si="65"/>
        <v>-1.9272350429395031E-2</v>
      </c>
      <c r="X87">
        <f t="shared" ca="1" si="65"/>
        <v>3.8527954269243535E-3</v>
      </c>
      <c r="Y87">
        <f t="shared" ca="1" si="65"/>
        <v>-8.721964659508849E-3</v>
      </c>
      <c r="Z87">
        <f t="shared" ca="1" si="65"/>
        <v>1.6194004588647823E-2</v>
      </c>
    </row>
    <row r="88" spans="2:26" hidden="1">
      <c r="B88" s="180">
        <f>'Inflation-Interest'!$C$68</f>
        <v>3.8399999999999997E-2</v>
      </c>
      <c r="C88" s="180">
        <f t="shared" ref="C88:D88" ca="1" si="94">B88+Q88</f>
        <v>4.6772583584328231E-2</v>
      </c>
      <c r="D88" s="180">
        <f t="shared" ca="1" si="94"/>
        <v>8.4561097597010221E-2</v>
      </c>
      <c r="E88" s="180">
        <f t="shared" ca="1" si="80"/>
        <v>8.9308716132584454E-2</v>
      </c>
      <c r="F88" s="180">
        <f t="shared" ca="1" si="81"/>
        <v>0.10057394013480284</v>
      </c>
      <c r="G88" s="180">
        <f t="shared" ca="1" si="82"/>
        <v>9.1134637569294255E-2</v>
      </c>
      <c r="H88" s="180">
        <f t="shared" ca="1" si="83"/>
        <v>8.3078610790033799E-2</v>
      </c>
      <c r="I88" s="180">
        <f t="shared" ca="1" si="84"/>
        <v>8.653288964329342E-2</v>
      </c>
      <c r="J88" s="180">
        <f t="shared" ca="1" si="85"/>
        <v>9.3523133228707714E-2</v>
      </c>
      <c r="K88" s="180">
        <f t="shared" ca="1" si="86"/>
        <v>9.9468878729823046E-2</v>
      </c>
      <c r="L88" s="180">
        <f t="shared" ca="1" si="87"/>
        <v>8.394662762718004E-2</v>
      </c>
      <c r="Q88">
        <f t="shared" ca="1" si="71"/>
        <v>8.3725835843282328E-3</v>
      </c>
      <c r="R88">
        <f t="shared" ca="1" si="71"/>
        <v>3.7788514012681997E-2</v>
      </c>
      <c r="S88">
        <f t="shared" ca="1" si="71"/>
        <v>4.7476185355742277E-3</v>
      </c>
      <c r="T88">
        <f t="shared" ca="1" si="71"/>
        <v>1.1265224002218377E-2</v>
      </c>
      <c r="U88">
        <f t="shared" ca="1" si="65"/>
        <v>-9.4393025655085862E-3</v>
      </c>
      <c r="V88">
        <f t="shared" ca="1" si="65"/>
        <v>-8.0560267792604522E-3</v>
      </c>
      <c r="W88">
        <f t="shared" ca="1" si="65"/>
        <v>3.4542788532596199E-3</v>
      </c>
      <c r="X88">
        <f t="shared" ca="1" si="65"/>
        <v>6.9902435854142997E-3</v>
      </c>
      <c r="Y88">
        <f t="shared" ca="1" si="65"/>
        <v>5.9457455011153321E-3</v>
      </c>
      <c r="Z88">
        <f t="shared" ca="1" si="65"/>
        <v>-1.5522251102643003E-2</v>
      </c>
    </row>
    <row r="89" spans="2:26" hidden="1">
      <c r="B89" s="180">
        <f>'Inflation-Interest'!$C$68</f>
        <v>3.8399999999999997E-2</v>
      </c>
      <c r="C89" s="180">
        <f t="shared" ref="C89:D89" ca="1" si="95">B89+Q89</f>
        <v>3.0213636014898796E-2</v>
      </c>
      <c r="D89" s="180">
        <f t="shared" ca="1" si="95"/>
        <v>4.0893973566861058E-2</v>
      </c>
      <c r="E89" s="180">
        <f t="shared" ca="1" si="80"/>
        <v>4.7895002354624364E-2</v>
      </c>
      <c r="F89" s="180">
        <f t="shared" ca="1" si="81"/>
        <v>5.305054072894607E-2</v>
      </c>
      <c r="G89" s="180">
        <f t="shared" ca="1" si="82"/>
        <v>5.4432399286001305E-2</v>
      </c>
      <c r="H89" s="180">
        <f t="shared" ca="1" si="83"/>
        <v>5.5195292263515841E-2</v>
      </c>
      <c r="I89" s="180">
        <f t="shared" ca="1" si="84"/>
        <v>2.3673753972924337E-2</v>
      </c>
      <c r="J89" s="180">
        <f t="shared" ca="1" si="85"/>
        <v>1.1976058974726382E-2</v>
      </c>
      <c r="K89" s="180">
        <f t="shared" ca="1" si="86"/>
        <v>6.4975540817278389E-4</v>
      </c>
      <c r="L89" s="180">
        <f t="shared" ca="1" si="87"/>
        <v>9.2383222349439291E-3</v>
      </c>
      <c r="Q89">
        <f t="shared" ca="1" si="71"/>
        <v>-8.1863639851012006E-3</v>
      </c>
      <c r="R89">
        <f t="shared" ca="1" si="71"/>
        <v>1.068033755196226E-2</v>
      </c>
      <c r="S89">
        <f t="shared" ca="1" si="71"/>
        <v>7.0010287877633037E-3</v>
      </c>
      <c r="T89">
        <f t="shared" ca="1" si="71"/>
        <v>5.1555383743217076E-3</v>
      </c>
      <c r="U89">
        <f t="shared" ca="1" si="65"/>
        <v>1.3818585570552382E-3</v>
      </c>
      <c r="V89">
        <f t="shared" ca="1" si="65"/>
        <v>7.6289297751453615E-4</v>
      </c>
      <c r="W89">
        <f t="shared" ca="1" si="65"/>
        <v>-3.1521538290591504E-2</v>
      </c>
      <c r="X89">
        <f t="shared" ca="1" si="65"/>
        <v>-1.1697694998197955E-2</v>
      </c>
      <c r="Y89">
        <f t="shared" ca="1" si="65"/>
        <v>-1.1326303566553599E-2</v>
      </c>
      <c r="Z89">
        <f t="shared" ca="1" si="65"/>
        <v>8.5885668267711452E-3</v>
      </c>
    </row>
    <row r="90" spans="2:26" hidden="1">
      <c r="B90" s="180">
        <f>'Inflation-Interest'!$C$68</f>
        <v>3.8399999999999997E-2</v>
      </c>
      <c r="C90" s="180">
        <f t="shared" ref="C90:D90" ca="1" si="96">B90+Q90</f>
        <v>5.7328026664856618E-2</v>
      </c>
      <c r="D90" s="180">
        <f t="shared" ca="1" si="96"/>
        <v>8.0284621612284404E-2</v>
      </c>
      <c r="E90" s="180">
        <f t="shared" ca="1" si="80"/>
        <v>8.5994865699763903E-2</v>
      </c>
      <c r="F90" s="180">
        <f t="shared" ca="1" si="81"/>
        <v>0.13208788374413025</v>
      </c>
      <c r="G90" s="180">
        <f t="shared" ca="1" si="82"/>
        <v>0.14907835299945246</v>
      </c>
      <c r="H90" s="180">
        <f t="shared" ca="1" si="83"/>
        <v>0.15780156443963894</v>
      </c>
      <c r="I90" s="180">
        <f t="shared" ca="1" si="84"/>
        <v>0.14602500196618354</v>
      </c>
      <c r="J90" s="180">
        <f t="shared" ca="1" si="85"/>
        <v>0.14523001502512012</v>
      </c>
      <c r="K90" s="180">
        <f t="shared" ca="1" si="86"/>
        <v>0.12878404238891314</v>
      </c>
      <c r="L90" s="180">
        <f t="shared" ca="1" si="87"/>
        <v>0.11659736827312034</v>
      </c>
      <c r="Q90">
        <f t="shared" ca="1" si="71"/>
        <v>1.8928026664856622E-2</v>
      </c>
      <c r="R90">
        <f t="shared" ca="1" si="71"/>
        <v>2.2956594947427782E-2</v>
      </c>
      <c r="S90">
        <f t="shared" ca="1" si="71"/>
        <v>5.7102440874795017E-3</v>
      </c>
      <c r="T90">
        <f t="shared" ca="1" si="71"/>
        <v>4.6093018044366336E-2</v>
      </c>
      <c r="U90">
        <f t="shared" ca="1" si="65"/>
        <v>1.6990469255322226E-2</v>
      </c>
      <c r="V90">
        <f t="shared" ca="1" si="65"/>
        <v>8.723211440186493E-3</v>
      </c>
      <c r="W90">
        <f t="shared" ca="1" si="65"/>
        <v>-1.1776562473455396E-2</v>
      </c>
      <c r="X90">
        <f t="shared" ca="1" si="65"/>
        <v>-7.9498694106341873E-4</v>
      </c>
      <c r="Y90">
        <f t="shared" ca="1" si="65"/>
        <v>-1.644597263620699E-2</v>
      </c>
      <c r="Z90">
        <f t="shared" ca="1" si="65"/>
        <v>-1.2186674115792806E-2</v>
      </c>
    </row>
    <row r="91" spans="2:26" hidden="1">
      <c r="B91" s="180">
        <f>'Inflation-Interest'!$C$68</f>
        <v>3.8399999999999997E-2</v>
      </c>
      <c r="C91" s="180">
        <f t="shared" ref="C91:D91" ca="1" si="97">B91+Q91</f>
        <v>1.2120242592417993E-2</v>
      </c>
      <c r="D91" s="180">
        <f t="shared" ca="1" si="97"/>
        <v>-1.5180048801782392E-2</v>
      </c>
      <c r="E91" s="180">
        <f t="shared" ca="1" si="80"/>
        <v>-5.695500156100302E-3</v>
      </c>
      <c r="F91" s="180">
        <f t="shared" ca="1" si="81"/>
        <v>-1.3380145236900832E-2</v>
      </c>
      <c r="G91" s="180">
        <f t="shared" ca="1" si="82"/>
        <v>-2.8811129777955809E-2</v>
      </c>
      <c r="H91" s="180">
        <f t="shared" ca="1" si="83"/>
        <v>-3.9999826496755785E-2</v>
      </c>
      <c r="I91" s="180">
        <f t="shared" ca="1" si="84"/>
        <v>-3.714553827091692E-2</v>
      </c>
      <c r="J91" s="180">
        <f t="shared" ca="1" si="85"/>
        <v>-4.7364943211084719E-2</v>
      </c>
      <c r="K91" s="180">
        <f t="shared" ca="1" si="86"/>
        <v>-2.5682023528060333E-2</v>
      </c>
      <c r="L91" s="180">
        <f t="shared" ca="1" si="87"/>
        <v>-2.2880532564096348E-2</v>
      </c>
      <c r="Q91">
        <f t="shared" ca="1" si="71"/>
        <v>-2.6279757407582004E-2</v>
      </c>
      <c r="R91">
        <f t="shared" ca="1" si="71"/>
        <v>-2.7300291394200385E-2</v>
      </c>
      <c r="S91">
        <f t="shared" ca="1" si="71"/>
        <v>9.48454864568209E-3</v>
      </c>
      <c r="T91">
        <f t="shared" ca="1" si="71"/>
        <v>-7.6846450808005298E-3</v>
      </c>
      <c r="U91">
        <f t="shared" ca="1" si="65"/>
        <v>-1.5430984541054977E-2</v>
      </c>
      <c r="V91">
        <f t="shared" ca="1" si="65"/>
        <v>-1.1188696718799978E-2</v>
      </c>
      <c r="W91">
        <f t="shared" ca="1" si="65"/>
        <v>2.8542882258388675E-3</v>
      </c>
      <c r="X91">
        <f t="shared" ca="1" si="65"/>
        <v>-1.0219404940167801E-2</v>
      </c>
      <c r="Y91">
        <f t="shared" ca="1" si="65"/>
        <v>2.1682919683024385E-2</v>
      </c>
      <c r="Z91">
        <f t="shared" ca="1" si="65"/>
        <v>2.8014909639639857E-3</v>
      </c>
    </row>
    <row r="92" spans="2:26" hidden="1">
      <c r="B92" s="180">
        <f>'Inflation-Interest'!$C$68</f>
        <v>3.8399999999999997E-2</v>
      </c>
      <c r="C92" s="180">
        <f t="shared" ref="C92:D92" ca="1" si="98">B92+Q92</f>
        <v>5.4400621030026103E-2</v>
      </c>
      <c r="D92" s="180">
        <f t="shared" ca="1" si="98"/>
        <v>6.4941185265306844E-2</v>
      </c>
      <c r="E92" s="180">
        <f t="shared" ca="1" si="80"/>
        <v>6.5203794624295902E-2</v>
      </c>
      <c r="F92" s="180">
        <f t="shared" ca="1" si="81"/>
        <v>7.5519297041216099E-2</v>
      </c>
      <c r="G92" s="180">
        <f t="shared" ca="1" si="82"/>
        <v>8.4327892219368955E-2</v>
      </c>
      <c r="H92" s="180">
        <f t="shared" ca="1" si="83"/>
        <v>4.344652738856053E-2</v>
      </c>
      <c r="I92" s="180">
        <f t="shared" ca="1" si="84"/>
        <v>3.170116249255038E-2</v>
      </c>
      <c r="J92" s="180">
        <f t="shared" ca="1" si="85"/>
        <v>3.4339397389493008E-2</v>
      </c>
      <c r="K92" s="180">
        <f t="shared" ca="1" si="86"/>
        <v>4.2286117412800167E-2</v>
      </c>
      <c r="L92" s="180">
        <f t="shared" ca="1" si="87"/>
        <v>4.7494125115551691E-2</v>
      </c>
      <c r="Q92">
        <f t="shared" ca="1" si="71"/>
        <v>1.600062103002611E-2</v>
      </c>
      <c r="R92">
        <f t="shared" ca="1" si="71"/>
        <v>1.0540564235280749E-2</v>
      </c>
      <c r="S92">
        <f t="shared" ca="1" si="71"/>
        <v>2.6260935898906029E-4</v>
      </c>
      <c r="T92">
        <f t="shared" ca="1" si="71"/>
        <v>1.031550241692019E-2</v>
      </c>
      <c r="U92">
        <f t="shared" ca="1" si="65"/>
        <v>8.8085951781528594E-3</v>
      </c>
      <c r="V92">
        <f t="shared" ca="1" si="65"/>
        <v>-4.0881364830808425E-2</v>
      </c>
      <c r="W92">
        <f t="shared" ca="1" si="65"/>
        <v>-1.1745364896010146E-2</v>
      </c>
      <c r="X92">
        <f t="shared" ca="1" si="65"/>
        <v>2.6382348969426284E-3</v>
      </c>
      <c r="Y92">
        <f t="shared" ca="1" si="65"/>
        <v>7.9467200233071626E-3</v>
      </c>
      <c r="Z92">
        <f t="shared" ca="1" si="65"/>
        <v>5.2080077027515225E-3</v>
      </c>
    </row>
    <row r="93" spans="2:26" hidden="1">
      <c r="B93" s="180">
        <f>'Inflation-Interest'!$C$68</f>
        <v>3.8399999999999997E-2</v>
      </c>
      <c r="C93" s="180">
        <f t="shared" ref="C93:D93" ca="1" si="99">B93+Q93</f>
        <v>2.9893422405603741E-2</v>
      </c>
      <c r="D93" s="180">
        <f t="shared" ca="1" si="99"/>
        <v>1.6933647352050038E-2</v>
      </c>
      <c r="E93" s="180">
        <f t="shared" ca="1" si="80"/>
        <v>1.1537304184411236E-2</v>
      </c>
      <c r="F93" s="180">
        <f t="shared" ca="1" si="81"/>
        <v>-3.4014838884368157E-3</v>
      </c>
      <c r="G93" s="180">
        <f t="shared" ca="1" si="82"/>
        <v>8.0821021653018476E-3</v>
      </c>
      <c r="H93" s="180">
        <f t="shared" ca="1" si="83"/>
        <v>7.5450626293787513E-3</v>
      </c>
      <c r="I93" s="180">
        <f t="shared" ca="1" si="84"/>
        <v>1.9210017202850246E-2</v>
      </c>
      <c r="J93" s="180">
        <f t="shared" ca="1" si="85"/>
        <v>1.664080363476813E-2</v>
      </c>
      <c r="K93" s="180">
        <f t="shared" ca="1" si="86"/>
        <v>3.8486967715968372E-3</v>
      </c>
      <c r="L93" s="180">
        <f t="shared" ca="1" si="87"/>
        <v>2.0974751773007293E-4</v>
      </c>
      <c r="Q93">
        <f t="shared" ca="1" si="71"/>
        <v>-8.5065775943962574E-3</v>
      </c>
      <c r="R93">
        <f t="shared" ca="1" si="71"/>
        <v>-1.2959775053553701E-2</v>
      </c>
      <c r="S93">
        <f t="shared" ca="1" si="71"/>
        <v>-5.3963431676388018E-3</v>
      </c>
      <c r="T93">
        <f t="shared" ca="1" si="71"/>
        <v>-1.4938788072848052E-2</v>
      </c>
      <c r="U93">
        <f t="shared" ca="1" si="65"/>
        <v>1.1483586053738663E-2</v>
      </c>
      <c r="V93">
        <f t="shared" ca="1" si="65"/>
        <v>-5.3703953592309627E-4</v>
      </c>
      <c r="W93">
        <f t="shared" ca="1" si="65"/>
        <v>1.1664954573471494E-2</v>
      </c>
      <c r="X93">
        <f t="shared" ca="1" si="65"/>
        <v>-2.5692135680821177E-3</v>
      </c>
      <c r="Y93">
        <f t="shared" ca="1" si="65"/>
        <v>-1.2792106863171292E-2</v>
      </c>
      <c r="Z93">
        <f t="shared" ca="1" si="65"/>
        <v>-3.6389492538667642E-3</v>
      </c>
    </row>
    <row r="94" spans="2:26" hidden="1">
      <c r="B94" s="180">
        <f>'Inflation-Interest'!$C$68</f>
        <v>3.8399999999999997E-2</v>
      </c>
      <c r="C94" s="180">
        <f t="shared" ref="C94:D94" ca="1" si="100">B94+Q94</f>
        <v>5.0652143542202384E-2</v>
      </c>
      <c r="D94" s="180">
        <f t="shared" ca="1" si="100"/>
        <v>4.4717483413551459E-2</v>
      </c>
      <c r="E94" s="180">
        <f t="shared" ca="1" si="80"/>
        <v>5.6723903682152806E-2</v>
      </c>
      <c r="F94" s="180">
        <f t="shared" ca="1" si="81"/>
        <v>4.9952542340260225E-2</v>
      </c>
      <c r="G94" s="180">
        <f t="shared" ca="1" si="82"/>
        <v>5.8618125728734274E-2</v>
      </c>
      <c r="H94" s="180">
        <f t="shared" ca="1" si="83"/>
        <v>9.4338970890614271E-2</v>
      </c>
      <c r="I94" s="180">
        <f t="shared" ca="1" si="84"/>
        <v>8.147032049922491E-2</v>
      </c>
      <c r="J94" s="180">
        <f t="shared" ca="1" si="85"/>
        <v>0.10186332024070564</v>
      </c>
      <c r="K94" s="180">
        <f t="shared" ca="1" si="86"/>
        <v>0.12657710796426813</v>
      </c>
      <c r="L94" s="180">
        <f t="shared" ca="1" si="87"/>
        <v>0.13973191977598662</v>
      </c>
      <c r="Q94">
        <f t="shared" ca="1" si="71"/>
        <v>1.2252143542202387E-2</v>
      </c>
      <c r="R94">
        <f t="shared" ca="1" si="71"/>
        <v>-5.934660128650928E-3</v>
      </c>
      <c r="S94">
        <f t="shared" ca="1" si="71"/>
        <v>1.2006420268601348E-2</v>
      </c>
      <c r="T94">
        <f t="shared" ca="1" si="71"/>
        <v>-6.7713613418925794E-3</v>
      </c>
      <c r="U94">
        <f t="shared" ca="1" si="65"/>
        <v>8.6655833884740473E-3</v>
      </c>
      <c r="V94">
        <f t="shared" ca="1" si="65"/>
        <v>3.5720845161880004E-2</v>
      </c>
      <c r="W94">
        <f t="shared" ca="1" si="65"/>
        <v>-1.2868650391389359E-2</v>
      </c>
      <c r="X94">
        <f t="shared" ca="1" si="65"/>
        <v>2.0392999741480736E-2</v>
      </c>
      <c r="Y94">
        <f t="shared" ca="1" si="65"/>
        <v>2.4713787723562478E-2</v>
      </c>
      <c r="Z94">
        <f t="shared" ca="1" si="65"/>
        <v>1.3154811811718478E-2</v>
      </c>
    </row>
    <row r="95" spans="2:26" hidden="1">
      <c r="B95" s="180">
        <f>'Inflation-Interest'!$C$68</f>
        <v>3.8399999999999997E-2</v>
      </c>
      <c r="C95" s="180">
        <f t="shared" ref="C95:D95" ca="1" si="101">B95+Q95</f>
        <v>-6.0624895703851461E-4</v>
      </c>
      <c r="D95" s="180">
        <f t="shared" ca="1" si="101"/>
        <v>-9.0095402324495474E-3</v>
      </c>
      <c r="E95" s="180">
        <f t="shared" ca="1" si="80"/>
        <v>-2.9084496755794496E-3</v>
      </c>
      <c r="F95" s="180">
        <f t="shared" ca="1" si="81"/>
        <v>-3.2710258143898215E-4</v>
      </c>
      <c r="G95" s="180">
        <f t="shared" ca="1" si="82"/>
        <v>-9.3174501721382495E-3</v>
      </c>
      <c r="H95" s="180">
        <f t="shared" ca="1" si="83"/>
        <v>-1.4210056858905765E-3</v>
      </c>
      <c r="I95" s="180">
        <f t="shared" ca="1" si="84"/>
        <v>-3.080157062716737E-2</v>
      </c>
      <c r="J95" s="180">
        <f t="shared" ca="1" si="85"/>
        <v>-3.9889676103465152E-2</v>
      </c>
      <c r="K95" s="180">
        <f t="shared" ca="1" si="86"/>
        <v>-3.5324260169690917E-2</v>
      </c>
      <c r="L95" s="180">
        <f t="shared" ca="1" si="87"/>
        <v>-3.9841773851336373E-2</v>
      </c>
      <c r="Q95">
        <f t="shared" ca="1" si="71"/>
        <v>-3.9006248957038511E-2</v>
      </c>
      <c r="R95">
        <f t="shared" ca="1" si="71"/>
        <v>-8.4032912754110328E-3</v>
      </c>
      <c r="S95">
        <f t="shared" ca="1" si="71"/>
        <v>6.1010905568700978E-3</v>
      </c>
      <c r="T95">
        <f t="shared" ca="1" si="71"/>
        <v>2.5813470941404675E-3</v>
      </c>
      <c r="U95">
        <f t="shared" ca="1" si="65"/>
        <v>-8.9903475906992665E-3</v>
      </c>
      <c r="V95">
        <f t="shared" ca="1" si="65"/>
        <v>7.8964444862476731E-3</v>
      </c>
      <c r="W95">
        <f t="shared" ca="1" si="65"/>
        <v>-2.9380564941276794E-2</v>
      </c>
      <c r="X95">
        <f t="shared" ca="1" si="65"/>
        <v>-9.088105476297785E-3</v>
      </c>
      <c r="Y95">
        <f t="shared" ca="1" si="65"/>
        <v>4.565415933774233E-3</v>
      </c>
      <c r="Z95">
        <f t="shared" ca="1" si="65"/>
        <v>-4.5175136816454579E-3</v>
      </c>
    </row>
    <row r="96" spans="2:26" hidden="1">
      <c r="B96" s="180">
        <f>'Inflation-Interest'!$C$68</f>
        <v>3.8399999999999997E-2</v>
      </c>
      <c r="C96" s="180">
        <f t="shared" ref="C96:D96" ca="1" si="102">B96+Q96</f>
        <v>4.2847346812740127E-2</v>
      </c>
      <c r="D96" s="180">
        <f t="shared" ca="1" si="102"/>
        <v>5.8438301945816631E-2</v>
      </c>
      <c r="E96" s="180">
        <f t="shared" ca="1" si="80"/>
        <v>3.6393005497759354E-2</v>
      </c>
      <c r="F96" s="180">
        <f t="shared" ca="1" si="81"/>
        <v>2.2787392311181154E-2</v>
      </c>
      <c r="G96" s="180">
        <f t="shared" ca="1" si="82"/>
        <v>1.9179474117451595E-2</v>
      </c>
      <c r="H96" s="180">
        <f t="shared" ca="1" si="83"/>
        <v>3.4610091224398475E-3</v>
      </c>
      <c r="I96" s="180">
        <f t="shared" ca="1" si="84"/>
        <v>-5.4518980909312453E-3</v>
      </c>
      <c r="J96" s="180">
        <f t="shared" ca="1" si="85"/>
        <v>1.9702546175498666E-3</v>
      </c>
      <c r="K96" s="180">
        <f t="shared" ca="1" si="86"/>
        <v>1.7457742320847239E-3</v>
      </c>
      <c r="L96" s="180">
        <f t="shared" ca="1" si="87"/>
        <v>1.3785638446225722E-3</v>
      </c>
      <c r="Q96">
        <f t="shared" ca="1" si="71"/>
        <v>4.4473468127401317E-3</v>
      </c>
      <c r="R96">
        <f t="shared" ca="1" si="71"/>
        <v>1.5590955133076505E-2</v>
      </c>
      <c r="S96">
        <f t="shared" ca="1" si="71"/>
        <v>-2.2045296448057274E-2</v>
      </c>
      <c r="T96">
        <f t="shared" ca="1" si="71"/>
        <v>-1.3605613186578198E-2</v>
      </c>
      <c r="U96">
        <f t="shared" ca="1" si="65"/>
        <v>-3.6079181937295588E-3</v>
      </c>
      <c r="V96">
        <f t="shared" ca="1" si="65"/>
        <v>-1.5718464995011748E-2</v>
      </c>
      <c r="W96">
        <f t="shared" ca="1" si="65"/>
        <v>-8.9129072133710928E-3</v>
      </c>
      <c r="X96">
        <f t="shared" ca="1" si="65"/>
        <v>7.4221527084811119E-3</v>
      </c>
      <c r="Y96">
        <f t="shared" ca="1" si="65"/>
        <v>-2.244803854651426E-4</v>
      </c>
      <c r="Z96">
        <f t="shared" ca="1" si="65"/>
        <v>-3.672103874621518E-4</v>
      </c>
    </row>
    <row r="97" spans="2:26" hidden="1">
      <c r="B97" s="180">
        <f>'Inflation-Interest'!$C$68</f>
        <v>3.8399999999999997E-2</v>
      </c>
      <c r="C97" s="180">
        <f t="shared" ref="C97:D97" ca="1" si="103">B97+Q97</f>
        <v>6.7777664052111136E-2</v>
      </c>
      <c r="D97" s="180">
        <f t="shared" ca="1" si="103"/>
        <v>8.5912295364927727E-2</v>
      </c>
      <c r="E97" s="180">
        <f t="shared" ca="1" si="80"/>
        <v>7.5599692485411221E-2</v>
      </c>
      <c r="F97" s="180">
        <f t="shared" ca="1" si="81"/>
        <v>6.2968174691357542E-2</v>
      </c>
      <c r="G97" s="180">
        <f t="shared" ca="1" si="82"/>
        <v>6.213341930024055E-2</v>
      </c>
      <c r="H97" s="180">
        <f t="shared" ca="1" si="83"/>
        <v>8.2734227344104877E-2</v>
      </c>
      <c r="I97" s="180">
        <f t="shared" ca="1" si="84"/>
        <v>6.8182164311240995E-2</v>
      </c>
      <c r="J97" s="180">
        <f t="shared" ca="1" si="85"/>
        <v>7.4519169367623775E-2</v>
      </c>
      <c r="K97" s="180">
        <f t="shared" ca="1" si="86"/>
        <v>0.100474769005527</v>
      </c>
      <c r="L97" s="180">
        <f t="shared" ca="1" si="87"/>
        <v>9.3955675362509025E-2</v>
      </c>
      <c r="Q97">
        <f t="shared" ca="1" si="71"/>
        <v>2.9377664052111143E-2</v>
      </c>
      <c r="R97">
        <f t="shared" ca="1" si="71"/>
        <v>1.8134631312816594E-2</v>
      </c>
      <c r="S97">
        <f t="shared" ca="1" si="71"/>
        <v>-1.0312602879516502E-2</v>
      </c>
      <c r="T97">
        <f t="shared" ca="1" si="71"/>
        <v>-1.2631517794053686E-2</v>
      </c>
      <c r="U97">
        <f t="shared" ca="1" si="65"/>
        <v>-8.3475539111699509E-4</v>
      </c>
      <c r="V97">
        <f t="shared" ca="1" si="65"/>
        <v>2.0600808043864327E-2</v>
      </c>
      <c r="W97">
        <f t="shared" ca="1" si="65"/>
        <v>-1.4552063032863881E-2</v>
      </c>
      <c r="X97">
        <f t="shared" ca="1" si="65"/>
        <v>6.3370050563827784E-3</v>
      </c>
      <c r="Y97">
        <f t="shared" ca="1" si="65"/>
        <v>2.5955599637903223E-2</v>
      </c>
      <c r="Z97">
        <f t="shared" ca="1" si="65"/>
        <v>-6.5190936430179749E-3</v>
      </c>
    </row>
    <row r="98" spans="2:26" hidden="1">
      <c r="B98" s="180">
        <f>'Inflation-Interest'!$C$68</f>
        <v>3.8399999999999997E-2</v>
      </c>
      <c r="C98" s="180">
        <f t="shared" ref="C98:D98" ca="1" si="104">B98+Q98</f>
        <v>3.4106250725933013E-2</v>
      </c>
      <c r="D98" s="180">
        <f t="shared" ca="1" si="104"/>
        <v>2.6253771702961452E-2</v>
      </c>
      <c r="E98" s="180">
        <f t="shared" ca="1" si="80"/>
        <v>4.335471879309194E-2</v>
      </c>
      <c r="F98" s="180">
        <f t="shared" ca="1" si="81"/>
        <v>5.9362427087703833E-2</v>
      </c>
      <c r="G98" s="180">
        <f t="shared" ca="1" si="82"/>
        <v>6.5596611416544187E-2</v>
      </c>
      <c r="H98" s="180">
        <f t="shared" ca="1" si="83"/>
        <v>8.0989535821548539E-2</v>
      </c>
      <c r="I98" s="180">
        <f t="shared" ca="1" si="84"/>
        <v>7.8737394810135114E-2</v>
      </c>
      <c r="J98" s="180">
        <f t="shared" ca="1" si="85"/>
        <v>8.165755223958765E-2</v>
      </c>
      <c r="K98" s="180">
        <f t="shared" ca="1" si="86"/>
        <v>6.5805543528616867E-2</v>
      </c>
      <c r="L98" s="180">
        <f t="shared" ca="1" si="87"/>
        <v>6.4891737367231916E-2</v>
      </c>
      <c r="Q98">
        <f t="shared" ca="1" si="71"/>
        <v>-4.2937492740669839E-3</v>
      </c>
      <c r="R98">
        <f t="shared" ca="1" si="71"/>
        <v>-7.8524790229715612E-3</v>
      </c>
      <c r="S98">
        <f t="shared" ca="1" si="71"/>
        <v>1.7100947090130488E-2</v>
      </c>
      <c r="T98">
        <f t="shared" ca="1" si="71"/>
        <v>1.6007708294611893E-2</v>
      </c>
      <c r="U98">
        <f t="shared" ca="1" si="65"/>
        <v>6.2341843288403484E-3</v>
      </c>
      <c r="V98">
        <f t="shared" ca="1" si="65"/>
        <v>1.5392924405004352E-2</v>
      </c>
      <c r="W98">
        <f t="shared" ca="1" si="65"/>
        <v>-2.2521410114134306E-3</v>
      </c>
      <c r="X98">
        <f t="shared" ca="1" si="65"/>
        <v>2.9201574294525317E-3</v>
      </c>
      <c r="Y98">
        <f t="shared" ca="1" si="65"/>
        <v>-1.5852008710970783E-2</v>
      </c>
      <c r="Z98">
        <f t="shared" ca="1" si="65"/>
        <v>-9.1380616138495236E-4</v>
      </c>
    </row>
    <row r="99" spans="2:26" hidden="1">
      <c r="B99" s="180">
        <f>'Inflation-Interest'!$C$68</f>
        <v>3.8399999999999997E-2</v>
      </c>
      <c r="C99" s="180">
        <f t="shared" ref="C99:D99" ca="1" si="105">B99+Q99</f>
        <v>2.2017661990248513E-2</v>
      </c>
      <c r="D99" s="180">
        <f t="shared" ca="1" si="105"/>
        <v>3.9947599768343493E-2</v>
      </c>
      <c r="E99" s="180">
        <f t="shared" ca="1" si="80"/>
        <v>4.5300220304688936E-2</v>
      </c>
      <c r="F99" s="180">
        <f t="shared" ca="1" si="81"/>
        <v>5.0932434422831435E-2</v>
      </c>
      <c r="G99" s="180">
        <f t="shared" ca="1" si="82"/>
        <v>5.9561938190168078E-2</v>
      </c>
      <c r="H99" s="180">
        <f t="shared" ca="1" si="83"/>
        <v>7.601365026564566E-2</v>
      </c>
      <c r="I99" s="180">
        <f t="shared" ca="1" si="84"/>
        <v>6.7726468735499271E-2</v>
      </c>
      <c r="J99" s="180">
        <f t="shared" ca="1" si="85"/>
        <v>6.3192122315004609E-2</v>
      </c>
      <c r="K99" s="180">
        <f t="shared" ca="1" si="86"/>
        <v>6.8324940350996857E-2</v>
      </c>
      <c r="L99" s="180">
        <f t="shared" ca="1" si="87"/>
        <v>7.7335937741153341E-2</v>
      </c>
      <c r="Q99">
        <f t="shared" ca="1" si="71"/>
        <v>-1.6382338009751484E-2</v>
      </c>
      <c r="R99">
        <f t="shared" ca="1" si="71"/>
        <v>1.7929937778094981E-2</v>
      </c>
      <c r="S99">
        <f t="shared" ca="1" si="71"/>
        <v>5.3526205363454401E-3</v>
      </c>
      <c r="T99">
        <f t="shared" ca="1" si="71"/>
        <v>5.6322141181424958E-3</v>
      </c>
      <c r="U99">
        <f t="shared" ca="1" si="65"/>
        <v>8.6295037673366406E-3</v>
      </c>
      <c r="V99">
        <f t="shared" ca="1" si="65"/>
        <v>1.6451712075477576E-2</v>
      </c>
      <c r="W99">
        <f t="shared" ca="1" si="65"/>
        <v>-8.2871815301463932E-3</v>
      </c>
      <c r="X99">
        <f t="shared" ca="1" si="65"/>
        <v>-4.5343464204946667E-3</v>
      </c>
      <c r="Y99">
        <f t="shared" ca="1" si="65"/>
        <v>5.1328180359922525E-3</v>
      </c>
      <c r="Z99">
        <f t="shared" ca="1" si="65"/>
        <v>9.0109973901564833E-3</v>
      </c>
    </row>
    <row r="100" spans="2:26" hidden="1">
      <c r="B100" s="180">
        <f>'Inflation-Interest'!$C$68</f>
        <v>3.8399999999999997E-2</v>
      </c>
      <c r="C100" s="180">
        <f t="shared" ref="C100:D100" ca="1" si="106">B100+Q100</f>
        <v>3.7790356800962203E-2</v>
      </c>
      <c r="D100" s="180">
        <f t="shared" ca="1" si="106"/>
        <v>3.0723421171440977E-2</v>
      </c>
      <c r="E100" s="180">
        <f t="shared" ca="1" si="80"/>
        <v>2.3823583226433572E-2</v>
      </c>
      <c r="F100" s="180">
        <f t="shared" ca="1" si="81"/>
        <v>2.0917977941036253E-2</v>
      </c>
      <c r="G100" s="180">
        <f t="shared" ca="1" si="82"/>
        <v>7.126100490344317E-3</v>
      </c>
      <c r="H100" s="180">
        <f t="shared" ca="1" si="83"/>
        <v>1.1019541425520881E-2</v>
      </c>
      <c r="I100" s="180">
        <f t="shared" ca="1" si="84"/>
        <v>8.2744965560016433E-3</v>
      </c>
      <c r="J100" s="180">
        <f t="shared" ca="1" si="85"/>
        <v>6.2247172833169388E-3</v>
      </c>
      <c r="K100" s="180">
        <f t="shared" ca="1" si="86"/>
        <v>1.1267611353283871E-2</v>
      </c>
      <c r="L100" s="180">
        <f t="shared" ca="1" si="87"/>
        <v>1.3608648912948197E-2</v>
      </c>
      <c r="Q100">
        <f t="shared" ca="1" si="71"/>
        <v>-6.0964319903779145E-4</v>
      </c>
      <c r="R100">
        <f t="shared" ca="1" si="71"/>
        <v>-7.0669356295212258E-3</v>
      </c>
      <c r="S100">
        <f t="shared" ca="1" si="71"/>
        <v>-6.8998379450074046E-3</v>
      </c>
      <c r="T100">
        <f t="shared" ca="1" si="71"/>
        <v>-2.9056052853973203E-3</v>
      </c>
      <c r="U100">
        <f t="shared" ca="1" si="71"/>
        <v>-1.3791877450691936E-2</v>
      </c>
      <c r="V100">
        <f t="shared" ca="1" si="71"/>
        <v>3.8934409351765648E-3</v>
      </c>
      <c r="W100">
        <f t="shared" ca="1" si="71"/>
        <v>-2.7450448695192382E-3</v>
      </c>
      <c r="X100">
        <f t="shared" ca="1" si="71"/>
        <v>-2.0497792726847041E-3</v>
      </c>
      <c r="Y100">
        <f t="shared" ca="1" si="71"/>
        <v>5.0428940699669316E-3</v>
      </c>
      <c r="Z100">
        <f t="shared" ca="1" si="71"/>
        <v>2.3410375596643264E-3</v>
      </c>
    </row>
    <row r="101" spans="2:26" hidden="1">
      <c r="B101" s="180">
        <f>'Inflation-Interest'!$C$68</f>
        <v>3.8399999999999997E-2</v>
      </c>
      <c r="C101" s="180">
        <f t="shared" ref="C101:D101" ca="1" si="107">B101+Q101</f>
        <v>3.7286697472360956E-2</v>
      </c>
      <c r="D101" s="180">
        <f t="shared" ca="1" si="107"/>
        <v>3.1730799882120402E-2</v>
      </c>
      <c r="E101" s="180">
        <f t="shared" ca="1" si="80"/>
        <v>2.4989401361048148E-2</v>
      </c>
      <c r="F101" s="180">
        <f t="shared" ca="1" si="81"/>
        <v>2.5763052770389171E-2</v>
      </c>
      <c r="G101" s="180">
        <f t="shared" ca="1" si="82"/>
        <v>4.6209579645867763E-2</v>
      </c>
      <c r="H101" s="180">
        <f t="shared" ca="1" si="83"/>
        <v>3.1121465743402507E-2</v>
      </c>
      <c r="I101" s="180">
        <f t="shared" ca="1" si="84"/>
        <v>2.1378044893518564E-2</v>
      </c>
      <c r="J101" s="180">
        <f t="shared" ca="1" si="85"/>
        <v>-2.9058661307117678E-3</v>
      </c>
      <c r="K101" s="180">
        <f t="shared" ca="1" si="86"/>
        <v>6.2774043492920175E-3</v>
      </c>
      <c r="L101" s="180">
        <f t="shared" ca="1" si="87"/>
        <v>5.7809548565794164E-3</v>
      </c>
      <c r="Q101">
        <f t="shared" ca="1" si="71"/>
        <v>-1.113302527639043E-3</v>
      </c>
      <c r="R101">
        <f t="shared" ca="1" si="71"/>
        <v>-5.5558975902405576E-3</v>
      </c>
      <c r="S101">
        <f t="shared" ca="1" si="71"/>
        <v>-6.7413985210722539E-3</v>
      </c>
      <c r="T101">
        <f t="shared" ca="1" si="71"/>
        <v>7.7365140934102352E-4</v>
      </c>
      <c r="U101">
        <f t="shared" ca="1" si="71"/>
        <v>2.0446526875478589E-2</v>
      </c>
      <c r="V101">
        <f t="shared" ca="1" si="71"/>
        <v>-1.5088113902465257E-2</v>
      </c>
      <c r="W101">
        <f t="shared" ca="1" si="71"/>
        <v>-9.7434208498839454E-3</v>
      </c>
      <c r="X101">
        <f t="shared" ca="1" si="71"/>
        <v>-2.4283911024230331E-2</v>
      </c>
      <c r="Y101">
        <f t="shared" ca="1" si="71"/>
        <v>9.1832704800037853E-3</v>
      </c>
      <c r="Z101">
        <f t="shared" ca="1" si="71"/>
        <v>-4.9644949271260091E-4</v>
      </c>
    </row>
    <row r="102" spans="2:26" hidden="1">
      <c r="B102" s="180">
        <f>'Inflation-Interest'!$C$68</f>
        <v>3.8399999999999997E-2</v>
      </c>
      <c r="C102" s="180">
        <f t="shared" ref="C102:D102" ca="1" si="108">B102+Q102</f>
        <v>2.7750384729285857E-2</v>
      </c>
      <c r="D102" s="180">
        <f t="shared" ca="1" si="108"/>
        <v>2.2960696950367891E-2</v>
      </c>
      <c r="E102" s="180">
        <f t="shared" ca="1" si="80"/>
        <v>2.2852641339610402E-2</v>
      </c>
      <c r="F102" s="180">
        <f t="shared" ca="1" si="81"/>
        <v>3.4193742498771086E-2</v>
      </c>
      <c r="G102" s="180">
        <f t="shared" ca="1" si="82"/>
        <v>5.037236954599808E-2</v>
      </c>
      <c r="H102" s="180">
        <f t="shared" ca="1" si="83"/>
        <v>4.3466409620204732E-2</v>
      </c>
      <c r="I102" s="180">
        <f t="shared" ca="1" si="84"/>
        <v>3.6823404305989321E-2</v>
      </c>
      <c r="J102" s="180">
        <f t="shared" ca="1" si="85"/>
        <v>4.6684710993265106E-2</v>
      </c>
      <c r="K102" s="180">
        <f t="shared" ca="1" si="86"/>
        <v>4.9649526790865019E-2</v>
      </c>
      <c r="L102" s="180">
        <f t="shared" ca="1" si="87"/>
        <v>3.8487768572724665E-2</v>
      </c>
      <c r="Q102">
        <f t="shared" ca="1" si="71"/>
        <v>-1.064961527071414E-2</v>
      </c>
      <c r="R102">
        <f t="shared" ca="1" si="71"/>
        <v>-4.7896877789179639E-3</v>
      </c>
      <c r="S102">
        <f t="shared" ca="1" si="71"/>
        <v>-1.0805561075748936E-4</v>
      </c>
      <c r="T102">
        <f t="shared" ca="1" si="71"/>
        <v>1.1341101159160684E-2</v>
      </c>
      <c r="U102">
        <f t="shared" ca="1" si="71"/>
        <v>1.6178627047226991E-2</v>
      </c>
      <c r="V102">
        <f t="shared" ca="1" si="71"/>
        <v>-6.9059599257933514E-3</v>
      </c>
      <c r="W102">
        <f t="shared" ca="1" si="71"/>
        <v>-6.6430053142154137E-3</v>
      </c>
      <c r="X102">
        <f t="shared" ca="1" si="71"/>
        <v>9.8613066872757851E-3</v>
      </c>
      <c r="Y102">
        <f t="shared" ca="1" si="71"/>
        <v>2.9648157975999145E-3</v>
      </c>
      <c r="Z102">
        <f t="shared" ca="1" si="71"/>
        <v>-1.1161758218140357E-2</v>
      </c>
    </row>
    <row r="103" spans="2:26" hidden="1">
      <c r="B103" s="180">
        <f>'Inflation-Interest'!$C$68</f>
        <v>3.8399999999999997E-2</v>
      </c>
      <c r="C103" s="180">
        <f t="shared" ref="C103:D103" ca="1" si="109">B103+Q103</f>
        <v>3.1974912521687208E-2</v>
      </c>
      <c r="D103" s="180">
        <f t="shared" ca="1" si="109"/>
        <v>3.7348742695481621E-2</v>
      </c>
      <c r="E103" s="180">
        <f t="shared" ca="1" si="80"/>
        <v>5.3797191659670798E-2</v>
      </c>
      <c r="F103" s="180">
        <f t="shared" ca="1" si="81"/>
        <v>5.9636011370301528E-2</v>
      </c>
      <c r="G103" s="180">
        <f t="shared" ca="1" si="82"/>
        <v>6.7040669270507933E-2</v>
      </c>
      <c r="H103" s="180">
        <f t="shared" ca="1" si="83"/>
        <v>9.4269481763822049E-2</v>
      </c>
      <c r="I103" s="180">
        <f t="shared" ca="1" si="84"/>
        <v>8.2950280951829852E-2</v>
      </c>
      <c r="J103" s="180">
        <f t="shared" ca="1" si="85"/>
        <v>0.10347893355515025</v>
      </c>
      <c r="K103" s="180">
        <f t="shared" ca="1" si="86"/>
        <v>9.2463587443435968E-2</v>
      </c>
      <c r="L103" s="180">
        <f t="shared" ca="1" si="87"/>
        <v>8.7119589711573409E-2</v>
      </c>
      <c r="Q103">
        <f t="shared" ca="1" si="71"/>
        <v>-6.4250874783127873E-3</v>
      </c>
      <c r="R103">
        <f t="shared" ca="1" si="71"/>
        <v>5.3738301737944116E-3</v>
      </c>
      <c r="S103">
        <f t="shared" ca="1" si="71"/>
        <v>1.6448448964189181E-2</v>
      </c>
      <c r="T103">
        <f t="shared" ca="1" si="71"/>
        <v>5.8388197106307325E-3</v>
      </c>
      <c r="U103">
        <f t="shared" ca="1" si="71"/>
        <v>7.4046579002064097E-3</v>
      </c>
      <c r="V103">
        <f t="shared" ca="1" si="71"/>
        <v>2.7228812493314117E-2</v>
      </c>
      <c r="W103">
        <f t="shared" ca="1" si="71"/>
        <v>-1.1319200811992202E-2</v>
      </c>
      <c r="X103">
        <f t="shared" ca="1" si="71"/>
        <v>2.0528652603320399E-2</v>
      </c>
      <c r="Y103">
        <f t="shared" ca="1" si="71"/>
        <v>-1.1015346111714281E-2</v>
      </c>
      <c r="Z103">
        <f t="shared" ca="1" si="71"/>
        <v>-5.3439977318625641E-3</v>
      </c>
    </row>
    <row r="104" spans="2:26" hidden="1">
      <c r="B104" s="180">
        <f>'Inflation-Interest'!$C$68</f>
        <v>3.8399999999999997E-2</v>
      </c>
      <c r="C104" s="180">
        <f t="shared" ref="C104:D104" ca="1" si="110">B104+Q104</f>
        <v>4.9320427554482078E-2</v>
      </c>
      <c r="D104" s="180">
        <f t="shared" ca="1" si="110"/>
        <v>1.0632956363526805E-2</v>
      </c>
      <c r="E104" s="180">
        <f t="shared" ca="1" si="80"/>
        <v>-5.1077647146569108E-3</v>
      </c>
      <c r="F104" s="180">
        <f t="shared" ca="1" si="81"/>
        <v>2.3005121333736509E-3</v>
      </c>
      <c r="G104" s="180">
        <f t="shared" ca="1" si="82"/>
        <v>-1.8187493191415783E-3</v>
      </c>
      <c r="H104" s="180">
        <f t="shared" ca="1" si="83"/>
        <v>-2.0395646109578291E-2</v>
      </c>
      <c r="I104" s="180">
        <f t="shared" ca="1" si="84"/>
        <v>-1.2872977287524956E-3</v>
      </c>
      <c r="J104" s="180">
        <f t="shared" ca="1" si="85"/>
        <v>1.9932833748284876E-2</v>
      </c>
      <c r="K104" s="180">
        <f t="shared" ca="1" si="86"/>
        <v>1.4375477587848032E-3</v>
      </c>
      <c r="L104" s="180">
        <f t="shared" ca="1" si="87"/>
        <v>1.7298406723433274E-2</v>
      </c>
      <c r="Q104">
        <f t="shared" ca="1" si="71"/>
        <v>1.092042755448208E-2</v>
      </c>
      <c r="R104">
        <f t="shared" ca="1" si="71"/>
        <v>-3.8687471190955273E-2</v>
      </c>
      <c r="S104">
        <f t="shared" ca="1" si="71"/>
        <v>-1.5740721078183716E-2</v>
      </c>
      <c r="T104">
        <f t="shared" ca="1" si="71"/>
        <v>7.4082768480305617E-3</v>
      </c>
      <c r="U104">
        <f t="shared" ca="1" si="71"/>
        <v>-4.1192614525152292E-3</v>
      </c>
      <c r="V104">
        <f t="shared" ca="1" si="71"/>
        <v>-1.8576896790436712E-2</v>
      </c>
      <c r="W104">
        <f t="shared" ca="1" si="71"/>
        <v>1.9108348380825795E-2</v>
      </c>
      <c r="X104">
        <f t="shared" ca="1" si="71"/>
        <v>2.1220131477037371E-2</v>
      </c>
      <c r="Y104">
        <f t="shared" ca="1" si="71"/>
        <v>-1.8495285989500072E-2</v>
      </c>
      <c r="Z104">
        <f t="shared" ca="1" si="71"/>
        <v>1.5860858964648471E-2</v>
      </c>
    </row>
    <row r="105" spans="2:26" hidden="1">
      <c r="B105" s="180">
        <f>'Inflation-Interest'!$C$68</f>
        <v>3.8399999999999997E-2</v>
      </c>
      <c r="C105" s="180">
        <f t="shared" ref="C105:D105" ca="1" si="111">B105+Q105</f>
        <v>1.5242794396384166E-2</v>
      </c>
      <c r="D105" s="180">
        <f t="shared" ca="1" si="111"/>
        <v>4.2079964445132199E-2</v>
      </c>
      <c r="E105" s="180">
        <f t="shared" ca="1" si="80"/>
        <v>5.861527710007608E-2</v>
      </c>
      <c r="F105" s="180">
        <f t="shared" ca="1" si="81"/>
        <v>6.68897338315841E-2</v>
      </c>
      <c r="G105" s="180">
        <f t="shared" ca="1" si="82"/>
        <v>7.6098535144316373E-2</v>
      </c>
      <c r="H105" s="180">
        <f t="shared" ca="1" si="83"/>
        <v>8.8581711071908834E-2</v>
      </c>
      <c r="I105" s="180">
        <f t="shared" ca="1" si="84"/>
        <v>9.322350732305304E-2</v>
      </c>
      <c r="J105" s="180">
        <f t="shared" ca="1" si="85"/>
        <v>8.7955967658538317E-2</v>
      </c>
      <c r="K105" s="180">
        <f t="shared" ca="1" si="86"/>
        <v>8.2856271234351631E-2</v>
      </c>
      <c r="L105" s="180">
        <f t="shared" ca="1" si="87"/>
        <v>8.1575566466774954E-2</v>
      </c>
      <c r="Q105">
        <f t="shared" ca="1" si="71"/>
        <v>-2.3157205603615831E-2</v>
      </c>
      <c r="R105">
        <f t="shared" ca="1" si="71"/>
        <v>2.6837170048748034E-2</v>
      </c>
      <c r="S105">
        <f t="shared" ca="1" si="71"/>
        <v>1.6535312654943884E-2</v>
      </c>
      <c r="T105">
        <f t="shared" ca="1" si="71"/>
        <v>8.274456731508022E-3</v>
      </c>
      <c r="U105">
        <f t="shared" ca="1" si="71"/>
        <v>9.2088013127322767E-3</v>
      </c>
      <c r="V105">
        <f t="shared" ca="1" si="71"/>
        <v>1.2483175927592459E-2</v>
      </c>
      <c r="W105">
        <f t="shared" ca="1" si="71"/>
        <v>4.6417962511442123E-3</v>
      </c>
      <c r="X105">
        <f t="shared" ca="1" si="71"/>
        <v>-5.2675396645147235E-3</v>
      </c>
      <c r="Y105">
        <f t="shared" ca="1" si="71"/>
        <v>-5.0996964241866857E-3</v>
      </c>
      <c r="Z105">
        <f t="shared" ca="1" si="71"/>
        <v>-1.280704767576676E-3</v>
      </c>
    </row>
    <row r="106" spans="2:26" hidden="1">
      <c r="B106" s="180">
        <f>'Inflation-Interest'!$C$68</f>
        <v>3.8399999999999997E-2</v>
      </c>
      <c r="C106" s="180">
        <f t="shared" ref="C106:D106" ca="1" si="112">B106+Q106</f>
        <v>2.9325049851974858E-2</v>
      </c>
      <c r="D106" s="180">
        <f t="shared" ca="1" si="112"/>
        <v>2.1045099056637435E-2</v>
      </c>
      <c r="E106" s="180">
        <f t="shared" ca="1" si="80"/>
        <v>3.5942102465448475E-2</v>
      </c>
      <c r="F106" s="180">
        <f t="shared" ca="1" si="81"/>
        <v>5.1687495719319645E-2</v>
      </c>
      <c r="G106" s="180">
        <f t="shared" ca="1" si="82"/>
        <v>3.1088081406154218E-2</v>
      </c>
      <c r="H106" s="180">
        <f t="shared" ca="1" si="83"/>
        <v>4.2076777224595449E-2</v>
      </c>
      <c r="I106" s="180">
        <f t="shared" ca="1" si="84"/>
        <v>3.0046896306185893E-2</v>
      </c>
      <c r="J106" s="180">
        <f t="shared" ca="1" si="85"/>
        <v>3.7030668552165476E-2</v>
      </c>
      <c r="K106" s="180">
        <f t="shared" ca="1" si="86"/>
        <v>3.8429287054068201E-2</v>
      </c>
      <c r="L106" s="180">
        <f t="shared" ca="1" si="87"/>
        <v>2.7462720069316389E-2</v>
      </c>
      <c r="Q106">
        <f t="shared" ca="1" si="71"/>
        <v>-9.0749501480251373E-3</v>
      </c>
      <c r="R106">
        <f t="shared" ca="1" si="71"/>
        <v>-8.2799507953374239E-3</v>
      </c>
      <c r="S106">
        <f t="shared" ca="1" si="71"/>
        <v>1.4897003408811041E-2</v>
      </c>
      <c r="T106">
        <f t="shared" ca="1" si="71"/>
        <v>1.5745393253871167E-2</v>
      </c>
      <c r="U106">
        <f t="shared" ca="1" si="71"/>
        <v>-2.0599414313165428E-2</v>
      </c>
      <c r="V106">
        <f t="shared" ca="1" si="71"/>
        <v>1.0988695818441231E-2</v>
      </c>
      <c r="W106">
        <f t="shared" ca="1" si="71"/>
        <v>-1.2029880918409558E-2</v>
      </c>
      <c r="X106">
        <f t="shared" ca="1" si="71"/>
        <v>6.9837722459795805E-3</v>
      </c>
      <c r="Y106">
        <f t="shared" ca="1" si="71"/>
        <v>1.3986185019027261E-3</v>
      </c>
      <c r="Z106">
        <f t="shared" ca="1" si="71"/>
        <v>-1.0966566984751814E-2</v>
      </c>
    </row>
    <row r="107" spans="2:26" hidden="1">
      <c r="B107" s="180">
        <f>'Inflation-Interest'!$C$68</f>
        <v>3.8399999999999997E-2</v>
      </c>
      <c r="C107" s="180">
        <f t="shared" ref="C107:D107" ca="1" si="113">B107+Q107</f>
        <v>2.9398751744783735E-2</v>
      </c>
      <c r="D107" s="180">
        <f t="shared" ca="1" si="113"/>
        <v>2.7217978072004767E-2</v>
      </c>
      <c r="E107" s="180">
        <f t="shared" ca="1" si="80"/>
        <v>3.173495861022891E-2</v>
      </c>
      <c r="F107" s="180">
        <f t="shared" ca="1" si="81"/>
        <v>4.9623336280865342E-2</v>
      </c>
      <c r="G107" s="180">
        <f t="shared" ca="1" si="82"/>
        <v>4.4109158172635846E-2</v>
      </c>
      <c r="H107" s="180">
        <f t="shared" ca="1" si="83"/>
        <v>5.2592384319557012E-2</v>
      </c>
      <c r="I107" s="180">
        <f t="shared" ca="1" si="84"/>
        <v>2.4380274852857355E-2</v>
      </c>
      <c r="J107" s="180">
        <f t="shared" ca="1" si="85"/>
        <v>1.8337500288569002E-2</v>
      </c>
      <c r="K107" s="180">
        <f t="shared" ca="1" si="86"/>
        <v>-4.0238274068731886E-3</v>
      </c>
      <c r="L107" s="180">
        <f t="shared" ca="1" si="87"/>
        <v>1.5148544242043687E-2</v>
      </c>
      <c r="Q107">
        <f t="shared" ca="1" si="71"/>
        <v>-9.0012482552162629E-3</v>
      </c>
      <c r="R107">
        <f t="shared" ca="1" si="71"/>
        <v>-2.180773672778968E-3</v>
      </c>
      <c r="S107">
        <f t="shared" ca="1" si="71"/>
        <v>4.5169805382241435E-3</v>
      </c>
      <c r="T107">
        <f t="shared" ca="1" si="71"/>
        <v>1.7888377670636432E-2</v>
      </c>
      <c r="U107">
        <f t="shared" ca="1" si="71"/>
        <v>-5.5141781082294998E-3</v>
      </c>
      <c r="V107">
        <f t="shared" ca="1" si="71"/>
        <v>8.4832261469211696E-3</v>
      </c>
      <c r="W107">
        <f t="shared" ca="1" si="71"/>
        <v>-2.8212109466699657E-2</v>
      </c>
      <c r="X107">
        <f t="shared" ca="1" si="71"/>
        <v>-6.042774564288352E-3</v>
      </c>
      <c r="Y107">
        <f t="shared" ca="1" si="71"/>
        <v>-2.236132769544219E-2</v>
      </c>
      <c r="Z107">
        <f t="shared" ca="1" si="71"/>
        <v>1.9172371648916876E-2</v>
      </c>
    </row>
    <row r="108" spans="2:26" hidden="1">
      <c r="B108" s="180">
        <f>'Inflation-Interest'!$C$68</f>
        <v>3.8399999999999997E-2</v>
      </c>
      <c r="C108" s="180">
        <f t="shared" ref="C108:D108" ca="1" si="114">B108+Q108</f>
        <v>5.1904775652326179E-2</v>
      </c>
      <c r="D108" s="180">
        <f t="shared" ca="1" si="114"/>
        <v>5.0301138537082395E-2</v>
      </c>
      <c r="E108" s="180">
        <f t="shared" ca="1" si="80"/>
        <v>4.1587462664789132E-2</v>
      </c>
      <c r="F108" s="180">
        <f t="shared" ca="1" si="81"/>
        <v>2.4638067879905429E-2</v>
      </c>
      <c r="G108" s="180">
        <f t="shared" ca="1" si="82"/>
        <v>9.1335228839213092E-3</v>
      </c>
      <c r="H108" s="180">
        <f t="shared" ca="1" si="83"/>
        <v>1.2765404644923588E-2</v>
      </c>
      <c r="I108" s="180">
        <f t="shared" ca="1" si="84"/>
        <v>1.7759031733602659E-2</v>
      </c>
      <c r="J108" s="180">
        <f t="shared" ca="1" si="85"/>
        <v>2.7563851879673154E-2</v>
      </c>
      <c r="K108" s="180">
        <f t="shared" ca="1" si="86"/>
        <v>1.1746347062650445E-2</v>
      </c>
      <c r="L108" s="180">
        <f t="shared" ca="1" si="87"/>
        <v>5.2803216082298196E-2</v>
      </c>
      <c r="Q108">
        <f t="shared" ca="1" si="71"/>
        <v>1.3504775652326183E-2</v>
      </c>
      <c r="R108">
        <f t="shared" ca="1" si="71"/>
        <v>-1.6036371152437878E-3</v>
      </c>
      <c r="S108">
        <f t="shared" ca="1" si="71"/>
        <v>-8.7136758722932608E-3</v>
      </c>
      <c r="T108">
        <f t="shared" ca="1" si="71"/>
        <v>-1.6949394784883703E-2</v>
      </c>
      <c r="U108">
        <f t="shared" ca="1" si="71"/>
        <v>-1.550454499598412E-2</v>
      </c>
      <c r="V108">
        <f t="shared" ca="1" si="71"/>
        <v>3.6318817610022781E-3</v>
      </c>
      <c r="W108">
        <f t="shared" ca="1" si="71"/>
        <v>4.9936270886790698E-3</v>
      </c>
      <c r="X108">
        <f t="shared" ca="1" si="71"/>
        <v>9.8048201460704965E-3</v>
      </c>
      <c r="Y108">
        <f t="shared" ca="1" si="71"/>
        <v>-1.5817504817022709E-2</v>
      </c>
      <c r="Z108">
        <f t="shared" ca="1" si="71"/>
        <v>4.1056869019647751E-2</v>
      </c>
    </row>
    <row r="109" spans="2:26" hidden="1">
      <c r="B109" s="180">
        <f>'Inflation-Interest'!$C$68</f>
        <v>3.8399999999999997E-2</v>
      </c>
      <c r="C109" s="180">
        <f t="shared" ref="C109:D109" ca="1" si="115">B109+Q109</f>
        <v>2.1858587875980974E-2</v>
      </c>
      <c r="D109" s="180">
        <f t="shared" ca="1" si="115"/>
        <v>2.2881556929407167E-2</v>
      </c>
      <c r="E109" s="180">
        <f t="shared" ca="1" si="80"/>
        <v>2.9924397241599746E-2</v>
      </c>
      <c r="F109" s="180">
        <f t="shared" ca="1" si="81"/>
        <v>5.6060117492337636E-2</v>
      </c>
      <c r="G109" s="180">
        <f t="shared" ca="1" si="82"/>
        <v>7.2287535929743102E-2</v>
      </c>
      <c r="H109" s="180">
        <f t="shared" ca="1" si="83"/>
        <v>7.888014072894127E-2</v>
      </c>
      <c r="I109" s="180">
        <f t="shared" ca="1" si="84"/>
        <v>7.9879260169627223E-2</v>
      </c>
      <c r="J109" s="180">
        <f t="shared" ca="1" si="85"/>
        <v>7.9919623828308889E-2</v>
      </c>
      <c r="K109" s="180">
        <f t="shared" ca="1" si="86"/>
        <v>6.4282660123325425E-2</v>
      </c>
      <c r="L109" s="180">
        <f t="shared" ca="1" si="87"/>
        <v>4.7602070071644478E-2</v>
      </c>
      <c r="Q109">
        <f t="shared" ca="1" si="71"/>
        <v>-1.6541412124019023E-2</v>
      </c>
      <c r="R109">
        <f t="shared" ca="1" si="71"/>
        <v>1.0229690534261928E-3</v>
      </c>
      <c r="S109">
        <f t="shared" ca="1" si="71"/>
        <v>7.0428403121925798E-3</v>
      </c>
      <c r="T109">
        <f t="shared" ca="1" si="71"/>
        <v>2.613572025073789E-2</v>
      </c>
      <c r="U109">
        <f t="shared" ca="1" si="71"/>
        <v>1.6227418437405459E-2</v>
      </c>
      <c r="V109">
        <f t="shared" ca="1" si="71"/>
        <v>6.5926047991981705E-3</v>
      </c>
      <c r="W109">
        <f t="shared" ca="1" si="71"/>
        <v>9.991194406859564E-4</v>
      </c>
      <c r="X109">
        <f t="shared" ca="1" si="71"/>
        <v>4.0363658681668256E-5</v>
      </c>
      <c r="Y109">
        <f t="shared" ca="1" si="71"/>
        <v>-1.5636963704983461E-2</v>
      </c>
      <c r="Z109">
        <f t="shared" ca="1" si="71"/>
        <v>-1.668059005168095E-2</v>
      </c>
    </row>
    <row r="110" spans="2:26" hidden="1">
      <c r="B110" s="180">
        <f>'Inflation-Interest'!$C$68</f>
        <v>3.8399999999999997E-2</v>
      </c>
      <c r="C110" s="180">
        <f t="shared" ref="C110:D110" ca="1" si="116">B110+Q110</f>
        <v>3.770700791576493E-2</v>
      </c>
      <c r="D110" s="180">
        <f t="shared" ca="1" si="116"/>
        <v>1.9785694294025585E-2</v>
      </c>
      <c r="E110" s="180">
        <f t="shared" ca="1" si="80"/>
        <v>1.9658687600512065E-2</v>
      </c>
      <c r="F110" s="180">
        <f t="shared" ca="1" si="81"/>
        <v>2.222378203319238E-2</v>
      </c>
      <c r="G110" s="180">
        <f t="shared" ca="1" si="82"/>
        <v>1.992379641750134E-2</v>
      </c>
      <c r="H110" s="180">
        <f t="shared" ca="1" si="83"/>
        <v>2.152653183158516E-2</v>
      </c>
      <c r="I110" s="180">
        <f t="shared" ca="1" si="84"/>
        <v>1.1331449915202928E-2</v>
      </c>
      <c r="J110" s="180">
        <f t="shared" ca="1" si="85"/>
        <v>1.9606774892898887E-2</v>
      </c>
      <c r="K110" s="180">
        <f t="shared" ca="1" si="86"/>
        <v>4.56894008304876E-2</v>
      </c>
      <c r="L110" s="180">
        <f t="shared" ca="1" si="87"/>
        <v>4.4643584884795418E-2</v>
      </c>
      <c r="Q110">
        <f t="shared" ca="1" si="71"/>
        <v>-6.9299208423506827E-4</v>
      </c>
      <c r="R110">
        <f t="shared" ca="1" si="71"/>
        <v>-1.7921313621739345E-2</v>
      </c>
      <c r="S110">
        <f t="shared" ca="1" si="71"/>
        <v>-1.2700669351351879E-4</v>
      </c>
      <c r="T110">
        <f t="shared" ca="1" si="71"/>
        <v>2.5650944326803147E-3</v>
      </c>
      <c r="U110">
        <f t="shared" ca="1" si="71"/>
        <v>-2.2999856156910394E-3</v>
      </c>
      <c r="V110">
        <f t="shared" ca="1" si="71"/>
        <v>1.6027354140838205E-3</v>
      </c>
      <c r="W110">
        <f t="shared" ca="1" si="71"/>
        <v>-1.0195081916382232E-2</v>
      </c>
      <c r="X110">
        <f t="shared" ca="1" si="71"/>
        <v>8.2753249776959577E-3</v>
      </c>
      <c r="Y110">
        <f t="shared" ca="1" si="71"/>
        <v>2.6082625937588713E-2</v>
      </c>
      <c r="Z110">
        <f t="shared" ref="Z110:Z115" ca="1" si="117">_xlfn.NORM.INV(RAND(), $B$3, $B$4)</f>
        <v>-1.0458159456921831E-3</v>
      </c>
    </row>
    <row r="111" spans="2:26" hidden="1">
      <c r="B111" s="180">
        <f>'Inflation-Interest'!$C$68</f>
        <v>3.8399999999999997E-2</v>
      </c>
      <c r="C111" s="180">
        <f t="shared" ref="C111:D111" ca="1" si="118">B111+Q111</f>
        <v>4.4024093162360334E-2</v>
      </c>
      <c r="D111" s="180">
        <f t="shared" ca="1" si="118"/>
        <v>4.3538400363493587E-2</v>
      </c>
      <c r="E111" s="180">
        <f t="shared" ca="1" si="80"/>
        <v>4.0146057663386824E-2</v>
      </c>
      <c r="F111" s="180">
        <f t="shared" ca="1" si="81"/>
        <v>4.8084176579407348E-2</v>
      </c>
      <c r="G111" s="180">
        <f t="shared" ca="1" si="82"/>
        <v>5.5488503311152113E-2</v>
      </c>
      <c r="H111" s="180">
        <f t="shared" ca="1" si="83"/>
        <v>8.7362594484839975E-2</v>
      </c>
      <c r="I111" s="180">
        <f t="shared" ca="1" si="84"/>
        <v>8.6735486965025851E-2</v>
      </c>
      <c r="J111" s="180">
        <f t="shared" ca="1" si="85"/>
        <v>6.8480980397192664E-2</v>
      </c>
      <c r="K111" s="180">
        <f t="shared" ca="1" si="86"/>
        <v>8.5765634185412457E-2</v>
      </c>
      <c r="L111" s="180">
        <f t="shared" ca="1" si="87"/>
        <v>7.3021388243653201E-2</v>
      </c>
      <c r="Q111">
        <f t="shared" ref="Q111:Y115" ca="1" si="119">_xlfn.NORM.INV(RAND(), $B$3, $B$4)</f>
        <v>5.6240931623603363E-3</v>
      </c>
      <c r="R111">
        <f t="shared" ca="1" si="119"/>
        <v>-4.8569279886674746E-4</v>
      </c>
      <c r="S111">
        <f t="shared" ca="1" si="119"/>
        <v>-3.3923427001067608E-3</v>
      </c>
      <c r="T111">
        <f t="shared" ca="1" si="119"/>
        <v>7.9381189160205225E-3</v>
      </c>
      <c r="U111">
        <f t="shared" ca="1" si="119"/>
        <v>7.4043267317447682E-3</v>
      </c>
      <c r="V111">
        <f t="shared" ca="1" si="119"/>
        <v>3.1874091173687863E-2</v>
      </c>
      <c r="W111">
        <f t="shared" ca="1" si="119"/>
        <v>-6.2710751981412166E-4</v>
      </c>
      <c r="X111">
        <f t="shared" ca="1" si="119"/>
        <v>-1.825450656783319E-2</v>
      </c>
      <c r="Y111">
        <f t="shared" ca="1" si="119"/>
        <v>1.7284653788219792E-2</v>
      </c>
      <c r="Z111">
        <f t="shared" ca="1" si="117"/>
        <v>-1.274424594175925E-2</v>
      </c>
    </row>
    <row r="112" spans="2:26" hidden="1">
      <c r="B112" s="180">
        <f>'Inflation-Interest'!$C$68</f>
        <v>3.8399999999999997E-2</v>
      </c>
      <c r="C112" s="180">
        <f t="shared" ref="C112:D112" ca="1" si="120">B112+Q112</f>
        <v>4.9594422733457454E-2</v>
      </c>
      <c r="D112" s="180">
        <f t="shared" ca="1" si="120"/>
        <v>4.5817917911441214E-2</v>
      </c>
      <c r="E112" s="180">
        <f t="shared" ca="1" si="80"/>
        <v>5.309501909142221E-2</v>
      </c>
      <c r="F112" s="180">
        <f t="shared" ca="1" si="81"/>
        <v>5.2925162655100229E-2</v>
      </c>
      <c r="G112" s="180">
        <f t="shared" ca="1" si="82"/>
        <v>8.075014841065653E-2</v>
      </c>
      <c r="H112" s="180">
        <f t="shared" ca="1" si="83"/>
        <v>7.8138924742234411E-2</v>
      </c>
      <c r="I112" s="180">
        <f t="shared" ca="1" si="84"/>
        <v>5.2482111765578758E-2</v>
      </c>
      <c r="J112" s="180">
        <f t="shared" ca="1" si="85"/>
        <v>6.4631653681108653E-2</v>
      </c>
      <c r="K112" s="180">
        <f t="shared" ca="1" si="86"/>
        <v>9.7326443407656504E-2</v>
      </c>
      <c r="L112" s="180">
        <f t="shared" ca="1" si="87"/>
        <v>8.5792841836656905E-2</v>
      </c>
      <c r="Q112">
        <f t="shared" ca="1" si="119"/>
        <v>1.1194422733457459E-2</v>
      </c>
      <c r="R112">
        <f t="shared" ca="1" si="119"/>
        <v>-3.7765048220162363E-3</v>
      </c>
      <c r="S112">
        <f t="shared" ca="1" si="119"/>
        <v>7.2771011799809947E-3</v>
      </c>
      <c r="T112">
        <f t="shared" ca="1" si="119"/>
        <v>-1.6985643632198036E-4</v>
      </c>
      <c r="U112">
        <f t="shared" ca="1" si="119"/>
        <v>2.7824985755556302E-2</v>
      </c>
      <c r="V112">
        <f t="shared" ca="1" si="119"/>
        <v>-2.611223668422123E-3</v>
      </c>
      <c r="W112">
        <f t="shared" ca="1" si="119"/>
        <v>-2.5656812976655653E-2</v>
      </c>
      <c r="X112">
        <f t="shared" ca="1" si="119"/>
        <v>1.2149541915529896E-2</v>
      </c>
      <c r="Y112">
        <f t="shared" ca="1" si="119"/>
        <v>3.2694789726547852E-2</v>
      </c>
      <c r="Z112">
        <f t="shared" ca="1" si="117"/>
        <v>-1.1533601570999594E-2</v>
      </c>
    </row>
    <row r="113" spans="1:26" hidden="1">
      <c r="B113" s="180">
        <f>'Inflation-Interest'!$C$68</f>
        <v>3.8399999999999997E-2</v>
      </c>
      <c r="C113" s="180">
        <f t="shared" ref="C113:D113" ca="1" si="121">B113+Q113</f>
        <v>4.9731403356737328E-2</v>
      </c>
      <c r="D113" s="180">
        <f t="shared" ca="1" si="121"/>
        <v>3.3292508188999113E-2</v>
      </c>
      <c r="E113" s="180">
        <f t="shared" ca="1" si="80"/>
        <v>3.655540979993583E-2</v>
      </c>
      <c r="F113" s="180">
        <f t="shared" ca="1" si="81"/>
        <v>6.1041240983140274E-2</v>
      </c>
      <c r="G113" s="180">
        <f t="shared" ca="1" si="82"/>
        <v>3.9099092429434171E-2</v>
      </c>
      <c r="H113" s="180">
        <f t="shared" ca="1" si="83"/>
        <v>3.2256379421374951E-2</v>
      </c>
      <c r="I113" s="180">
        <f t="shared" ca="1" si="84"/>
        <v>3.9117967340246404E-2</v>
      </c>
      <c r="J113" s="180">
        <f t="shared" ca="1" si="85"/>
        <v>-1.5005106890162503E-3</v>
      </c>
      <c r="K113" s="180">
        <f t="shared" ca="1" si="86"/>
        <v>2.2849314190063323E-3</v>
      </c>
      <c r="L113" s="180">
        <f t="shared" ca="1" si="87"/>
        <v>2.5280705390275646E-2</v>
      </c>
      <c r="Q113">
        <f t="shared" ca="1" si="119"/>
        <v>1.1331403356737331E-2</v>
      </c>
      <c r="R113">
        <f t="shared" ca="1" si="119"/>
        <v>-1.6438895167738214E-2</v>
      </c>
      <c r="S113">
        <f t="shared" ca="1" si="119"/>
        <v>3.2629016109367139E-3</v>
      </c>
      <c r="T113">
        <f t="shared" ca="1" si="119"/>
        <v>2.4485831183204448E-2</v>
      </c>
      <c r="U113">
        <f t="shared" ca="1" si="119"/>
        <v>-2.1942148553706107E-2</v>
      </c>
      <c r="V113">
        <f t="shared" ca="1" si="119"/>
        <v>-6.8427130080592185E-3</v>
      </c>
      <c r="W113">
        <f t="shared" ca="1" si="119"/>
        <v>6.8615879188714517E-3</v>
      </c>
      <c r="X113">
        <f t="shared" ca="1" si="119"/>
        <v>-4.0618478029262654E-2</v>
      </c>
      <c r="Y113">
        <f t="shared" ca="1" si="119"/>
        <v>3.7854421080225826E-3</v>
      </c>
      <c r="Z113">
        <f t="shared" ca="1" si="117"/>
        <v>2.2995773971269312E-2</v>
      </c>
    </row>
    <row r="114" spans="1:26" hidden="1">
      <c r="B114" s="180">
        <f>'Inflation-Interest'!$C$68</f>
        <v>3.8399999999999997E-2</v>
      </c>
      <c r="C114" s="180">
        <f t="shared" ref="C114:D114" ca="1" si="122">B114+Q114</f>
        <v>2.0430408966018002E-2</v>
      </c>
      <c r="D114" s="180">
        <f t="shared" ca="1" si="122"/>
        <v>2.1903975246492808E-2</v>
      </c>
      <c r="E114" s="180">
        <f t="shared" ca="1" si="80"/>
        <v>1.6636814940371853E-2</v>
      </c>
      <c r="F114" s="180">
        <f t="shared" ca="1" si="81"/>
        <v>2.2116536613890729E-2</v>
      </c>
      <c r="G114" s="180">
        <f t="shared" ca="1" si="82"/>
        <v>1.2236321367866367E-2</v>
      </c>
      <c r="H114" s="180">
        <f t="shared" ca="1" si="83"/>
        <v>1.4498201667324099E-2</v>
      </c>
      <c r="I114" s="180">
        <f t="shared" ca="1" si="84"/>
        <v>6.6411671689929931E-3</v>
      </c>
      <c r="J114" s="180">
        <f t="shared" ca="1" si="85"/>
        <v>2.1217877591391234E-2</v>
      </c>
      <c r="K114" s="180">
        <f t="shared" ca="1" si="86"/>
        <v>3.2792857235316067E-2</v>
      </c>
      <c r="L114" s="180">
        <f t="shared" ca="1" si="87"/>
        <v>6.3183430536927279E-2</v>
      </c>
      <c r="Q114">
        <f t="shared" ca="1" si="119"/>
        <v>-1.7969591033981994E-2</v>
      </c>
      <c r="R114">
        <f t="shared" ca="1" si="119"/>
        <v>1.4735662804748046E-3</v>
      </c>
      <c r="S114">
        <f t="shared" ca="1" si="119"/>
        <v>-5.2671603061209557E-3</v>
      </c>
      <c r="T114">
        <f t="shared" ca="1" si="119"/>
        <v>5.4797216735188751E-3</v>
      </c>
      <c r="U114">
        <f t="shared" ca="1" si="119"/>
        <v>-9.8802152460243618E-3</v>
      </c>
      <c r="V114">
        <f t="shared" ca="1" si="119"/>
        <v>2.261880299457732E-3</v>
      </c>
      <c r="W114">
        <f t="shared" ca="1" si="119"/>
        <v>-7.8570344983311061E-3</v>
      </c>
      <c r="X114">
        <f t="shared" ca="1" si="119"/>
        <v>1.4576710422398241E-2</v>
      </c>
      <c r="Y114">
        <f t="shared" ca="1" si="119"/>
        <v>1.1574979643924834E-2</v>
      </c>
      <c r="Z114">
        <f t="shared" ca="1" si="117"/>
        <v>3.0390573301611216E-2</v>
      </c>
    </row>
    <row r="115" spans="1:26" hidden="1">
      <c r="B115" s="180">
        <f>'Inflation-Interest'!$C$68</f>
        <v>3.8399999999999997E-2</v>
      </c>
      <c r="C115" s="180">
        <f t="shared" ref="C115:D115" ca="1" si="123">B115+Q115</f>
        <v>2.8219920647330157E-2</v>
      </c>
      <c r="D115" s="180">
        <f t="shared" ca="1" si="123"/>
        <v>2.2191244618714308E-2</v>
      </c>
      <c r="E115" s="180">
        <f t="shared" ca="1" si="80"/>
        <v>3.5955329070289539E-3</v>
      </c>
      <c r="F115" s="180">
        <f t="shared" ca="1" si="81"/>
        <v>2.1258313181373258E-2</v>
      </c>
      <c r="G115" s="180">
        <f t="shared" ca="1" si="82"/>
        <v>2.3854362436307185E-2</v>
      </c>
      <c r="H115" s="180">
        <f t="shared" ca="1" si="83"/>
        <v>1.3426726065359879E-2</v>
      </c>
      <c r="I115" s="180">
        <f t="shared" ca="1" si="84"/>
        <v>3.1209680912211137E-2</v>
      </c>
      <c r="J115" s="180">
        <f t="shared" ca="1" si="85"/>
        <v>7.6039610282421788E-3</v>
      </c>
      <c r="K115" s="180">
        <f t="shared" ca="1" si="86"/>
        <v>2.8811975739258276E-2</v>
      </c>
      <c r="L115" s="180">
        <f t="shared" ca="1" si="87"/>
        <v>2.5356085274776615E-2</v>
      </c>
      <c r="Q115">
        <f t="shared" ca="1" si="119"/>
        <v>-1.0180079352669839E-2</v>
      </c>
      <c r="R115">
        <f t="shared" ca="1" si="119"/>
        <v>-6.0286760286158503E-3</v>
      </c>
      <c r="S115">
        <f t="shared" ca="1" si="119"/>
        <v>-1.8595711711685354E-2</v>
      </c>
      <c r="T115">
        <f t="shared" ca="1" si="119"/>
        <v>1.7662780274344304E-2</v>
      </c>
      <c r="U115">
        <f t="shared" ca="1" si="119"/>
        <v>2.5960492549339277E-3</v>
      </c>
      <c r="V115">
        <f t="shared" ca="1" si="119"/>
        <v>-1.0427636370947306E-2</v>
      </c>
      <c r="W115">
        <f t="shared" ca="1" si="119"/>
        <v>1.7782954846851256E-2</v>
      </c>
      <c r="X115">
        <f t="shared" ca="1" si="119"/>
        <v>-2.3605719883968958E-2</v>
      </c>
      <c r="Y115">
        <f t="shared" ca="1" si="119"/>
        <v>2.1208014711016097E-2</v>
      </c>
      <c r="Z115">
        <f t="shared" ca="1" si="117"/>
        <v>-3.4558904644816607E-3</v>
      </c>
    </row>
    <row r="116" spans="1:26">
      <c r="A116" s="60" t="s">
        <v>478</v>
      </c>
      <c r="B116" s="180">
        <f>MIN(B16:B115)</f>
        <v>3.8399999999999997E-2</v>
      </c>
      <c r="C116" s="180">
        <f t="shared" ref="C116:L116" ca="1" si="124">MIN(C16:C115)</f>
        <v>-6.0624895703851461E-4</v>
      </c>
      <c r="D116" s="180">
        <f t="shared" ca="1" si="124"/>
        <v>-1.5180048801782392E-2</v>
      </c>
      <c r="E116" s="180">
        <f t="shared" ca="1" si="124"/>
        <v>-6.4816589491613254E-3</v>
      </c>
      <c r="F116" s="180">
        <f t="shared" ca="1" si="124"/>
        <v>-3.0675963069581376E-2</v>
      </c>
      <c r="G116" s="180">
        <f t="shared" ca="1" si="124"/>
        <v>-2.8811129777955809E-2</v>
      </c>
      <c r="H116" s="180">
        <f t="shared" ca="1" si="124"/>
        <v>-3.9999826496755785E-2</v>
      </c>
      <c r="I116" s="180">
        <f t="shared" ca="1" si="124"/>
        <v>-4.1833120856286182E-2</v>
      </c>
      <c r="J116" s="180">
        <f t="shared" ca="1" si="124"/>
        <v>-5.0579350207889361E-2</v>
      </c>
      <c r="K116" s="180">
        <f t="shared" ca="1" si="124"/>
        <v>-3.9041171417424636E-2</v>
      </c>
      <c r="L116" s="180">
        <f t="shared" ca="1" si="124"/>
        <v>-3.9841773851336373E-2</v>
      </c>
    </row>
    <row r="117" spans="1:26">
      <c r="A117" s="193">
        <v>0.25</v>
      </c>
      <c r="B117" s="180">
        <f>_xlfn.QUARTILE.INC(B16:B115, $A117)</f>
        <v>3.8399999999999997E-2</v>
      </c>
      <c r="C117" s="180">
        <f t="shared" ref="C117:L117" ca="1" si="125">_xlfn.QUARTILE.INC(C16:C115, $A117)</f>
        <v>-6.0624895703851461E-4</v>
      </c>
      <c r="D117" s="180">
        <f t="shared" ca="1" si="125"/>
        <v>-1.5180048801782392E-2</v>
      </c>
      <c r="E117" s="180">
        <f t="shared" ca="1" si="125"/>
        <v>-6.4816589491613254E-3</v>
      </c>
      <c r="F117" s="180">
        <f t="shared" ca="1" si="125"/>
        <v>-3.0675963069581376E-2</v>
      </c>
      <c r="G117" s="180">
        <f t="shared" ca="1" si="125"/>
        <v>-2.8811129777955809E-2</v>
      </c>
      <c r="H117" s="180">
        <f t="shared" ca="1" si="125"/>
        <v>-3.9999826496755785E-2</v>
      </c>
      <c r="I117" s="180">
        <f t="shared" ca="1" si="125"/>
        <v>-4.1833120856286182E-2</v>
      </c>
      <c r="J117" s="180">
        <f t="shared" ca="1" si="125"/>
        <v>-5.0579350207889361E-2</v>
      </c>
      <c r="K117" s="180">
        <f t="shared" ca="1" si="125"/>
        <v>-3.9041171417424636E-2</v>
      </c>
      <c r="L117" s="180">
        <f t="shared" ca="1" si="125"/>
        <v>-3.9841773851336373E-2</v>
      </c>
    </row>
    <row r="118" spans="1:26">
      <c r="A118" s="193" t="s">
        <v>479</v>
      </c>
      <c r="B118" s="180">
        <f>MEDIAN(B16:B115)</f>
        <v>3.8399999999999997E-2</v>
      </c>
      <c r="C118" s="180">
        <f ca="1">MEDIAN(C16:C115)</f>
        <v>3.8035666522856282E-2</v>
      </c>
      <c r="D118" s="180">
        <f t="shared" ref="D118:L118" ca="1" si="126">MEDIAN(D16:D115)</f>
        <v>3.9492590442624445E-2</v>
      </c>
      <c r="E118" s="180">
        <f t="shared" ca="1" si="126"/>
        <v>3.9748985471153381E-2</v>
      </c>
      <c r="F118" s="180">
        <f t="shared" ca="1" si="126"/>
        <v>4.3467727162162725E-2</v>
      </c>
      <c r="G118" s="180">
        <f t="shared" ca="1" si="126"/>
        <v>4.4127260414512329E-2</v>
      </c>
      <c r="H118" s="180">
        <f t="shared" ca="1" si="126"/>
        <v>4.4939063670047637E-2</v>
      </c>
      <c r="I118" s="180">
        <f t="shared" ca="1" si="126"/>
        <v>4.1511183979182395E-2</v>
      </c>
      <c r="J118" s="180">
        <f t="shared" ca="1" si="126"/>
        <v>4.1669141222071202E-2</v>
      </c>
      <c r="K118" s="180">
        <f t="shared" ca="1" si="126"/>
        <v>4.486330564658865E-2</v>
      </c>
      <c r="L118" s="180">
        <f t="shared" ca="1" si="126"/>
        <v>4.2925188414451809E-2</v>
      </c>
    </row>
    <row r="119" spans="1:26">
      <c r="A119" s="193">
        <v>0.75</v>
      </c>
      <c r="B119" s="180">
        <f>_xlfn.QUARTILE.INC(B16:B115, $A119)</f>
        <v>3.8399999999999997E-2</v>
      </c>
      <c r="C119" s="180">
        <f t="shared" ref="C119:L119" ca="1" si="127">_xlfn.QUARTILE.INC(C16:C115, $A119)</f>
        <v>-6.0624895703851461E-4</v>
      </c>
      <c r="D119" s="180">
        <f t="shared" ca="1" si="127"/>
        <v>-1.5180048801782392E-2</v>
      </c>
      <c r="E119" s="180">
        <f t="shared" ca="1" si="127"/>
        <v>-6.4816589491613254E-3</v>
      </c>
      <c r="F119" s="180">
        <f t="shared" ca="1" si="127"/>
        <v>-3.0675963069581376E-2</v>
      </c>
      <c r="G119" s="180">
        <f t="shared" ca="1" si="127"/>
        <v>-2.8811129777955809E-2</v>
      </c>
      <c r="H119" s="180">
        <f t="shared" ca="1" si="127"/>
        <v>-3.9999826496755785E-2</v>
      </c>
      <c r="I119" s="180">
        <f t="shared" ca="1" si="127"/>
        <v>-4.1833120856286182E-2</v>
      </c>
      <c r="J119" s="180">
        <f t="shared" ca="1" si="127"/>
        <v>-5.0579350207889361E-2</v>
      </c>
      <c r="K119" s="180">
        <f t="shared" ca="1" si="127"/>
        <v>-3.9041171417424636E-2</v>
      </c>
      <c r="L119" s="180">
        <f t="shared" ca="1" si="127"/>
        <v>-3.9841773851336373E-2</v>
      </c>
    </row>
    <row r="120" spans="1:26">
      <c r="A120" s="193" t="s">
        <v>480</v>
      </c>
      <c r="B120" s="180">
        <f>MAX(B16:B115)</f>
        <v>3.8399999999999997E-2</v>
      </c>
      <c r="C120" s="180">
        <f t="shared" ref="C120:L120" ca="1" si="128">MAX(C16:C115)</f>
        <v>7.1158112349375024E-2</v>
      </c>
      <c r="D120" s="180">
        <f t="shared" ca="1" si="128"/>
        <v>8.8806821151407644E-2</v>
      </c>
      <c r="E120" s="180">
        <f t="shared" ca="1" si="128"/>
        <v>0.10050959462187867</v>
      </c>
      <c r="F120" s="180">
        <f t="shared" ca="1" si="128"/>
        <v>0.13208788374413025</v>
      </c>
      <c r="G120" s="180">
        <f t="shared" ca="1" si="128"/>
        <v>0.14907835299945246</v>
      </c>
      <c r="H120" s="180">
        <f t="shared" ca="1" si="128"/>
        <v>0.15780156443963894</v>
      </c>
      <c r="I120" s="180">
        <f t="shared" ca="1" si="128"/>
        <v>0.14602500196618354</v>
      </c>
      <c r="J120" s="180">
        <f t="shared" ca="1" si="128"/>
        <v>0.14523001502512012</v>
      </c>
      <c r="K120" s="180">
        <f t="shared" ca="1" si="128"/>
        <v>0.13518883128273385</v>
      </c>
      <c r="L120" s="180">
        <f t="shared" ca="1" si="128"/>
        <v>0.13973191977598662</v>
      </c>
    </row>
    <row r="121" spans="1:26">
      <c r="A121" t="s">
        <v>481</v>
      </c>
      <c r="B121" s="180">
        <f>'Inflation-Interest'!$E$68</f>
        <v>1.2999999999999999E-3</v>
      </c>
      <c r="C121" s="180">
        <f t="shared" ref="C121:C152" ca="1" si="129">C16+Q121</f>
        <v>3.8139157315624686E-2</v>
      </c>
      <c r="D121" s="180">
        <f t="shared" ref="D121:D152" ca="1" si="130">D16+R121</f>
        <v>3.0268957365236163E-2</v>
      </c>
      <c r="E121" s="180">
        <f t="shared" ref="E121:E152" ca="1" si="131">E16+S121</f>
        <v>8.6323701894557188E-3</v>
      </c>
      <c r="F121" s="180">
        <f t="shared" ref="F121:F152" ca="1" si="132">F16+T121</f>
        <v>6.9455806221371499E-2</v>
      </c>
      <c r="G121" s="180">
        <f t="shared" ref="G121:G152" ca="1" si="133">G16+U121</f>
        <v>0.10489557302745084</v>
      </c>
      <c r="H121" s="180">
        <f t="shared" ref="H121:H152" ca="1" si="134">H16+V121</f>
        <v>0.14818412447154766</v>
      </c>
      <c r="I121" s="180">
        <f t="shared" ref="I121:I152" ca="1" si="135">I16+W121</f>
        <v>0.13584232977638283</v>
      </c>
      <c r="J121" s="180">
        <f t="shared" ref="J121:J152" ca="1" si="136">J16+X121</f>
        <v>0.10363741209176625</v>
      </c>
      <c r="K121" s="180">
        <f t="shared" ref="K121:K152" ca="1" si="137">K16+Y121</f>
        <v>9.4585665005331374E-2</v>
      </c>
      <c r="L121" s="180">
        <f t="shared" ref="L121:L152" ca="1" si="138">L16+Z121</f>
        <v>0.10283168757549918</v>
      </c>
      <c r="O121" t="s">
        <v>482</v>
      </c>
      <c r="P121">
        <f ca="1">_xlfn.NORM.INV(RAND(), $B$6, $B$7)</f>
        <v>5.5824587088183553E-2</v>
      </c>
      <c r="Q121">
        <f t="shared" ref="Q121:Z136" ca="1" si="139">_xlfn.NORM.INV(RAND(), $B$6, $B$7)</f>
        <v>-1.7620061546524599E-2</v>
      </c>
      <c r="R121">
        <f t="shared" ca="1" si="139"/>
        <v>-2.3998702444249394E-2</v>
      </c>
      <c r="S121">
        <f t="shared" ca="1" si="139"/>
        <v>-2.7155368204802802E-2</v>
      </c>
      <c r="T121">
        <f t="shared" ca="1" si="139"/>
        <v>6.9062159619817012E-3</v>
      </c>
      <c r="U121">
        <f t="shared" ca="1" si="139"/>
        <v>1.2362253774882134E-2</v>
      </c>
      <c r="V121">
        <f t="shared" ca="1" si="139"/>
        <v>4.9658143263734758E-2</v>
      </c>
      <c r="W121">
        <f t="shared" ca="1" si="139"/>
        <v>2.7224494062748902E-2</v>
      </c>
      <c r="X121">
        <f t="shared" ca="1" si="139"/>
        <v>-1.9843536326469759E-2</v>
      </c>
      <c r="Y121">
        <f t="shared" ca="1" si="139"/>
        <v>2.3276353755595051E-3</v>
      </c>
      <c r="Z121">
        <f t="shared" ca="1" si="139"/>
        <v>1.1091348713491593E-2</v>
      </c>
    </row>
    <row r="122" spans="1:26" hidden="1">
      <c r="B122" s="180">
        <f>'Inflation-Interest'!$E$68</f>
        <v>1.2999999999999999E-3</v>
      </c>
      <c r="C122" s="180">
        <f t="shared" ca="1" si="129"/>
        <v>5.1422269255500766E-2</v>
      </c>
      <c r="D122" s="180">
        <f t="shared" ca="1" si="130"/>
        <v>6.4097990223229179E-2</v>
      </c>
      <c r="E122" s="180">
        <f t="shared" ca="1" si="131"/>
        <v>6.0416412843917841E-2</v>
      </c>
      <c r="F122" s="180">
        <f t="shared" ca="1" si="132"/>
        <v>0.14865710740630467</v>
      </c>
      <c r="G122" s="180">
        <f t="shared" ca="1" si="133"/>
        <v>5.6237988951438125E-2</v>
      </c>
      <c r="H122" s="180">
        <f t="shared" ca="1" si="134"/>
        <v>0.12421803219860787</v>
      </c>
      <c r="I122" s="180">
        <f t="shared" ca="1" si="135"/>
        <v>8.374805189499121E-2</v>
      </c>
      <c r="J122" s="180">
        <f t="shared" ca="1" si="136"/>
        <v>6.2425438022818525E-2</v>
      </c>
      <c r="K122" s="180">
        <f t="shared" ca="1" si="137"/>
        <v>8.9038759269715662E-2</v>
      </c>
      <c r="L122" s="180">
        <f t="shared" ca="1" si="138"/>
        <v>7.0691863208676875E-2</v>
      </c>
      <c r="P122">
        <f t="shared" ref="P122:Z153" ca="1" si="140">_xlfn.NORM.INV(RAND(), $B$6, $B$7)</f>
        <v>2.3245712229624526E-2</v>
      </c>
      <c r="Q122">
        <f t="shared" ca="1" si="139"/>
        <v>-1.9735843093874262E-2</v>
      </c>
      <c r="R122">
        <f t="shared" ca="1" si="139"/>
        <v>-5.8349419882436707E-3</v>
      </c>
      <c r="S122">
        <f t="shared" ca="1" si="139"/>
        <v>-2.9546454437862645E-2</v>
      </c>
      <c r="T122">
        <f t="shared" ca="1" si="139"/>
        <v>5.3811990081083422E-2</v>
      </c>
      <c r="U122">
        <f t="shared" ca="1" si="139"/>
        <v>-1.6336845634742737E-2</v>
      </c>
      <c r="V122">
        <f t="shared" ca="1" si="139"/>
        <v>6.2178975568398298E-2</v>
      </c>
      <c r="W122">
        <f t="shared" ca="1" si="139"/>
        <v>2.328826076327601E-2</v>
      </c>
      <c r="X122">
        <f t="shared" ca="1" si="139"/>
        <v>4.172227321437641E-4</v>
      </c>
      <c r="Y122">
        <f t="shared" ca="1" si="139"/>
        <v>1.7532134953705446E-2</v>
      </c>
      <c r="Z122">
        <f t="shared" ca="1" si="139"/>
        <v>2.2510815260880918E-4</v>
      </c>
    </row>
    <row r="123" spans="1:26" hidden="1">
      <c r="B123" s="180">
        <f>'Inflation-Interest'!$E$68</f>
        <v>1.2999999999999999E-3</v>
      </c>
      <c r="C123" s="180">
        <f t="shared" ca="1" si="129"/>
        <v>0.10790012311518277</v>
      </c>
      <c r="D123" s="180">
        <f t="shared" ca="1" si="130"/>
        <v>2.0905455309937936E-2</v>
      </c>
      <c r="E123" s="180">
        <f t="shared" ca="1" si="131"/>
        <v>0.10960713388223076</v>
      </c>
      <c r="F123" s="180">
        <f t="shared" ca="1" si="132"/>
        <v>8.4194700198057387E-2</v>
      </c>
      <c r="G123" s="180">
        <f t="shared" ca="1" si="133"/>
        <v>5.1775867744822929E-2</v>
      </c>
      <c r="H123" s="180">
        <f t="shared" ca="1" si="134"/>
        <v>6.3242252881953842E-2</v>
      </c>
      <c r="I123" s="180">
        <f t="shared" ca="1" si="135"/>
        <v>9.4043905225378935E-2</v>
      </c>
      <c r="J123" s="180">
        <f t="shared" ca="1" si="136"/>
        <v>4.760932945829062E-2</v>
      </c>
      <c r="K123" s="180">
        <f t="shared" ca="1" si="137"/>
        <v>9.9065050134499857E-2</v>
      </c>
      <c r="L123" s="180">
        <f t="shared" ca="1" si="138"/>
        <v>0.11924935671310707</v>
      </c>
      <c r="P123">
        <f t="shared" ca="1" si="140"/>
        <v>3.2059405528414325E-2</v>
      </c>
      <c r="Q123">
        <f t="shared" ca="1" si="139"/>
        <v>4.8904440319077584E-2</v>
      </c>
      <c r="R123">
        <f t="shared" ca="1" si="139"/>
        <v>-2.3361709289216968E-2</v>
      </c>
      <c r="S123">
        <f t="shared" ca="1" si="139"/>
        <v>5.5826859471918511E-2</v>
      </c>
      <c r="T123">
        <f t="shared" ca="1" si="139"/>
        <v>2.8852342487711447E-3</v>
      </c>
      <c r="U123">
        <f t="shared" ca="1" si="139"/>
        <v>-1.9237049193608444E-2</v>
      </c>
      <c r="V123">
        <f t="shared" ca="1" si="139"/>
        <v>-3.2409723788220726E-3</v>
      </c>
      <c r="W123">
        <f t="shared" ca="1" si="139"/>
        <v>1.963593292911835E-2</v>
      </c>
      <c r="X123">
        <f t="shared" ca="1" si="139"/>
        <v>-1.5864960183546207E-2</v>
      </c>
      <c r="Y123">
        <f t="shared" ca="1" si="139"/>
        <v>3.3056211536065944E-2</v>
      </c>
      <c r="Z123">
        <f t="shared" ca="1" si="139"/>
        <v>4.5466410422333778E-2</v>
      </c>
    </row>
    <row r="124" spans="1:26" hidden="1">
      <c r="B124" s="180">
        <f>'Inflation-Interest'!$E$68</f>
        <v>1.2999999999999999E-3</v>
      </c>
      <c r="C124" s="180">
        <f t="shared" ca="1" si="129"/>
        <v>6.7285268964221573E-2</v>
      </c>
      <c r="D124" s="180">
        <f t="shared" ca="1" si="130"/>
        <v>0.12319930924363046</v>
      </c>
      <c r="E124" s="180">
        <f t="shared" ca="1" si="131"/>
        <v>5.0730851956147981E-2</v>
      </c>
      <c r="F124" s="180">
        <f t="shared" ca="1" si="132"/>
        <v>8.2845977215191199E-3</v>
      </c>
      <c r="G124" s="180">
        <f t="shared" ca="1" si="133"/>
        <v>9.7503956634185651E-3</v>
      </c>
      <c r="H124" s="180">
        <f t="shared" ca="1" si="134"/>
        <v>8.3193647774418178E-2</v>
      </c>
      <c r="I124" s="180">
        <f t="shared" ca="1" si="135"/>
        <v>2.5433278733918974E-2</v>
      </c>
      <c r="J124" s="180">
        <f t="shared" ca="1" si="136"/>
        <v>0.10162899096346539</v>
      </c>
      <c r="K124" s="180">
        <f t="shared" ca="1" si="137"/>
        <v>0.12643808924556457</v>
      </c>
      <c r="L124" s="180">
        <f t="shared" ca="1" si="138"/>
        <v>3.7476238110011537E-2</v>
      </c>
      <c r="P124">
        <f t="shared" ca="1" si="140"/>
        <v>8.7603839463053224E-6</v>
      </c>
      <c r="Q124">
        <f t="shared" ca="1" si="139"/>
        <v>7.4790569172668853E-3</v>
      </c>
      <c r="R124">
        <f t="shared" ca="1" si="139"/>
        <v>6.082996668060596E-2</v>
      </c>
      <c r="S124">
        <f t="shared" ca="1" si="139"/>
        <v>-1.3215686909315363E-3</v>
      </c>
      <c r="T124">
        <f t="shared" ca="1" si="139"/>
        <v>-3.1343530259805311E-2</v>
      </c>
      <c r="U124">
        <f t="shared" ca="1" si="139"/>
        <v>-3.1375259203595504E-2</v>
      </c>
      <c r="V124">
        <f t="shared" ca="1" si="139"/>
        <v>3.1143162814856552E-2</v>
      </c>
      <c r="W124">
        <f t="shared" ca="1" si="139"/>
        <v>-2.9465594358902229E-2</v>
      </c>
      <c r="X124">
        <f t="shared" ca="1" si="139"/>
        <v>6.0442453573862284E-2</v>
      </c>
      <c r="Y124">
        <f t="shared" ca="1" si="139"/>
        <v>8.1506773235007518E-2</v>
      </c>
      <c r="Z124">
        <f t="shared" ca="1" si="139"/>
        <v>-7.7303210846525749E-3</v>
      </c>
    </row>
    <row r="125" spans="1:26" hidden="1">
      <c r="B125" s="180">
        <f>'Inflation-Interest'!$E$68</f>
        <v>1.2999999999999999E-3</v>
      </c>
      <c r="C125" s="180">
        <f t="shared" ca="1" si="129"/>
        <v>8.4366049033196167E-2</v>
      </c>
      <c r="D125" s="180">
        <f t="shared" ca="1" si="130"/>
        <v>9.1652483142422206E-2</v>
      </c>
      <c r="E125" s="180">
        <f t="shared" ca="1" si="131"/>
        <v>0.11071744089827612</v>
      </c>
      <c r="F125" s="180">
        <f t="shared" ca="1" si="132"/>
        <v>6.2636341955932678E-2</v>
      </c>
      <c r="G125" s="180">
        <f t="shared" ca="1" si="133"/>
        <v>5.1540033057509649E-2</v>
      </c>
      <c r="H125" s="180">
        <f t="shared" ca="1" si="134"/>
        <v>5.7763681393631618E-2</v>
      </c>
      <c r="I125" s="180">
        <f t="shared" ca="1" si="135"/>
        <v>6.4255385763340084E-2</v>
      </c>
      <c r="J125" s="180">
        <f t="shared" ca="1" si="136"/>
        <v>4.1078452216818939E-2</v>
      </c>
      <c r="K125" s="180">
        <f t="shared" ca="1" si="137"/>
        <v>7.8464471634184685E-2</v>
      </c>
      <c r="L125" s="180">
        <f t="shared" ca="1" si="138"/>
        <v>6.6207727317297668E-2</v>
      </c>
      <c r="P125">
        <f t="shared" ca="1" si="140"/>
        <v>4.4036617066015808E-3</v>
      </c>
      <c r="Q125">
        <f t="shared" ca="1" si="139"/>
        <v>5.5494006165261039E-2</v>
      </c>
      <c r="R125">
        <f t="shared" ca="1" si="139"/>
        <v>5.0018124273397219E-2</v>
      </c>
      <c r="S125">
        <f t="shared" ca="1" si="139"/>
        <v>5.9266759215310522E-2</v>
      </c>
      <c r="T125">
        <f t="shared" ca="1" si="139"/>
        <v>5.9431579720564919E-3</v>
      </c>
      <c r="U125">
        <f t="shared" ca="1" si="139"/>
        <v>-8.33256002175033E-3</v>
      </c>
      <c r="V125">
        <f t="shared" ca="1" si="139"/>
        <v>5.4750536019532378E-3</v>
      </c>
      <c r="W125">
        <f t="shared" ca="1" si="139"/>
        <v>1.1122545400801605E-2</v>
      </c>
      <c r="X125">
        <f t="shared" ca="1" si="139"/>
        <v>-8.2688629271300551E-4</v>
      </c>
      <c r="Y125">
        <f t="shared" ca="1" si="139"/>
        <v>8.4807335451245244E-3</v>
      </c>
      <c r="Z125">
        <f t="shared" ca="1" si="139"/>
        <v>-1.1940538192267702E-3</v>
      </c>
    </row>
    <row r="126" spans="1:26" hidden="1">
      <c r="B126" s="180">
        <f>'Inflation-Interest'!$E$68</f>
        <v>1.2999999999999999E-3</v>
      </c>
      <c r="C126" s="180">
        <f t="shared" ca="1" si="129"/>
        <v>5.9117485452795965E-2</v>
      </c>
      <c r="D126" s="180">
        <f t="shared" ca="1" si="130"/>
        <v>0.15017193220972275</v>
      </c>
      <c r="E126" s="180">
        <f t="shared" ca="1" si="131"/>
        <v>0.13502530241357436</v>
      </c>
      <c r="F126" s="180">
        <f t="shared" ca="1" si="132"/>
        <v>0.14359821300190356</v>
      </c>
      <c r="G126" s="180">
        <f t="shared" ca="1" si="133"/>
        <v>0.13033637510271706</v>
      </c>
      <c r="H126" s="180">
        <f t="shared" ca="1" si="134"/>
        <v>0.15015512487738808</v>
      </c>
      <c r="I126" s="180">
        <f t="shared" ca="1" si="135"/>
        <v>6.5738958490002511E-2</v>
      </c>
      <c r="J126" s="180">
        <f t="shared" ca="1" si="136"/>
        <v>6.1129139667231921E-2</v>
      </c>
      <c r="K126" s="180">
        <f t="shared" ca="1" si="137"/>
        <v>0.10935272050990714</v>
      </c>
      <c r="L126" s="180">
        <f t="shared" ca="1" si="138"/>
        <v>0.11297814536448772</v>
      </c>
      <c r="P126">
        <f t="shared" ca="1" si="140"/>
        <v>6.7381296216503656E-2</v>
      </c>
      <c r="Q126">
        <f t="shared" ca="1" si="139"/>
        <v>-9.2864580916919258E-3</v>
      </c>
      <c r="R126">
        <f t="shared" ca="1" si="139"/>
        <v>6.1365111058315103E-2</v>
      </c>
      <c r="S126">
        <f t="shared" ca="1" si="139"/>
        <v>4.6340643569579371E-2</v>
      </c>
      <c r="T126">
        <f t="shared" ca="1" si="139"/>
        <v>6.3688941190794046E-2</v>
      </c>
      <c r="U126">
        <f t="shared" ca="1" si="139"/>
        <v>6.780942740147243E-2</v>
      </c>
      <c r="V126">
        <f t="shared" ca="1" si="139"/>
        <v>8.2916965044742968E-2</v>
      </c>
      <c r="W126">
        <f t="shared" ca="1" si="139"/>
        <v>-3.1406941377459564E-3</v>
      </c>
      <c r="X126">
        <f t="shared" ca="1" si="139"/>
        <v>-1.649156057852021E-2</v>
      </c>
      <c r="Y126">
        <f t="shared" ca="1" si="139"/>
        <v>2.5122100801145561E-2</v>
      </c>
      <c r="Z126">
        <f t="shared" ca="1" si="139"/>
        <v>3.3496181097545229E-2</v>
      </c>
    </row>
    <row r="127" spans="1:26" hidden="1">
      <c r="B127" s="180">
        <f>'Inflation-Interest'!$E$68</f>
        <v>1.2999999999999999E-3</v>
      </c>
      <c r="C127" s="180">
        <f t="shared" ca="1" si="129"/>
        <v>4.9195175865171276E-2</v>
      </c>
      <c r="D127" s="180">
        <f t="shared" ca="1" si="130"/>
        <v>3.8104789858072911E-2</v>
      </c>
      <c r="E127" s="180">
        <f t="shared" ca="1" si="131"/>
        <v>2.9690097109272572E-2</v>
      </c>
      <c r="F127" s="180">
        <f t="shared" ca="1" si="132"/>
        <v>4.9922256151958937E-2</v>
      </c>
      <c r="G127" s="180">
        <f t="shared" ca="1" si="133"/>
        <v>3.9845543753226471E-2</v>
      </c>
      <c r="H127" s="180">
        <f t="shared" ca="1" si="134"/>
        <v>5.752260858599284E-2</v>
      </c>
      <c r="I127" s="180">
        <f t="shared" ca="1" si="135"/>
        <v>3.256512283184998E-2</v>
      </c>
      <c r="J127" s="180">
        <f t="shared" ca="1" si="136"/>
        <v>2.8583299405942893E-2</v>
      </c>
      <c r="K127" s="180">
        <f t="shared" ca="1" si="137"/>
        <v>5.5998423864520315E-2</v>
      </c>
      <c r="L127" s="180">
        <f t="shared" ca="1" si="138"/>
        <v>8.3634646215076575E-2</v>
      </c>
      <c r="P127">
        <f t="shared" ca="1" si="140"/>
        <v>1.1011843491270022E-2</v>
      </c>
      <c r="Q127">
        <f t="shared" ca="1" si="139"/>
        <v>-6.1542034842702494E-3</v>
      </c>
      <c r="R127">
        <f t="shared" ca="1" si="139"/>
        <v>5.6517522027593973E-3</v>
      </c>
      <c r="S127">
        <f t="shared" ca="1" si="139"/>
        <v>-1.7823270833156813E-2</v>
      </c>
      <c r="T127">
        <f t="shared" ca="1" si="139"/>
        <v>4.633881859682663E-3</v>
      </c>
      <c r="U127">
        <f t="shared" ca="1" si="139"/>
        <v>5.6261590648617396E-3</v>
      </c>
      <c r="V127">
        <f t="shared" ca="1" si="139"/>
        <v>2.14930493673459E-2</v>
      </c>
      <c r="W127">
        <f t="shared" ca="1" si="139"/>
        <v>4.0590013003174025E-3</v>
      </c>
      <c r="X127">
        <f t="shared" ca="1" si="139"/>
        <v>-1.2849644528667565E-2</v>
      </c>
      <c r="Y127">
        <f t="shared" ca="1" si="139"/>
        <v>1.1203128581900061E-2</v>
      </c>
      <c r="Z127">
        <f t="shared" ca="1" si="139"/>
        <v>3.859624745600905E-2</v>
      </c>
    </row>
    <row r="128" spans="1:26" hidden="1">
      <c r="B128" s="180">
        <f>'Inflation-Interest'!$E$68</f>
        <v>1.2999999999999999E-3</v>
      </c>
      <c r="C128" s="180">
        <f t="shared" ca="1" si="129"/>
        <v>7.0982633474797052E-2</v>
      </c>
      <c r="D128" s="180">
        <f t="shared" ca="1" si="130"/>
        <v>4.1815152411698787E-2</v>
      </c>
      <c r="E128" s="180">
        <f t="shared" ca="1" si="131"/>
        <v>3.6897202183493655E-2</v>
      </c>
      <c r="F128" s="180">
        <f t="shared" ca="1" si="132"/>
        <v>-1.2075875799363978E-2</v>
      </c>
      <c r="G128" s="180">
        <f t="shared" ca="1" si="133"/>
        <v>-2.7458241661398319E-3</v>
      </c>
      <c r="H128" s="180">
        <f t="shared" ca="1" si="134"/>
        <v>5.677674835830411E-2</v>
      </c>
      <c r="I128" s="180">
        <f t="shared" ca="1" si="135"/>
        <v>3.1784536843516044E-2</v>
      </c>
      <c r="J128" s="180">
        <f t="shared" ca="1" si="136"/>
        <v>5.1182437342839338E-3</v>
      </c>
      <c r="K128" s="180">
        <f t="shared" ca="1" si="137"/>
        <v>3.1109553136213976E-2</v>
      </c>
      <c r="L128" s="180">
        <f t="shared" ca="1" si="138"/>
        <v>2.1239750514929039E-2</v>
      </c>
      <c r="P128">
        <f t="shared" ca="1" si="140"/>
        <v>4.2805076812650625E-2</v>
      </c>
      <c r="Q128">
        <f t="shared" ca="1" si="139"/>
        <v>2.5382346234399583E-2</v>
      </c>
      <c r="R128">
        <f t="shared" ca="1" si="139"/>
        <v>2.7775712947933889E-3</v>
      </c>
      <c r="S128">
        <f t="shared" ca="1" si="139"/>
        <v>1.9290003305806415E-2</v>
      </c>
      <c r="T128">
        <f t="shared" ca="1" si="139"/>
        <v>-3.3213216384870042E-2</v>
      </c>
      <c r="U128">
        <f t="shared" ca="1" si="139"/>
        <v>-1.1423036279773237E-3</v>
      </c>
      <c r="V128">
        <f t="shared" ca="1" si="139"/>
        <v>6.0071874126182201E-2</v>
      </c>
      <c r="W128">
        <f t="shared" ca="1" si="139"/>
        <v>3.4243118790650562E-2</v>
      </c>
      <c r="X128">
        <f t="shared" ca="1" si="139"/>
        <v>-1.9242939106636717E-2</v>
      </c>
      <c r="Y128">
        <f t="shared" ca="1" si="139"/>
        <v>1.1943293416903793E-2</v>
      </c>
      <c r="Z128">
        <f t="shared" ca="1" si="139"/>
        <v>1.1416747957854002E-2</v>
      </c>
    </row>
    <row r="129" spans="2:26" hidden="1">
      <c r="B129" s="180">
        <f>'Inflation-Interest'!$E$68</f>
        <v>1.2999999999999999E-3</v>
      </c>
      <c r="C129" s="180">
        <f t="shared" ca="1" si="129"/>
        <v>6.2123107310307346E-2</v>
      </c>
      <c r="D129" s="180">
        <f t="shared" ca="1" si="130"/>
        <v>7.549405935900301E-2</v>
      </c>
      <c r="E129" s="180">
        <f t="shared" ca="1" si="131"/>
        <v>0.14612333255582285</v>
      </c>
      <c r="F129" s="180">
        <f t="shared" ca="1" si="132"/>
        <v>4.8345036180485759E-2</v>
      </c>
      <c r="G129" s="180">
        <f t="shared" ca="1" si="133"/>
        <v>3.755378668136701E-2</v>
      </c>
      <c r="H129" s="180">
        <f t="shared" ca="1" si="134"/>
        <v>2.982732019792849E-2</v>
      </c>
      <c r="I129" s="180">
        <f t="shared" ca="1" si="135"/>
        <v>2.3743114369319297E-2</v>
      </c>
      <c r="J129" s="180">
        <f t="shared" ca="1" si="136"/>
        <v>9.2184312075167293E-2</v>
      </c>
      <c r="K129" s="180">
        <f t="shared" ca="1" si="137"/>
        <v>4.1192926171324279E-2</v>
      </c>
      <c r="L129" s="180">
        <f t="shared" ca="1" si="138"/>
        <v>3.7253031992988878E-2</v>
      </c>
      <c r="P129">
        <f t="shared" ca="1" si="140"/>
        <v>2.8650353795348804E-2</v>
      </c>
      <c r="Q129">
        <f t="shared" ca="1" si="139"/>
        <v>2.2690322388464225E-2</v>
      </c>
      <c r="R129">
        <f t="shared" ca="1" si="139"/>
        <v>1.203244591359702E-2</v>
      </c>
      <c r="S129">
        <f t="shared" ca="1" si="139"/>
        <v>6.2152141423447868E-2</v>
      </c>
      <c r="T129">
        <f t="shared" ca="1" si="139"/>
        <v>-1.9838588293203802E-2</v>
      </c>
      <c r="U129">
        <f t="shared" ca="1" si="139"/>
        <v>-6.2413598284134508E-3</v>
      </c>
      <c r="V129">
        <f t="shared" ca="1" si="139"/>
        <v>1.0001478516440804E-2</v>
      </c>
      <c r="W129">
        <f t="shared" ca="1" si="139"/>
        <v>5.5360173537885582E-4</v>
      </c>
      <c r="X129">
        <f t="shared" ca="1" si="139"/>
        <v>6.0252003682488786E-2</v>
      </c>
      <c r="Y129">
        <f t="shared" ca="1" si="139"/>
        <v>3.0628088479966818E-3</v>
      </c>
      <c r="Z129">
        <f t="shared" ca="1" si="139"/>
        <v>3.3926078083915366E-3</v>
      </c>
    </row>
    <row r="130" spans="2:26" hidden="1">
      <c r="B130" s="180">
        <f>'Inflation-Interest'!$E$68</f>
        <v>1.2999999999999999E-3</v>
      </c>
      <c r="C130" s="180">
        <f t="shared" ca="1" si="129"/>
        <v>-1.850751916287114E-2</v>
      </c>
      <c r="D130" s="180">
        <f t="shared" ca="1" si="130"/>
        <v>6.6932710471060974E-2</v>
      </c>
      <c r="E130" s="180">
        <f t="shared" ca="1" si="131"/>
        <v>-2.22493287331589E-2</v>
      </c>
      <c r="F130" s="180">
        <f t="shared" ca="1" si="132"/>
        <v>-1.4556566936113343E-2</v>
      </c>
      <c r="G130" s="180">
        <f t="shared" ca="1" si="133"/>
        <v>2.5786703976733754E-2</v>
      </c>
      <c r="H130" s="180">
        <f t="shared" ca="1" si="134"/>
        <v>5.373360144480524E-2</v>
      </c>
      <c r="I130" s="180">
        <f t="shared" ca="1" si="135"/>
        <v>5.8057046679719521E-3</v>
      </c>
      <c r="J130" s="180">
        <f t="shared" ca="1" si="136"/>
        <v>9.8576547175510364E-3</v>
      </c>
      <c r="K130" s="180">
        <f t="shared" ca="1" si="137"/>
        <v>-2.0870161805227001E-2</v>
      </c>
      <c r="L130" s="180">
        <f t="shared" ca="1" si="138"/>
        <v>4.9731897676365759E-2</v>
      </c>
      <c r="P130">
        <f t="shared" ca="1" si="140"/>
        <v>4.3203909590128584E-2</v>
      </c>
      <c r="Q130">
        <f t="shared" ca="1" si="139"/>
        <v>-4.112219421519557E-2</v>
      </c>
      <c r="R130">
        <f t="shared" ca="1" si="139"/>
        <v>3.5481691417256489E-2</v>
      </c>
      <c r="S130">
        <f t="shared" ca="1" si="139"/>
        <v>-2.5234684598184638E-2</v>
      </c>
      <c r="T130">
        <f t="shared" ca="1" si="139"/>
        <v>-8.1589607827305469E-3</v>
      </c>
      <c r="U130">
        <f t="shared" ca="1" si="139"/>
        <v>3.8738379993439556E-2</v>
      </c>
      <c r="V130">
        <f t="shared" ca="1" si="139"/>
        <v>5.1784805768316983E-2</v>
      </c>
      <c r="W130">
        <f t="shared" ca="1" si="139"/>
        <v>1.9799708169156414E-2</v>
      </c>
      <c r="X130">
        <f t="shared" ca="1" si="139"/>
        <v>1.0998406691000752E-2</v>
      </c>
      <c r="Y130">
        <f t="shared" ca="1" si="139"/>
        <v>-1.660968008383568E-2</v>
      </c>
      <c r="Z130">
        <f t="shared" ca="1" si="139"/>
        <v>4.6989761617552236E-2</v>
      </c>
    </row>
    <row r="131" spans="2:26" hidden="1">
      <c r="B131" s="180">
        <f>'Inflation-Interest'!$E$68</f>
        <v>1.2999999999999999E-3</v>
      </c>
      <c r="C131" s="180">
        <f t="shared" ca="1" si="129"/>
        <v>4.508992120947114E-2</v>
      </c>
      <c r="D131" s="180">
        <f t="shared" ca="1" si="130"/>
        <v>8.4733664916760085E-2</v>
      </c>
      <c r="E131" s="180">
        <f t="shared" ca="1" si="131"/>
        <v>6.4963132278622493E-2</v>
      </c>
      <c r="F131" s="180">
        <f t="shared" ca="1" si="132"/>
        <v>6.6734015132441649E-2</v>
      </c>
      <c r="G131" s="180">
        <f t="shared" ca="1" si="133"/>
        <v>8.1934227662973397E-2</v>
      </c>
      <c r="H131" s="180">
        <f t="shared" ca="1" si="134"/>
        <v>9.1656608811307924E-2</v>
      </c>
      <c r="I131" s="180">
        <f t="shared" ca="1" si="135"/>
        <v>0.13774320727419398</v>
      </c>
      <c r="J131" s="180">
        <f t="shared" ca="1" si="136"/>
        <v>7.7631103338136179E-2</v>
      </c>
      <c r="K131" s="180">
        <f t="shared" ca="1" si="137"/>
        <v>0.13246250243084989</v>
      </c>
      <c r="L131" s="180">
        <f t="shared" ca="1" si="138"/>
        <v>8.8959078470367742E-2</v>
      </c>
      <c r="P131">
        <f t="shared" ca="1" si="140"/>
        <v>7.6593207876343841E-2</v>
      </c>
      <c r="Q131">
        <f t="shared" ca="1" si="139"/>
        <v>1.091159413695043E-2</v>
      </c>
      <c r="R131">
        <f t="shared" ca="1" si="139"/>
        <v>4.9232360617378255E-2</v>
      </c>
      <c r="S131">
        <f t="shared" ca="1" si="139"/>
        <v>1.0297987336127554E-2</v>
      </c>
      <c r="T131">
        <f t="shared" ca="1" si="139"/>
        <v>1.6698476923625132E-2</v>
      </c>
      <c r="U131">
        <f t="shared" ca="1" si="139"/>
        <v>2.0489972330112387E-2</v>
      </c>
      <c r="V131">
        <f t="shared" ca="1" si="139"/>
        <v>2.5146408636189322E-2</v>
      </c>
      <c r="W131">
        <f t="shared" ca="1" si="139"/>
        <v>5.9937699677840128E-2</v>
      </c>
      <c r="X131">
        <f t="shared" ca="1" si="139"/>
        <v>-7.5345321986644391E-3</v>
      </c>
      <c r="Y131">
        <f t="shared" ca="1" si="139"/>
        <v>6.4134342564016178E-2</v>
      </c>
      <c r="Z131">
        <f t="shared" ca="1" si="139"/>
        <v>3.2973543680769074E-2</v>
      </c>
    </row>
    <row r="132" spans="2:26" hidden="1">
      <c r="B132" s="180">
        <f>'Inflation-Interest'!$E$68</f>
        <v>1.2999999999999999E-3</v>
      </c>
      <c r="C132" s="180">
        <f t="shared" ca="1" si="129"/>
        <v>3.6240599293519318E-2</v>
      </c>
      <c r="D132" s="180">
        <f t="shared" ca="1" si="130"/>
        <v>4.4906830665385748E-2</v>
      </c>
      <c r="E132" s="180">
        <f t="shared" ca="1" si="131"/>
        <v>1.2948646586977043E-2</v>
      </c>
      <c r="F132" s="180">
        <f t="shared" ca="1" si="132"/>
        <v>4.6050652853193805E-2</v>
      </c>
      <c r="G132" s="180">
        <f t="shared" ca="1" si="133"/>
        <v>4.6811273011112924E-2</v>
      </c>
      <c r="H132" s="180">
        <f t="shared" ca="1" si="134"/>
        <v>6.7288752560455245E-2</v>
      </c>
      <c r="I132" s="180">
        <f t="shared" ca="1" si="135"/>
        <v>4.1528031275545267E-2</v>
      </c>
      <c r="J132" s="180">
        <f t="shared" ca="1" si="136"/>
        <v>6.9355486620167245E-2</v>
      </c>
      <c r="K132" s="180">
        <f t="shared" ca="1" si="137"/>
        <v>6.9999039897445187E-2</v>
      </c>
      <c r="L132" s="180">
        <f t="shared" ca="1" si="138"/>
        <v>6.7862238118328533E-2</v>
      </c>
      <c r="P132">
        <f t="shared" ca="1" si="140"/>
        <v>2.9264790653066627E-2</v>
      </c>
      <c r="Q132">
        <f t="shared" ca="1" si="139"/>
        <v>1.1240093916136364E-2</v>
      </c>
      <c r="R132">
        <f t="shared" ca="1" si="139"/>
        <v>2.3142187552076057E-2</v>
      </c>
      <c r="S132">
        <f t="shared" ca="1" si="139"/>
        <v>-5.5803850596314319E-4</v>
      </c>
      <c r="T132">
        <f t="shared" ca="1" si="139"/>
        <v>1.9889409850245555E-2</v>
      </c>
      <c r="U132">
        <f t="shared" ca="1" si="139"/>
        <v>1.0607794813704404E-2</v>
      </c>
      <c r="V132">
        <f t="shared" ca="1" si="139"/>
        <v>4.5622447803604881E-2</v>
      </c>
      <c r="W132">
        <f t="shared" ca="1" si="139"/>
        <v>2.7344429153008783E-2</v>
      </c>
      <c r="X132">
        <f t="shared" ca="1" si="139"/>
        <v>3.8510819918546282E-2</v>
      </c>
      <c r="Y132">
        <f t="shared" ca="1" si="139"/>
        <v>2.353673412508786E-2</v>
      </c>
      <c r="Z132">
        <f t="shared" ca="1" si="139"/>
        <v>1.684038773857801E-2</v>
      </c>
    </row>
    <row r="133" spans="2:26" hidden="1">
      <c r="B133" s="180">
        <f>'Inflation-Interest'!$E$68</f>
        <v>1.2999999999999999E-3</v>
      </c>
      <c r="C133" s="180">
        <f t="shared" ca="1" si="129"/>
        <v>6.2697631603683551E-2</v>
      </c>
      <c r="D133" s="180">
        <f t="shared" ca="1" si="130"/>
        <v>6.926556649895324E-2</v>
      </c>
      <c r="E133" s="180">
        <f t="shared" ca="1" si="131"/>
        <v>6.7761096822362921E-2</v>
      </c>
      <c r="F133" s="180">
        <f t="shared" ca="1" si="132"/>
        <v>0.11240486770009805</v>
      </c>
      <c r="G133" s="180">
        <f t="shared" ca="1" si="133"/>
        <v>8.9679403255208984E-2</v>
      </c>
      <c r="H133" s="180">
        <f t="shared" ca="1" si="134"/>
        <v>5.7745331419409678E-2</v>
      </c>
      <c r="I133" s="180">
        <f t="shared" ca="1" si="135"/>
        <v>1.1798142111714857E-2</v>
      </c>
      <c r="J133" s="180">
        <f t="shared" ca="1" si="136"/>
        <v>7.5560655820754538E-2</v>
      </c>
      <c r="K133" s="180">
        <f t="shared" ca="1" si="137"/>
        <v>6.430528983010339E-2</v>
      </c>
      <c r="L133" s="180">
        <f t="shared" ca="1" si="138"/>
        <v>5.570855977236476E-2</v>
      </c>
      <c r="P133">
        <f t="shared" ca="1" si="140"/>
        <v>6.3276665888582148E-2</v>
      </c>
      <c r="Q133">
        <f t="shared" ca="1" si="139"/>
        <v>2.2193858185000449E-2</v>
      </c>
      <c r="R133">
        <f t="shared" ca="1" si="139"/>
        <v>1.6919125147936351E-3</v>
      </c>
      <c r="S133">
        <f t="shared" ca="1" si="139"/>
        <v>-4.1614645912328371E-4</v>
      </c>
      <c r="T133">
        <f t="shared" ca="1" si="139"/>
        <v>5.8199819255433508E-2</v>
      </c>
      <c r="U133">
        <f t="shared" ca="1" si="139"/>
        <v>3.0245827635069059E-2</v>
      </c>
      <c r="V133">
        <f t="shared" ca="1" si="139"/>
        <v>2.1248380561944141E-3</v>
      </c>
      <c r="W133">
        <f t="shared" ca="1" si="139"/>
        <v>-3.849982207626404E-2</v>
      </c>
      <c r="X133">
        <f t="shared" ca="1" si="139"/>
        <v>4.3062619084206832E-2</v>
      </c>
      <c r="Y133">
        <f t="shared" ca="1" si="139"/>
        <v>3.2386725876032654E-2</v>
      </c>
      <c r="Z133">
        <f t="shared" ca="1" si="139"/>
        <v>2.4270092958207399E-2</v>
      </c>
    </row>
    <row r="134" spans="2:26" hidden="1">
      <c r="B134" s="180">
        <f>'Inflation-Interest'!$E$68</f>
        <v>1.2999999999999999E-3</v>
      </c>
      <c r="C134" s="180">
        <f t="shared" ca="1" si="129"/>
        <v>5.5082151086278917E-2</v>
      </c>
      <c r="D134" s="180">
        <f t="shared" ca="1" si="130"/>
        <v>7.8582591919294273E-2</v>
      </c>
      <c r="E134" s="180">
        <f t="shared" ca="1" si="131"/>
        <v>1.9322489381389311E-2</v>
      </c>
      <c r="F134" s="180">
        <f t="shared" ca="1" si="132"/>
        <v>8.3256179838249927E-2</v>
      </c>
      <c r="G134" s="180">
        <f t="shared" ca="1" si="133"/>
        <v>8.5884758927200766E-2</v>
      </c>
      <c r="H134" s="180">
        <f t="shared" ca="1" si="134"/>
        <v>0.10421678622601302</v>
      </c>
      <c r="I134" s="180">
        <f t="shared" ca="1" si="135"/>
        <v>7.8228796138884726E-2</v>
      </c>
      <c r="J134" s="180">
        <f t="shared" ca="1" si="136"/>
        <v>7.2791813249333037E-2</v>
      </c>
      <c r="K134" s="180">
        <f t="shared" ca="1" si="137"/>
        <v>0.11508324670615214</v>
      </c>
      <c r="L134" s="180">
        <f t="shared" ca="1" si="138"/>
        <v>9.3939653934910564E-2</v>
      </c>
      <c r="P134">
        <f t="shared" ca="1" si="140"/>
        <v>1.2399449138807875E-2</v>
      </c>
      <c r="Q134">
        <f t="shared" ca="1" si="139"/>
        <v>1.2827829158242147E-2</v>
      </c>
      <c r="R134">
        <f t="shared" ca="1" si="139"/>
        <v>1.2649782423056536E-2</v>
      </c>
      <c r="S134">
        <f t="shared" ca="1" si="139"/>
        <v>-2.8613811075100384E-2</v>
      </c>
      <c r="T134">
        <f t="shared" ca="1" si="139"/>
        <v>2.5555259198242565E-2</v>
      </c>
      <c r="U134">
        <f t="shared" ca="1" si="139"/>
        <v>1.2130388436154955E-2</v>
      </c>
      <c r="V134">
        <f t="shared" ca="1" si="139"/>
        <v>3.2786638400936603E-2</v>
      </c>
      <c r="W134">
        <f t="shared" ca="1" si="139"/>
        <v>1.9683325535614287E-2</v>
      </c>
      <c r="X134">
        <f t="shared" ca="1" si="139"/>
        <v>-6.4099750892099711E-3</v>
      </c>
      <c r="Y134">
        <f t="shared" ca="1" si="139"/>
        <v>2.1281993959679689E-2</v>
      </c>
      <c r="Z134">
        <f t="shared" ca="1" si="139"/>
        <v>-6.7374961907620927E-3</v>
      </c>
    </row>
    <row r="135" spans="2:26" hidden="1">
      <c r="B135" s="180">
        <f>'Inflation-Interest'!$E$68</f>
        <v>1.2999999999999999E-3</v>
      </c>
      <c r="C135" s="180">
        <f t="shared" ca="1" si="129"/>
        <v>3.7057043778267088E-2</v>
      </c>
      <c r="D135" s="180">
        <f t="shared" ca="1" si="130"/>
        <v>8.2881860175084782E-2</v>
      </c>
      <c r="E135" s="180">
        <f t="shared" ca="1" si="131"/>
        <v>6.3502148848821188E-2</v>
      </c>
      <c r="F135" s="180">
        <f t="shared" ca="1" si="132"/>
        <v>3.5985408814897986E-2</v>
      </c>
      <c r="G135" s="180">
        <f t="shared" ca="1" si="133"/>
        <v>4.7467930864571156E-2</v>
      </c>
      <c r="H135" s="180">
        <f t="shared" ca="1" si="134"/>
        <v>2.1646464772700741E-2</v>
      </c>
      <c r="I135" s="180">
        <f t="shared" ca="1" si="135"/>
        <v>2.63464604382877E-2</v>
      </c>
      <c r="J135" s="180">
        <f t="shared" ca="1" si="136"/>
        <v>2.8946593229223789E-2</v>
      </c>
      <c r="K135" s="180">
        <f t="shared" ca="1" si="137"/>
        <v>2.3367457807399305E-3</v>
      </c>
      <c r="L135" s="180">
        <f t="shared" ca="1" si="138"/>
        <v>5.2056148342376971E-3</v>
      </c>
      <c r="P135">
        <f t="shared" ca="1" si="140"/>
        <v>-1.2279855493249336E-3</v>
      </c>
      <c r="Q135">
        <f t="shared" ca="1" si="139"/>
        <v>1.5726362277839974E-2</v>
      </c>
      <c r="R135">
        <f t="shared" ca="1" si="139"/>
        <v>4.0709646838957614E-2</v>
      </c>
      <c r="S135">
        <f t="shared" ca="1" si="139"/>
        <v>3.2963295455304645E-2</v>
      </c>
      <c r="T135">
        <f t="shared" ca="1" si="139"/>
        <v>2.6198077883729791E-2</v>
      </c>
      <c r="U135">
        <f t="shared" ca="1" si="139"/>
        <v>4.5276133022087446E-2</v>
      </c>
      <c r="V135">
        <f t="shared" ca="1" si="139"/>
        <v>3.6737971432052763E-2</v>
      </c>
      <c r="W135">
        <f t="shared" ca="1" si="139"/>
        <v>3.1833944168918091E-2</v>
      </c>
      <c r="X135">
        <f t="shared" ca="1" si="139"/>
        <v>2.5776371738995441E-2</v>
      </c>
      <c r="Y135">
        <f t="shared" ca="1" si="139"/>
        <v>1.3815174201147178E-2</v>
      </c>
      <c r="Z135">
        <f t="shared" ca="1" si="139"/>
        <v>4.0479961377635501E-2</v>
      </c>
    </row>
    <row r="136" spans="2:26" hidden="1">
      <c r="B136" s="180">
        <f>'Inflation-Interest'!$E$68</f>
        <v>1.2999999999999999E-3</v>
      </c>
      <c r="C136" s="180">
        <f t="shared" ca="1" si="129"/>
        <v>6.7887938964757144E-2</v>
      </c>
      <c r="D136" s="180">
        <f t="shared" ca="1" si="130"/>
        <v>4.7075294202545595E-2</v>
      </c>
      <c r="E136" s="180">
        <f t="shared" ca="1" si="131"/>
        <v>-2.2518191350985501E-2</v>
      </c>
      <c r="F136" s="180">
        <f t="shared" ca="1" si="132"/>
        <v>-1.152990522365788E-2</v>
      </c>
      <c r="G136" s="180">
        <f t="shared" ca="1" si="133"/>
        <v>-8.7845039518078278E-3</v>
      </c>
      <c r="H136" s="180">
        <f t="shared" ca="1" si="134"/>
        <v>-1.7201519027201601E-2</v>
      </c>
      <c r="I136" s="180">
        <f t="shared" ca="1" si="135"/>
        <v>-3.2664837997714719E-2</v>
      </c>
      <c r="J136" s="180">
        <f t="shared" ca="1" si="136"/>
        <v>-7.4147335007872822E-2</v>
      </c>
      <c r="K136" s="180">
        <f t="shared" ca="1" si="137"/>
        <v>-2.1472684535325248E-2</v>
      </c>
      <c r="L136" s="180">
        <f t="shared" ca="1" si="138"/>
        <v>1.5979418862618177E-2</v>
      </c>
      <c r="P136">
        <f t="shared" ca="1" si="140"/>
        <v>5.8968823001534901E-2</v>
      </c>
      <c r="Q136">
        <f t="shared" ca="1" si="139"/>
        <v>3.4526888854739722E-2</v>
      </c>
      <c r="R136">
        <f t="shared" ca="1" si="139"/>
        <v>1.8844636375798862E-2</v>
      </c>
      <c r="S136">
        <f t="shared" ca="1" si="139"/>
        <v>-3.8493473118874161E-2</v>
      </c>
      <c r="T136">
        <f t="shared" ca="1" si="139"/>
        <v>-8.5407806871179957E-3</v>
      </c>
      <c r="U136">
        <f t="shared" ca="1" si="139"/>
        <v>1.4385583051147675E-2</v>
      </c>
      <c r="V136">
        <f t="shared" ca="1" si="139"/>
        <v>8.6483958249657066E-3</v>
      </c>
      <c r="W136">
        <f t="shared" ca="1" si="139"/>
        <v>9.1682828585714655E-3</v>
      </c>
      <c r="X136">
        <f t="shared" ca="1" si="139"/>
        <v>-2.3567984799983458E-2</v>
      </c>
      <c r="Y136">
        <f t="shared" ca="1" si="139"/>
        <v>9.7661336591885195E-3</v>
      </c>
      <c r="Z136">
        <f t="shared" ca="1" si="139"/>
        <v>3.0465957919167327E-2</v>
      </c>
    </row>
    <row r="137" spans="2:26" hidden="1">
      <c r="B137" s="180">
        <f>'Inflation-Interest'!$E$68</f>
        <v>1.2999999999999999E-3</v>
      </c>
      <c r="C137" s="180">
        <f t="shared" ca="1" si="129"/>
        <v>1.7534464454565316E-2</v>
      </c>
      <c r="D137" s="180">
        <f t="shared" ca="1" si="130"/>
        <v>2.0011950936919411E-2</v>
      </c>
      <c r="E137" s="180">
        <f t="shared" ca="1" si="131"/>
        <v>3.5543407732876273E-2</v>
      </c>
      <c r="F137" s="180">
        <f t="shared" ca="1" si="132"/>
        <v>2.6776977998997396E-2</v>
      </c>
      <c r="G137" s="180">
        <f t="shared" ca="1" si="133"/>
        <v>6.0966644904649647E-2</v>
      </c>
      <c r="H137" s="180">
        <f t="shared" ca="1" si="134"/>
        <v>1.5945372145116307E-3</v>
      </c>
      <c r="I137" s="180">
        <f t="shared" ca="1" si="135"/>
        <v>6.5311359048772971E-2</v>
      </c>
      <c r="J137" s="180">
        <f t="shared" ca="1" si="136"/>
        <v>5.5392783938915321E-2</v>
      </c>
      <c r="K137" s="180">
        <f t="shared" ca="1" si="137"/>
        <v>8.2221400741560632E-2</v>
      </c>
      <c r="L137" s="180">
        <f t="shared" ca="1" si="138"/>
        <v>7.6005190011965484E-2</v>
      </c>
      <c r="P137">
        <f t="shared" ca="1" si="140"/>
        <v>-7.2656851866029805E-3</v>
      </c>
      <c r="Q137">
        <f t="shared" ca="1" si="140"/>
        <v>5.2074582103956175E-3</v>
      </c>
      <c r="R137">
        <f t="shared" ca="1" si="140"/>
        <v>-6.2567448610961057E-4</v>
      </c>
      <c r="S137">
        <f t="shared" ca="1" si="140"/>
        <v>1.4448293194655563E-3</v>
      </c>
      <c r="T137">
        <f t="shared" ca="1" si="140"/>
        <v>-1.4380925175520563E-2</v>
      </c>
      <c r="U137">
        <f t="shared" ca="1" si="140"/>
        <v>1.6821282248260825E-2</v>
      </c>
      <c r="V137">
        <f t="shared" ca="1" si="140"/>
        <v>-3.5787804412355864E-2</v>
      </c>
      <c r="W137">
        <f t="shared" ca="1" si="140"/>
        <v>3.2566256372116457E-2</v>
      </c>
      <c r="X137">
        <f t="shared" ca="1" si="140"/>
        <v>2.7000484741896615E-3</v>
      </c>
      <c r="Y137">
        <f t="shared" ca="1" si="140"/>
        <v>3.5733192162657704E-2</v>
      </c>
      <c r="Z137">
        <f t="shared" ca="1" si="140"/>
        <v>3.9125447890148116E-2</v>
      </c>
    </row>
    <row r="138" spans="2:26" hidden="1">
      <c r="B138" s="180">
        <f>'Inflation-Interest'!$E$68</f>
        <v>1.2999999999999999E-3</v>
      </c>
      <c r="C138" s="180">
        <f t="shared" ca="1" si="129"/>
        <v>6.6656640975746223E-2</v>
      </c>
      <c r="D138" s="180">
        <f t="shared" ca="1" si="130"/>
        <v>2.7313667354931015E-2</v>
      </c>
      <c r="E138" s="180">
        <f t="shared" ca="1" si="131"/>
        <v>4.7369686864670496E-2</v>
      </c>
      <c r="F138" s="180">
        <f t="shared" ca="1" si="132"/>
        <v>5.1659945605091386E-2</v>
      </c>
      <c r="G138" s="180">
        <f t="shared" ca="1" si="133"/>
        <v>5.5303909229951473E-2</v>
      </c>
      <c r="H138" s="180">
        <f t="shared" ca="1" si="134"/>
        <v>0.12544589943112922</v>
      </c>
      <c r="I138" s="180">
        <f t="shared" ca="1" si="135"/>
        <v>9.6602653529235499E-2</v>
      </c>
      <c r="J138" s="180">
        <f t="shared" ca="1" si="136"/>
        <v>6.6041580259290633E-2</v>
      </c>
      <c r="K138" s="180">
        <f t="shared" ca="1" si="137"/>
        <v>5.5417757666490472E-2</v>
      </c>
      <c r="L138" s="180">
        <f t="shared" ca="1" si="138"/>
        <v>4.0167288652536076E-2</v>
      </c>
      <c r="P138">
        <f t="shared" ca="1" si="140"/>
        <v>-9.6743190233170191E-3</v>
      </c>
      <c r="Q138">
        <f t="shared" ca="1" si="140"/>
        <v>3.8626916039308422E-2</v>
      </c>
      <c r="R138">
        <f t="shared" ca="1" si="140"/>
        <v>-2.6409617871004237E-3</v>
      </c>
      <c r="S138">
        <f t="shared" ca="1" si="140"/>
        <v>6.8988598837071719E-3</v>
      </c>
      <c r="T138">
        <f t="shared" ca="1" si="140"/>
        <v>2.015394264718668E-2</v>
      </c>
      <c r="U138">
        <f t="shared" ca="1" si="140"/>
        <v>1.955862777698136E-2</v>
      </c>
      <c r="V138">
        <f t="shared" ca="1" si="140"/>
        <v>7.0190852005246218E-2</v>
      </c>
      <c r="W138">
        <f t="shared" ca="1" si="140"/>
        <v>4.199471304439252E-2</v>
      </c>
      <c r="X138">
        <f t="shared" ca="1" si="140"/>
        <v>7.8947773988561898E-3</v>
      </c>
      <c r="Y138">
        <f t="shared" ca="1" si="140"/>
        <v>1.1714335489000357E-2</v>
      </c>
      <c r="Z138">
        <f t="shared" ca="1" si="140"/>
        <v>2.2592312496337204E-2</v>
      </c>
    </row>
    <row r="139" spans="2:26" hidden="1">
      <c r="B139" s="180">
        <f>'Inflation-Interest'!$E$68</f>
        <v>1.2999999999999999E-3</v>
      </c>
      <c r="C139" s="180">
        <f t="shared" ca="1" si="129"/>
        <v>9.0097048605598348E-2</v>
      </c>
      <c r="D139" s="180">
        <f t="shared" ca="1" si="130"/>
        <v>9.9917044332316282E-2</v>
      </c>
      <c r="E139" s="180">
        <f t="shared" ca="1" si="131"/>
        <v>8.3721787368075215E-2</v>
      </c>
      <c r="F139" s="180">
        <f t="shared" ca="1" si="132"/>
        <v>7.8859899751257637E-2</v>
      </c>
      <c r="G139" s="180">
        <f t="shared" ca="1" si="133"/>
        <v>7.98369878951974E-2</v>
      </c>
      <c r="H139" s="180">
        <f t="shared" ca="1" si="134"/>
        <v>7.1792160174433059E-2</v>
      </c>
      <c r="I139" s="180">
        <f t="shared" ca="1" si="135"/>
        <v>3.70006420137413E-2</v>
      </c>
      <c r="J139" s="180">
        <f t="shared" ca="1" si="136"/>
        <v>8.5836421265961124E-2</v>
      </c>
      <c r="K139" s="180">
        <f t="shared" ca="1" si="137"/>
        <v>2.4789164082649646E-2</v>
      </c>
      <c r="L139" s="180">
        <f t="shared" ca="1" si="138"/>
        <v>5.4373778038877024E-2</v>
      </c>
      <c r="P139">
        <f t="shared" ca="1" si="140"/>
        <v>2.8147898290180176E-2</v>
      </c>
      <c r="Q139">
        <f t="shared" ca="1" si="140"/>
        <v>3.3139598481890208E-2</v>
      </c>
      <c r="R139">
        <f t="shared" ca="1" si="140"/>
        <v>4.7296326485045635E-2</v>
      </c>
      <c r="S139">
        <f t="shared" ca="1" si="140"/>
        <v>2.99559741110028E-2</v>
      </c>
      <c r="T139">
        <f t="shared" ca="1" si="140"/>
        <v>3.588977847747394E-2</v>
      </c>
      <c r="U139">
        <f t="shared" ca="1" si="140"/>
        <v>2.7167199664740384E-2</v>
      </c>
      <c r="V139">
        <f t="shared" ca="1" si="140"/>
        <v>3.2231799769741956E-2</v>
      </c>
      <c r="W139">
        <f t="shared" ca="1" si="140"/>
        <v>5.0397960120332017E-3</v>
      </c>
      <c r="X139">
        <f t="shared" ca="1" si="140"/>
        <v>4.7514179687317179E-2</v>
      </c>
      <c r="Y139">
        <f t="shared" ca="1" si="140"/>
        <v>9.5648321772187281E-4</v>
      </c>
      <c r="Z139">
        <f t="shared" ca="1" si="140"/>
        <v>2.6946205617628192E-2</v>
      </c>
    </row>
    <row r="140" spans="2:26" hidden="1">
      <c r="B140" s="180">
        <f>'Inflation-Interest'!$E$68</f>
        <v>1.2999999999999999E-3</v>
      </c>
      <c r="C140" s="180">
        <f t="shared" ca="1" si="129"/>
        <v>2.1590984929531834E-2</v>
      </c>
      <c r="D140" s="180">
        <f t="shared" ca="1" si="130"/>
        <v>2.0738674377647183E-2</v>
      </c>
      <c r="E140" s="180">
        <f t="shared" ca="1" si="131"/>
        <v>-2.6890987646739004E-2</v>
      </c>
      <c r="F140" s="180">
        <f t="shared" ca="1" si="132"/>
        <v>5.4614864103548003E-2</v>
      </c>
      <c r="G140" s="180">
        <f t="shared" ca="1" si="133"/>
        <v>9.0841589994216689E-3</v>
      </c>
      <c r="H140" s="180">
        <f t="shared" ca="1" si="134"/>
        <v>1.29036651333947E-2</v>
      </c>
      <c r="I140" s="180">
        <f t="shared" ca="1" si="135"/>
        <v>-3.0790495225969335E-2</v>
      </c>
      <c r="J140" s="180">
        <f t="shared" ca="1" si="136"/>
        <v>-2.2701228476592041E-2</v>
      </c>
      <c r="K140" s="180">
        <f t="shared" ca="1" si="137"/>
        <v>4.6446556165532088E-3</v>
      </c>
      <c r="L140" s="180">
        <f t="shared" ca="1" si="138"/>
        <v>1.4338362453715434E-3</v>
      </c>
      <c r="P140">
        <f t="shared" ca="1" si="140"/>
        <v>2.0194823757957926E-2</v>
      </c>
      <c r="Q140">
        <f t="shared" ca="1" si="140"/>
        <v>-2.4041015008210709E-3</v>
      </c>
      <c r="R140">
        <f t="shared" ca="1" si="140"/>
        <v>7.4103983251499334E-3</v>
      </c>
      <c r="S140">
        <f t="shared" ca="1" si="140"/>
        <v>-2.3004199544386945E-2</v>
      </c>
      <c r="T140">
        <f t="shared" ca="1" si="140"/>
        <v>4.2798991964583616E-2</v>
      </c>
      <c r="U140">
        <f t="shared" ca="1" si="140"/>
        <v>9.7036765054921183E-3</v>
      </c>
      <c r="V140">
        <f t="shared" ca="1" si="140"/>
        <v>3.0355721674535676E-2</v>
      </c>
      <c r="W140">
        <f t="shared" ca="1" si="140"/>
        <v>6.0741708813997711E-3</v>
      </c>
      <c r="X140">
        <f t="shared" ca="1" si="140"/>
        <v>5.9736548918649258E-3</v>
      </c>
      <c r="Y140">
        <f t="shared" ca="1" si="140"/>
        <v>4.3685827033977845E-2</v>
      </c>
      <c r="Z140">
        <f t="shared" ca="1" si="140"/>
        <v>3.8375171614187686E-2</v>
      </c>
    </row>
    <row r="141" spans="2:26" hidden="1">
      <c r="B141" s="180">
        <f>'Inflation-Interest'!$E$68</f>
        <v>1.2999999999999999E-3</v>
      </c>
      <c r="C141" s="180">
        <f t="shared" ca="1" si="129"/>
        <v>3.6767006038684456E-2</v>
      </c>
      <c r="D141" s="180">
        <f t="shared" ca="1" si="130"/>
        <v>1.6366368358660878E-2</v>
      </c>
      <c r="E141" s="180">
        <f t="shared" ca="1" si="131"/>
        <v>4.0504962475191329E-2</v>
      </c>
      <c r="F141" s="180">
        <f t="shared" ca="1" si="132"/>
        <v>1.8227913231903665E-2</v>
      </c>
      <c r="G141" s="180">
        <f t="shared" ca="1" si="133"/>
        <v>2.334223526280876E-2</v>
      </c>
      <c r="H141" s="180">
        <f t="shared" ca="1" si="134"/>
        <v>6.5880726778958579E-2</v>
      </c>
      <c r="I141" s="180">
        <f t="shared" ca="1" si="135"/>
        <v>5.2940089566721846E-2</v>
      </c>
      <c r="J141" s="180">
        <f t="shared" ca="1" si="136"/>
        <v>-1.3559925775032122E-2</v>
      </c>
      <c r="K141" s="180">
        <f t="shared" ca="1" si="137"/>
        <v>4.7595276865925885E-2</v>
      </c>
      <c r="L141" s="180">
        <f t="shared" ca="1" si="138"/>
        <v>3.2268716886310556E-2</v>
      </c>
      <c r="P141">
        <f t="shared" ca="1" si="140"/>
        <v>1.1365405862891174E-2</v>
      </c>
      <c r="Q141">
        <f t="shared" ca="1" si="140"/>
        <v>1.6915422941295791E-3</v>
      </c>
      <c r="R141">
        <f t="shared" ca="1" si="140"/>
        <v>-1.2461996810045374E-2</v>
      </c>
      <c r="S141">
        <f t="shared" ca="1" si="140"/>
        <v>1.1530491962713912E-3</v>
      </c>
      <c r="T141">
        <f t="shared" ca="1" si="140"/>
        <v>-7.5529872679992761E-3</v>
      </c>
      <c r="U141">
        <f t="shared" ca="1" si="140"/>
        <v>-5.2847254285699787E-3</v>
      </c>
      <c r="V141">
        <f t="shared" ca="1" si="140"/>
        <v>4.0680862484827988E-2</v>
      </c>
      <c r="W141">
        <f t="shared" ca="1" si="140"/>
        <v>3.1416174096422632E-2</v>
      </c>
      <c r="X141">
        <f t="shared" ca="1" si="140"/>
        <v>-6.8151209770166143E-3</v>
      </c>
      <c r="Y141">
        <f t="shared" ca="1" si="140"/>
        <v>4.7029374486341084E-2</v>
      </c>
      <c r="Z141">
        <f t="shared" ca="1" si="140"/>
        <v>2.153314854522204E-2</v>
      </c>
    </row>
    <row r="142" spans="2:26" hidden="1">
      <c r="B142" s="180">
        <f>'Inflation-Interest'!$E$68</f>
        <v>1.2999999999999999E-3</v>
      </c>
      <c r="C142" s="180">
        <f t="shared" ca="1" si="129"/>
        <v>3.8205094474636353E-2</v>
      </c>
      <c r="D142" s="180">
        <f t="shared" ca="1" si="130"/>
        <v>7.6146390454022314E-2</v>
      </c>
      <c r="E142" s="180">
        <f t="shared" ca="1" si="131"/>
        <v>1.1798608514871467E-2</v>
      </c>
      <c r="F142" s="180">
        <f t="shared" ca="1" si="132"/>
        <v>9.3097510198366595E-2</v>
      </c>
      <c r="G142" s="180">
        <f t="shared" ca="1" si="133"/>
        <v>7.7799620173192502E-2</v>
      </c>
      <c r="H142" s="180">
        <f t="shared" ca="1" si="134"/>
        <v>7.7689646057717332E-2</v>
      </c>
      <c r="I142" s="180">
        <f t="shared" ca="1" si="135"/>
        <v>9.0066219329159619E-2</v>
      </c>
      <c r="J142" s="180">
        <f t="shared" ca="1" si="136"/>
        <v>3.790636176127346E-2</v>
      </c>
      <c r="K142" s="180">
        <f t="shared" ca="1" si="137"/>
        <v>8.240966363888752E-2</v>
      </c>
      <c r="L142" s="180">
        <f t="shared" ca="1" si="138"/>
        <v>7.9607759117106464E-2</v>
      </c>
      <c r="P142">
        <f t="shared" ca="1" si="140"/>
        <v>0.10321074725695076</v>
      </c>
      <c r="Q142">
        <f t="shared" ca="1" si="140"/>
        <v>2.5570756210490514E-4</v>
      </c>
      <c r="R142">
        <f t="shared" ca="1" si="140"/>
        <v>1.7591985240601758E-2</v>
      </c>
      <c r="S142">
        <f t="shared" ca="1" si="140"/>
        <v>-4.1523254729978476E-2</v>
      </c>
      <c r="T142">
        <f t="shared" ca="1" si="140"/>
        <v>2.3418726022748113E-2</v>
      </c>
      <c r="U142">
        <f t="shared" ca="1" si="140"/>
        <v>1.4477123928227389E-2</v>
      </c>
      <c r="V142">
        <f t="shared" ca="1" si="140"/>
        <v>1.9836619274326533E-2</v>
      </c>
      <c r="W142">
        <f t="shared" ca="1" si="140"/>
        <v>3.2406300023371457E-2</v>
      </c>
      <c r="X142">
        <f t="shared" ca="1" si="140"/>
        <v>-1.2958280319890762E-2</v>
      </c>
      <c r="Y142">
        <f t="shared" ca="1" si="140"/>
        <v>2.3874804603716174E-2</v>
      </c>
      <c r="Z142">
        <f t="shared" ca="1" si="140"/>
        <v>1.0908235139343435E-2</v>
      </c>
    </row>
    <row r="143" spans="2:26" hidden="1">
      <c r="B143" s="180">
        <f>'Inflation-Interest'!$E$68</f>
        <v>1.2999999999999999E-3</v>
      </c>
      <c r="C143" s="180">
        <f t="shared" ca="1" si="129"/>
        <v>3.5499306927680274E-2</v>
      </c>
      <c r="D143" s="180">
        <f t="shared" ca="1" si="130"/>
        <v>6.7332247957538116E-2</v>
      </c>
      <c r="E143" s="180">
        <f t="shared" ca="1" si="131"/>
        <v>4.4836301074091992E-2</v>
      </c>
      <c r="F143" s="180">
        <f t="shared" ca="1" si="132"/>
        <v>7.5977266574104585E-2</v>
      </c>
      <c r="G143" s="180">
        <f t="shared" ca="1" si="133"/>
        <v>3.9353317185388967E-2</v>
      </c>
      <c r="H143" s="180">
        <f t="shared" ca="1" si="134"/>
        <v>-3.8186268308059018E-2</v>
      </c>
      <c r="I143" s="180">
        <f t="shared" ca="1" si="135"/>
        <v>3.6397822456327375E-3</v>
      </c>
      <c r="J143" s="180">
        <f t="shared" ca="1" si="136"/>
        <v>-1.4191405795395858E-2</v>
      </c>
      <c r="K143" s="180">
        <f t="shared" ca="1" si="137"/>
        <v>-8.0322679473621483E-2</v>
      </c>
      <c r="L143" s="180">
        <f t="shared" ca="1" si="138"/>
        <v>-2.4872400058163796E-2</v>
      </c>
      <c r="P143">
        <f t="shared" ca="1" si="140"/>
        <v>3.636957084836431E-3</v>
      </c>
      <c r="Q143">
        <f t="shared" ca="1" si="140"/>
        <v>-4.8830075305506086E-3</v>
      </c>
      <c r="R143">
        <f t="shared" ca="1" si="140"/>
        <v>3.909045214989583E-2</v>
      </c>
      <c r="S143">
        <f t="shared" ca="1" si="140"/>
        <v>3.0766232306168477E-2</v>
      </c>
      <c r="T143">
        <f t="shared" ca="1" si="140"/>
        <v>4.8775451036803086E-2</v>
      </c>
      <c r="U143">
        <f t="shared" ca="1" si="140"/>
        <v>3.6100301696458295E-2</v>
      </c>
      <c r="V143">
        <f t="shared" ca="1" si="140"/>
        <v>-2.0348382929244558E-2</v>
      </c>
      <c r="W143">
        <f t="shared" ca="1" si="140"/>
        <v>2.0705898374132153E-2</v>
      </c>
      <c r="X143">
        <f t="shared" ca="1" si="140"/>
        <v>1.18503231458063E-2</v>
      </c>
      <c r="Y143">
        <f t="shared" ca="1" si="140"/>
        <v>-4.3659749280796314E-2</v>
      </c>
      <c r="Z143">
        <f t="shared" ca="1" si="140"/>
        <v>9.1978411722319856E-3</v>
      </c>
    </row>
    <row r="144" spans="2:26" hidden="1">
      <c r="B144" s="180">
        <f>'Inflation-Interest'!$E$68</f>
        <v>1.2999999999999999E-3</v>
      </c>
      <c r="C144" s="180">
        <f t="shared" ca="1" si="129"/>
        <v>6.7711585901059343E-2</v>
      </c>
      <c r="D144" s="180">
        <f t="shared" ca="1" si="130"/>
        <v>9.8068054449969896E-2</v>
      </c>
      <c r="E144" s="180">
        <f t="shared" ca="1" si="131"/>
        <v>7.7089067192197797E-2</v>
      </c>
      <c r="F144" s="180">
        <f t="shared" ca="1" si="132"/>
        <v>8.1644544666410482E-2</v>
      </c>
      <c r="G144" s="180">
        <f t="shared" ca="1" si="133"/>
        <v>0.10369700134702856</v>
      </c>
      <c r="H144" s="180">
        <f t="shared" ca="1" si="134"/>
        <v>7.0339752616299933E-2</v>
      </c>
      <c r="I144" s="180">
        <f t="shared" ca="1" si="135"/>
        <v>7.7721291075134633E-2</v>
      </c>
      <c r="J144" s="180">
        <f t="shared" ca="1" si="136"/>
        <v>2.7100410846844159E-2</v>
      </c>
      <c r="K144" s="180">
        <f t="shared" ca="1" si="137"/>
        <v>0.1225489900773179</v>
      </c>
      <c r="L144" s="180">
        <f t="shared" ca="1" si="138"/>
        <v>5.1211116021571183E-2</v>
      </c>
      <c r="P144">
        <f t="shared" ca="1" si="140"/>
        <v>1.3061429986072765E-4</v>
      </c>
      <c r="Q144">
        <f t="shared" ca="1" si="140"/>
        <v>3.7318942434273174E-2</v>
      </c>
      <c r="R144">
        <f t="shared" ca="1" si="140"/>
        <v>5.8003921821417379E-2</v>
      </c>
      <c r="S144">
        <f t="shared" ca="1" si="140"/>
        <v>4.7536635961630908E-2</v>
      </c>
      <c r="T144">
        <f t="shared" ca="1" si="140"/>
        <v>3.0057825711579805E-2</v>
      </c>
      <c r="U144">
        <f t="shared" ca="1" si="140"/>
        <v>5.4125079528647715E-2</v>
      </c>
      <c r="V144">
        <f t="shared" ca="1" si="140"/>
        <v>2.6951095909861306E-2</v>
      </c>
      <c r="W144">
        <f t="shared" ca="1" si="140"/>
        <v>1.1204905355050162E-2</v>
      </c>
      <c r="X144">
        <f t="shared" ca="1" si="140"/>
        <v>-2.9186420883615286E-2</v>
      </c>
      <c r="Y144">
        <f t="shared" ca="1" si="140"/>
        <v>7.5064515133989582E-2</v>
      </c>
      <c r="Z144">
        <f t="shared" ca="1" si="140"/>
        <v>1.9425003428457356E-2</v>
      </c>
    </row>
    <row r="145" spans="2:26" hidden="1">
      <c r="B145" s="180">
        <f>'Inflation-Interest'!$E$68</f>
        <v>1.2999999999999999E-3</v>
      </c>
      <c r="C145" s="180">
        <f t="shared" ca="1" si="129"/>
        <v>3.0873806974563489E-2</v>
      </c>
      <c r="D145" s="180">
        <f t="shared" ca="1" si="130"/>
        <v>3.7081734823785129E-2</v>
      </c>
      <c r="E145" s="180">
        <f t="shared" ca="1" si="131"/>
        <v>3.3943725765625904E-2</v>
      </c>
      <c r="F145" s="180">
        <f t="shared" ca="1" si="132"/>
        <v>3.8903070695084398E-2</v>
      </c>
      <c r="G145" s="180">
        <f t="shared" ca="1" si="133"/>
        <v>2.821720838591921E-2</v>
      </c>
      <c r="H145" s="180">
        <f t="shared" ca="1" si="134"/>
        <v>5.7744047891321842E-2</v>
      </c>
      <c r="I145" s="180">
        <f t="shared" ca="1" si="135"/>
        <v>8.4998926905428679E-2</v>
      </c>
      <c r="J145" s="180">
        <f t="shared" ca="1" si="136"/>
        <v>7.8904047505863772E-2</v>
      </c>
      <c r="K145" s="180">
        <f t="shared" ca="1" si="137"/>
        <v>4.580143903124774E-2</v>
      </c>
      <c r="L145" s="180">
        <f t="shared" ca="1" si="138"/>
        <v>8.3893050128525576E-2</v>
      </c>
      <c r="P145">
        <f t="shared" ca="1" si="140"/>
        <v>2.8333383545121205E-3</v>
      </c>
      <c r="Q145">
        <f t="shared" ca="1" si="140"/>
        <v>9.9003623884972788E-3</v>
      </c>
      <c r="R145">
        <f t="shared" ca="1" si="140"/>
        <v>2.2461692896621546E-2</v>
      </c>
      <c r="S145">
        <f t="shared" ca="1" si="140"/>
        <v>-8.9512413558848168E-3</v>
      </c>
      <c r="T145">
        <f t="shared" ca="1" si="140"/>
        <v>-5.0622623554573559E-3</v>
      </c>
      <c r="U145">
        <f t="shared" ca="1" si="140"/>
        <v>-2.7300972332030823E-2</v>
      </c>
      <c r="V145">
        <f t="shared" ca="1" si="140"/>
        <v>1.13323301714313E-2</v>
      </c>
      <c r="W145">
        <f t="shared" ca="1" si="140"/>
        <v>4.3340656333892523E-2</v>
      </c>
      <c r="X145">
        <f t="shared" ca="1" si="140"/>
        <v>4.2382348288190201E-2</v>
      </c>
      <c r="Y145">
        <f t="shared" ca="1" si="140"/>
        <v>9.5541648386753084E-3</v>
      </c>
      <c r="Z145">
        <f t="shared" ca="1" si="140"/>
        <v>4.9601828216177452E-2</v>
      </c>
    </row>
    <row r="146" spans="2:26" hidden="1">
      <c r="B146" s="180">
        <f>'Inflation-Interest'!$E$68</f>
        <v>1.2999999999999999E-3</v>
      </c>
      <c r="C146" s="180">
        <f t="shared" ca="1" si="129"/>
        <v>1.5313118319014902E-2</v>
      </c>
      <c r="D146" s="180">
        <f t="shared" ca="1" si="130"/>
        <v>2.2063978091833594E-2</v>
      </c>
      <c r="E146" s="180">
        <f t="shared" ca="1" si="131"/>
        <v>5.1054196367647124E-2</v>
      </c>
      <c r="F146" s="180">
        <f t="shared" ca="1" si="132"/>
        <v>4.1417846506410151E-2</v>
      </c>
      <c r="G146" s="180">
        <f t="shared" ca="1" si="133"/>
        <v>2.8894368502812736E-2</v>
      </c>
      <c r="H146" s="180">
        <f t="shared" ca="1" si="134"/>
        <v>3.9528093075235672E-2</v>
      </c>
      <c r="I146" s="180">
        <f t="shared" ca="1" si="135"/>
        <v>5.3739279937656245E-2</v>
      </c>
      <c r="J146" s="180">
        <f t="shared" ca="1" si="136"/>
        <v>9.4475673990578518E-2</v>
      </c>
      <c r="K146" s="180">
        <f t="shared" ca="1" si="137"/>
        <v>6.9102654484970702E-2</v>
      </c>
      <c r="L146" s="180">
        <f t="shared" ca="1" si="138"/>
        <v>2.3222441621074105E-2</v>
      </c>
      <c r="P146">
        <f t="shared" ca="1" si="140"/>
        <v>6.8105697754068124E-3</v>
      </c>
      <c r="Q146">
        <f t="shared" ca="1" si="140"/>
        <v>-5.1020416027782664E-3</v>
      </c>
      <c r="R146">
        <f t="shared" ca="1" si="140"/>
        <v>1.3968619621646342E-2</v>
      </c>
      <c r="S146">
        <f t="shared" ca="1" si="140"/>
        <v>5.7535855316808451E-2</v>
      </c>
      <c r="T146">
        <f t="shared" ca="1" si="140"/>
        <v>4.1192133005821384E-2</v>
      </c>
      <c r="U146">
        <f t="shared" ca="1" si="140"/>
        <v>9.4680547397345168E-3</v>
      </c>
      <c r="V146">
        <f t="shared" ca="1" si="140"/>
        <v>2.7074785344270869E-3</v>
      </c>
      <c r="W146">
        <f t="shared" ca="1" si="140"/>
        <v>1.3754046136459447E-2</v>
      </c>
      <c r="X146">
        <f t="shared" ca="1" si="140"/>
        <v>5.4157043535636579E-2</v>
      </c>
      <c r="Y146">
        <f t="shared" ca="1" si="140"/>
        <v>2.7342316005641257E-2</v>
      </c>
      <c r="Z146">
        <f t="shared" ca="1" si="140"/>
        <v>-3.7837980332097731E-4</v>
      </c>
    </row>
    <row r="147" spans="2:26" hidden="1">
      <c r="B147" s="180">
        <f>'Inflation-Interest'!$E$68</f>
        <v>1.2999999999999999E-3</v>
      </c>
      <c r="C147" s="180">
        <f t="shared" ca="1" si="129"/>
        <v>5.8557104621578537E-2</v>
      </c>
      <c r="D147" s="180">
        <f t="shared" ca="1" si="130"/>
        <v>5.4288846450867852E-2</v>
      </c>
      <c r="E147" s="180">
        <f t="shared" ca="1" si="131"/>
        <v>4.5474588980713979E-2</v>
      </c>
      <c r="F147" s="180">
        <f t="shared" ca="1" si="132"/>
        <v>7.0169229976896952E-2</v>
      </c>
      <c r="G147" s="180">
        <f t="shared" ca="1" si="133"/>
        <v>3.6273774140697171E-2</v>
      </c>
      <c r="H147" s="180">
        <f t="shared" ca="1" si="134"/>
        <v>6.775375115594684E-2</v>
      </c>
      <c r="I147" s="180">
        <f t="shared" ca="1" si="135"/>
        <v>0.14715908636582981</v>
      </c>
      <c r="J147" s="180">
        <f t="shared" ca="1" si="136"/>
        <v>0.10462545456618035</v>
      </c>
      <c r="K147" s="180">
        <f t="shared" ca="1" si="137"/>
        <v>0.12474182940162785</v>
      </c>
      <c r="L147" s="180">
        <f t="shared" ca="1" si="138"/>
        <v>2.7379081930249058E-2</v>
      </c>
      <c r="P147">
        <f t="shared" ca="1" si="140"/>
        <v>1.6606547051417581E-2</v>
      </c>
      <c r="Q147">
        <f t="shared" ca="1" si="140"/>
        <v>6.5684895749488804E-3</v>
      </c>
      <c r="R147">
        <f t="shared" ca="1" si="140"/>
        <v>1.3939645986973946E-2</v>
      </c>
      <c r="S147">
        <f t="shared" ca="1" si="140"/>
        <v>6.9105331724017664E-3</v>
      </c>
      <c r="T147">
        <f t="shared" ca="1" si="140"/>
        <v>1.6013544541586565E-2</v>
      </c>
      <c r="U147">
        <f t="shared" ca="1" si="140"/>
        <v>-7.7849352715784297E-3</v>
      </c>
      <c r="V147">
        <f t="shared" ca="1" si="140"/>
        <v>6.3747201605250572E-3</v>
      </c>
      <c r="W147">
        <f t="shared" ca="1" si="140"/>
        <v>6.8831135936903223E-2</v>
      </c>
      <c r="X147">
        <f t="shared" ca="1" si="140"/>
        <v>2.52177739732516E-2</v>
      </c>
      <c r="Y147">
        <f t="shared" ca="1" si="140"/>
        <v>5.5634726313313426E-2</v>
      </c>
      <c r="Z147">
        <f t="shared" ca="1" si="140"/>
        <v>-5.4534019129722722E-2</v>
      </c>
    </row>
    <row r="148" spans="2:26" hidden="1">
      <c r="B148" s="180">
        <f>'Inflation-Interest'!$E$68</f>
        <v>1.2999999999999999E-3</v>
      </c>
      <c r="C148" s="180">
        <f t="shared" ca="1" si="129"/>
        <v>4.7588391280939224E-2</v>
      </c>
      <c r="D148" s="180">
        <f t="shared" ca="1" si="130"/>
        <v>7.4929859479234404E-2</v>
      </c>
      <c r="E148" s="180">
        <f t="shared" ca="1" si="131"/>
        <v>0.11392095424314767</v>
      </c>
      <c r="F148" s="180">
        <f t="shared" ca="1" si="132"/>
        <v>0.15391454401875804</v>
      </c>
      <c r="G148" s="180">
        <f t="shared" ca="1" si="133"/>
        <v>0.16323230150678222</v>
      </c>
      <c r="H148" s="180">
        <f t="shared" ca="1" si="134"/>
        <v>0.13961101197807127</v>
      </c>
      <c r="I148" s="180">
        <f t="shared" ca="1" si="135"/>
        <v>0.16567122936365775</v>
      </c>
      <c r="J148" s="180">
        <f t="shared" ca="1" si="136"/>
        <v>0.17367801541368108</v>
      </c>
      <c r="K148" s="180">
        <f t="shared" ca="1" si="137"/>
        <v>6.1435937861912718E-2</v>
      </c>
      <c r="L148" s="180">
        <f t="shared" ca="1" si="138"/>
        <v>0.16100309247276479</v>
      </c>
      <c r="P148">
        <f t="shared" ca="1" si="140"/>
        <v>2.3569522880661435E-2</v>
      </c>
      <c r="Q148">
        <f t="shared" ca="1" si="140"/>
        <v>3.8217403630833573E-3</v>
      </c>
      <c r="R148">
        <f t="shared" ca="1" si="140"/>
        <v>9.9312927676118955E-3</v>
      </c>
      <c r="S148">
        <f t="shared" ca="1" si="140"/>
        <v>1.3411359621269003E-2</v>
      </c>
      <c r="T148">
        <f t="shared" ca="1" si="140"/>
        <v>2.4893567114253199E-2</v>
      </c>
      <c r="U148">
        <f t="shared" ca="1" si="140"/>
        <v>4.4302155066248329E-2</v>
      </c>
      <c r="V148">
        <f t="shared" ca="1" si="140"/>
        <v>2.1000712451611909E-2</v>
      </c>
      <c r="W148">
        <f t="shared" ca="1" si="140"/>
        <v>4.1358972805135147E-2</v>
      </c>
      <c r="X148">
        <f t="shared" ca="1" si="140"/>
        <v>3.6354449053693644E-2</v>
      </c>
      <c r="Y148">
        <f t="shared" ca="1" si="140"/>
        <v>-7.3752893420821128E-2</v>
      </c>
      <c r="Z148">
        <f t="shared" ca="1" si="140"/>
        <v>3.4346401515569377E-2</v>
      </c>
    </row>
    <row r="149" spans="2:26" hidden="1">
      <c r="B149" s="180">
        <f>'Inflation-Interest'!$E$68</f>
        <v>1.2999999999999999E-3</v>
      </c>
      <c r="C149" s="180">
        <f t="shared" ca="1" si="129"/>
        <v>6.2586170831495661E-2</v>
      </c>
      <c r="D149" s="180">
        <f t="shared" ca="1" si="130"/>
        <v>8.8849010184152047E-2</v>
      </c>
      <c r="E149" s="180">
        <f t="shared" ca="1" si="131"/>
        <v>9.7908851502057304E-2</v>
      </c>
      <c r="F149" s="180">
        <f t="shared" ca="1" si="132"/>
        <v>0.13364191988967905</v>
      </c>
      <c r="G149" s="180">
        <f t="shared" ca="1" si="133"/>
        <v>9.7164800527052425E-2</v>
      </c>
      <c r="H149" s="180">
        <f t="shared" ca="1" si="134"/>
        <v>9.2372603024322542E-2</v>
      </c>
      <c r="I149" s="180">
        <f t="shared" ca="1" si="135"/>
        <v>0.12016061188008059</v>
      </c>
      <c r="J149" s="180">
        <f t="shared" ca="1" si="136"/>
        <v>6.6358624574917716E-2</v>
      </c>
      <c r="K149" s="180">
        <f t="shared" ca="1" si="137"/>
        <v>0.11207755218620528</v>
      </c>
      <c r="L149" s="180">
        <f t="shared" ca="1" si="138"/>
        <v>0.14739340689123631</v>
      </c>
      <c r="P149">
        <f t="shared" ca="1" si="140"/>
        <v>3.7127939899042478E-3</v>
      </c>
      <c r="Q149">
        <f t="shared" ca="1" si="140"/>
        <v>1.7624323725968876E-2</v>
      </c>
      <c r="R149">
        <f t="shared" ca="1" si="140"/>
        <v>2.7871400206562202E-2</v>
      </c>
      <c r="S149">
        <f t="shared" ca="1" si="140"/>
        <v>3.0621960403824429E-2</v>
      </c>
      <c r="T149">
        <f t="shared" ca="1" si="140"/>
        <v>5.7627469761124386E-2</v>
      </c>
      <c r="U149">
        <f t="shared" ca="1" si="140"/>
        <v>2.6427143031624557E-2</v>
      </c>
      <c r="V149">
        <f t="shared" ca="1" si="140"/>
        <v>2.076067719109145E-2</v>
      </c>
      <c r="W149">
        <f t="shared" ca="1" si="140"/>
        <v>4.4055181931157504E-2</v>
      </c>
      <c r="X149">
        <f t="shared" ca="1" si="140"/>
        <v>-1.9893591571029934E-3</v>
      </c>
      <c r="Y149">
        <f t="shared" ca="1" si="140"/>
        <v>2.9831055005822376E-2</v>
      </c>
      <c r="Z149">
        <f t="shared" ca="1" si="140"/>
        <v>5.2537597473922573E-2</v>
      </c>
    </row>
    <row r="150" spans="2:26" hidden="1">
      <c r="B150" s="180">
        <f>'Inflation-Interest'!$E$68</f>
        <v>1.2999999999999999E-3</v>
      </c>
      <c r="C150" s="180">
        <f t="shared" ca="1" si="129"/>
        <v>5.1182155427034304E-2</v>
      </c>
      <c r="D150" s="180">
        <f t="shared" ca="1" si="130"/>
        <v>0.10677648799973806</v>
      </c>
      <c r="E150" s="180">
        <f t="shared" ca="1" si="131"/>
        <v>5.450444845870063E-2</v>
      </c>
      <c r="F150" s="180">
        <f t="shared" ca="1" si="132"/>
        <v>6.079008363801746E-2</v>
      </c>
      <c r="G150" s="180">
        <f t="shared" ca="1" si="133"/>
        <v>5.7392769048974793E-2</v>
      </c>
      <c r="H150" s="180">
        <f t="shared" ca="1" si="134"/>
        <v>1.126014767838739E-2</v>
      </c>
      <c r="I150" s="180">
        <f t="shared" ca="1" si="135"/>
        <v>2.6965537159315562E-2</v>
      </c>
      <c r="J150" s="180">
        <f t="shared" ca="1" si="136"/>
        <v>2.1872124025761757E-2</v>
      </c>
      <c r="K150" s="180">
        <f t="shared" ca="1" si="137"/>
        <v>6.90623255160977E-3</v>
      </c>
      <c r="L150" s="180">
        <f t="shared" ca="1" si="138"/>
        <v>2.6262518259278694E-2</v>
      </c>
      <c r="P150">
        <f t="shared" ca="1" si="140"/>
        <v>2.9575069351014775E-3</v>
      </c>
      <c r="Q150">
        <f t="shared" ca="1" si="140"/>
        <v>3.6153889862739156E-3</v>
      </c>
      <c r="R150">
        <f t="shared" ca="1" si="140"/>
        <v>4.4476366668808054E-2</v>
      </c>
      <c r="S150">
        <f t="shared" ca="1" si="140"/>
        <v>3.8498242756366437E-3</v>
      </c>
      <c r="T150">
        <f t="shared" ca="1" si="140"/>
        <v>2.5971099756514161E-2</v>
      </c>
      <c r="U150">
        <f t="shared" ca="1" si="140"/>
        <v>2.3752985643171253E-2</v>
      </c>
      <c r="V150">
        <f t="shared" ca="1" si="140"/>
        <v>-2.2567756836229334E-2</v>
      </c>
      <c r="W150">
        <f t="shared" ca="1" si="140"/>
        <v>-1.3909472251419225E-3</v>
      </c>
      <c r="X150">
        <f t="shared" ca="1" si="140"/>
        <v>3.1827082530379039E-2</v>
      </c>
      <c r="Y150">
        <f t="shared" ca="1" si="140"/>
        <v>3.3118398398830393E-2</v>
      </c>
      <c r="Z150">
        <f t="shared" ca="1" si="140"/>
        <v>2.618575959621347E-2</v>
      </c>
    </row>
    <row r="151" spans="2:26" hidden="1">
      <c r="B151" s="180">
        <f>'Inflation-Interest'!$E$68</f>
        <v>1.2999999999999999E-3</v>
      </c>
      <c r="C151" s="180">
        <f t="shared" ca="1" si="129"/>
        <v>5.9099942968955377E-2</v>
      </c>
      <c r="D151" s="180">
        <f t="shared" ca="1" si="130"/>
        <v>9.2376102039859409E-2</v>
      </c>
      <c r="E151" s="180">
        <f t="shared" ca="1" si="131"/>
        <v>5.2852976727562909E-2</v>
      </c>
      <c r="F151" s="180">
        <f t="shared" ca="1" si="132"/>
        <v>3.6795146521881386E-2</v>
      </c>
      <c r="G151" s="180">
        <f t="shared" ca="1" si="133"/>
        <v>0.10905545307900975</v>
      </c>
      <c r="H151" s="180">
        <f t="shared" ca="1" si="134"/>
        <v>5.0376160743781623E-2</v>
      </c>
      <c r="I151" s="180">
        <f t="shared" ca="1" si="135"/>
        <v>7.0537429986988712E-2</v>
      </c>
      <c r="J151" s="180">
        <f t="shared" ca="1" si="136"/>
        <v>-2.5070457921300596E-2</v>
      </c>
      <c r="K151" s="180">
        <f t="shared" ca="1" si="137"/>
        <v>4.9470002381317192E-2</v>
      </c>
      <c r="L151" s="180">
        <f t="shared" ca="1" si="138"/>
        <v>6.0886925330448788E-2</v>
      </c>
      <c r="P151">
        <f t="shared" ca="1" si="140"/>
        <v>3.1715019413939137E-2</v>
      </c>
      <c r="Q151">
        <f t="shared" ca="1" si="140"/>
        <v>1.8572969565056868E-2</v>
      </c>
      <c r="R151">
        <f t="shared" ca="1" si="140"/>
        <v>3.8182735034289685E-2</v>
      </c>
      <c r="S151">
        <f t="shared" ca="1" si="140"/>
        <v>1.1618837687165692E-2</v>
      </c>
      <c r="T151">
        <f t="shared" ca="1" si="140"/>
        <v>-8.8507227834103835E-3</v>
      </c>
      <c r="U151">
        <f t="shared" ca="1" si="140"/>
        <v>6.5181932937484449E-2</v>
      </c>
      <c r="V151">
        <f t="shared" ca="1" si="140"/>
        <v>2.7875150068517908E-3</v>
      </c>
      <c r="W151">
        <f t="shared" ca="1" si="140"/>
        <v>3.6189614029392844E-2</v>
      </c>
      <c r="X151">
        <f t="shared" ca="1" si="140"/>
        <v>-6.3271985407019296E-2</v>
      </c>
      <c r="Y151">
        <f t="shared" ca="1" si="140"/>
        <v>4.3116458834103935E-2</v>
      </c>
      <c r="Z151">
        <f t="shared" ca="1" si="140"/>
        <v>6.7771253903244955E-2</v>
      </c>
    </row>
    <row r="152" spans="2:26" hidden="1">
      <c r="B152" s="180">
        <f>'Inflation-Interest'!$E$68</f>
        <v>1.2999999999999999E-3</v>
      </c>
      <c r="C152" s="180">
        <f t="shared" ca="1" si="129"/>
        <v>4.2532940734868498E-2</v>
      </c>
      <c r="D152" s="180">
        <f t="shared" ca="1" si="130"/>
        <v>3.3234522621269129E-2</v>
      </c>
      <c r="E152" s="180">
        <f t="shared" ca="1" si="131"/>
        <v>-6.5982362904761418E-3</v>
      </c>
      <c r="F152" s="180">
        <f t="shared" ca="1" si="132"/>
        <v>3.3456922144095916E-2</v>
      </c>
      <c r="G152" s="180">
        <f t="shared" ca="1" si="133"/>
        <v>1.5984237009341398E-2</v>
      </c>
      <c r="H152" s="180">
        <f t="shared" ca="1" si="134"/>
        <v>1.7354620786292595E-3</v>
      </c>
      <c r="I152" s="180">
        <f t="shared" ca="1" si="135"/>
        <v>-4.5220059196003443E-2</v>
      </c>
      <c r="J152" s="180">
        <f t="shared" ca="1" si="136"/>
        <v>-1.0756253859136785E-2</v>
      </c>
      <c r="K152" s="180">
        <f t="shared" ca="1" si="137"/>
        <v>3.0292077102973897E-2</v>
      </c>
      <c r="L152" s="180">
        <f t="shared" ca="1" si="138"/>
        <v>-1.4924701833673394E-2</v>
      </c>
      <c r="P152">
        <f t="shared" ca="1" si="140"/>
        <v>-1.037888416200778E-2</v>
      </c>
      <c r="Q152">
        <f t="shared" ca="1" si="140"/>
        <v>1.4282419962465107E-2</v>
      </c>
      <c r="R152">
        <f t="shared" ca="1" si="140"/>
        <v>2.2264798031243146E-2</v>
      </c>
      <c r="S152">
        <f t="shared" ca="1" si="140"/>
        <v>-5.455542385835753E-3</v>
      </c>
      <c r="T152">
        <f t="shared" ca="1" si="140"/>
        <v>4.4435526304658274E-2</v>
      </c>
      <c r="U152">
        <f t="shared" ca="1" si="140"/>
        <v>1.1284782879523333E-2</v>
      </c>
      <c r="V152">
        <f t="shared" ca="1" si="140"/>
        <v>-4.3632434594642854E-3</v>
      </c>
      <c r="W152">
        <f t="shared" ca="1" si="140"/>
        <v>-3.7338131853422565E-2</v>
      </c>
      <c r="X152">
        <f t="shared" ca="1" si="140"/>
        <v>9.9937627023446839E-3</v>
      </c>
      <c r="Y152">
        <f t="shared" ca="1" si="140"/>
        <v>4.3637190522006056E-2</v>
      </c>
      <c r="Z152">
        <f t="shared" ca="1" si="140"/>
        <v>-2.712882303684206E-3</v>
      </c>
    </row>
    <row r="153" spans="2:26" hidden="1">
      <c r="B153" s="180">
        <f>'Inflation-Interest'!$E$68</f>
        <v>1.2999999999999999E-3</v>
      </c>
      <c r="C153" s="180">
        <f t="shared" ref="C153:C184" ca="1" si="141">C48+Q153</f>
        <v>5.2285519579339426E-2</v>
      </c>
      <c r="D153" s="180">
        <f t="shared" ref="D153:D184" ca="1" si="142">D48+R153</f>
        <v>5.1342776467943552E-2</v>
      </c>
      <c r="E153" s="180">
        <f t="shared" ref="E153:E184" ca="1" si="143">E48+S153</f>
        <v>8.2348678093469532E-2</v>
      </c>
      <c r="F153" s="180">
        <f t="shared" ref="F153:F184" ca="1" si="144">F48+T153</f>
        <v>4.132186242987558E-2</v>
      </c>
      <c r="G153" s="180">
        <f t="shared" ref="G153:G184" ca="1" si="145">G48+U153</f>
        <v>7.5418447976748196E-2</v>
      </c>
      <c r="H153" s="180">
        <f t="shared" ref="H153:H184" ca="1" si="146">H48+V153</f>
        <v>0.11230671615420887</v>
      </c>
      <c r="I153" s="180">
        <f t="shared" ref="I153:I184" ca="1" si="147">I48+W153</f>
        <v>8.3625054621463274E-2</v>
      </c>
      <c r="J153" s="180">
        <f t="shared" ref="J153:J184" ca="1" si="148">J48+X153</f>
        <v>8.1694882631935778E-2</v>
      </c>
      <c r="K153" s="180">
        <f t="shared" ref="K153:K184" ca="1" si="149">K48+Y153</f>
        <v>5.3721329253036319E-2</v>
      </c>
      <c r="L153" s="180">
        <f t="shared" ref="L153:L184" ca="1" si="150">L48+Z153</f>
        <v>-3.544661292637398E-3</v>
      </c>
      <c r="P153">
        <f t="shared" ca="1" si="140"/>
        <v>-6.4654841794869675E-4</v>
      </c>
      <c r="Q153">
        <f t="shared" ca="1" si="140"/>
        <v>9.6092150973547726E-3</v>
      </c>
      <c r="R153">
        <f t="shared" ca="1" si="140"/>
        <v>-4.4067186465633207E-3</v>
      </c>
      <c r="S153">
        <f t="shared" ca="1" si="140"/>
        <v>1.6416885973317783E-2</v>
      </c>
      <c r="T153">
        <f t="shared" ca="1" si="140"/>
        <v>-1.3212885193590082E-2</v>
      </c>
      <c r="U153">
        <f t="shared" ca="1" si="140"/>
        <v>9.2064023097076092E-3</v>
      </c>
      <c r="V153">
        <f t="shared" ca="1" si="140"/>
        <v>5.0567882417384413E-2</v>
      </c>
      <c r="W153">
        <f t="shared" ca="1" si="140"/>
        <v>1.0632090344081503E-2</v>
      </c>
      <c r="X153">
        <f t="shared" ca="1" si="140"/>
        <v>4.7013209393350682E-3</v>
      </c>
      <c r="Y153">
        <f t="shared" ca="1" si="140"/>
        <v>2.0112712803249562E-2</v>
      </c>
      <c r="Z153">
        <f t="shared" ca="1" si="140"/>
        <v>-4.1304486599074125E-2</v>
      </c>
    </row>
    <row r="154" spans="2:26" hidden="1">
      <c r="B154" s="180">
        <f>'Inflation-Interest'!$E$68</f>
        <v>1.2999999999999999E-3</v>
      </c>
      <c r="C154" s="180">
        <f t="shared" ca="1" si="141"/>
        <v>9.2908056895392693E-2</v>
      </c>
      <c r="D154" s="180">
        <f t="shared" ca="1" si="142"/>
        <v>0.11072854398941491</v>
      </c>
      <c r="E154" s="180">
        <f t="shared" ca="1" si="143"/>
        <v>6.9099836143299412E-2</v>
      </c>
      <c r="F154" s="180">
        <f t="shared" ca="1" si="144"/>
        <v>6.9422477105182609E-2</v>
      </c>
      <c r="G154" s="180">
        <f t="shared" ca="1" si="145"/>
        <v>3.8727085412367246E-2</v>
      </c>
      <c r="H154" s="180">
        <f t="shared" ca="1" si="146"/>
        <v>0.10967868953536317</v>
      </c>
      <c r="I154" s="180">
        <f t="shared" ca="1" si="147"/>
        <v>5.3704064058682652E-2</v>
      </c>
      <c r="J154" s="180">
        <f t="shared" ca="1" si="148"/>
        <v>0.10051080152372358</v>
      </c>
      <c r="K154" s="180">
        <f t="shared" ca="1" si="149"/>
        <v>7.0151911511977749E-2</v>
      </c>
      <c r="L154" s="180">
        <f t="shared" ca="1" si="150"/>
        <v>4.5327786479468099E-2</v>
      </c>
      <c r="P154">
        <f t="shared" ref="P154:Z177" ca="1" si="151">_xlfn.NORM.INV(RAND(), $B$6, $B$7)</f>
        <v>3.2511718418780075E-2</v>
      </c>
      <c r="Q154">
        <f t="shared" ca="1" si="151"/>
        <v>3.9320373526905039E-2</v>
      </c>
      <c r="R154">
        <f t="shared" ca="1" si="151"/>
        <v>5.4303395975414268E-2</v>
      </c>
      <c r="S154">
        <f t="shared" ca="1" si="151"/>
        <v>3.226095860690556E-2</v>
      </c>
      <c r="T154">
        <f t="shared" ca="1" si="151"/>
        <v>3.2277447263524744E-2</v>
      </c>
      <c r="U154">
        <f t="shared" ca="1" si="151"/>
        <v>1.1097980398705631E-2</v>
      </c>
      <c r="V154">
        <f t="shared" ca="1" si="151"/>
        <v>4.9043044454085388E-2</v>
      </c>
      <c r="W154">
        <f t="shared" ca="1" si="151"/>
        <v>-1.7182724981666331E-2</v>
      </c>
      <c r="X154">
        <f t="shared" ca="1" si="151"/>
        <v>1.499079230482349E-2</v>
      </c>
      <c r="Y154">
        <f t="shared" ca="1" si="151"/>
        <v>-7.5677578231809137E-3</v>
      </c>
      <c r="Z154">
        <f t="shared" ca="1" si="151"/>
        <v>-2.7189159732227779E-2</v>
      </c>
    </row>
    <row r="155" spans="2:26" hidden="1">
      <c r="B155" s="180">
        <f>'Inflation-Interest'!$E$68</f>
        <v>1.2999999999999999E-3</v>
      </c>
      <c r="C155" s="180">
        <f t="shared" ca="1" si="141"/>
        <v>8.2283164988567886E-2</v>
      </c>
      <c r="D155" s="180">
        <f t="shared" ca="1" si="142"/>
        <v>4.7973463991201004E-2</v>
      </c>
      <c r="E155" s="180">
        <f t="shared" ca="1" si="143"/>
        <v>9.4263788620469857E-2</v>
      </c>
      <c r="F155" s="180">
        <f t="shared" ca="1" si="144"/>
        <v>6.3372775246618773E-2</v>
      </c>
      <c r="G155" s="180">
        <f t="shared" ca="1" si="145"/>
        <v>3.0234197774224977E-2</v>
      </c>
      <c r="H155" s="180">
        <f t="shared" ca="1" si="146"/>
        <v>6.4232540759110668E-2</v>
      </c>
      <c r="I155" s="180">
        <f t="shared" ca="1" si="147"/>
        <v>5.4705419628545256E-2</v>
      </c>
      <c r="J155" s="180">
        <f t="shared" ca="1" si="148"/>
        <v>6.1504044818864012E-2</v>
      </c>
      <c r="K155" s="180">
        <f t="shared" ca="1" si="149"/>
        <v>0.12802887218119535</v>
      </c>
      <c r="L155" s="180">
        <f t="shared" ca="1" si="150"/>
        <v>9.1869608217412593E-2</v>
      </c>
      <c r="P155">
        <f t="shared" ca="1" si="151"/>
        <v>5.2528140167157691E-2</v>
      </c>
      <c r="Q155">
        <f t="shared" ca="1" si="151"/>
        <v>2.5416718261660913E-2</v>
      </c>
      <c r="R155">
        <f t="shared" ca="1" si="151"/>
        <v>-6.0427886591230204E-3</v>
      </c>
      <c r="S155">
        <f t="shared" ca="1" si="151"/>
        <v>4.0745784159306256E-2</v>
      </c>
      <c r="T155">
        <f t="shared" ca="1" si="151"/>
        <v>3.1516441187975586E-2</v>
      </c>
      <c r="U155">
        <f t="shared" ca="1" si="151"/>
        <v>-3.4311751415608306E-3</v>
      </c>
      <c r="V155">
        <f t="shared" ca="1" si="151"/>
        <v>2.6142948020671984E-2</v>
      </c>
      <c r="W155">
        <f t="shared" ca="1" si="151"/>
        <v>1.4020086020995394E-2</v>
      </c>
      <c r="X155">
        <f t="shared" ca="1" si="151"/>
        <v>-1.3522397046330063E-3</v>
      </c>
      <c r="Y155">
        <f t="shared" ca="1" si="151"/>
        <v>5.6285580675298985E-2</v>
      </c>
      <c r="Z155">
        <f t="shared" ca="1" si="151"/>
        <v>4.2071625911418054E-2</v>
      </c>
    </row>
    <row r="156" spans="2:26" hidden="1">
      <c r="B156" s="180">
        <f>'Inflation-Interest'!$E$68</f>
        <v>1.2999999999999999E-3</v>
      </c>
      <c r="C156" s="180">
        <f t="shared" ca="1" si="141"/>
        <v>4.2906275852309703E-2</v>
      </c>
      <c r="D156" s="180">
        <f t="shared" ca="1" si="142"/>
        <v>1.5132296520783576E-2</v>
      </c>
      <c r="E156" s="180">
        <f t="shared" ca="1" si="143"/>
        <v>8.7723809505697789E-2</v>
      </c>
      <c r="F156" s="180">
        <f t="shared" ca="1" si="144"/>
        <v>6.8811925436269239E-2</v>
      </c>
      <c r="G156" s="180">
        <f t="shared" ca="1" si="145"/>
        <v>0.1194064240958773</v>
      </c>
      <c r="H156" s="180">
        <f t="shared" ca="1" si="146"/>
        <v>0.10969748975485254</v>
      </c>
      <c r="I156" s="180">
        <f t="shared" ca="1" si="147"/>
        <v>8.4178544018392587E-2</v>
      </c>
      <c r="J156" s="180">
        <f t="shared" ca="1" si="148"/>
        <v>0.11150961590144309</v>
      </c>
      <c r="K156" s="180">
        <f t="shared" ca="1" si="149"/>
        <v>0.11284344991936178</v>
      </c>
      <c r="L156" s="180">
        <f t="shared" ca="1" si="150"/>
        <v>5.9147059746743863E-2</v>
      </c>
      <c r="P156">
        <f t="shared" ca="1" si="151"/>
        <v>3.3762697869865993E-2</v>
      </c>
      <c r="Q156">
        <f t="shared" ca="1" si="151"/>
        <v>1.8441273672741117E-2</v>
      </c>
      <c r="R156">
        <f t="shared" ca="1" si="151"/>
        <v>-1.0159804648375931E-2</v>
      </c>
      <c r="S156">
        <f t="shared" ca="1" si="151"/>
        <v>4.432880825120511E-2</v>
      </c>
      <c r="T156">
        <f t="shared" ca="1" si="151"/>
        <v>2.6989026671766052E-2</v>
      </c>
      <c r="U156">
        <f t="shared" ca="1" si="151"/>
        <v>5.2070236553783456E-2</v>
      </c>
      <c r="V156">
        <f t="shared" ca="1" si="151"/>
        <v>4.3716255946605484E-2</v>
      </c>
      <c r="W156">
        <f t="shared" ca="1" si="151"/>
        <v>2.3300866989885746E-2</v>
      </c>
      <c r="X156">
        <f t="shared" ca="1" si="151"/>
        <v>1.6202552744627233E-2</v>
      </c>
      <c r="Y156">
        <f t="shared" ca="1" si="151"/>
        <v>6.5179679305750905E-3</v>
      </c>
      <c r="Z156">
        <f t="shared" ca="1" si="151"/>
        <v>-3.993394454314611E-2</v>
      </c>
    </row>
    <row r="157" spans="2:26" hidden="1">
      <c r="B157" s="180">
        <f>'Inflation-Interest'!$E$68</f>
        <v>1.2999999999999999E-3</v>
      </c>
      <c r="C157" s="180">
        <f t="shared" ca="1" si="141"/>
        <v>7.8537888494127253E-2</v>
      </c>
      <c r="D157" s="180">
        <f t="shared" ca="1" si="142"/>
        <v>4.5590219959870934E-2</v>
      </c>
      <c r="E157" s="180">
        <f t="shared" ca="1" si="143"/>
        <v>0.1190840615675675</v>
      </c>
      <c r="F157" s="180">
        <f t="shared" ca="1" si="144"/>
        <v>7.5594106353351301E-2</v>
      </c>
      <c r="G157" s="180">
        <f t="shared" ca="1" si="145"/>
        <v>7.1447266586075669E-2</v>
      </c>
      <c r="H157" s="180">
        <f t="shared" ca="1" si="146"/>
        <v>7.3509566117666431E-2</v>
      </c>
      <c r="I157" s="180">
        <f t="shared" ca="1" si="147"/>
        <v>0.10561292199316269</v>
      </c>
      <c r="J157" s="180">
        <f t="shared" ca="1" si="148"/>
        <v>0.11894532804376294</v>
      </c>
      <c r="K157" s="180">
        <f t="shared" ca="1" si="149"/>
        <v>8.0732761906593606E-2</v>
      </c>
      <c r="L157" s="180">
        <f t="shared" ca="1" si="150"/>
        <v>7.3551436516142696E-2</v>
      </c>
      <c r="P157">
        <f t="shared" ca="1" si="151"/>
        <v>6.8006164647078524E-2</v>
      </c>
      <c r="Q157">
        <f t="shared" ca="1" si="151"/>
        <v>4.4285844890855131E-2</v>
      </c>
      <c r="R157">
        <f t="shared" ca="1" si="151"/>
        <v>1.0182894151067707E-2</v>
      </c>
      <c r="S157">
        <f t="shared" ca="1" si="151"/>
        <v>6.196013468667752E-2</v>
      </c>
      <c r="T157">
        <f t="shared" ca="1" si="151"/>
        <v>1.9842948492738918E-2</v>
      </c>
      <c r="U157">
        <f t="shared" ca="1" si="151"/>
        <v>1.0734716998375624E-2</v>
      </c>
      <c r="V157">
        <f t="shared" ca="1" si="151"/>
        <v>-1.0196309974539269E-2</v>
      </c>
      <c r="W157">
        <f t="shared" ca="1" si="151"/>
        <v>2.7619810979724407E-2</v>
      </c>
      <c r="X157">
        <f t="shared" ca="1" si="151"/>
        <v>4.3659783771975783E-2</v>
      </c>
      <c r="Y157">
        <f t="shared" ca="1" si="151"/>
        <v>2.5689507747057524E-2</v>
      </c>
      <c r="Z157">
        <f t="shared" ca="1" si="151"/>
        <v>2.6810386039756252E-2</v>
      </c>
    </row>
    <row r="158" spans="2:26" hidden="1">
      <c r="B158" s="180">
        <f>'Inflation-Interest'!$E$68</f>
        <v>1.2999999999999999E-3</v>
      </c>
      <c r="C158" s="180">
        <f t="shared" ca="1" si="141"/>
        <v>9.062447230790982E-2</v>
      </c>
      <c r="D158" s="180">
        <f t="shared" ca="1" si="142"/>
        <v>7.6068987197529123E-2</v>
      </c>
      <c r="E158" s="180">
        <f t="shared" ca="1" si="143"/>
        <v>9.460869129137571E-2</v>
      </c>
      <c r="F158" s="180">
        <f t="shared" ca="1" si="144"/>
        <v>6.8515305613940328E-2</v>
      </c>
      <c r="G158" s="180">
        <f t="shared" ca="1" si="145"/>
        <v>9.5764456341127888E-2</v>
      </c>
      <c r="H158" s="180">
        <f t="shared" ca="1" si="146"/>
        <v>0.12348628372535492</v>
      </c>
      <c r="I158" s="180">
        <f t="shared" ca="1" si="147"/>
        <v>3.6922762757481964E-2</v>
      </c>
      <c r="J158" s="180">
        <f t="shared" ca="1" si="148"/>
        <v>0.11524971672226018</v>
      </c>
      <c r="K158" s="180">
        <f t="shared" ca="1" si="149"/>
        <v>5.1776297430221802E-2</v>
      </c>
      <c r="L158" s="180">
        <f t="shared" ca="1" si="150"/>
        <v>7.1996494162637439E-2</v>
      </c>
      <c r="P158">
        <f t="shared" ca="1" si="151"/>
        <v>6.3856835327836481E-2</v>
      </c>
      <c r="Q158">
        <f t="shared" ca="1" si="151"/>
        <v>3.7579019639149149E-2</v>
      </c>
      <c r="R158">
        <f t="shared" ca="1" si="151"/>
        <v>7.2761999803371107E-3</v>
      </c>
      <c r="S158">
        <f t="shared" ca="1" si="151"/>
        <v>1.5009883820054956E-2</v>
      </c>
      <c r="T158">
        <f t="shared" ca="1" si="151"/>
        <v>1.0402984058472755E-2</v>
      </c>
      <c r="U158">
        <f t="shared" ca="1" si="151"/>
        <v>1.7232989000331753E-2</v>
      </c>
      <c r="V158">
        <f t="shared" ca="1" si="151"/>
        <v>3.332327496054955E-2</v>
      </c>
      <c r="W158">
        <f t="shared" ca="1" si="151"/>
        <v>-3.9689650531484627E-2</v>
      </c>
      <c r="X158">
        <f t="shared" ca="1" si="151"/>
        <v>5.5798958702074491E-2</v>
      </c>
      <c r="Y158">
        <f t="shared" ca="1" si="151"/>
        <v>-2.3149406259736043E-3</v>
      </c>
      <c r="Z158">
        <f t="shared" ca="1" si="151"/>
        <v>1.3257039126248392E-2</v>
      </c>
    </row>
    <row r="159" spans="2:26" hidden="1">
      <c r="B159" s="180">
        <f>'Inflation-Interest'!$E$68</f>
        <v>1.2999999999999999E-3</v>
      </c>
      <c r="C159" s="180">
        <f t="shared" ca="1" si="141"/>
        <v>2.7063149696654971E-2</v>
      </c>
      <c r="D159" s="180">
        <f t="shared" ca="1" si="142"/>
        <v>6.5486637932119091E-2</v>
      </c>
      <c r="E159" s="180">
        <f t="shared" ca="1" si="143"/>
        <v>5.6683113599965723E-2</v>
      </c>
      <c r="F159" s="180">
        <f t="shared" ca="1" si="144"/>
        <v>3.4740357161265958E-3</v>
      </c>
      <c r="G159" s="180">
        <f t="shared" ca="1" si="145"/>
        <v>-1.3244730562871187E-2</v>
      </c>
      <c r="H159" s="180">
        <f t="shared" ca="1" si="146"/>
        <v>6.6160219425145245E-4</v>
      </c>
      <c r="I159" s="180">
        <f t="shared" ca="1" si="147"/>
        <v>-1.8257945053178938E-4</v>
      </c>
      <c r="J159" s="180">
        <f t="shared" ca="1" si="148"/>
        <v>5.5679782824874069E-2</v>
      </c>
      <c r="K159" s="180">
        <f t="shared" ca="1" si="149"/>
        <v>4.6283208231797879E-2</v>
      </c>
      <c r="L159" s="180">
        <f t="shared" ca="1" si="150"/>
        <v>-2.0629094420276013E-2</v>
      </c>
      <c r="P159">
        <f t="shared" ca="1" si="151"/>
        <v>2.2937484212294745E-2</v>
      </c>
      <c r="Q159">
        <f t="shared" ca="1" si="151"/>
        <v>-1.3195005983473312E-4</v>
      </c>
      <c r="R159">
        <f t="shared" ca="1" si="151"/>
        <v>3.459774432359819E-2</v>
      </c>
      <c r="S159">
        <f t="shared" ca="1" si="151"/>
        <v>3.8556631646212952E-2</v>
      </c>
      <c r="T159">
        <f t="shared" ca="1" si="151"/>
        <v>3.4149998785707972E-2</v>
      </c>
      <c r="U159">
        <f t="shared" ca="1" si="151"/>
        <v>-1.4540775428563215E-2</v>
      </c>
      <c r="V159">
        <f t="shared" ca="1" si="151"/>
        <v>-6.7352591135770613E-3</v>
      </c>
      <c r="W159">
        <f t="shared" ca="1" si="151"/>
        <v>-3.7512181691251693E-3</v>
      </c>
      <c r="X159">
        <f t="shared" ca="1" si="151"/>
        <v>3.0715916343853067E-2</v>
      </c>
      <c r="Y159">
        <f t="shared" ca="1" si="151"/>
        <v>3.5057260171448064E-2</v>
      </c>
      <c r="Z159">
        <f t="shared" ca="1" si="151"/>
        <v>-5.5854477410208804E-3</v>
      </c>
    </row>
    <row r="160" spans="2:26" hidden="1">
      <c r="B160" s="180">
        <f>'Inflation-Interest'!$E$68</f>
        <v>1.2999999999999999E-3</v>
      </c>
      <c r="C160" s="180">
        <f t="shared" ca="1" si="141"/>
        <v>8.2223641263882485E-2</v>
      </c>
      <c r="D160" s="180">
        <f t="shared" ca="1" si="142"/>
        <v>5.5332466212915779E-2</v>
      </c>
      <c r="E160" s="180">
        <f t="shared" ca="1" si="143"/>
        <v>0.10434340328998672</v>
      </c>
      <c r="F160" s="180">
        <f t="shared" ca="1" si="144"/>
        <v>0.10044913130070468</v>
      </c>
      <c r="G160" s="180">
        <f t="shared" ca="1" si="145"/>
        <v>5.7432492467860995E-2</v>
      </c>
      <c r="H160" s="180">
        <f t="shared" ca="1" si="146"/>
        <v>3.8565930279045757E-2</v>
      </c>
      <c r="I160" s="180">
        <f t="shared" ca="1" si="147"/>
        <v>0.11027837791241392</v>
      </c>
      <c r="J160" s="180">
        <f t="shared" ca="1" si="148"/>
        <v>0.11322577763959774</v>
      </c>
      <c r="K160" s="180">
        <f t="shared" ca="1" si="149"/>
        <v>8.0490131313782659E-2</v>
      </c>
      <c r="L160" s="180">
        <f t="shared" ca="1" si="150"/>
        <v>7.8522172078131558E-2</v>
      </c>
      <c r="P160">
        <f t="shared" ca="1" si="151"/>
        <v>2.6101237613195979E-2</v>
      </c>
      <c r="Q160">
        <f t="shared" ca="1" si="151"/>
        <v>4.1751699103644305E-2</v>
      </c>
      <c r="R160">
        <f t="shared" ca="1" si="151"/>
        <v>-1.3193673562375215E-2</v>
      </c>
      <c r="S160">
        <f t="shared" ca="1" si="151"/>
        <v>4.0752221968408373E-2</v>
      </c>
      <c r="T160">
        <f t="shared" ca="1" si="151"/>
        <v>3.07584890051903E-2</v>
      </c>
      <c r="U160">
        <f t="shared" ca="1" si="151"/>
        <v>-4.0665391283832425E-3</v>
      </c>
      <c r="V160">
        <f t="shared" ca="1" si="151"/>
        <v>-1.1408705978374272E-2</v>
      </c>
      <c r="W160">
        <f t="shared" ca="1" si="151"/>
        <v>4.164714980311196E-2</v>
      </c>
      <c r="X160">
        <f t="shared" ca="1" si="151"/>
        <v>3.3021563364505548E-2</v>
      </c>
      <c r="Y160">
        <f t="shared" ca="1" si="151"/>
        <v>1.1635948607699408E-2</v>
      </c>
      <c r="Z160">
        <f t="shared" ca="1" si="151"/>
        <v>2.9488790702133262E-2</v>
      </c>
    </row>
    <row r="161" spans="2:26" hidden="1">
      <c r="B161" s="180">
        <f>'Inflation-Interest'!$E$68</f>
        <v>1.2999999999999999E-3</v>
      </c>
      <c r="C161" s="180">
        <f t="shared" ca="1" si="141"/>
        <v>3.0173716030376052E-2</v>
      </c>
      <c r="D161" s="180">
        <f t="shared" ca="1" si="142"/>
        <v>4.8451355973228041E-2</v>
      </c>
      <c r="E161" s="180">
        <f t="shared" ca="1" si="143"/>
        <v>9.7808018525342433E-3</v>
      </c>
      <c r="F161" s="180">
        <f t="shared" ca="1" si="144"/>
        <v>-2.0845970847595437E-4</v>
      </c>
      <c r="G161" s="180">
        <f t="shared" ca="1" si="145"/>
        <v>6.8579155146346119E-2</v>
      </c>
      <c r="H161" s="180">
        <f t="shared" ca="1" si="146"/>
        <v>1.8625290587712031E-2</v>
      </c>
      <c r="I161" s="180">
        <f t="shared" ca="1" si="147"/>
        <v>1.4905037595222503E-2</v>
      </c>
      <c r="J161" s="180">
        <f t="shared" ca="1" si="148"/>
        <v>5.6294295891421257E-2</v>
      </c>
      <c r="K161" s="180">
        <f t="shared" ca="1" si="149"/>
        <v>4.2861099583765237E-2</v>
      </c>
      <c r="L161" s="180">
        <f t="shared" ca="1" si="150"/>
        <v>-6.0084097452003868E-3</v>
      </c>
      <c r="P161">
        <f t="shared" ca="1" si="151"/>
        <v>3.7122864434672442E-2</v>
      </c>
      <c r="Q161">
        <f t="shared" ca="1" si="151"/>
        <v>3.6405197991374073E-3</v>
      </c>
      <c r="R161">
        <f t="shared" ca="1" si="151"/>
        <v>2.4631046062321135E-2</v>
      </c>
      <c r="S161">
        <f t="shared" ca="1" si="151"/>
        <v>-5.6081722371406247E-3</v>
      </c>
      <c r="T161">
        <f t="shared" ca="1" si="151"/>
        <v>1.266495954992008E-2</v>
      </c>
      <c r="U161">
        <f t="shared" ca="1" si="151"/>
        <v>7.0647472658212127E-2</v>
      </c>
      <c r="V161">
        <f t="shared" ca="1" si="151"/>
        <v>2.1783283045661427E-2</v>
      </c>
      <c r="W161">
        <f t="shared" ca="1" si="151"/>
        <v>3.3636676689582264E-2</v>
      </c>
      <c r="X161">
        <f t="shared" ca="1" si="151"/>
        <v>7.8782677958990424E-2</v>
      </c>
      <c r="Y161">
        <f t="shared" ca="1" si="151"/>
        <v>6.7629559090930824E-2</v>
      </c>
      <c r="Z161">
        <f t="shared" ca="1" si="151"/>
        <v>1.5850079806396456E-2</v>
      </c>
    </row>
    <row r="162" spans="2:26" hidden="1">
      <c r="B162" s="180">
        <f>'Inflation-Interest'!$E$68</f>
        <v>1.2999999999999999E-3</v>
      </c>
      <c r="C162" s="180">
        <f t="shared" ca="1" si="141"/>
        <v>1.0173599365927318E-2</v>
      </c>
      <c r="D162" s="180">
        <f t="shared" ca="1" si="142"/>
        <v>0.10079158254994822</v>
      </c>
      <c r="E162" s="180">
        <f t="shared" ca="1" si="143"/>
        <v>7.0395308137490703E-2</v>
      </c>
      <c r="F162" s="180">
        <f t="shared" ca="1" si="144"/>
        <v>5.0029932806755641E-2</v>
      </c>
      <c r="G162" s="180">
        <f t="shared" ca="1" si="145"/>
        <v>8.1490510913289543E-2</v>
      </c>
      <c r="H162" s="180">
        <f t="shared" ca="1" si="146"/>
        <v>6.5663712735867158E-2</v>
      </c>
      <c r="I162" s="180">
        <f t="shared" ca="1" si="147"/>
        <v>9.0059612021412411E-2</v>
      </c>
      <c r="J162" s="180">
        <f t="shared" ca="1" si="148"/>
        <v>0.12518846950456869</v>
      </c>
      <c r="K162" s="180">
        <f t="shared" ca="1" si="149"/>
        <v>0.14552548775560123</v>
      </c>
      <c r="L162" s="180">
        <f t="shared" ca="1" si="150"/>
        <v>9.7437737806226346E-2</v>
      </c>
      <c r="P162">
        <f t="shared" ca="1" si="151"/>
        <v>-5.9896055313865992E-2</v>
      </c>
      <c r="Q162">
        <f t="shared" ca="1" si="151"/>
        <v>-2.3946868498262438E-2</v>
      </c>
      <c r="R162">
        <f t="shared" ca="1" si="151"/>
        <v>6.8019189599785965E-2</v>
      </c>
      <c r="S162">
        <f t="shared" ca="1" si="151"/>
        <v>2.9034895269213011E-2</v>
      </c>
      <c r="T162">
        <f t="shared" ca="1" si="151"/>
        <v>1.0281776229083659E-2</v>
      </c>
      <c r="U162">
        <f t="shared" ca="1" si="151"/>
        <v>4.1005545062713519E-2</v>
      </c>
      <c r="V162">
        <f t="shared" ca="1" si="151"/>
        <v>2.1475799427161033E-3</v>
      </c>
      <c r="W162">
        <f t="shared" ca="1" si="151"/>
        <v>3.0825167376514983E-2</v>
      </c>
      <c r="X162">
        <f t="shared" ca="1" si="151"/>
        <v>3.7341589537069467E-2</v>
      </c>
      <c r="Y162">
        <f t="shared" ca="1" si="151"/>
        <v>7.0905885552153422E-2</v>
      </c>
      <c r="Z162">
        <f t="shared" ca="1" si="151"/>
        <v>1.0642091567688791E-2</v>
      </c>
    </row>
    <row r="163" spans="2:26" hidden="1">
      <c r="B163" s="180">
        <f>'Inflation-Interest'!$E$68</f>
        <v>1.2999999999999999E-3</v>
      </c>
      <c r="C163" s="180">
        <f t="shared" ca="1" si="141"/>
        <v>7.8651681013266361E-2</v>
      </c>
      <c r="D163" s="180">
        <f t="shared" ca="1" si="142"/>
        <v>-4.3558764053519002E-2</v>
      </c>
      <c r="E163" s="180">
        <f t="shared" ca="1" si="143"/>
        <v>9.7164599750455508E-2</v>
      </c>
      <c r="F163" s="180">
        <f t="shared" ca="1" si="144"/>
        <v>3.9152754551885431E-2</v>
      </c>
      <c r="G163" s="180">
        <f t="shared" ca="1" si="145"/>
        <v>7.438514692973773E-2</v>
      </c>
      <c r="H163" s="180">
        <f t="shared" ca="1" si="146"/>
        <v>7.0424868155804204E-2</v>
      </c>
      <c r="I163" s="180">
        <f t="shared" ca="1" si="147"/>
        <v>6.9502985265104678E-2</v>
      </c>
      <c r="J163" s="180">
        <f t="shared" ca="1" si="148"/>
        <v>6.5972661084346962E-2</v>
      </c>
      <c r="K163" s="180">
        <f t="shared" ca="1" si="149"/>
        <v>8.1385499097351308E-2</v>
      </c>
      <c r="L163" s="180">
        <f t="shared" ca="1" si="150"/>
        <v>4.5737441207705801E-2</v>
      </c>
      <c r="P163">
        <f t="shared" ca="1" si="151"/>
        <v>-4.1400531256872625E-2</v>
      </c>
      <c r="Q163">
        <f t="shared" ca="1" si="151"/>
        <v>4.4110233200391494E-2</v>
      </c>
      <c r="R163">
        <f t="shared" ca="1" si="151"/>
        <v>-7.019330509738661E-2</v>
      </c>
      <c r="S163">
        <f t="shared" ca="1" si="151"/>
        <v>4.2700295642076461E-2</v>
      </c>
      <c r="T163">
        <f t="shared" ca="1" si="151"/>
        <v>-4.336818685237373E-4</v>
      </c>
      <c r="U163">
        <f t="shared" ca="1" si="151"/>
        <v>2.3585178906033372E-2</v>
      </c>
      <c r="V163">
        <f t="shared" ca="1" si="151"/>
        <v>1.499911634195062E-2</v>
      </c>
      <c r="W163">
        <f t="shared" ca="1" si="151"/>
        <v>1.0582466401850409E-2</v>
      </c>
      <c r="X163">
        <f t="shared" ca="1" si="151"/>
        <v>9.7473098005938612E-3</v>
      </c>
      <c r="Y163">
        <f t="shared" ca="1" si="151"/>
        <v>2.0219444753655415E-2</v>
      </c>
      <c r="Z163">
        <f t="shared" ca="1" si="151"/>
        <v>-3.0360949379921228E-2</v>
      </c>
    </row>
    <row r="164" spans="2:26" hidden="1">
      <c r="B164" s="180">
        <f>'Inflation-Interest'!$E$68</f>
        <v>1.2999999999999999E-3</v>
      </c>
      <c r="C164" s="180">
        <f t="shared" ca="1" si="141"/>
        <v>6.4546083228559148E-2</v>
      </c>
      <c r="D164" s="180">
        <f t="shared" ca="1" si="142"/>
        <v>0.10336755246309823</v>
      </c>
      <c r="E164" s="180">
        <f t="shared" ca="1" si="143"/>
        <v>7.3594775060577849E-2</v>
      </c>
      <c r="F164" s="180">
        <f t="shared" ca="1" si="144"/>
        <v>2.3438423346623855E-2</v>
      </c>
      <c r="G164" s="180">
        <f t="shared" ca="1" si="145"/>
        <v>8.0161080126960362E-3</v>
      </c>
      <c r="H164" s="180">
        <f t="shared" ca="1" si="146"/>
        <v>1.2004155094404098E-3</v>
      </c>
      <c r="I164" s="180">
        <f t="shared" ca="1" si="147"/>
        <v>3.7142629379660994E-2</v>
      </c>
      <c r="J164" s="180">
        <f t="shared" ca="1" si="148"/>
        <v>-2.3104608824464641E-2</v>
      </c>
      <c r="K164" s="180">
        <f t="shared" ca="1" si="149"/>
        <v>3.2346992658043007E-2</v>
      </c>
      <c r="L164" s="180">
        <f t="shared" ca="1" si="150"/>
        <v>6.7818443922472493E-2</v>
      </c>
      <c r="P164">
        <f t="shared" ca="1" si="151"/>
        <v>2.1826658890818088E-2</v>
      </c>
      <c r="Q164">
        <f t="shared" ca="1" si="151"/>
        <v>4.6171442952429365E-2</v>
      </c>
      <c r="R164">
        <f t="shared" ca="1" si="151"/>
        <v>6.5569051944741427E-2</v>
      </c>
      <c r="S164">
        <f t="shared" ca="1" si="151"/>
        <v>4.2771303853296486E-2</v>
      </c>
      <c r="T164">
        <f t="shared" ca="1" si="151"/>
        <v>1.577957240917683E-2</v>
      </c>
      <c r="U164">
        <f t="shared" ca="1" si="151"/>
        <v>5.4436608101261705E-3</v>
      </c>
      <c r="V164">
        <f t="shared" ca="1" si="151"/>
        <v>8.8727667111834965E-3</v>
      </c>
      <c r="W164">
        <f t="shared" ca="1" si="151"/>
        <v>6.0097532901716419E-2</v>
      </c>
      <c r="X164">
        <f t="shared" ca="1" si="151"/>
        <v>-1.7368900671530258E-2</v>
      </c>
      <c r="Y164">
        <f t="shared" ca="1" si="151"/>
        <v>2.3566515614376803E-2</v>
      </c>
      <c r="Z164">
        <f t="shared" ca="1" si="151"/>
        <v>6.2062588243834607E-2</v>
      </c>
    </row>
    <row r="165" spans="2:26" hidden="1">
      <c r="B165" s="180">
        <f>'Inflation-Interest'!$E$68</f>
        <v>1.2999999999999999E-3</v>
      </c>
      <c r="C165" s="180">
        <f t="shared" ca="1" si="141"/>
        <v>4.8376633835423788E-2</v>
      </c>
      <c r="D165" s="180">
        <f t="shared" ca="1" si="142"/>
        <v>4.6883111869580607E-4</v>
      </c>
      <c r="E165" s="180">
        <f t="shared" ca="1" si="143"/>
        <v>9.2080688186064991E-2</v>
      </c>
      <c r="F165" s="180">
        <f t="shared" ca="1" si="144"/>
        <v>5.0931397518469444E-2</v>
      </c>
      <c r="G165" s="180">
        <f t="shared" ca="1" si="145"/>
        <v>3.4836224626521112E-2</v>
      </c>
      <c r="H165" s="180">
        <f t="shared" ca="1" si="146"/>
        <v>4.2481315847137019E-2</v>
      </c>
      <c r="I165" s="180">
        <f t="shared" ca="1" si="147"/>
        <v>8.4586408733675726E-3</v>
      </c>
      <c r="J165" s="180">
        <f t="shared" ca="1" si="148"/>
        <v>0.10251110786433267</v>
      </c>
      <c r="K165" s="180">
        <f t="shared" ca="1" si="149"/>
        <v>1.5183932125277941E-2</v>
      </c>
      <c r="L165" s="180">
        <f t="shared" ca="1" si="150"/>
        <v>9.7170670100835167E-3</v>
      </c>
      <c r="P165">
        <f t="shared" ca="1" si="151"/>
        <v>3.979172551696844E-2</v>
      </c>
      <c r="Q165">
        <f t="shared" ca="1" si="151"/>
        <v>9.5487612403105677E-3</v>
      </c>
      <c r="R165">
        <f t="shared" ca="1" si="151"/>
        <v>-3.9843803415485254E-2</v>
      </c>
      <c r="S165">
        <f t="shared" ca="1" si="151"/>
        <v>4.396792406923454E-2</v>
      </c>
      <c r="T165">
        <f t="shared" ca="1" si="151"/>
        <v>1.4500784600108556E-2</v>
      </c>
      <c r="U165">
        <f t="shared" ca="1" si="151"/>
        <v>2.8176315189879203E-2</v>
      </c>
      <c r="V165">
        <f t="shared" ca="1" si="151"/>
        <v>2.5751988284340107E-2</v>
      </c>
      <c r="W165">
        <f t="shared" ca="1" si="151"/>
        <v>9.2459632917701075E-3</v>
      </c>
      <c r="X165">
        <f t="shared" ca="1" si="151"/>
        <v>9.3810324801964717E-2</v>
      </c>
      <c r="Y165">
        <f t="shared" ca="1" si="151"/>
        <v>-3.1099523946466652E-3</v>
      </c>
      <c r="Z165">
        <f t="shared" ca="1" si="151"/>
        <v>1.4679430520163288E-2</v>
      </c>
    </row>
    <row r="166" spans="2:26" hidden="1">
      <c r="B166" s="180">
        <f>'Inflation-Interest'!$E$68</f>
        <v>1.2999999999999999E-3</v>
      </c>
      <c r="C166" s="180">
        <f t="shared" ca="1" si="141"/>
        <v>0.11037118410616309</v>
      </c>
      <c r="D166" s="180">
        <f t="shared" ca="1" si="142"/>
        <v>7.0472726426022841E-2</v>
      </c>
      <c r="E166" s="180">
        <f t="shared" ca="1" si="143"/>
        <v>6.4314771453557101E-2</v>
      </c>
      <c r="F166" s="180">
        <f t="shared" ca="1" si="144"/>
        <v>0.10867398028185909</v>
      </c>
      <c r="G166" s="180">
        <f t="shared" ca="1" si="145"/>
        <v>2.5431899018651321E-2</v>
      </c>
      <c r="H166" s="180">
        <f t="shared" ca="1" si="146"/>
        <v>0.11501001764845037</v>
      </c>
      <c r="I166" s="180">
        <f t="shared" ca="1" si="147"/>
        <v>0.10200646992281709</v>
      </c>
      <c r="J166" s="180">
        <f t="shared" ca="1" si="148"/>
        <v>5.8895194927859017E-2</v>
      </c>
      <c r="K166" s="180">
        <f t="shared" ca="1" si="149"/>
        <v>9.1694993267691371E-2</v>
      </c>
      <c r="L166" s="180">
        <f t="shared" ca="1" si="150"/>
        <v>7.6928070088368133E-2</v>
      </c>
      <c r="P166">
        <f t="shared" ca="1" si="151"/>
        <v>3.650178357984743E-2</v>
      </c>
      <c r="Q166">
        <f t="shared" ca="1" si="151"/>
        <v>6.2425523733449936E-2</v>
      </c>
      <c r="R166">
        <f t="shared" ca="1" si="151"/>
        <v>1.8076454031668902E-2</v>
      </c>
      <c r="S166">
        <f t="shared" ca="1" si="151"/>
        <v>1.7573766538990523E-2</v>
      </c>
      <c r="T166">
        <f t="shared" ca="1" si="151"/>
        <v>4.2870568089850881E-2</v>
      </c>
      <c r="U166">
        <f t="shared" ca="1" si="151"/>
        <v>-2.0908470090668835E-2</v>
      </c>
      <c r="V166">
        <f t="shared" ca="1" si="151"/>
        <v>5.4427979514040881E-2</v>
      </c>
      <c r="W166">
        <f t="shared" ca="1" si="151"/>
        <v>4.0803886928120203E-2</v>
      </c>
      <c r="X166">
        <f t="shared" ca="1" si="151"/>
        <v>2.6578598692355154E-3</v>
      </c>
      <c r="Y166">
        <f t="shared" ca="1" si="151"/>
        <v>2.7513419768866419E-2</v>
      </c>
      <c r="Z166">
        <f t="shared" ca="1" si="151"/>
        <v>1.3705937413457974E-2</v>
      </c>
    </row>
    <row r="167" spans="2:26" hidden="1">
      <c r="B167" s="180">
        <f>'Inflation-Interest'!$E$68</f>
        <v>1.2999999999999999E-3</v>
      </c>
      <c r="C167" s="180">
        <f t="shared" ca="1" si="141"/>
        <v>3.0581478378577429E-2</v>
      </c>
      <c r="D167" s="180">
        <f t="shared" ca="1" si="142"/>
        <v>4.8969390616324687E-2</v>
      </c>
      <c r="E167" s="180">
        <f t="shared" ca="1" si="143"/>
        <v>5.6509180799875047E-2</v>
      </c>
      <c r="F167" s="180">
        <f t="shared" ca="1" si="144"/>
        <v>7.6252584285824987E-2</v>
      </c>
      <c r="G167" s="180">
        <f t="shared" ca="1" si="145"/>
        <v>4.0622332172708428E-2</v>
      </c>
      <c r="H167" s="180">
        <f t="shared" ca="1" si="146"/>
        <v>1.4951978493681965E-2</v>
      </c>
      <c r="I167" s="180">
        <f t="shared" ca="1" si="147"/>
        <v>4.5683950247320054E-2</v>
      </c>
      <c r="J167" s="180">
        <f t="shared" ca="1" si="148"/>
        <v>3.4308569415658151E-2</v>
      </c>
      <c r="K167" s="180">
        <f t="shared" ca="1" si="149"/>
        <v>4.9950734747490982E-2</v>
      </c>
      <c r="L167" s="180">
        <f t="shared" ca="1" si="150"/>
        <v>5.9723241967643829E-2</v>
      </c>
      <c r="P167">
        <f t="shared" ca="1" si="151"/>
        <v>5.9616719922898173E-2</v>
      </c>
      <c r="Q167">
        <f t="shared" ca="1" si="151"/>
        <v>5.3944237528560871E-3</v>
      </c>
      <c r="R167">
        <f t="shared" ca="1" si="151"/>
        <v>6.9239909659267306E-3</v>
      </c>
      <c r="S167">
        <f t="shared" ca="1" si="151"/>
        <v>7.1509704816401457E-3</v>
      </c>
      <c r="T167">
        <f t="shared" ca="1" si="151"/>
        <v>1.7782380572086975E-2</v>
      </c>
      <c r="U167">
        <f t="shared" ca="1" si="151"/>
        <v>-1.3796569544087988E-2</v>
      </c>
      <c r="V167">
        <f t="shared" ca="1" si="151"/>
        <v>-2.1888078366033303E-2</v>
      </c>
      <c r="W167">
        <f t="shared" ca="1" si="151"/>
        <v>3.1325934125041987E-3</v>
      </c>
      <c r="X167">
        <f t="shared" ca="1" si="151"/>
        <v>-1.7502894696138985E-3</v>
      </c>
      <c r="Y167">
        <f t="shared" ca="1" si="151"/>
        <v>4.3101230366905052E-2</v>
      </c>
      <c r="Z167">
        <f t="shared" ca="1" si="151"/>
        <v>5.0775149507306647E-2</v>
      </c>
    </row>
    <row r="168" spans="2:26" hidden="1">
      <c r="B168" s="180">
        <f>'Inflation-Interest'!$E$68</f>
        <v>1.2999999999999999E-3</v>
      </c>
      <c r="C168" s="180">
        <f t="shared" ca="1" si="141"/>
        <v>5.1107361919925889E-2</v>
      </c>
      <c r="D168" s="180">
        <f t="shared" ca="1" si="142"/>
        <v>7.1340083301069557E-2</v>
      </c>
      <c r="E168" s="180">
        <f t="shared" ca="1" si="143"/>
        <v>9.5657709730003565E-2</v>
      </c>
      <c r="F168" s="180">
        <f t="shared" ca="1" si="144"/>
        <v>7.8831919483668772E-2</v>
      </c>
      <c r="G168" s="180">
        <f t="shared" ca="1" si="145"/>
        <v>6.481258966646071E-2</v>
      </c>
      <c r="H168" s="180">
        <f t="shared" ca="1" si="146"/>
        <v>6.5654799008203243E-2</v>
      </c>
      <c r="I168" s="180">
        <f t="shared" ca="1" si="147"/>
        <v>0.11715627519555606</v>
      </c>
      <c r="J168" s="180">
        <f t="shared" ca="1" si="148"/>
        <v>0.12269289475077186</v>
      </c>
      <c r="K168" s="180">
        <f t="shared" ca="1" si="149"/>
        <v>6.5192471909139654E-2</v>
      </c>
      <c r="L168" s="180">
        <f t="shared" ca="1" si="150"/>
        <v>0.1123994262561664</v>
      </c>
      <c r="P168">
        <f t="shared" ca="1" si="151"/>
        <v>3.6347855684858724E-2</v>
      </c>
      <c r="Q168">
        <f t="shared" ca="1" si="151"/>
        <v>1.2985415786744781E-2</v>
      </c>
      <c r="R168">
        <f t="shared" ca="1" si="151"/>
        <v>2.6916387806208541E-2</v>
      </c>
      <c r="S168">
        <f t="shared" ca="1" si="151"/>
        <v>4.1608522082978508E-2</v>
      </c>
      <c r="T168">
        <f t="shared" ca="1" si="151"/>
        <v>2.0097224379326456E-2</v>
      </c>
      <c r="U168">
        <f t="shared" ca="1" si="151"/>
        <v>2.7698443950645735E-3</v>
      </c>
      <c r="V168">
        <f t="shared" ca="1" si="151"/>
        <v>3.0210291852485541E-4</v>
      </c>
      <c r="W168">
        <f t="shared" ca="1" si="151"/>
        <v>4.0207909213771723E-2</v>
      </c>
      <c r="X168">
        <f t="shared" ca="1" si="151"/>
        <v>3.5317561008012852E-2</v>
      </c>
      <c r="Y168">
        <f t="shared" ca="1" si="151"/>
        <v>2.7304175794558502E-3</v>
      </c>
      <c r="Z168">
        <f t="shared" ca="1" si="151"/>
        <v>6.651680006792908E-2</v>
      </c>
    </row>
    <row r="169" spans="2:26" hidden="1">
      <c r="B169" s="180">
        <f>'Inflation-Interest'!$E$68</f>
        <v>1.2999999999999999E-3</v>
      </c>
      <c r="C169" s="180">
        <f t="shared" ca="1" si="141"/>
        <v>8.5688856356280985E-2</v>
      </c>
      <c r="D169" s="180">
        <f t="shared" ca="1" si="142"/>
        <v>9.4597865367317208E-2</v>
      </c>
      <c r="E169" s="180">
        <f t="shared" ca="1" si="143"/>
        <v>4.0635468764189664E-2</v>
      </c>
      <c r="F169" s="180">
        <f t="shared" ca="1" si="144"/>
        <v>-3.6383742979478648E-2</v>
      </c>
      <c r="G169" s="180">
        <f t="shared" ca="1" si="145"/>
        <v>-1.3287640846039991E-2</v>
      </c>
      <c r="H169" s="180">
        <f t="shared" ca="1" si="146"/>
        <v>3.927433716623794E-2</v>
      </c>
      <c r="I169" s="180">
        <f t="shared" ca="1" si="147"/>
        <v>5.4442199041874681E-3</v>
      </c>
      <c r="J169" s="180">
        <f t="shared" ca="1" si="148"/>
        <v>8.6828475433750434E-3</v>
      </c>
      <c r="K169" s="180">
        <f t="shared" ca="1" si="149"/>
        <v>3.2175460624054575E-2</v>
      </c>
      <c r="L169" s="180">
        <f t="shared" ca="1" si="150"/>
        <v>2.3961742265784416E-2</v>
      </c>
      <c r="P169">
        <f t="shared" ca="1" si="151"/>
        <v>2.0591774000948925E-2</v>
      </c>
      <c r="Q169">
        <f t="shared" ca="1" si="151"/>
        <v>5.2214998136153642E-2</v>
      </c>
      <c r="R169">
        <f t="shared" ca="1" si="151"/>
        <v>4.9719093098486503E-2</v>
      </c>
      <c r="S169">
        <f t="shared" ca="1" si="151"/>
        <v>1.7501165848451617E-2</v>
      </c>
      <c r="T169">
        <f t="shared" ca="1" si="151"/>
        <v>-5.1430596009619675E-2</v>
      </c>
      <c r="U169">
        <f t="shared" ca="1" si="151"/>
        <v>-9.7240704231330785E-3</v>
      </c>
      <c r="V169">
        <f t="shared" ca="1" si="151"/>
        <v>2.1846650570929667E-2</v>
      </c>
      <c r="W169">
        <f t="shared" ca="1" si="151"/>
        <v>-1.6296918325283464E-2</v>
      </c>
      <c r="X169">
        <f t="shared" ca="1" si="151"/>
        <v>-1.6114918628380378E-2</v>
      </c>
      <c r="Y169">
        <f t="shared" ca="1" si="151"/>
        <v>1.4971950792343914E-2</v>
      </c>
      <c r="Z169">
        <f t="shared" ca="1" si="151"/>
        <v>-9.5959062022722419E-3</v>
      </c>
    </row>
    <row r="170" spans="2:26" hidden="1">
      <c r="B170" s="180">
        <f>'Inflation-Interest'!$E$68</f>
        <v>1.2999999999999999E-3</v>
      </c>
      <c r="C170" s="180">
        <f t="shared" ca="1" si="141"/>
        <v>3.2224093942513798E-2</v>
      </c>
      <c r="D170" s="180">
        <f t="shared" ca="1" si="142"/>
        <v>5.2913077494993771E-2</v>
      </c>
      <c r="E170" s="180">
        <f t="shared" ca="1" si="143"/>
        <v>7.6763898754899113E-2</v>
      </c>
      <c r="F170" s="180">
        <f t="shared" ca="1" si="144"/>
        <v>7.3203421057109253E-2</v>
      </c>
      <c r="G170" s="180">
        <f t="shared" ca="1" si="145"/>
        <v>7.7984952988167267E-2</v>
      </c>
      <c r="H170" s="180">
        <f t="shared" ca="1" si="146"/>
        <v>9.3704204987523201E-2</v>
      </c>
      <c r="I170" s="180">
        <f t="shared" ca="1" si="147"/>
        <v>8.133105212250373E-2</v>
      </c>
      <c r="J170" s="180">
        <f t="shared" ca="1" si="148"/>
        <v>7.9576685610637271E-2</v>
      </c>
      <c r="K170" s="180">
        <f t="shared" ca="1" si="149"/>
        <v>8.570458759093974E-2</v>
      </c>
      <c r="L170" s="180">
        <f t="shared" ca="1" si="150"/>
        <v>6.9663735094081039E-2</v>
      </c>
      <c r="P170">
        <f t="shared" ca="1" si="151"/>
        <v>4.7965765185084872E-2</v>
      </c>
      <c r="Q170">
        <f t="shared" ca="1" si="151"/>
        <v>1.9438593195492196E-2</v>
      </c>
      <c r="R170">
        <f t="shared" ca="1" si="151"/>
        <v>1.8614916623036177E-2</v>
      </c>
      <c r="S170">
        <f t="shared" ca="1" si="151"/>
        <v>4.6451102320738069E-2</v>
      </c>
      <c r="T170">
        <f t="shared" ca="1" si="151"/>
        <v>3.0517435305690885E-2</v>
      </c>
      <c r="U170">
        <f t="shared" ca="1" si="151"/>
        <v>6.6163940370827061E-3</v>
      </c>
      <c r="V170">
        <f t="shared" ca="1" si="151"/>
        <v>1.8496984544826508E-2</v>
      </c>
      <c r="W170">
        <f t="shared" ca="1" si="151"/>
        <v>3.2629242149279578E-2</v>
      </c>
      <c r="X170">
        <f t="shared" ca="1" si="151"/>
        <v>1.7908414006190723E-2</v>
      </c>
      <c r="Y170">
        <f t="shared" ca="1" si="151"/>
        <v>2.6375337668086071E-2</v>
      </c>
      <c r="Z170">
        <f t="shared" ca="1" si="151"/>
        <v>-9.8420339967472577E-3</v>
      </c>
    </row>
    <row r="171" spans="2:26" hidden="1">
      <c r="B171" s="180">
        <f>'Inflation-Interest'!$E$68</f>
        <v>1.2999999999999999E-3</v>
      </c>
      <c r="C171" s="180">
        <f t="shared" ca="1" si="141"/>
        <v>7.9464411870874802E-2</v>
      </c>
      <c r="D171" s="180">
        <f t="shared" ca="1" si="142"/>
        <v>0.10206433805392183</v>
      </c>
      <c r="E171" s="180">
        <f t="shared" ca="1" si="143"/>
        <v>6.1058570038430501E-2</v>
      </c>
      <c r="F171" s="180">
        <f t="shared" ca="1" si="144"/>
        <v>7.9171015932499506E-2</v>
      </c>
      <c r="G171" s="180">
        <f t="shared" ca="1" si="145"/>
        <v>0.14039182308502765</v>
      </c>
      <c r="H171" s="180">
        <f t="shared" ca="1" si="146"/>
        <v>0.10519759419982148</v>
      </c>
      <c r="I171" s="180">
        <f t="shared" ca="1" si="147"/>
        <v>0.13638026187956573</v>
      </c>
      <c r="J171" s="180">
        <f t="shared" ca="1" si="148"/>
        <v>5.8984289837264253E-2</v>
      </c>
      <c r="K171" s="180">
        <f t="shared" ca="1" si="149"/>
        <v>0.10862426621256109</v>
      </c>
      <c r="L171" s="180">
        <f t="shared" ca="1" si="150"/>
        <v>0.1247028445605555</v>
      </c>
      <c r="P171">
        <f t="shared" ca="1" si="151"/>
        <v>-2.8022786780262963E-2</v>
      </c>
      <c r="Q171">
        <f t="shared" ca="1" si="151"/>
        <v>3.7046580067201233E-2</v>
      </c>
      <c r="R171">
        <f t="shared" ca="1" si="151"/>
        <v>4.5218083960846395E-2</v>
      </c>
      <c r="S171">
        <f t="shared" ca="1" si="151"/>
        <v>-3.7803698189367851E-3</v>
      </c>
      <c r="T171">
        <f t="shared" ca="1" si="151"/>
        <v>3.5687582447264405E-3</v>
      </c>
      <c r="U171">
        <f t="shared" ca="1" si="151"/>
        <v>5.2456113431752799E-2</v>
      </c>
      <c r="V171">
        <f t="shared" ca="1" si="151"/>
        <v>1.7787554086178589E-2</v>
      </c>
      <c r="W171">
        <f t="shared" ca="1" si="151"/>
        <v>3.9071812911764321E-2</v>
      </c>
      <c r="X171">
        <f t="shared" ca="1" si="151"/>
        <v>-4.0523147888019612E-2</v>
      </c>
      <c r="Y171">
        <f t="shared" ca="1" si="151"/>
        <v>8.4262845902508508E-3</v>
      </c>
      <c r="Z171">
        <f t="shared" ca="1" si="151"/>
        <v>3.5189995209324712E-2</v>
      </c>
    </row>
    <row r="172" spans="2:26" hidden="1">
      <c r="B172" s="180">
        <f>'Inflation-Interest'!$E$68</f>
        <v>1.2999999999999999E-3</v>
      </c>
      <c r="C172" s="180">
        <f t="shared" ca="1" si="141"/>
        <v>3.9654930915178355E-2</v>
      </c>
      <c r="D172" s="180">
        <f t="shared" ca="1" si="142"/>
        <v>3.8413443410449527E-2</v>
      </c>
      <c r="E172" s="180">
        <f t="shared" ca="1" si="143"/>
        <v>5.1541733672048423E-2</v>
      </c>
      <c r="F172" s="180">
        <f t="shared" ca="1" si="144"/>
        <v>0.10635789114367064</v>
      </c>
      <c r="G172" s="180">
        <f t="shared" ca="1" si="145"/>
        <v>4.9799568006064887E-2</v>
      </c>
      <c r="H172" s="180">
        <f t="shared" ca="1" si="146"/>
        <v>0.13231808673704956</v>
      </c>
      <c r="I172" s="180">
        <f t="shared" ca="1" si="147"/>
        <v>6.449505853135333E-2</v>
      </c>
      <c r="J172" s="180">
        <f t="shared" ca="1" si="148"/>
        <v>5.8428380405832064E-2</v>
      </c>
      <c r="K172" s="180">
        <f t="shared" ca="1" si="149"/>
        <v>0.11323953305699068</v>
      </c>
      <c r="L172" s="180">
        <f t="shared" ca="1" si="150"/>
        <v>0.13285947747484581</v>
      </c>
      <c r="P172">
        <f t="shared" ca="1" si="151"/>
        <v>4.1322172068487373E-2</v>
      </c>
      <c r="Q172">
        <f t="shared" ca="1" si="151"/>
        <v>-8.8470716201077305E-3</v>
      </c>
      <c r="R172">
        <f t="shared" ca="1" si="151"/>
        <v>-1.2429340394231009E-2</v>
      </c>
      <c r="S172">
        <f t="shared" ca="1" si="151"/>
        <v>-1.2072410018512874E-2</v>
      </c>
      <c r="T172">
        <f t="shared" ca="1" si="151"/>
        <v>2.2046660208521848E-2</v>
      </c>
      <c r="U172">
        <f t="shared" ca="1" si="151"/>
        <v>-3.1330896527699298E-2</v>
      </c>
      <c r="V172">
        <f t="shared" ca="1" si="151"/>
        <v>4.7907795737619684E-2</v>
      </c>
      <c r="W172">
        <f t="shared" ca="1" si="151"/>
        <v>-3.3318442040542427E-3</v>
      </c>
      <c r="X172">
        <f t="shared" ca="1" si="151"/>
        <v>-2.1479448088234706E-2</v>
      </c>
      <c r="Y172">
        <f t="shared" ca="1" si="151"/>
        <v>1.3626779517072514E-2</v>
      </c>
      <c r="Z172">
        <f t="shared" ca="1" si="151"/>
        <v>4.1773000875424682E-2</v>
      </c>
    </row>
    <row r="173" spans="2:26" hidden="1">
      <c r="B173" s="180">
        <f>'Inflation-Interest'!$E$68</f>
        <v>1.2999999999999999E-3</v>
      </c>
      <c r="C173" s="180">
        <f t="shared" ca="1" si="141"/>
        <v>5.9990833806083013E-2</v>
      </c>
      <c r="D173" s="180">
        <f t="shared" ca="1" si="142"/>
        <v>3.6902609837470915E-2</v>
      </c>
      <c r="E173" s="180">
        <f t="shared" ca="1" si="143"/>
        <v>3.9718736060987858E-2</v>
      </c>
      <c r="F173" s="180">
        <f t="shared" ca="1" si="144"/>
        <v>4.5947091092555431E-2</v>
      </c>
      <c r="G173" s="180">
        <f t="shared" ca="1" si="145"/>
        <v>-1.1925299500491305E-2</v>
      </c>
      <c r="H173" s="180">
        <f t="shared" ca="1" si="146"/>
        <v>3.4982134836729004E-2</v>
      </c>
      <c r="I173" s="180">
        <f t="shared" ca="1" si="147"/>
        <v>1.8509383365156163E-2</v>
      </c>
      <c r="J173" s="180">
        <f t="shared" ca="1" si="148"/>
        <v>-3.3968667835572758E-2</v>
      </c>
      <c r="K173" s="180">
        <f t="shared" ca="1" si="149"/>
        <v>1.4212225450991621E-2</v>
      </c>
      <c r="L173" s="180">
        <f t="shared" ca="1" si="150"/>
        <v>2.1724934401768571E-2</v>
      </c>
      <c r="P173">
        <f t="shared" ca="1" si="151"/>
        <v>-2.4637576544059483E-2</v>
      </c>
      <c r="Q173">
        <f t="shared" ca="1" si="151"/>
        <v>4.1213459489168616E-2</v>
      </c>
      <c r="R173">
        <f t="shared" ca="1" si="151"/>
        <v>9.5326051671579468E-3</v>
      </c>
      <c r="S173">
        <f t="shared" ca="1" si="151"/>
        <v>3.9198141516418109E-3</v>
      </c>
      <c r="T173">
        <f t="shared" ca="1" si="151"/>
        <v>2.0462890703844116E-2</v>
      </c>
      <c r="U173">
        <f t="shared" ca="1" si="151"/>
        <v>-2.5370892383121676E-2</v>
      </c>
      <c r="V173">
        <f t="shared" ca="1" si="151"/>
        <v>2.5909712738200294E-2</v>
      </c>
      <c r="W173">
        <f t="shared" ca="1" si="151"/>
        <v>2.8273008433131984E-3</v>
      </c>
      <c r="X173">
        <f t="shared" ca="1" si="151"/>
        <v>-5.1585617368515246E-2</v>
      </c>
      <c r="Y173">
        <f t="shared" ca="1" si="151"/>
        <v>-4.8446972926854612E-4</v>
      </c>
      <c r="Z173">
        <f t="shared" ca="1" si="151"/>
        <v>-1.1206503600105396E-3</v>
      </c>
    </row>
    <row r="174" spans="2:26" hidden="1">
      <c r="B174" s="180">
        <f>'Inflation-Interest'!$E$68</f>
        <v>1.2999999999999999E-3</v>
      </c>
      <c r="C174" s="180">
        <f t="shared" ca="1" si="141"/>
        <v>6.8688061117227445E-2</v>
      </c>
      <c r="D174" s="180">
        <f t="shared" ca="1" si="142"/>
        <v>2.4396596234773606E-2</v>
      </c>
      <c r="E174" s="180">
        <f t="shared" ca="1" si="143"/>
        <v>8.3339943020236243E-2</v>
      </c>
      <c r="F174" s="180">
        <f t="shared" ca="1" si="144"/>
        <v>7.957769090083236E-2</v>
      </c>
      <c r="G174" s="180">
        <f t="shared" ca="1" si="145"/>
        <v>4.7884838275515651E-2</v>
      </c>
      <c r="H174" s="180">
        <f t="shared" ca="1" si="146"/>
        <v>4.1684726470921335E-2</v>
      </c>
      <c r="I174" s="180">
        <f t="shared" ca="1" si="147"/>
        <v>7.353026359722005E-2</v>
      </c>
      <c r="J174" s="180">
        <f t="shared" ca="1" si="148"/>
        <v>9.2529304856140526E-2</v>
      </c>
      <c r="K174" s="180">
        <f t="shared" ca="1" si="149"/>
        <v>0.12784893541130046</v>
      </c>
      <c r="L174" s="180">
        <f t="shared" ca="1" si="150"/>
        <v>0.10318966077930453</v>
      </c>
      <c r="P174">
        <f t="shared" ca="1" si="151"/>
        <v>8.1085647570609074E-3</v>
      </c>
      <c r="Q174">
        <f t="shared" ca="1" si="151"/>
        <v>2.0576718149224654E-2</v>
      </c>
      <c r="R174">
        <f t="shared" ca="1" si="151"/>
        <v>-1.8794208553443176E-2</v>
      </c>
      <c r="S174">
        <f t="shared" ca="1" si="151"/>
        <v>4.8789248162115509E-2</v>
      </c>
      <c r="T174">
        <f t="shared" ca="1" si="151"/>
        <v>3.8975694287755901E-2</v>
      </c>
      <c r="U174">
        <f t="shared" ca="1" si="151"/>
        <v>1.6373038513268216E-2</v>
      </c>
      <c r="V174">
        <f t="shared" ca="1" si="151"/>
        <v>3.9818731649932521E-3</v>
      </c>
      <c r="W174">
        <f t="shared" ca="1" si="151"/>
        <v>2.9891231029965104E-2</v>
      </c>
      <c r="X174">
        <f t="shared" ca="1" si="151"/>
        <v>3.4712713516672614E-2</v>
      </c>
      <c r="Y174">
        <f t="shared" ca="1" si="151"/>
        <v>6.0912490493820193E-2</v>
      </c>
      <c r="Z174">
        <f t="shared" ca="1" si="151"/>
        <v>3.5705456418014821E-2</v>
      </c>
    </row>
    <row r="175" spans="2:26" hidden="1">
      <c r="B175" s="180">
        <f>'Inflation-Interest'!$E$68</f>
        <v>1.2999999999999999E-3</v>
      </c>
      <c r="C175" s="180">
        <f t="shared" ca="1" si="141"/>
        <v>0.10149098171508686</v>
      </c>
      <c r="D175" s="180">
        <f t="shared" ca="1" si="142"/>
        <v>2.1795275099846668E-2</v>
      </c>
      <c r="E175" s="180">
        <f t="shared" ca="1" si="143"/>
        <v>-1.0257037598569801E-2</v>
      </c>
      <c r="F175" s="180">
        <f t="shared" ca="1" si="144"/>
        <v>5.3078173538228426E-2</v>
      </c>
      <c r="G175" s="180">
        <f t="shared" ca="1" si="145"/>
        <v>1.5687382666881654E-2</v>
      </c>
      <c r="H175" s="180">
        <f t="shared" ca="1" si="146"/>
        <v>-9.3863592083329173E-4</v>
      </c>
      <c r="I175" s="180">
        <f t="shared" ca="1" si="147"/>
        <v>6.489790027879426E-2</v>
      </c>
      <c r="J175" s="180">
        <f t="shared" ca="1" si="148"/>
        <v>5.9643831080637755E-2</v>
      </c>
      <c r="K175" s="180">
        <f t="shared" ca="1" si="149"/>
        <v>3.9103100507954389E-2</v>
      </c>
      <c r="L175" s="180">
        <f t="shared" ca="1" si="150"/>
        <v>3.0543633522974609E-2</v>
      </c>
      <c r="P175">
        <f t="shared" ca="1" si="151"/>
        <v>2.9642414130794676E-3</v>
      </c>
      <c r="Q175">
        <f t="shared" ca="1" si="151"/>
        <v>5.2942771967650376E-2</v>
      </c>
      <c r="R175">
        <f t="shared" ca="1" si="151"/>
        <v>6.1786235124343895E-3</v>
      </c>
      <c r="S175">
        <f t="shared" ca="1" si="151"/>
        <v>-3.6893595922451949E-2</v>
      </c>
      <c r="T175">
        <f t="shared" ca="1" si="151"/>
        <v>3.7988100529209506E-2</v>
      </c>
      <c r="U175">
        <f t="shared" ca="1" si="151"/>
        <v>8.2979000515382099E-3</v>
      </c>
      <c r="V175">
        <f t="shared" ca="1" si="151"/>
        <v>-1.5749357693772063E-2</v>
      </c>
      <c r="W175">
        <f t="shared" ca="1" si="151"/>
        <v>5.9113810695741814E-2</v>
      </c>
      <c r="X175">
        <f t="shared" ca="1" si="151"/>
        <v>3.017283806392633E-2</v>
      </c>
      <c r="Y175">
        <f t="shared" ca="1" si="151"/>
        <v>1.7995835684391615E-2</v>
      </c>
      <c r="Z175">
        <f t="shared" ca="1" si="151"/>
        <v>1.7862110605375903E-2</v>
      </c>
    </row>
    <row r="176" spans="2:26" hidden="1">
      <c r="B176" s="180">
        <f>'Inflation-Interest'!$E$68</f>
        <v>1.2999999999999999E-3</v>
      </c>
      <c r="C176" s="180">
        <f t="shared" ca="1" si="141"/>
        <v>4.9878564752823741E-2</v>
      </c>
      <c r="D176" s="180">
        <f t="shared" ca="1" si="142"/>
        <v>3.3501730818566167E-2</v>
      </c>
      <c r="E176" s="180">
        <f t="shared" ca="1" si="143"/>
        <v>8.0762313406313818E-2</v>
      </c>
      <c r="F176" s="180">
        <f t="shared" ca="1" si="144"/>
        <v>4.4542561871119102E-2</v>
      </c>
      <c r="G176" s="180">
        <f t="shared" ca="1" si="145"/>
        <v>7.5386430242727259E-2</v>
      </c>
      <c r="H176" s="180">
        <f t="shared" ca="1" si="146"/>
        <v>0.10669819613858675</v>
      </c>
      <c r="I176" s="180">
        <f t="shared" ca="1" si="147"/>
        <v>0.10976928433689294</v>
      </c>
      <c r="J176" s="180">
        <f t="shared" ca="1" si="148"/>
        <v>6.6686930067389169E-2</v>
      </c>
      <c r="K176" s="180">
        <f t="shared" ca="1" si="149"/>
        <v>0.13890655617497188</v>
      </c>
      <c r="L176" s="180">
        <f t="shared" ca="1" si="150"/>
        <v>8.9161993085262417E-2</v>
      </c>
      <c r="P176">
        <f t="shared" ca="1" si="151"/>
        <v>-5.7612259439586457E-3</v>
      </c>
      <c r="Q176">
        <f t="shared" ca="1" si="151"/>
        <v>1.024716787254578E-2</v>
      </c>
      <c r="R176">
        <f t="shared" ca="1" si="151"/>
        <v>7.9254295494175907E-3</v>
      </c>
      <c r="S176">
        <f t="shared" ca="1" si="151"/>
        <v>3.0786720607026509E-2</v>
      </c>
      <c r="T176">
        <f t="shared" ca="1" si="151"/>
        <v>-2.8632332047096986E-2</v>
      </c>
      <c r="U176">
        <f t="shared" ca="1" si="151"/>
        <v>-3.9638907977320344E-3</v>
      </c>
      <c r="V176">
        <f t="shared" ca="1" si="151"/>
        <v>2.9241358827073998E-2</v>
      </c>
      <c r="W176">
        <f t="shared" ca="1" si="151"/>
        <v>2.3282491708594758E-2</v>
      </c>
      <c r="X176">
        <f t="shared" ca="1" si="151"/>
        <v>-3.0994034893090442E-2</v>
      </c>
      <c r="Y176">
        <f t="shared" ca="1" si="151"/>
        <v>2.4569782654466993E-2</v>
      </c>
      <c r="Z176">
        <f t="shared" ca="1" si="151"/>
        <v>-2.6100259260503311E-2</v>
      </c>
    </row>
    <row r="177" spans="2:26" hidden="1">
      <c r="B177" s="180">
        <f>'Inflation-Interest'!$E$68</f>
        <v>1.2999999999999999E-3</v>
      </c>
      <c r="C177" s="180">
        <f t="shared" ca="1" si="141"/>
        <v>5.0915668703756703E-2</v>
      </c>
      <c r="D177" s="180">
        <f t="shared" ca="1" si="142"/>
        <v>2.7519053660577015E-2</v>
      </c>
      <c r="E177" s="180">
        <f t="shared" ca="1" si="143"/>
        <v>2.0622163255100013E-2</v>
      </c>
      <c r="F177" s="180">
        <f t="shared" ca="1" si="144"/>
        <v>5.8392319543251248E-2</v>
      </c>
      <c r="G177" s="180">
        <f t="shared" ca="1" si="145"/>
        <v>9.548757417340796E-2</v>
      </c>
      <c r="H177" s="180">
        <f t="shared" ca="1" si="146"/>
        <v>2.142115773582251E-2</v>
      </c>
      <c r="I177" s="180">
        <f t="shared" ca="1" si="147"/>
        <v>6.8714612652145957E-2</v>
      </c>
      <c r="J177" s="180">
        <f t="shared" ca="1" si="148"/>
        <v>7.1138731901299754E-2</v>
      </c>
      <c r="K177" s="180">
        <f t="shared" ca="1" si="149"/>
        <v>0.12566584681724602</v>
      </c>
      <c r="L177" s="180">
        <f t="shared" ca="1" si="150"/>
        <v>0.14308460919333105</v>
      </c>
      <c r="P177">
        <f t="shared" ca="1" si="151"/>
        <v>2.187371171758587E-2</v>
      </c>
      <c r="Q177">
        <f t="shared" ca="1" si="151"/>
        <v>1.7184416860398968E-2</v>
      </c>
      <c r="R177">
        <f t="shared" ref="Q177:Z202" ca="1" si="152">_xlfn.NORM.INV(RAND(), $B$6, $B$7)</f>
        <v>-7.1191840979394176E-3</v>
      </c>
      <c r="S177">
        <f t="shared" ca="1" si="152"/>
        <v>-5.7003671080431521E-3</v>
      </c>
      <c r="T177">
        <f t="shared" ca="1" si="152"/>
        <v>-1.312287961122072E-2</v>
      </c>
      <c r="U177">
        <f t="shared" ca="1" si="152"/>
        <v>3.1919291062992072E-2</v>
      </c>
      <c r="V177">
        <f t="shared" ca="1" si="152"/>
        <v>-4.430335134465857E-2</v>
      </c>
      <c r="W177">
        <f t="shared" ca="1" si="152"/>
        <v>1.6197502256505198E-2</v>
      </c>
      <c r="X177">
        <f t="shared" ca="1" si="152"/>
        <v>1.5150055778227235E-3</v>
      </c>
      <c r="Y177">
        <f t="shared" ca="1" si="152"/>
        <v>4.3179098159468549E-2</v>
      </c>
      <c r="Z177">
        <f t="shared" ca="1" si="152"/>
        <v>4.8609506434437955E-2</v>
      </c>
    </row>
    <row r="178" spans="2:26" hidden="1">
      <c r="B178" s="180">
        <f>'Inflation-Interest'!$E$68</f>
        <v>1.2999999999999999E-3</v>
      </c>
      <c r="C178" s="180">
        <f t="shared" ca="1" si="141"/>
        <v>4.3118284610915547E-2</v>
      </c>
      <c r="D178" s="180">
        <f t="shared" ca="1" si="142"/>
        <v>4.0259743912465062E-2</v>
      </c>
      <c r="E178" s="180">
        <f t="shared" ca="1" si="143"/>
        <v>7.922028241824168E-2</v>
      </c>
      <c r="F178" s="180">
        <f t="shared" ca="1" si="144"/>
        <v>4.5317546306652523E-2</v>
      </c>
      <c r="G178" s="180">
        <f t="shared" ca="1" si="145"/>
        <v>9.7425217428305011E-2</v>
      </c>
      <c r="H178" s="180">
        <f t="shared" ca="1" si="146"/>
        <v>5.7030140172136673E-2</v>
      </c>
      <c r="I178" s="180">
        <f t="shared" ca="1" si="147"/>
        <v>9.8199745923667342E-2</v>
      </c>
      <c r="J178" s="180">
        <f t="shared" ca="1" si="148"/>
        <v>4.080895266250481E-2</v>
      </c>
      <c r="K178" s="180">
        <f t="shared" ca="1" si="149"/>
        <v>0.10957718606893763</v>
      </c>
      <c r="L178" s="180">
        <f t="shared" ca="1" si="150"/>
        <v>6.7777723704056658E-2</v>
      </c>
      <c r="P178">
        <f t="shared" ref="P178:P220" ca="1" si="153">_xlfn.NORM.INV(RAND(), $B$6, $B$7)</f>
        <v>2.7134115471339957E-2</v>
      </c>
      <c r="Q178">
        <f t="shared" ca="1" si="152"/>
        <v>5.3790506956551045E-3</v>
      </c>
      <c r="R178">
        <f t="shared" ca="1" si="152"/>
        <v>-5.5414124117225128E-3</v>
      </c>
      <c r="S178">
        <f t="shared" ca="1" si="152"/>
        <v>2.2021925151581471E-2</v>
      </c>
      <c r="T178">
        <f t="shared" ca="1" si="152"/>
        <v>-6.8784163419864652E-3</v>
      </c>
      <c r="U178">
        <f t="shared" ca="1" si="152"/>
        <v>2.6646051321016238E-2</v>
      </c>
      <c r="V178">
        <f t="shared" ca="1" si="152"/>
        <v>-4.749915794930247E-3</v>
      </c>
      <c r="W178">
        <f t="shared" ca="1" si="152"/>
        <v>5.6835648536838715E-2</v>
      </c>
      <c r="X178">
        <f t="shared" ca="1" si="152"/>
        <v>-1.5161401540529248E-2</v>
      </c>
      <c r="Y178">
        <f t="shared" ca="1" si="152"/>
        <v>4.1766343823911756E-2</v>
      </c>
      <c r="Z178">
        <f t="shared" ca="1" si="152"/>
        <v>1.0086886869294057E-2</v>
      </c>
    </row>
    <row r="179" spans="2:26" hidden="1">
      <c r="B179" s="180">
        <f>'Inflation-Interest'!$E$68</f>
        <v>1.2999999999999999E-3</v>
      </c>
      <c r="C179" s="180">
        <f t="shared" ca="1" si="141"/>
        <v>0.11071877083621609</v>
      </c>
      <c r="D179" s="180">
        <f t="shared" ca="1" si="142"/>
        <v>7.5600574624982375E-2</v>
      </c>
      <c r="E179" s="180">
        <f t="shared" ca="1" si="143"/>
        <v>9.9302335163984151E-2</v>
      </c>
      <c r="F179" s="180">
        <f t="shared" ca="1" si="144"/>
        <v>0.13193520729297922</v>
      </c>
      <c r="G179" s="180">
        <f t="shared" ca="1" si="145"/>
        <v>0.12380539509444904</v>
      </c>
      <c r="H179" s="180">
        <f t="shared" ca="1" si="146"/>
        <v>9.6094839821793468E-2</v>
      </c>
      <c r="I179" s="180">
        <f t="shared" ca="1" si="147"/>
        <v>0.10773612308923494</v>
      </c>
      <c r="J179" s="180">
        <f t="shared" ca="1" si="148"/>
        <v>0.1634208082528544</v>
      </c>
      <c r="K179" s="180">
        <f t="shared" ca="1" si="149"/>
        <v>8.1330794207404966E-2</v>
      </c>
      <c r="L179" s="180">
        <f t="shared" ca="1" si="150"/>
        <v>0.12560589681201173</v>
      </c>
      <c r="P179">
        <f t="shared" ca="1" si="153"/>
        <v>1.5230359105480349E-2</v>
      </c>
      <c r="Q179">
        <f t="shared" ca="1" si="152"/>
        <v>4.5539372821021655E-2</v>
      </c>
      <c r="R179">
        <f t="shared" ca="1" si="152"/>
        <v>6.1622171975573362E-3</v>
      </c>
      <c r="S179">
        <f t="shared" ca="1" si="152"/>
        <v>2.6695681598538155E-2</v>
      </c>
      <c r="T179">
        <f t="shared" ca="1" si="152"/>
        <v>4.8716027432804981E-2</v>
      </c>
      <c r="U179">
        <f t="shared" ca="1" si="152"/>
        <v>5.1290423120924009E-2</v>
      </c>
      <c r="V179">
        <f t="shared" ca="1" si="152"/>
        <v>1.4975742784294001E-2</v>
      </c>
      <c r="W179">
        <f t="shared" ca="1" si="152"/>
        <v>1.1944851460847937E-2</v>
      </c>
      <c r="X179">
        <f t="shared" ca="1" si="152"/>
        <v>7.1891098929919212E-2</v>
      </c>
      <c r="Y179">
        <f t="shared" ca="1" si="152"/>
        <v>-1.7532898901728138E-2</v>
      </c>
      <c r="Z179">
        <f t="shared" ca="1" si="152"/>
        <v>5.9186345397095226E-3</v>
      </c>
    </row>
    <row r="180" spans="2:26" hidden="1">
      <c r="B180" s="180">
        <f>'Inflation-Interest'!$E$68</f>
        <v>1.2999999999999999E-3</v>
      </c>
      <c r="C180" s="180">
        <f t="shared" ca="1" si="141"/>
        <v>6.7625521204590949E-2</v>
      </c>
      <c r="D180" s="180">
        <f t="shared" ca="1" si="142"/>
        <v>7.4013286953200141E-2</v>
      </c>
      <c r="E180" s="180">
        <f t="shared" ca="1" si="143"/>
        <v>5.0859872002165657E-2</v>
      </c>
      <c r="F180" s="180">
        <f t="shared" ca="1" si="144"/>
        <v>5.823359644082983E-2</v>
      </c>
      <c r="G180" s="180">
        <f t="shared" ca="1" si="145"/>
        <v>7.4750686995707957E-2</v>
      </c>
      <c r="H180" s="180">
        <f t="shared" ca="1" si="146"/>
        <v>9.2901338089027979E-2</v>
      </c>
      <c r="I180" s="180">
        <f t="shared" ca="1" si="147"/>
        <v>4.5445782258216404E-2</v>
      </c>
      <c r="J180" s="180">
        <f t="shared" ca="1" si="148"/>
        <v>0.10486790893444914</v>
      </c>
      <c r="K180" s="180">
        <f t="shared" ca="1" si="149"/>
        <v>1.5504269634436327E-2</v>
      </c>
      <c r="L180" s="180">
        <f t="shared" ca="1" si="150"/>
        <v>7.3851725719864106E-2</v>
      </c>
      <c r="P180">
        <f t="shared" ca="1" si="153"/>
        <v>5.3783685873216427E-2</v>
      </c>
      <c r="Q180">
        <f t="shared" ca="1" si="152"/>
        <v>7.4402450491571834E-3</v>
      </c>
      <c r="R180">
        <f t="shared" ca="1" si="152"/>
        <v>3.2071543464315989E-2</v>
      </c>
      <c r="S180">
        <f t="shared" ca="1" si="152"/>
        <v>1.2131017497035067E-2</v>
      </c>
      <c r="T180">
        <f t="shared" ca="1" si="152"/>
        <v>1.2533328675980506E-2</v>
      </c>
      <c r="U180">
        <f t="shared" ca="1" si="152"/>
        <v>7.2061682117494554E-3</v>
      </c>
      <c r="V180">
        <f t="shared" ca="1" si="152"/>
        <v>2.6979780404732687E-2</v>
      </c>
      <c r="W180">
        <f t="shared" ca="1" si="152"/>
        <v>2.0985883329568203E-3</v>
      </c>
      <c r="X180">
        <f t="shared" ca="1" si="152"/>
        <v>5.0010181479269791E-2</v>
      </c>
      <c r="Y180">
        <f t="shared" ca="1" si="152"/>
        <v>-1.5927744716235263E-2</v>
      </c>
      <c r="Z180">
        <f t="shared" ca="1" si="152"/>
        <v>4.6127602896736924E-2</v>
      </c>
    </row>
    <row r="181" spans="2:26" hidden="1">
      <c r="B181" s="180">
        <f>'Inflation-Interest'!$E$68</f>
        <v>1.2999999999999999E-3</v>
      </c>
      <c r="C181" s="180">
        <f t="shared" ca="1" si="141"/>
        <v>8.0262261487684408E-2</v>
      </c>
      <c r="D181" s="180">
        <f t="shared" ca="1" si="142"/>
        <v>3.9650297953281177E-2</v>
      </c>
      <c r="E181" s="180">
        <f t="shared" ca="1" si="143"/>
        <v>5.0691453193827313E-2</v>
      </c>
      <c r="F181" s="180">
        <f t="shared" ca="1" si="144"/>
        <v>0.12467542773794325</v>
      </c>
      <c r="G181" s="180">
        <f t="shared" ca="1" si="145"/>
        <v>0.14540842488884101</v>
      </c>
      <c r="H181" s="180">
        <f t="shared" ca="1" si="146"/>
        <v>5.1413064701460107E-2</v>
      </c>
      <c r="I181" s="180">
        <f t="shared" ca="1" si="147"/>
        <v>9.0449797242653354E-2</v>
      </c>
      <c r="J181" s="180">
        <f t="shared" ca="1" si="148"/>
        <v>4.3731235828140452E-2</v>
      </c>
      <c r="K181" s="180">
        <f t="shared" ca="1" si="149"/>
        <v>2.2856692503831818E-2</v>
      </c>
      <c r="L181" s="180">
        <f t="shared" ca="1" si="150"/>
        <v>6.6778230133686077E-3</v>
      </c>
      <c r="P181">
        <f t="shared" ca="1" si="153"/>
        <v>4.3867726031205194E-2</v>
      </c>
      <c r="Q181">
        <f t="shared" ca="1" si="152"/>
        <v>2.6944365831260232E-2</v>
      </c>
      <c r="R181">
        <f t="shared" ca="1" si="152"/>
        <v>-1.3067480407535335E-2</v>
      </c>
      <c r="S181">
        <f t="shared" ca="1" si="152"/>
        <v>-2.6725320587520165E-2</v>
      </c>
      <c r="T181">
        <f t="shared" ca="1" si="152"/>
        <v>1.6434118783454677E-2</v>
      </c>
      <c r="U181">
        <f t="shared" ca="1" si="152"/>
        <v>5.3636778997036894E-2</v>
      </c>
      <c r="V181">
        <f t="shared" ca="1" si="152"/>
        <v>-2.3653555220089082E-2</v>
      </c>
      <c r="W181">
        <f t="shared" ca="1" si="152"/>
        <v>3.0847276427262149E-2</v>
      </c>
      <c r="X181">
        <f t="shared" ca="1" si="152"/>
        <v>-6.2503694298938726E-3</v>
      </c>
      <c r="Y181">
        <f t="shared" ca="1" si="152"/>
        <v>-1.7647571800644555E-2</v>
      </c>
      <c r="Z181">
        <f t="shared" ca="1" si="152"/>
        <v>-8.4948259524555529E-3</v>
      </c>
    </row>
    <row r="182" spans="2:26" hidden="1">
      <c r="B182" s="180">
        <f>'Inflation-Interest'!$E$68</f>
        <v>1.2999999999999999E-3</v>
      </c>
      <c r="C182" s="180">
        <f t="shared" ca="1" si="141"/>
        <v>0.11088272325016105</v>
      </c>
      <c r="D182" s="180">
        <f t="shared" ca="1" si="142"/>
        <v>1.8875393785456128E-2</v>
      </c>
      <c r="E182" s="180">
        <f t="shared" ca="1" si="143"/>
        <v>1.2142985690230555E-2</v>
      </c>
      <c r="F182" s="180">
        <f t="shared" ca="1" si="144"/>
        <v>-3.7363498454164278E-3</v>
      </c>
      <c r="G182" s="180">
        <f t="shared" ca="1" si="145"/>
        <v>1.011423987997799E-3</v>
      </c>
      <c r="H182" s="180">
        <f t="shared" ca="1" si="146"/>
        <v>1.5620371311232506E-2</v>
      </c>
      <c r="I182" s="180">
        <f t="shared" ca="1" si="147"/>
        <v>-1.2682931495107831E-2</v>
      </c>
      <c r="J182" s="180">
        <f t="shared" ca="1" si="148"/>
        <v>-2.5774416978058972E-2</v>
      </c>
      <c r="K182" s="180">
        <f t="shared" ca="1" si="149"/>
        <v>5.3707977267657969E-3</v>
      </c>
      <c r="L182" s="180">
        <f t="shared" ca="1" si="150"/>
        <v>1.5473949754508595E-2</v>
      </c>
      <c r="P182">
        <f t="shared" ca="1" si="153"/>
        <v>1.2541366680728416E-2</v>
      </c>
      <c r="Q182">
        <f t="shared" ca="1" si="152"/>
        <v>7.1814757226481826E-2</v>
      </c>
      <c r="R182">
        <f t="shared" ca="1" si="152"/>
        <v>1.5201786487351633E-3</v>
      </c>
      <c r="S182">
        <f t="shared" ca="1" si="152"/>
        <v>1.0518901408100172E-2</v>
      </c>
      <c r="T182">
        <f t="shared" ca="1" si="152"/>
        <v>1.5426953244290012E-2</v>
      </c>
      <c r="U182">
        <f t="shared" ca="1" si="152"/>
        <v>2.5498462508227758E-2</v>
      </c>
      <c r="V182">
        <f t="shared" ca="1" si="152"/>
        <v>5.1626545105834074E-2</v>
      </c>
      <c r="W182">
        <f t="shared" ca="1" si="152"/>
        <v>-2.9543541256269734E-3</v>
      </c>
      <c r="X182">
        <f t="shared" ca="1" si="152"/>
        <v>-2.3132236092329086E-2</v>
      </c>
      <c r="Y182">
        <f t="shared" ca="1" si="152"/>
        <v>-7.7862762691446007E-3</v>
      </c>
      <c r="Z182">
        <f t="shared" ca="1" si="152"/>
        <v>5.8785362319557291E-3</v>
      </c>
    </row>
    <row r="183" spans="2:26" hidden="1">
      <c r="B183" s="180">
        <f>'Inflation-Interest'!$E$68</f>
        <v>1.2999999999999999E-3</v>
      </c>
      <c r="C183" s="180">
        <f t="shared" ca="1" si="141"/>
        <v>1.9564970164991077E-2</v>
      </c>
      <c r="D183" s="180">
        <f t="shared" ca="1" si="142"/>
        <v>6.2892270044510132E-2</v>
      </c>
      <c r="E183" s="180">
        <f t="shared" ca="1" si="143"/>
        <v>6.0297746843949632E-2</v>
      </c>
      <c r="F183" s="180">
        <f t="shared" ca="1" si="144"/>
        <v>5.4421656998971994E-2</v>
      </c>
      <c r="G183" s="180">
        <f t="shared" ca="1" si="145"/>
        <v>1.5967814658319698E-2</v>
      </c>
      <c r="H183" s="180">
        <f t="shared" ca="1" si="146"/>
        <v>5.2486180527194518E-2</v>
      </c>
      <c r="I183" s="180">
        <f t="shared" ca="1" si="147"/>
        <v>5.5844762827301588E-2</v>
      </c>
      <c r="J183" s="180">
        <f t="shared" ca="1" si="148"/>
        <v>7.9229221665370497E-2</v>
      </c>
      <c r="K183" s="180">
        <f t="shared" ca="1" si="149"/>
        <v>8.5393282794865286E-2</v>
      </c>
      <c r="L183" s="180">
        <f t="shared" ca="1" si="150"/>
        <v>6.9290828622498024E-2</v>
      </c>
      <c r="P183">
        <f t="shared" ca="1" si="153"/>
        <v>2.3222073826233647E-2</v>
      </c>
      <c r="Q183">
        <f t="shared" ca="1" si="152"/>
        <v>1.2984891876523868E-2</v>
      </c>
      <c r="R183">
        <f t="shared" ca="1" si="152"/>
        <v>3.6906893491808923E-2</v>
      </c>
      <c r="S183">
        <f t="shared" ca="1" si="152"/>
        <v>3.2472096140065985E-2</v>
      </c>
      <c r="T183">
        <f t="shared" ca="1" si="152"/>
        <v>1.7530099422655522E-2</v>
      </c>
      <c r="U183">
        <f t="shared" ca="1" si="152"/>
        <v>-1.5758384045109746E-2</v>
      </c>
      <c r="V183">
        <f t="shared" ca="1" si="152"/>
        <v>1.5721541656723521E-2</v>
      </c>
      <c r="W183">
        <f t="shared" ca="1" si="152"/>
        <v>2.2987698946956299E-2</v>
      </c>
      <c r="X183">
        <f t="shared" ca="1" si="152"/>
        <v>4.7059119429432056E-2</v>
      </c>
      <c r="Y183">
        <f t="shared" ca="1" si="152"/>
        <v>3.5222992260444536E-2</v>
      </c>
      <c r="Z183">
        <f t="shared" ca="1" si="152"/>
        <v>3.8809438261864823E-2</v>
      </c>
    </row>
    <row r="184" spans="2:26" hidden="1">
      <c r="B184" s="180">
        <f>'Inflation-Interest'!$E$68</f>
        <v>1.2999999999999999E-3</v>
      </c>
      <c r="C184" s="180">
        <f t="shared" ca="1" si="141"/>
        <v>3.4604899553085315E-2</v>
      </c>
      <c r="D184" s="180">
        <f t="shared" ca="1" si="142"/>
        <v>1.9072972308088399E-2</v>
      </c>
      <c r="E184" s="180">
        <f t="shared" ca="1" si="143"/>
        <v>6.6672400119163422E-2</v>
      </c>
      <c r="F184" s="180">
        <f t="shared" ca="1" si="144"/>
        <v>2.1462104529443943E-2</v>
      </c>
      <c r="G184" s="180">
        <f t="shared" ca="1" si="145"/>
        <v>2.7583881077183323E-2</v>
      </c>
      <c r="H184" s="180">
        <f t="shared" ca="1" si="146"/>
        <v>7.1313052861930071E-2</v>
      </c>
      <c r="I184" s="180">
        <f t="shared" ca="1" si="147"/>
        <v>3.4572173535298172E-2</v>
      </c>
      <c r="J184" s="180">
        <f t="shared" ca="1" si="148"/>
        <v>3.2661994155698162E-2</v>
      </c>
      <c r="K184" s="180">
        <f t="shared" ca="1" si="149"/>
        <v>-3.9911939231605971E-3</v>
      </c>
      <c r="L184" s="180">
        <f t="shared" ca="1" si="150"/>
        <v>-1.2145120313885621E-2</v>
      </c>
      <c r="P184">
        <f t="shared" ca="1" si="153"/>
        <v>-1.1300813575581065E-2</v>
      </c>
      <c r="Q184">
        <f t="shared" ca="1" si="152"/>
        <v>-8.9451431859947292E-3</v>
      </c>
      <c r="R184">
        <f t="shared" ca="1" si="152"/>
        <v>-1.8606892078311375E-2</v>
      </c>
      <c r="S184">
        <f t="shared" ca="1" si="152"/>
        <v>3.2130788914712181E-2</v>
      </c>
      <c r="T184">
        <f t="shared" ca="1" si="152"/>
        <v>-4.6853160572790584E-3</v>
      </c>
      <c r="U184">
        <f t="shared" ca="1" si="152"/>
        <v>7.3520147780887432E-3</v>
      </c>
      <c r="V184">
        <f t="shared" ca="1" si="152"/>
        <v>5.278274979135833E-2</v>
      </c>
      <c r="W184">
        <f t="shared" ca="1" si="152"/>
        <v>2.2878414126564793E-2</v>
      </c>
      <c r="X184">
        <f t="shared" ca="1" si="152"/>
        <v>3.1822085682491286E-2</v>
      </c>
      <c r="Y184">
        <f t="shared" ca="1" si="152"/>
        <v>3.8251617738957622E-3</v>
      </c>
      <c r="Z184">
        <f t="shared" ca="1" si="152"/>
        <v>8.9608340949721491E-3</v>
      </c>
    </row>
    <row r="185" spans="2:26" hidden="1">
      <c r="B185" s="180">
        <f>'Inflation-Interest'!$E$68</f>
        <v>1.2999999999999999E-3</v>
      </c>
      <c r="C185" s="180">
        <f t="shared" ref="C185:C216" ca="1" si="154">C80+Q185</f>
        <v>6.7257710545199162E-2</v>
      </c>
      <c r="D185" s="180">
        <f t="shared" ref="D185:D216" ca="1" si="155">D80+R185</f>
        <v>9.4368200599798474E-2</v>
      </c>
      <c r="E185" s="180">
        <f t="shared" ref="E185:E216" ca="1" si="156">E80+S185</f>
        <v>8.3275658407822917E-2</v>
      </c>
      <c r="F185" s="180">
        <f t="shared" ref="F185:F216" ca="1" si="157">F80+T185</f>
        <v>9.1634206297662973E-2</v>
      </c>
      <c r="G185" s="180">
        <f t="shared" ref="G185:G216" ca="1" si="158">G80+U185</f>
        <v>8.7930859711405296E-2</v>
      </c>
      <c r="H185" s="180">
        <f t="shared" ref="H185:H216" ca="1" si="159">H80+V185</f>
        <v>7.2164978924310702E-2</v>
      </c>
      <c r="I185" s="180">
        <f t="shared" ref="I185:I216" ca="1" si="160">I80+W185</f>
        <v>9.1201987427638215E-2</v>
      </c>
      <c r="J185" s="180">
        <f t="shared" ref="J185:J216" ca="1" si="161">J80+X185</f>
        <v>5.2713417941729526E-2</v>
      </c>
      <c r="K185" s="180">
        <f t="shared" ref="K185:K216" ca="1" si="162">K80+Y185</f>
        <v>0.11168061576066718</v>
      </c>
      <c r="L185" s="180">
        <f t="shared" ref="L185:L216" ca="1" si="163">L80+Z185</f>
        <v>9.0985375746647154E-2</v>
      </c>
      <c r="P185">
        <f t="shared" ca="1" si="153"/>
        <v>1.1880062772595512E-2</v>
      </c>
      <c r="Q185">
        <f t="shared" ca="1" si="152"/>
        <v>2.63844741396497E-2</v>
      </c>
      <c r="R185">
        <f t="shared" ca="1" si="152"/>
        <v>4.4429281767171411E-2</v>
      </c>
      <c r="S185">
        <f t="shared" ca="1" si="152"/>
        <v>2.8154000773223151E-2</v>
      </c>
      <c r="T185">
        <f t="shared" ca="1" si="152"/>
        <v>3.037424841714275E-2</v>
      </c>
      <c r="U185">
        <f t="shared" ca="1" si="152"/>
        <v>1.9964655297640282E-2</v>
      </c>
      <c r="V185">
        <f t="shared" ca="1" si="152"/>
        <v>3.7447975958559282E-3</v>
      </c>
      <c r="W185">
        <f t="shared" ca="1" si="152"/>
        <v>2.1944616664336856E-2</v>
      </c>
      <c r="X185">
        <f t="shared" ca="1" si="152"/>
        <v>-1.4951713163360216E-2</v>
      </c>
      <c r="Y185">
        <f t="shared" ca="1" si="152"/>
        <v>4.0578012535388709E-2</v>
      </c>
      <c r="Z185">
        <f t="shared" ca="1" si="152"/>
        <v>1.4525678049893662E-2</v>
      </c>
    </row>
    <row r="186" spans="2:26" hidden="1">
      <c r="B186" s="180">
        <f>'Inflation-Interest'!$E$68</f>
        <v>1.2999999999999999E-3</v>
      </c>
      <c r="C186" s="180">
        <f t="shared" ca="1" si="154"/>
        <v>5.3988173387014664E-2</v>
      </c>
      <c r="D186" s="180">
        <f t="shared" ca="1" si="155"/>
        <v>6.4076657820166999E-2</v>
      </c>
      <c r="E186" s="180">
        <f t="shared" ca="1" si="156"/>
        <v>4.024632082193523E-2</v>
      </c>
      <c r="F186" s="180">
        <f t="shared" ca="1" si="157"/>
        <v>3.4616045679706275E-2</v>
      </c>
      <c r="G186" s="180">
        <f t="shared" ca="1" si="158"/>
        <v>8.4430341081413382E-2</v>
      </c>
      <c r="H186" s="180">
        <f t="shared" ca="1" si="159"/>
        <v>-6.7517441363984049E-2</v>
      </c>
      <c r="I186" s="180">
        <f t="shared" ca="1" si="160"/>
        <v>-4.3818016923719214E-3</v>
      </c>
      <c r="J186" s="180">
        <f t="shared" ca="1" si="161"/>
        <v>5.7767558422515082E-2</v>
      </c>
      <c r="K186" s="180">
        <f t="shared" ca="1" si="162"/>
        <v>1.4577146277482999E-2</v>
      </c>
      <c r="L186" s="180">
        <f t="shared" ca="1" si="163"/>
        <v>2.6232737870414038E-2</v>
      </c>
      <c r="P186">
        <f t="shared" ca="1" si="153"/>
        <v>-7.0253054760301553E-3</v>
      </c>
      <c r="Q186">
        <f t="shared" ca="1" si="152"/>
        <v>3.0133786369569385E-2</v>
      </c>
      <c r="R186">
        <f t="shared" ca="1" si="152"/>
        <v>4.0421010564441529E-2</v>
      </c>
      <c r="S186">
        <f t="shared" ca="1" si="152"/>
        <v>1.8972047760651013E-2</v>
      </c>
      <c r="T186">
        <f t="shared" ca="1" si="152"/>
        <v>3.1078001005531836E-2</v>
      </c>
      <c r="U186">
        <f t="shared" ca="1" si="152"/>
        <v>7.7069692114089858E-2</v>
      </c>
      <c r="V186">
        <f t="shared" ca="1" si="152"/>
        <v>-5.5233972961245451E-2</v>
      </c>
      <c r="W186">
        <f t="shared" ca="1" si="152"/>
        <v>2.2433385817186707E-4</v>
      </c>
      <c r="X186">
        <f t="shared" ca="1" si="152"/>
        <v>6.8892406136053505E-2</v>
      </c>
      <c r="Y186">
        <f t="shared" ca="1" si="152"/>
        <v>2.7931052988933509E-2</v>
      </c>
      <c r="Z186">
        <f t="shared" ca="1" si="152"/>
        <v>3.2058593236237429E-2</v>
      </c>
    </row>
    <row r="187" spans="2:26" hidden="1">
      <c r="B187" s="180">
        <f>'Inflation-Interest'!$E$68</f>
        <v>1.2999999999999999E-3</v>
      </c>
      <c r="C187" s="180">
        <f t="shared" ca="1" si="154"/>
        <v>7.1385250477512957E-2</v>
      </c>
      <c r="D187" s="180">
        <f t="shared" ca="1" si="155"/>
        <v>0.10106276503023123</v>
      </c>
      <c r="E187" s="180">
        <f t="shared" ca="1" si="156"/>
        <v>4.661445012101402E-2</v>
      </c>
      <c r="F187" s="180">
        <f t="shared" ca="1" si="157"/>
        <v>2.7228460130155157E-2</v>
      </c>
      <c r="G187" s="180">
        <f t="shared" ca="1" si="158"/>
        <v>5.3681490636059856E-2</v>
      </c>
      <c r="H187" s="180">
        <f t="shared" ca="1" si="159"/>
        <v>5.8965418558391436E-2</v>
      </c>
      <c r="I187" s="180">
        <f t="shared" ca="1" si="160"/>
        <v>8.1258751483785335E-2</v>
      </c>
      <c r="J187" s="180">
        <f t="shared" ca="1" si="161"/>
        <v>7.8476141339952954E-2</v>
      </c>
      <c r="K187" s="180">
        <f t="shared" ca="1" si="162"/>
        <v>6.0279581492146156E-2</v>
      </c>
      <c r="L187" s="180">
        <f t="shared" ca="1" si="163"/>
        <v>0.10837972769672002</v>
      </c>
      <c r="P187">
        <f t="shared" ca="1" si="153"/>
        <v>-4.820661600726469E-3</v>
      </c>
      <c r="Q187">
        <f t="shared" ca="1" si="152"/>
        <v>3.6236072078799891E-2</v>
      </c>
      <c r="R187">
        <f t="shared" ca="1" si="152"/>
        <v>7.9176266156329958E-2</v>
      </c>
      <c r="S187">
        <f t="shared" ca="1" si="152"/>
        <v>1.146620416807E-2</v>
      </c>
      <c r="T187">
        <f t="shared" ca="1" si="152"/>
        <v>-5.8950651285995699E-3</v>
      </c>
      <c r="U187">
        <f t="shared" ca="1" si="152"/>
        <v>1.0750803647548043E-2</v>
      </c>
      <c r="V187">
        <f t="shared" ca="1" si="152"/>
        <v>4.0894329683056535E-2</v>
      </c>
      <c r="W187">
        <f t="shared" ca="1" si="152"/>
        <v>2.5134611415417327E-2</v>
      </c>
      <c r="X187">
        <f t="shared" ca="1" si="152"/>
        <v>1.7026028611785884E-2</v>
      </c>
      <c r="Y187">
        <f t="shared" ca="1" si="152"/>
        <v>-4.2373307942494658E-3</v>
      </c>
      <c r="Z187">
        <f t="shared" ca="1" si="152"/>
        <v>5.2899069008217683E-2</v>
      </c>
    </row>
    <row r="188" spans="2:26" hidden="1">
      <c r="B188" s="180">
        <f>'Inflation-Interest'!$E$68</f>
        <v>1.2999999999999999E-3</v>
      </c>
      <c r="C188" s="180">
        <f t="shared" ca="1" si="154"/>
        <v>0.109676915481044</v>
      </c>
      <c r="D188" s="180">
        <f t="shared" ca="1" si="155"/>
        <v>4.0147976227118284E-2</v>
      </c>
      <c r="E188" s="180">
        <f t="shared" ca="1" si="156"/>
        <v>5.7144254342353894E-2</v>
      </c>
      <c r="F188" s="180">
        <f t="shared" ca="1" si="157"/>
        <v>4.0929410379722538E-2</v>
      </c>
      <c r="G188" s="180">
        <f t="shared" ca="1" si="158"/>
        <v>4.0168688408135284E-2</v>
      </c>
      <c r="H188" s="180">
        <f t="shared" ca="1" si="159"/>
        <v>-1.1678651482211854E-2</v>
      </c>
      <c r="I188" s="180">
        <f t="shared" ca="1" si="160"/>
        <v>6.7772906016478562E-2</v>
      </c>
      <c r="J188" s="180">
        <f t="shared" ca="1" si="161"/>
        <v>2.9302843440872431E-2</v>
      </c>
      <c r="K188" s="180">
        <f t="shared" ca="1" si="162"/>
        <v>-3.104231427942963E-3</v>
      </c>
      <c r="L188" s="180">
        <f t="shared" ca="1" si="163"/>
        <v>2.3154079712453673E-3</v>
      </c>
      <c r="P188">
        <f t="shared" ca="1" si="153"/>
        <v>5.673523867775139E-2</v>
      </c>
      <c r="Q188">
        <f t="shared" ca="1" si="152"/>
        <v>5.4063643704798631E-2</v>
      </c>
      <c r="R188">
        <f t="shared" ca="1" si="152"/>
        <v>-5.2628848092884407E-3</v>
      </c>
      <c r="S188">
        <f t="shared" ca="1" si="152"/>
        <v>1.9720581473772127E-2</v>
      </c>
      <c r="T188">
        <f t="shared" ca="1" si="152"/>
        <v>2.1694622577092544E-2</v>
      </c>
      <c r="U188">
        <f t="shared" ca="1" si="152"/>
        <v>1.882009642669099E-2</v>
      </c>
      <c r="V188">
        <f t="shared" ca="1" si="152"/>
        <v>-1.8308867313172567E-2</v>
      </c>
      <c r="W188">
        <f t="shared" ca="1" si="152"/>
        <v>7.2474096496563015E-2</v>
      </c>
      <c r="X188">
        <f t="shared" ca="1" si="152"/>
        <v>2.2359266053196668E-2</v>
      </c>
      <c r="Y188">
        <f t="shared" ca="1" si="152"/>
        <v>1.5510738220444494E-2</v>
      </c>
      <c r="Z188">
        <f t="shared" ca="1" si="152"/>
        <v>2.6480017499756304E-2</v>
      </c>
    </row>
    <row r="189" spans="2:26" hidden="1">
      <c r="B189" s="180">
        <f>'Inflation-Interest'!$E$68</f>
        <v>1.2999999999999999E-3</v>
      </c>
      <c r="C189" s="180">
        <f t="shared" ca="1" si="154"/>
        <v>4.5809263087421663E-2</v>
      </c>
      <c r="D189" s="180">
        <f t="shared" ca="1" si="155"/>
        <v>2.1893447588939862E-2</v>
      </c>
      <c r="E189" s="180">
        <f t="shared" ca="1" si="156"/>
        <v>6.5056426248233865E-2</v>
      </c>
      <c r="F189" s="180">
        <f t="shared" ca="1" si="157"/>
        <v>1.9322123567191027E-2</v>
      </c>
      <c r="G189" s="180">
        <f t="shared" ca="1" si="158"/>
        <v>4.3397135564606532E-2</v>
      </c>
      <c r="H189" s="180">
        <f t="shared" ca="1" si="159"/>
        <v>6.9532780328528998E-2</v>
      </c>
      <c r="I189" s="180">
        <f t="shared" ca="1" si="160"/>
        <v>5.1073211589416148E-2</v>
      </c>
      <c r="J189" s="180">
        <f t="shared" ca="1" si="161"/>
        <v>8.6969013007286607E-3</v>
      </c>
      <c r="K189" s="180">
        <f t="shared" ca="1" si="162"/>
        <v>3.6323961871806108E-2</v>
      </c>
      <c r="L189" s="180">
        <f t="shared" ca="1" si="163"/>
        <v>4.5593909487854689E-2</v>
      </c>
      <c r="P189">
        <f t="shared" ca="1" si="153"/>
        <v>-3.2612277858442271E-2</v>
      </c>
      <c r="Q189">
        <f t="shared" ca="1" si="152"/>
        <v>6.8925975996030047E-3</v>
      </c>
      <c r="R189">
        <f t="shared" ca="1" si="152"/>
        <v>1.2451657817917561E-2</v>
      </c>
      <c r="S189">
        <f t="shared" ca="1" si="152"/>
        <v>3.6028969179529954E-2</v>
      </c>
      <c r="T189">
        <f t="shared" ca="1" si="152"/>
        <v>-5.871973530047505E-3</v>
      </c>
      <c r="U189">
        <f t="shared" ca="1" si="152"/>
        <v>3.1391799877797763E-2</v>
      </c>
      <c r="V189">
        <f t="shared" ca="1" si="152"/>
        <v>6.5951434350291882E-2</v>
      </c>
      <c r="W189">
        <f t="shared" ca="1" si="152"/>
        <v>4.0860547650534512E-2</v>
      </c>
      <c r="X189">
        <f t="shared" ca="1" si="152"/>
        <v>-2.0074378330390729E-2</v>
      </c>
      <c r="Y189">
        <f t="shared" ca="1" si="152"/>
        <v>4.5708363449479331E-3</v>
      </c>
      <c r="Z189">
        <f t="shared" ca="1" si="152"/>
        <v>4.4742893405282681E-3</v>
      </c>
    </row>
    <row r="190" spans="2:26" hidden="1">
      <c r="B190" s="180">
        <f>'Inflation-Interest'!$E$68</f>
        <v>1.2999999999999999E-3</v>
      </c>
      <c r="C190" s="180">
        <f t="shared" ca="1" si="154"/>
        <v>2.7122770900411659E-2</v>
      </c>
      <c r="D190" s="180">
        <f t="shared" ca="1" si="155"/>
        <v>-2.6105155496629028E-3</v>
      </c>
      <c r="E190" s="180">
        <f t="shared" ca="1" si="156"/>
        <v>3.2032803659318231E-2</v>
      </c>
      <c r="F190" s="180">
        <f t="shared" ca="1" si="157"/>
        <v>5.7481998434901767E-2</v>
      </c>
      <c r="G190" s="180">
        <f t="shared" ca="1" si="158"/>
        <v>5.9326145916245521E-2</v>
      </c>
      <c r="H190" s="180">
        <f t="shared" ca="1" si="159"/>
        <v>5.0234123040690783E-2</v>
      </c>
      <c r="I190" s="180">
        <f t="shared" ca="1" si="160"/>
        <v>7.8035512797657469E-2</v>
      </c>
      <c r="J190" s="180">
        <f t="shared" ca="1" si="161"/>
        <v>6.849416317375491E-2</v>
      </c>
      <c r="K190" s="180">
        <f t="shared" ca="1" si="162"/>
        <v>8.1728791954692986E-2</v>
      </c>
      <c r="L190" s="180">
        <f t="shared" ca="1" si="163"/>
        <v>0.10022715780601874</v>
      </c>
      <c r="P190">
        <f t="shared" ca="1" si="153"/>
        <v>2.7223125573976312E-2</v>
      </c>
      <c r="Q190">
        <f t="shared" ca="1" si="152"/>
        <v>1.261027239751261E-2</v>
      </c>
      <c r="R190">
        <f t="shared" ca="1" si="152"/>
        <v>-2.3742821725175538E-2</v>
      </c>
      <c r="S190">
        <f t="shared" ca="1" si="152"/>
        <v>2.3525689497999283E-2</v>
      </c>
      <c r="T190">
        <f t="shared" ca="1" si="152"/>
        <v>2.8480665904293455E-2</v>
      </c>
      <c r="U190">
        <f t="shared" ca="1" si="152"/>
        <v>1.9598778910342243E-2</v>
      </c>
      <c r="V190">
        <f t="shared" ca="1" si="152"/>
        <v>3.7000749256258347E-2</v>
      </c>
      <c r="W190">
        <f t="shared" ca="1" si="152"/>
        <v>3.3156158590321345E-2</v>
      </c>
      <c r="X190">
        <f t="shared" ca="1" si="152"/>
        <v>2.5254411342969674E-2</v>
      </c>
      <c r="Y190">
        <f t="shared" ca="1" si="152"/>
        <v>2.2009019033966137E-2</v>
      </c>
      <c r="Z190">
        <f t="shared" ca="1" si="152"/>
        <v>4.5549619011734391E-2</v>
      </c>
    </row>
    <row r="191" spans="2:26" hidden="1">
      <c r="B191" s="180">
        <f>'Inflation-Interest'!$E$68</f>
        <v>1.2999999999999999E-3</v>
      </c>
      <c r="C191" s="180">
        <f t="shared" ca="1" si="154"/>
        <v>5.0280077906684796E-2</v>
      </c>
      <c r="D191" s="180">
        <f t="shared" ca="1" si="155"/>
        <v>6.4254768302739296E-2</v>
      </c>
      <c r="E191" s="180">
        <f t="shared" ca="1" si="156"/>
        <v>3.3461371612860689E-2</v>
      </c>
      <c r="F191" s="180">
        <f t="shared" ca="1" si="157"/>
        <v>8.9071993485781389E-2</v>
      </c>
      <c r="G191" s="180">
        <f t="shared" ca="1" si="158"/>
        <v>4.3975808210825064E-2</v>
      </c>
      <c r="H191" s="180">
        <f t="shared" ca="1" si="159"/>
        <v>8.05929276093795E-2</v>
      </c>
      <c r="I191" s="180">
        <f t="shared" ca="1" si="160"/>
        <v>6.6476947228075248E-2</v>
      </c>
      <c r="J191" s="180">
        <f t="shared" ca="1" si="161"/>
        <v>5.0244739518081165E-3</v>
      </c>
      <c r="K191" s="180">
        <f t="shared" ca="1" si="162"/>
        <v>-4.050365362425104E-3</v>
      </c>
      <c r="L191" s="180">
        <f t="shared" ca="1" si="163"/>
        <v>3.006576529916135E-2</v>
      </c>
      <c r="P191">
        <f t="shared" ca="1" si="153"/>
        <v>5.3074246393551072E-2</v>
      </c>
      <c r="Q191">
        <f t="shared" ca="1" si="152"/>
        <v>1.9189138284731122E-2</v>
      </c>
      <c r="R191">
        <f t="shared" ca="1" si="152"/>
        <v>4.0815398867884808E-2</v>
      </c>
      <c r="S191">
        <f t="shared" ca="1" si="152"/>
        <v>8.3940176257560027E-3</v>
      </c>
      <c r="T191">
        <f t="shared" ca="1" si="152"/>
        <v>4.9058052435318321E-2</v>
      </c>
      <c r="U191">
        <f t="shared" ca="1" si="152"/>
        <v>2.3639670026588486E-2</v>
      </c>
      <c r="V191">
        <f t="shared" ca="1" si="152"/>
        <v>4.9261654818624018E-2</v>
      </c>
      <c r="W191">
        <f t="shared" ca="1" si="152"/>
        <v>3.7046796796832371E-2</v>
      </c>
      <c r="X191">
        <f t="shared" ca="1" si="152"/>
        <v>1.5464621453196194E-3</v>
      </c>
      <c r="Y191">
        <f t="shared" ca="1" si="152"/>
        <v>-1.474519493108643E-2</v>
      </c>
      <c r="Z191">
        <f t="shared" ca="1" si="152"/>
        <v>1.7145520647308538E-2</v>
      </c>
    </row>
    <row r="192" spans="2:26" hidden="1">
      <c r="B192" s="180">
        <f>'Inflation-Interest'!$E$68</f>
        <v>1.2999999999999999E-3</v>
      </c>
      <c r="C192" s="180">
        <f t="shared" ca="1" si="154"/>
        <v>8.5458956709084044E-2</v>
      </c>
      <c r="D192" s="180">
        <f t="shared" ca="1" si="155"/>
        <v>6.1995599881237581E-2</v>
      </c>
      <c r="E192" s="180">
        <f t="shared" ca="1" si="156"/>
        <v>6.4684954679398637E-2</v>
      </c>
      <c r="F192" s="180">
        <f t="shared" ca="1" si="157"/>
        <v>5.9018298574947781E-2</v>
      </c>
      <c r="G192" s="180">
        <f t="shared" ca="1" si="158"/>
        <v>6.2584957615939865E-2</v>
      </c>
      <c r="H192" s="180">
        <f t="shared" ca="1" si="159"/>
        <v>5.941561540587588E-2</v>
      </c>
      <c r="I192" s="180">
        <f t="shared" ca="1" si="160"/>
        <v>7.2007896878100414E-2</v>
      </c>
      <c r="J192" s="180">
        <f t="shared" ca="1" si="161"/>
        <v>7.6823680134434871E-2</v>
      </c>
      <c r="K192" s="180">
        <f t="shared" ca="1" si="162"/>
        <v>8.5375516130431678E-2</v>
      </c>
      <c r="L192" s="180">
        <f t="shared" ca="1" si="163"/>
        <v>6.4935277605782812E-2</v>
      </c>
      <c r="P192">
        <f t="shared" ca="1" si="153"/>
        <v>3.6705806299141455E-2</v>
      </c>
      <c r="Q192">
        <f t="shared" ca="1" si="152"/>
        <v>4.4379878701910458E-2</v>
      </c>
      <c r="R192">
        <f t="shared" ca="1" si="152"/>
        <v>1.7102037109821396E-2</v>
      </c>
      <c r="S192">
        <f t="shared" ca="1" si="152"/>
        <v>2.6652725733563157E-2</v>
      </c>
      <c r="T192">
        <f t="shared" ca="1" si="152"/>
        <v>1.2456375442691667E-2</v>
      </c>
      <c r="U192">
        <f t="shared" ca="1" si="152"/>
        <v>1.4378965395508972E-2</v>
      </c>
      <c r="V192">
        <f t="shared" ca="1" si="152"/>
        <v>1.0261308388435975E-2</v>
      </c>
      <c r="W192">
        <f t="shared" ca="1" si="152"/>
        <v>4.2125940290055543E-2</v>
      </c>
      <c r="X192">
        <f t="shared" ca="1" si="152"/>
        <v>4.3088928119465644E-2</v>
      </c>
      <c r="Y192">
        <f t="shared" ca="1" si="152"/>
        <v>6.03627287749713E-2</v>
      </c>
      <c r="Z192">
        <f t="shared" ca="1" si="152"/>
        <v>2.3728485661674611E-2</v>
      </c>
    </row>
    <row r="193" spans="2:26" hidden="1">
      <c r="B193" s="180">
        <f>'Inflation-Interest'!$E$68</f>
        <v>1.2999999999999999E-3</v>
      </c>
      <c r="C193" s="180">
        <f t="shared" ca="1" si="154"/>
        <v>0.10037507501968641</v>
      </c>
      <c r="D193" s="180">
        <f t="shared" ca="1" si="155"/>
        <v>0.10376546607122884</v>
      </c>
      <c r="E193" s="180">
        <f t="shared" ca="1" si="156"/>
        <v>0.10439641072851763</v>
      </c>
      <c r="F193" s="180">
        <f t="shared" ca="1" si="157"/>
        <v>9.7423454350674732E-2</v>
      </c>
      <c r="G193" s="180">
        <f t="shared" ca="1" si="158"/>
        <v>0.12623902771325396</v>
      </c>
      <c r="H193" s="180">
        <f t="shared" ca="1" si="159"/>
        <v>9.022842964289611E-2</v>
      </c>
      <c r="I193" s="180">
        <f t="shared" ca="1" si="160"/>
        <v>7.6612356034736123E-2</v>
      </c>
      <c r="J193" s="180">
        <f t="shared" ca="1" si="161"/>
        <v>0.10829522208215156</v>
      </c>
      <c r="K193" s="180">
        <f t="shared" ca="1" si="162"/>
        <v>0.10985438232740394</v>
      </c>
      <c r="L193" s="180">
        <f t="shared" ca="1" si="163"/>
        <v>0.11615478629619766</v>
      </c>
      <c r="P193">
        <f t="shared" ca="1" si="153"/>
        <v>2.5083335819412148E-2</v>
      </c>
      <c r="Q193">
        <f t="shared" ca="1" si="152"/>
        <v>5.3602491435358182E-2</v>
      </c>
      <c r="R193">
        <f t="shared" ca="1" si="152"/>
        <v>1.9204368474218619E-2</v>
      </c>
      <c r="S193">
        <f t="shared" ca="1" si="152"/>
        <v>1.508769459593318E-2</v>
      </c>
      <c r="T193">
        <f t="shared" ca="1" si="152"/>
        <v>-3.1504857841281042E-3</v>
      </c>
      <c r="U193">
        <f t="shared" ca="1" si="152"/>
        <v>3.5104390143959691E-2</v>
      </c>
      <c r="V193">
        <f t="shared" ca="1" si="152"/>
        <v>7.1498188528623056E-3</v>
      </c>
      <c r="W193">
        <f t="shared" ca="1" si="152"/>
        <v>-9.9205336085572901E-3</v>
      </c>
      <c r="X193">
        <f t="shared" ca="1" si="152"/>
        <v>1.4772088853443844E-2</v>
      </c>
      <c r="Y193">
        <f t="shared" ca="1" si="152"/>
        <v>1.0385503597580894E-2</v>
      </c>
      <c r="Z193">
        <f t="shared" ca="1" si="152"/>
        <v>3.2208158669017613E-2</v>
      </c>
    </row>
    <row r="194" spans="2:26" hidden="1">
      <c r="B194" s="180">
        <f>'Inflation-Interest'!$E$68</f>
        <v>1.2999999999999999E-3</v>
      </c>
      <c r="C194" s="180">
        <f t="shared" ca="1" si="154"/>
        <v>6.2897273863652028E-2</v>
      </c>
      <c r="D194" s="180">
        <f t="shared" ca="1" si="155"/>
        <v>5.341286338216885E-2</v>
      </c>
      <c r="E194" s="180">
        <f t="shared" ca="1" si="156"/>
        <v>9.3815819591780952E-2</v>
      </c>
      <c r="F194" s="180">
        <f t="shared" ca="1" si="157"/>
        <v>8.8012886405485491E-2</v>
      </c>
      <c r="G194" s="180">
        <f t="shared" ca="1" si="158"/>
        <v>7.6196442021344929E-2</v>
      </c>
      <c r="H194" s="180">
        <f t="shared" ca="1" si="159"/>
        <v>0.1129770057890734</v>
      </c>
      <c r="I194" s="180">
        <f t="shared" ca="1" si="160"/>
        <v>6.7301051340339466E-2</v>
      </c>
      <c r="J194" s="180">
        <f t="shared" ca="1" si="161"/>
        <v>7.6656894992136362E-2</v>
      </c>
      <c r="K194" s="180">
        <f t="shared" ca="1" si="162"/>
        <v>5.638410908188269E-2</v>
      </c>
      <c r="L194" s="180">
        <f t="shared" ca="1" si="163"/>
        <v>3.7471870955555167E-2</v>
      </c>
      <c r="P194">
        <f t="shared" ca="1" si="153"/>
        <v>1.569791964607211E-3</v>
      </c>
      <c r="Q194">
        <f t="shared" ca="1" si="152"/>
        <v>3.2683637848753236E-2</v>
      </c>
      <c r="R194">
        <f t="shared" ca="1" si="152"/>
        <v>1.2518889815307792E-2</v>
      </c>
      <c r="S194">
        <f t="shared" ca="1" si="152"/>
        <v>4.5920817237156589E-2</v>
      </c>
      <c r="T194">
        <f t="shared" ca="1" si="152"/>
        <v>3.4962345676539427E-2</v>
      </c>
      <c r="U194">
        <f t="shared" ca="1" si="152"/>
        <v>2.1764042735343617E-2</v>
      </c>
      <c r="V194">
        <f t="shared" ca="1" si="152"/>
        <v>5.7781713525557554E-2</v>
      </c>
      <c r="W194">
        <f t="shared" ca="1" si="152"/>
        <v>4.3627297367415128E-2</v>
      </c>
      <c r="X194">
        <f t="shared" ca="1" si="152"/>
        <v>6.4680836017409982E-2</v>
      </c>
      <c r="Y194">
        <f t="shared" ca="1" si="152"/>
        <v>5.5734353673709908E-2</v>
      </c>
      <c r="Z194">
        <f t="shared" ca="1" si="152"/>
        <v>2.8233548720611238E-2</v>
      </c>
    </row>
    <row r="195" spans="2:26" hidden="1">
      <c r="B195" s="180">
        <f>'Inflation-Interest'!$E$68</f>
        <v>1.2999999999999999E-3</v>
      </c>
      <c r="C195" s="180">
        <f t="shared" ca="1" si="154"/>
        <v>9.8512618422743892E-2</v>
      </c>
      <c r="D195" s="180">
        <f t="shared" ca="1" si="155"/>
        <v>8.9379953743580459E-2</v>
      </c>
      <c r="E195" s="180">
        <f t="shared" ca="1" si="156"/>
        <v>0.15215194339061611</v>
      </c>
      <c r="F195" s="180">
        <f t="shared" ca="1" si="157"/>
        <v>0.14472035799401053</v>
      </c>
      <c r="G195" s="180">
        <f t="shared" ca="1" si="158"/>
        <v>0.16366676341474487</v>
      </c>
      <c r="H195" s="180">
        <f t="shared" ca="1" si="159"/>
        <v>0.19636727219462069</v>
      </c>
      <c r="I195" s="180">
        <f t="shared" ca="1" si="160"/>
        <v>0.16191950742797731</v>
      </c>
      <c r="J195" s="180">
        <f t="shared" ca="1" si="161"/>
        <v>0.15254501275226276</v>
      </c>
      <c r="K195" s="180">
        <f t="shared" ca="1" si="162"/>
        <v>0.15958239086237744</v>
      </c>
      <c r="L195" s="180">
        <f t="shared" ca="1" si="163"/>
        <v>0.13145700419464751</v>
      </c>
      <c r="P195">
        <f t="shared" ca="1" si="153"/>
        <v>1.183871299557139E-3</v>
      </c>
      <c r="Q195">
        <f t="shared" ca="1" si="152"/>
        <v>4.1184591757887273E-2</v>
      </c>
      <c r="R195">
        <f t="shared" ca="1" si="152"/>
        <v>9.0953321312960515E-3</v>
      </c>
      <c r="S195">
        <f t="shared" ca="1" si="152"/>
        <v>6.615707769085219E-2</v>
      </c>
      <c r="T195">
        <f t="shared" ca="1" si="152"/>
        <v>1.2632474249880279E-2</v>
      </c>
      <c r="U195">
        <f t="shared" ca="1" si="152"/>
        <v>1.458841041529242E-2</v>
      </c>
      <c r="V195">
        <f t="shared" ca="1" si="152"/>
        <v>3.8565707754981748E-2</v>
      </c>
      <c r="W195">
        <f t="shared" ca="1" si="152"/>
        <v>1.589450546179377E-2</v>
      </c>
      <c r="X195">
        <f t="shared" ca="1" si="152"/>
        <v>7.3149977271426293E-3</v>
      </c>
      <c r="Y195">
        <f t="shared" ca="1" si="152"/>
        <v>3.0798348473464299E-2</v>
      </c>
      <c r="Z195">
        <f t="shared" ca="1" si="152"/>
        <v>1.4859635921527179E-2</v>
      </c>
    </row>
    <row r="196" spans="2:26" hidden="1">
      <c r="B196" s="180">
        <f>'Inflation-Interest'!$E$68</f>
        <v>1.2999999999999999E-3</v>
      </c>
      <c r="C196" s="180">
        <f t="shared" ca="1" si="154"/>
        <v>1.7978490027159774E-2</v>
      </c>
      <c r="D196" s="180">
        <f t="shared" ca="1" si="155"/>
        <v>1.7953069865981226E-2</v>
      </c>
      <c r="E196" s="180">
        <f t="shared" ca="1" si="156"/>
        <v>-4.3007415793694034E-3</v>
      </c>
      <c r="F196" s="180">
        <f t="shared" ca="1" si="157"/>
        <v>3.3147454660859103E-3</v>
      </c>
      <c r="G196" s="180">
        <f t="shared" ca="1" si="158"/>
        <v>-4.8406284381158834E-3</v>
      </c>
      <c r="H196" s="180">
        <f t="shared" ca="1" si="159"/>
        <v>8.2168541228795633E-4</v>
      </c>
      <c r="I196" s="180">
        <f t="shared" ca="1" si="160"/>
        <v>-3.3269753769707491E-2</v>
      </c>
      <c r="J196" s="180">
        <f t="shared" ca="1" si="161"/>
        <v>-3.7334785655512535E-2</v>
      </c>
      <c r="K196" s="180">
        <f t="shared" ca="1" si="162"/>
        <v>-4.0065789587653063E-2</v>
      </c>
      <c r="L196" s="180">
        <f t="shared" ca="1" si="163"/>
        <v>-1.3034472480023386E-2</v>
      </c>
      <c r="P196">
        <f t="shared" ca="1" si="153"/>
        <v>1.5837311273762741E-2</v>
      </c>
      <c r="Q196">
        <f t="shared" ca="1" si="152"/>
        <v>5.8582474347417812E-3</v>
      </c>
      <c r="R196">
        <f t="shared" ca="1" si="152"/>
        <v>3.3133118667763618E-2</v>
      </c>
      <c r="S196">
        <f t="shared" ca="1" si="152"/>
        <v>1.3947585767308986E-3</v>
      </c>
      <c r="T196">
        <f t="shared" ca="1" si="152"/>
        <v>1.6694890702986742E-2</v>
      </c>
      <c r="U196">
        <f t="shared" ca="1" si="152"/>
        <v>2.3970501339839925E-2</v>
      </c>
      <c r="V196">
        <f t="shared" ca="1" si="152"/>
        <v>4.0821511909043741E-2</v>
      </c>
      <c r="W196">
        <f t="shared" ca="1" si="152"/>
        <v>3.8757845012094283E-3</v>
      </c>
      <c r="X196">
        <f t="shared" ca="1" si="152"/>
        <v>1.0030157555572183E-2</v>
      </c>
      <c r="Y196">
        <f t="shared" ca="1" si="152"/>
        <v>-1.4383766059592729E-2</v>
      </c>
      <c r="Z196">
        <f t="shared" ca="1" si="152"/>
        <v>9.8460600840729624E-3</v>
      </c>
    </row>
    <row r="197" spans="2:26" hidden="1">
      <c r="B197" s="180">
        <f>'Inflation-Interest'!$E$68</f>
        <v>1.2999999999999999E-3</v>
      </c>
      <c r="C197" s="180">
        <f t="shared" ca="1" si="154"/>
        <v>6.610535014804178E-2</v>
      </c>
      <c r="D197" s="180">
        <f t="shared" ca="1" si="155"/>
        <v>0.10838710689379338</v>
      </c>
      <c r="E197" s="180">
        <f t="shared" ca="1" si="156"/>
        <v>4.8888487742812251E-2</v>
      </c>
      <c r="F197" s="180">
        <f t="shared" ca="1" si="157"/>
        <v>5.7985333829789334E-2</v>
      </c>
      <c r="G197" s="180">
        <f t="shared" ca="1" si="158"/>
        <v>0.13072522679626414</v>
      </c>
      <c r="H197" s="180">
        <f t="shared" ca="1" si="159"/>
        <v>5.7916356515475213E-2</v>
      </c>
      <c r="I197" s="180">
        <f t="shared" ca="1" si="160"/>
        <v>3.5827322397479947E-2</v>
      </c>
      <c r="J197" s="180">
        <f t="shared" ca="1" si="161"/>
        <v>1.536471976939521E-2</v>
      </c>
      <c r="K197" s="180">
        <f t="shared" ca="1" si="162"/>
        <v>-9.7174357028573105E-3</v>
      </c>
      <c r="L197" s="180">
        <f t="shared" ca="1" si="163"/>
        <v>6.2274852440253867E-2</v>
      </c>
      <c r="P197">
        <f t="shared" ca="1" si="153"/>
        <v>1.7425715420750092E-2</v>
      </c>
      <c r="Q197">
        <f t="shared" ca="1" si="152"/>
        <v>1.1704729118015672E-2</v>
      </c>
      <c r="R197">
        <f t="shared" ca="1" si="152"/>
        <v>4.3445921628486539E-2</v>
      </c>
      <c r="S197">
        <f t="shared" ca="1" si="152"/>
        <v>-1.6315306881483655E-2</v>
      </c>
      <c r="T197">
        <f t="shared" ca="1" si="152"/>
        <v>-1.7533963211426768E-2</v>
      </c>
      <c r="U197">
        <f t="shared" ca="1" si="152"/>
        <v>4.6397334576895197E-2</v>
      </c>
      <c r="V197">
        <f t="shared" ca="1" si="152"/>
        <v>1.4469829126914682E-2</v>
      </c>
      <c r="W197">
        <f t="shared" ca="1" si="152"/>
        <v>4.1261599049295626E-3</v>
      </c>
      <c r="X197">
        <f t="shared" ca="1" si="152"/>
        <v>-1.8974677620097798E-2</v>
      </c>
      <c r="Y197">
        <f t="shared" ca="1" si="152"/>
        <v>-5.2003553115657478E-2</v>
      </c>
      <c r="Z197">
        <f t="shared" ca="1" si="152"/>
        <v>1.4780727324702177E-2</v>
      </c>
    </row>
    <row r="198" spans="2:26" hidden="1">
      <c r="B198" s="180">
        <f>'Inflation-Interest'!$E$68</f>
        <v>1.2999999999999999E-3</v>
      </c>
      <c r="C198" s="180">
        <f t="shared" ca="1" si="154"/>
        <v>-2.8553644715845629E-2</v>
      </c>
      <c r="D198" s="180">
        <f t="shared" ca="1" si="155"/>
        <v>6.5844921195727185E-2</v>
      </c>
      <c r="E198" s="180">
        <f t="shared" ca="1" si="156"/>
        <v>-8.0941761202877813E-5</v>
      </c>
      <c r="F198" s="180">
        <f t="shared" ca="1" si="157"/>
        <v>1.2901107392677967E-2</v>
      </c>
      <c r="G198" s="180">
        <f t="shared" ca="1" si="158"/>
        <v>1.2347839815483614E-3</v>
      </c>
      <c r="H198" s="180">
        <f t="shared" ca="1" si="159"/>
        <v>-3.0044235578797944E-3</v>
      </c>
      <c r="I198" s="180">
        <f t="shared" ca="1" si="160"/>
        <v>2.4039810227411012E-2</v>
      </c>
      <c r="J198" s="180">
        <f t="shared" ca="1" si="161"/>
        <v>4.6477160513291767E-2</v>
      </c>
      <c r="K198" s="180">
        <f t="shared" ca="1" si="162"/>
        <v>3.0801790369734596E-2</v>
      </c>
      <c r="L198" s="180">
        <f t="shared" ca="1" si="163"/>
        <v>-8.0549650244263193E-3</v>
      </c>
      <c r="P198">
        <f t="shared" ca="1" si="153"/>
        <v>3.1302994763187167E-2</v>
      </c>
      <c r="Q198">
        <f t="shared" ca="1" si="152"/>
        <v>-5.844706712144937E-2</v>
      </c>
      <c r="R198">
        <f t="shared" ca="1" si="152"/>
        <v>4.8911273843677147E-2</v>
      </c>
      <c r="S198">
        <f t="shared" ca="1" si="152"/>
        <v>-1.1618245945614114E-2</v>
      </c>
      <c r="T198">
        <f t="shared" ca="1" si="152"/>
        <v>1.6302591281114782E-2</v>
      </c>
      <c r="U198">
        <f t="shared" ca="1" si="152"/>
        <v>-6.8473181837534862E-3</v>
      </c>
      <c r="V198">
        <f t="shared" ca="1" si="152"/>
        <v>-1.0549486187258546E-2</v>
      </c>
      <c r="W198">
        <f t="shared" ca="1" si="152"/>
        <v>4.8297930245607655E-3</v>
      </c>
      <c r="X198">
        <f t="shared" ca="1" si="152"/>
        <v>2.9836356878523637E-2</v>
      </c>
      <c r="Y198">
        <f t="shared" ca="1" si="152"/>
        <v>2.6953093598137759E-2</v>
      </c>
      <c r="Z198">
        <f t="shared" ca="1" si="152"/>
        <v>-8.2647125421563931E-3</v>
      </c>
    </row>
    <row r="199" spans="2:26" hidden="1">
      <c r="B199" s="180">
        <f>'Inflation-Interest'!$E$68</f>
        <v>1.2999999999999999E-3</v>
      </c>
      <c r="C199" s="180">
        <f t="shared" ca="1" si="154"/>
        <v>8.0735307672281861E-2</v>
      </c>
      <c r="D199" s="180">
        <f t="shared" ca="1" si="155"/>
        <v>0.10390813585166324</v>
      </c>
      <c r="E199" s="180">
        <f t="shared" ca="1" si="156"/>
        <v>7.1059217437079311E-2</v>
      </c>
      <c r="F199" s="180">
        <f t="shared" ca="1" si="157"/>
        <v>3.2206620712425707E-2</v>
      </c>
      <c r="G199" s="180">
        <f t="shared" ca="1" si="158"/>
        <v>0.10161181599284558</v>
      </c>
      <c r="H199" s="180">
        <f t="shared" ca="1" si="159"/>
        <v>0.11074959674289178</v>
      </c>
      <c r="I199" s="180">
        <f t="shared" ca="1" si="160"/>
        <v>5.806771834700801E-2</v>
      </c>
      <c r="J199" s="180">
        <f t="shared" ca="1" si="161"/>
        <v>8.1440792188929786E-2</v>
      </c>
      <c r="K199" s="180">
        <f t="shared" ca="1" si="162"/>
        <v>0.16077163983605797</v>
      </c>
      <c r="L199" s="180">
        <f t="shared" ca="1" si="163"/>
        <v>9.2544986850350161E-2</v>
      </c>
      <c r="P199">
        <f t="shared" ca="1" si="153"/>
        <v>-1.8115761096175291E-3</v>
      </c>
      <c r="Q199">
        <f t="shared" ca="1" si="152"/>
        <v>3.0083164130079477E-2</v>
      </c>
      <c r="R199">
        <f t="shared" ca="1" si="152"/>
        <v>5.9190652438111779E-2</v>
      </c>
      <c r="S199">
        <f t="shared" ca="1" si="152"/>
        <v>1.4335313754926506E-2</v>
      </c>
      <c r="T199">
        <f t="shared" ca="1" si="152"/>
        <v>-1.7745921627834522E-2</v>
      </c>
      <c r="U199">
        <f t="shared" ca="1" si="152"/>
        <v>4.299369026411131E-2</v>
      </c>
      <c r="V199">
        <f t="shared" ca="1" si="152"/>
        <v>1.6410625852277507E-2</v>
      </c>
      <c r="W199">
        <f t="shared" ca="1" si="152"/>
        <v>-2.3402602152216904E-2</v>
      </c>
      <c r="X199">
        <f t="shared" ca="1" si="152"/>
        <v>-2.042252805177586E-2</v>
      </c>
      <c r="Y199">
        <f t="shared" ca="1" si="152"/>
        <v>3.4194531871789821E-2</v>
      </c>
      <c r="Z199">
        <f t="shared" ca="1" si="152"/>
        <v>-4.7186932925636457E-2</v>
      </c>
    </row>
    <row r="200" spans="2:26" hidden="1">
      <c r="B200" s="180">
        <f>'Inflation-Interest'!$E$68</f>
        <v>1.2999999999999999E-3</v>
      </c>
      <c r="C200" s="180">
        <f t="shared" ca="1" si="154"/>
        <v>7.5694467488374544E-3</v>
      </c>
      <c r="D200" s="180">
        <f t="shared" ca="1" si="155"/>
        <v>7.7498885652184088E-2</v>
      </c>
      <c r="E200" s="180">
        <f t="shared" ca="1" si="156"/>
        <v>2.3138673605251844E-2</v>
      </c>
      <c r="F200" s="180">
        <f t="shared" ca="1" si="157"/>
        <v>8.1497364420533187E-3</v>
      </c>
      <c r="G200" s="180">
        <f t="shared" ca="1" si="158"/>
        <v>1.1233335178170451E-2</v>
      </c>
      <c r="H200" s="180">
        <f t="shared" ca="1" si="159"/>
        <v>2.4987471389455614E-2</v>
      </c>
      <c r="I200" s="180">
        <f t="shared" ca="1" si="160"/>
        <v>-4.9626550122327966E-2</v>
      </c>
      <c r="J200" s="180">
        <f t="shared" ca="1" si="161"/>
        <v>-1.4751202825896155E-2</v>
      </c>
      <c r="K200" s="180">
        <f t="shared" ca="1" si="162"/>
        <v>-4.056145708847559E-2</v>
      </c>
      <c r="L200" s="180">
        <f t="shared" ca="1" si="163"/>
        <v>-5.5420170867349627E-2</v>
      </c>
      <c r="P200">
        <f t="shared" ca="1" si="153"/>
        <v>-2.9067337010492238E-3</v>
      </c>
      <c r="Q200">
        <f t="shared" ca="1" si="152"/>
        <v>8.175695705875969E-3</v>
      </c>
      <c r="R200">
        <f t="shared" ca="1" si="152"/>
        <v>8.650842588463363E-2</v>
      </c>
      <c r="S200">
        <f t="shared" ca="1" si="152"/>
        <v>2.6047123280831294E-2</v>
      </c>
      <c r="T200">
        <f t="shared" ca="1" si="152"/>
        <v>8.4768390234923018E-3</v>
      </c>
      <c r="U200">
        <f t="shared" ca="1" si="152"/>
        <v>2.0550785350308701E-2</v>
      </c>
      <c r="V200">
        <f t="shared" ca="1" si="152"/>
        <v>2.6408477075346191E-2</v>
      </c>
      <c r="W200">
        <f t="shared" ca="1" si="152"/>
        <v>-1.8824979495160595E-2</v>
      </c>
      <c r="X200">
        <f t="shared" ca="1" si="152"/>
        <v>2.5138473277568997E-2</v>
      </c>
      <c r="Y200">
        <f t="shared" ca="1" si="152"/>
        <v>-5.2371969187846729E-3</v>
      </c>
      <c r="Z200">
        <f t="shared" ca="1" si="152"/>
        <v>-1.5578397016013257E-2</v>
      </c>
    </row>
    <row r="201" spans="2:26" hidden="1">
      <c r="B201" s="180">
        <f>'Inflation-Interest'!$E$68</f>
        <v>1.2999999999999999E-3</v>
      </c>
      <c r="C201" s="180">
        <f t="shared" ca="1" si="154"/>
        <v>4.0652491497789059E-2</v>
      </c>
      <c r="D201" s="180">
        <f t="shared" ca="1" si="155"/>
        <v>7.163492904247655E-2</v>
      </c>
      <c r="E201" s="180">
        <f t="shared" ca="1" si="156"/>
        <v>4.6720173400699283E-2</v>
      </c>
      <c r="F201" s="180">
        <f t="shared" ca="1" si="157"/>
        <v>-9.739471293318272E-3</v>
      </c>
      <c r="G201" s="180">
        <f t="shared" ca="1" si="158"/>
        <v>5.214091554865527E-2</v>
      </c>
      <c r="H201" s="180">
        <f t="shared" ca="1" si="159"/>
        <v>6.4607143583225196E-2</v>
      </c>
      <c r="I201" s="180">
        <f t="shared" ca="1" si="160"/>
        <v>1.3702970547317037E-2</v>
      </c>
      <c r="J201" s="180">
        <f t="shared" ca="1" si="161"/>
        <v>9.9769955006570026E-3</v>
      </c>
      <c r="K201" s="180">
        <f t="shared" ca="1" si="162"/>
        <v>7.753815464441133E-3</v>
      </c>
      <c r="L201" s="180">
        <f t="shared" ca="1" si="163"/>
        <v>4.2069471572157929E-2</v>
      </c>
      <c r="P201">
        <f t="shared" ca="1" si="153"/>
        <v>-2.8232382407210248E-2</v>
      </c>
      <c r="Q201">
        <f t="shared" ca="1" si="152"/>
        <v>-2.1948553149510677E-3</v>
      </c>
      <c r="R201">
        <f t="shared" ca="1" si="152"/>
        <v>1.3196627096659924E-2</v>
      </c>
      <c r="S201">
        <f t="shared" ca="1" si="152"/>
        <v>1.0327167902939926E-2</v>
      </c>
      <c r="T201">
        <f t="shared" ca="1" si="152"/>
        <v>-3.2526863604499426E-2</v>
      </c>
      <c r="U201">
        <f t="shared" ca="1" si="152"/>
        <v>3.2961441431203678E-2</v>
      </c>
      <c r="V201">
        <f t="shared" ca="1" si="152"/>
        <v>6.1146134460785345E-2</v>
      </c>
      <c r="W201">
        <f t="shared" ca="1" si="152"/>
        <v>1.9154868638248283E-2</v>
      </c>
      <c r="X201">
        <f t="shared" ca="1" si="152"/>
        <v>8.0067408831071361E-3</v>
      </c>
      <c r="Y201">
        <f t="shared" ca="1" si="152"/>
        <v>6.0080412323564088E-3</v>
      </c>
      <c r="Z201">
        <f t="shared" ca="1" si="152"/>
        <v>4.0690907727535357E-2</v>
      </c>
    </row>
    <row r="202" spans="2:26" hidden="1">
      <c r="B202" s="180">
        <f>'Inflation-Interest'!$E$68</f>
        <v>1.2999999999999999E-3</v>
      </c>
      <c r="C202" s="180">
        <f t="shared" ca="1" si="154"/>
        <v>0.10691677197854745</v>
      </c>
      <c r="D202" s="180">
        <f t="shared" ca="1" si="155"/>
        <v>0.11793623442176648</v>
      </c>
      <c r="E202" s="180">
        <f t="shared" ca="1" si="156"/>
        <v>8.4278144835784427E-2</v>
      </c>
      <c r="F202" s="180">
        <f t="shared" ca="1" si="157"/>
        <v>7.8639891313405375E-2</v>
      </c>
      <c r="G202" s="180">
        <f t="shared" ca="1" si="158"/>
        <v>0.11371190996724347</v>
      </c>
      <c r="H202" s="180">
        <f t="shared" ca="1" si="159"/>
        <v>0.11726452479861291</v>
      </c>
      <c r="I202" s="180">
        <f t="shared" ca="1" si="160"/>
        <v>0.10434421108464595</v>
      </c>
      <c r="J202" s="180">
        <f t="shared" ca="1" si="161"/>
        <v>0.16319626282955368</v>
      </c>
      <c r="K202" s="180">
        <f t="shared" ca="1" si="162"/>
        <v>0.16855718468388586</v>
      </c>
      <c r="L202" s="180">
        <f t="shared" ca="1" si="163"/>
        <v>0.13088401917113687</v>
      </c>
      <c r="P202">
        <f t="shared" ca="1" si="153"/>
        <v>-1.1927635841087855E-2</v>
      </c>
      <c r="Q202">
        <f t="shared" ca="1" si="152"/>
        <v>3.9139107926436309E-2</v>
      </c>
      <c r="R202">
        <f t="shared" ca="1" si="152"/>
        <v>3.2023939056838764E-2</v>
      </c>
      <c r="S202">
        <f t="shared" ca="1" si="152"/>
        <v>8.6784523503732006E-3</v>
      </c>
      <c r="T202">
        <f t="shared" ca="1" si="152"/>
        <v>1.5671716622047825E-2</v>
      </c>
      <c r="U202">
        <f t="shared" ca="1" si="152"/>
        <v>5.1578490667002916E-2</v>
      </c>
      <c r="V202">
        <f t="shared" ca="1" si="152"/>
        <v>3.453029745450803E-2</v>
      </c>
      <c r="W202">
        <f t="shared" ref="W202:Z220" ca="1" si="164">_xlfn.NORM.INV(RAND(), $B$6, $B$7)</f>
        <v>3.6162046773404954E-2</v>
      </c>
      <c r="X202">
        <f t="shared" ca="1" si="164"/>
        <v>8.8677093461929909E-2</v>
      </c>
      <c r="Y202">
        <f t="shared" ca="1" si="164"/>
        <v>6.8082415678358862E-2</v>
      </c>
      <c r="Z202">
        <f t="shared" ca="1" si="164"/>
        <v>3.6928343808627848E-2</v>
      </c>
    </row>
    <row r="203" spans="2:26" hidden="1">
      <c r="B203" s="180">
        <f>'Inflation-Interest'!$E$68</f>
        <v>1.2999999999999999E-3</v>
      </c>
      <c r="C203" s="180">
        <f t="shared" ca="1" si="154"/>
        <v>2.6854937141130134E-2</v>
      </c>
      <c r="D203" s="180">
        <f t="shared" ca="1" si="155"/>
        <v>3.8067155913809249E-2</v>
      </c>
      <c r="E203" s="180">
        <f t="shared" ca="1" si="156"/>
        <v>5.2018537360282627E-2</v>
      </c>
      <c r="F203" s="180">
        <f t="shared" ca="1" si="157"/>
        <v>6.2998633742934879E-2</v>
      </c>
      <c r="G203" s="180">
        <f t="shared" ca="1" si="158"/>
        <v>0.1093240586001719</v>
      </c>
      <c r="H203" s="180">
        <f t="shared" ca="1" si="159"/>
        <v>0.10179456046437377</v>
      </c>
      <c r="I203" s="180">
        <f t="shared" ca="1" si="160"/>
        <v>8.0887484094525564E-2</v>
      </c>
      <c r="J203" s="180">
        <f t="shared" ca="1" si="161"/>
        <v>0.12437194464489575</v>
      </c>
      <c r="K203" s="180">
        <f t="shared" ca="1" si="162"/>
        <v>6.5519351498126738E-2</v>
      </c>
      <c r="L203" s="180">
        <f t="shared" ca="1" si="163"/>
        <v>8.4463206769784416E-2</v>
      </c>
      <c r="P203">
        <f t="shared" ca="1" si="153"/>
        <v>2.8887039080077663E-2</v>
      </c>
      <c r="Q203">
        <f t="shared" ref="Q203:V212" ca="1" si="165">_xlfn.NORM.INV(RAND(), $B$6, $B$7)</f>
        <v>-7.2513135848028785E-3</v>
      </c>
      <c r="R203">
        <f t="shared" ca="1" si="165"/>
        <v>1.1813384210847797E-2</v>
      </c>
      <c r="S203">
        <f t="shared" ca="1" si="165"/>
        <v>8.6638185671906905E-3</v>
      </c>
      <c r="T203">
        <f t="shared" ca="1" si="165"/>
        <v>3.6362066552310442E-3</v>
      </c>
      <c r="U203">
        <f t="shared" ca="1" si="165"/>
        <v>4.3727447183627713E-2</v>
      </c>
      <c r="V203">
        <f t="shared" ca="1" si="165"/>
        <v>2.0805024642825225E-2</v>
      </c>
      <c r="W203">
        <f t="shared" ca="1" si="164"/>
        <v>2.1500892843904496E-3</v>
      </c>
      <c r="X203">
        <f t="shared" ca="1" si="164"/>
        <v>4.2714392405308096E-2</v>
      </c>
      <c r="Y203">
        <f t="shared" ca="1" si="164"/>
        <v>-2.861920304901254E-4</v>
      </c>
      <c r="Z203">
        <f t="shared" ca="1" si="164"/>
        <v>1.9571469402552499E-2</v>
      </c>
    </row>
    <row r="204" spans="2:26" hidden="1">
      <c r="B204" s="180">
        <f>'Inflation-Interest'!$E$68</f>
        <v>1.2999999999999999E-3</v>
      </c>
      <c r="C204" s="180">
        <f t="shared" ca="1" si="154"/>
        <v>3.5002384512496584E-2</v>
      </c>
      <c r="D204" s="180">
        <f t="shared" ca="1" si="155"/>
        <v>2.8116783454325205E-2</v>
      </c>
      <c r="E204" s="180">
        <f t="shared" ca="1" si="156"/>
        <v>6.890165828311387E-2</v>
      </c>
      <c r="F204" s="180">
        <f t="shared" ca="1" si="157"/>
        <v>5.4578156999064986E-2</v>
      </c>
      <c r="G204" s="180">
        <f t="shared" ca="1" si="158"/>
        <v>0.10749038363744776</v>
      </c>
      <c r="H204" s="180">
        <f t="shared" ca="1" si="159"/>
        <v>7.7998459071729892E-2</v>
      </c>
      <c r="I204" s="180">
        <f t="shared" ca="1" si="160"/>
        <v>0.13426608853324004</v>
      </c>
      <c r="J204" s="180">
        <f t="shared" ca="1" si="161"/>
        <v>3.7130273368418273E-2</v>
      </c>
      <c r="K204" s="180">
        <f t="shared" ca="1" si="162"/>
        <v>9.3675625661798295E-2</v>
      </c>
      <c r="L204" s="180">
        <f t="shared" ca="1" si="163"/>
        <v>0.10389270869348172</v>
      </c>
      <c r="P204">
        <f t="shared" ca="1" si="153"/>
        <v>8.0442967343876647E-3</v>
      </c>
      <c r="Q204">
        <f t="shared" ca="1" si="165"/>
        <v>1.2984722522248068E-2</v>
      </c>
      <c r="R204">
        <f t="shared" ca="1" si="165"/>
        <v>-1.1830816314018288E-2</v>
      </c>
      <c r="S204">
        <f t="shared" ca="1" si="165"/>
        <v>2.3601437978424934E-2</v>
      </c>
      <c r="T204">
        <f t="shared" ca="1" si="165"/>
        <v>3.6457225762335527E-3</v>
      </c>
      <c r="U204">
        <f t="shared" ca="1" si="165"/>
        <v>4.7928445447279686E-2</v>
      </c>
      <c r="V204">
        <f t="shared" ca="1" si="165"/>
        <v>1.9848088060842282E-3</v>
      </c>
      <c r="W204">
        <f t="shared" ca="1" si="164"/>
        <v>6.6539619797740771E-2</v>
      </c>
      <c r="X204">
        <f t="shared" ca="1" si="164"/>
        <v>-2.6061848946586339E-2</v>
      </c>
      <c r="Y204">
        <f t="shared" ca="1" si="164"/>
        <v>2.5350685310801438E-2</v>
      </c>
      <c r="Z204">
        <f t="shared" ca="1" si="164"/>
        <v>2.6556770952328376E-2</v>
      </c>
    </row>
    <row r="205" spans="2:26" hidden="1">
      <c r="B205" s="180">
        <f>'Inflation-Interest'!$E$68</f>
        <v>1.2999999999999999E-3</v>
      </c>
      <c r="C205" s="180">
        <f t="shared" ca="1" si="154"/>
        <v>2.4048835608049993E-2</v>
      </c>
      <c r="D205" s="180">
        <f t="shared" ca="1" si="155"/>
        <v>4.3865488235873412E-2</v>
      </c>
      <c r="E205" s="180">
        <f t="shared" ca="1" si="156"/>
        <v>3.5531192512421754E-2</v>
      </c>
      <c r="F205" s="180">
        <f t="shared" ca="1" si="157"/>
        <v>5.5388407912546997E-2</v>
      </c>
      <c r="G205" s="180">
        <f t="shared" ca="1" si="158"/>
        <v>5.7088419633392146E-2</v>
      </c>
      <c r="H205" s="180">
        <f t="shared" ca="1" si="159"/>
        <v>8.7958780606099032E-2</v>
      </c>
      <c r="I205" s="180">
        <f t="shared" ca="1" si="160"/>
        <v>8.9671283054738274E-2</v>
      </c>
      <c r="J205" s="180">
        <f t="shared" ca="1" si="161"/>
        <v>4.3687435122811029E-2</v>
      </c>
      <c r="K205" s="180">
        <f t="shared" ca="1" si="162"/>
        <v>6.1987632645337493E-2</v>
      </c>
      <c r="L205" s="180">
        <f t="shared" ca="1" si="163"/>
        <v>8.5770403521785971E-2</v>
      </c>
      <c r="P205">
        <f t="shared" ca="1" si="153"/>
        <v>2.8516001726565418E-2</v>
      </c>
      <c r="Q205">
        <f t="shared" ca="1" si="165"/>
        <v>-1.374152119291221E-2</v>
      </c>
      <c r="R205">
        <f t="shared" ca="1" si="165"/>
        <v>1.3142067064432432E-2</v>
      </c>
      <c r="S205">
        <f t="shared" ca="1" si="165"/>
        <v>1.1707609285988184E-2</v>
      </c>
      <c r="T205">
        <f t="shared" ca="1" si="165"/>
        <v>3.4470429971510744E-2</v>
      </c>
      <c r="U205">
        <f t="shared" ca="1" si="165"/>
        <v>4.9962319143047829E-2</v>
      </c>
      <c r="V205">
        <f t="shared" ca="1" si="165"/>
        <v>7.6939239180578156E-2</v>
      </c>
      <c r="W205">
        <f t="shared" ca="1" si="164"/>
        <v>8.1396786498736634E-2</v>
      </c>
      <c r="X205">
        <f t="shared" ca="1" si="164"/>
        <v>3.7462717839494092E-2</v>
      </c>
      <c r="Y205">
        <f t="shared" ca="1" si="164"/>
        <v>5.0720021292053621E-2</v>
      </c>
      <c r="Z205">
        <f t="shared" ca="1" si="164"/>
        <v>7.216175460883778E-2</v>
      </c>
    </row>
    <row r="206" spans="2:26" hidden="1">
      <c r="B206" s="180">
        <f>'Inflation-Interest'!$E$68</f>
        <v>1.2999999999999999E-3</v>
      </c>
      <c r="C206" s="180">
        <f t="shared" ca="1" si="154"/>
        <v>4.7814584546962621E-3</v>
      </c>
      <c r="D206" s="180">
        <f t="shared" ca="1" si="155"/>
        <v>6.3198070733943318E-2</v>
      </c>
      <c r="E206" s="180">
        <f t="shared" ca="1" si="156"/>
        <v>6.6122372774306673E-2</v>
      </c>
      <c r="F206" s="180">
        <f t="shared" ca="1" si="157"/>
        <v>5.8413802130223458E-2</v>
      </c>
      <c r="G206" s="180">
        <f t="shared" ca="1" si="158"/>
        <v>7.545227409567451E-2</v>
      </c>
      <c r="H206" s="180">
        <f t="shared" ca="1" si="159"/>
        <v>7.7931949787293855E-2</v>
      </c>
      <c r="I206" s="180">
        <f t="shared" ca="1" si="160"/>
        <v>4.2297957010790185E-2</v>
      </c>
      <c r="J206" s="180">
        <f t="shared" ca="1" si="161"/>
        <v>1.4787554596636037E-2</v>
      </c>
      <c r="K206" s="180">
        <f t="shared" ca="1" si="162"/>
        <v>-2.6946804067629122E-2</v>
      </c>
      <c r="L206" s="180">
        <f t="shared" ca="1" si="163"/>
        <v>6.1624484396169334E-2</v>
      </c>
      <c r="P206">
        <f t="shared" ca="1" si="153"/>
        <v>2.8837461334141057E-2</v>
      </c>
      <c r="Q206">
        <f t="shared" ca="1" si="165"/>
        <v>-3.2505239017664694E-2</v>
      </c>
      <c r="R206">
        <f t="shared" ca="1" si="165"/>
        <v>3.1467270851822909E-2</v>
      </c>
      <c r="S206">
        <f t="shared" ca="1" si="165"/>
        <v>4.1132971413258529E-2</v>
      </c>
      <c r="T206">
        <f t="shared" ca="1" si="165"/>
        <v>3.2650749359834287E-2</v>
      </c>
      <c r="U206">
        <f t="shared" ca="1" si="165"/>
        <v>2.924269444980674E-2</v>
      </c>
      <c r="V206">
        <f t="shared" ca="1" si="165"/>
        <v>4.6810484043891348E-2</v>
      </c>
      <c r="W206">
        <f t="shared" ca="1" si="164"/>
        <v>2.0919912117271618E-2</v>
      </c>
      <c r="X206">
        <f t="shared" ca="1" si="164"/>
        <v>1.7693420727347805E-2</v>
      </c>
      <c r="Y206">
        <f t="shared" ca="1" si="164"/>
        <v>-3.3224208416921142E-2</v>
      </c>
      <c r="Z206">
        <f t="shared" ca="1" si="164"/>
        <v>5.5843529539589917E-2</v>
      </c>
    </row>
    <row r="207" spans="2:26" hidden="1">
      <c r="B207" s="180">
        <f>'Inflation-Interest'!$E$68</f>
        <v>1.2999999999999999E-3</v>
      </c>
      <c r="C207" s="180">
        <f t="shared" ca="1" si="154"/>
        <v>6.733420851837213E-2</v>
      </c>
      <c r="D207" s="180">
        <f t="shared" ca="1" si="155"/>
        <v>-1.2411653262793969E-2</v>
      </c>
      <c r="E207" s="180">
        <f t="shared" ca="1" si="156"/>
        <v>-1.4574217686402671E-2</v>
      </c>
      <c r="F207" s="180">
        <f t="shared" ca="1" si="157"/>
        <v>8.2176059496545384E-2</v>
      </c>
      <c r="G207" s="180">
        <f t="shared" ca="1" si="158"/>
        <v>3.2590996798777583E-2</v>
      </c>
      <c r="H207" s="180">
        <f t="shared" ca="1" si="159"/>
        <v>6.7920928578299275E-2</v>
      </c>
      <c r="I207" s="180">
        <f t="shared" ca="1" si="160"/>
        <v>2.482904919438518E-2</v>
      </c>
      <c r="J207" s="180">
        <f t="shared" ca="1" si="161"/>
        <v>5.9138126796228777E-2</v>
      </c>
      <c r="K207" s="180">
        <f t="shared" ca="1" si="162"/>
        <v>8.8430710748862468E-2</v>
      </c>
      <c r="L207" s="180">
        <f t="shared" ca="1" si="163"/>
        <v>8.4723216820709282E-2</v>
      </c>
      <c r="P207">
        <f t="shared" ca="1" si="153"/>
        <v>5.9392285560153482E-2</v>
      </c>
      <c r="Q207">
        <f t="shared" ca="1" si="165"/>
        <v>3.9583823789086273E-2</v>
      </c>
      <c r="R207">
        <f t="shared" ca="1" si="165"/>
        <v>-3.537235021316186E-2</v>
      </c>
      <c r="S207">
        <f t="shared" ca="1" si="165"/>
        <v>-3.7426859026013073E-2</v>
      </c>
      <c r="T207">
        <f t="shared" ca="1" si="165"/>
        <v>4.7982316997774305E-2</v>
      </c>
      <c r="U207">
        <f t="shared" ca="1" si="165"/>
        <v>-1.7781372747220501E-2</v>
      </c>
      <c r="V207">
        <f t="shared" ca="1" si="165"/>
        <v>2.4454518958094546E-2</v>
      </c>
      <c r="W207">
        <f t="shared" ca="1" si="164"/>
        <v>-1.1994355111604141E-2</v>
      </c>
      <c r="X207">
        <f t="shared" ca="1" si="164"/>
        <v>1.245341580296367E-2</v>
      </c>
      <c r="Y207">
        <f t="shared" ca="1" si="164"/>
        <v>3.8781183957997442E-2</v>
      </c>
      <c r="Z207">
        <f t="shared" ca="1" si="164"/>
        <v>4.6235448247984617E-2</v>
      </c>
    </row>
    <row r="208" spans="2:26" hidden="1">
      <c r="B208" s="180">
        <f>'Inflation-Interest'!$E$68</f>
        <v>1.2999999999999999E-3</v>
      </c>
      <c r="C208" s="180">
        <f t="shared" ca="1" si="154"/>
        <v>2.8255853375381414E-2</v>
      </c>
      <c r="D208" s="180">
        <f t="shared" ca="1" si="155"/>
        <v>1.216919277828157E-2</v>
      </c>
      <c r="E208" s="180">
        <f t="shared" ca="1" si="156"/>
        <v>7.7686414853241501E-2</v>
      </c>
      <c r="F208" s="180">
        <f t="shared" ca="1" si="157"/>
        <v>6.6582842147885124E-2</v>
      </c>
      <c r="G208" s="180">
        <f t="shared" ca="1" si="158"/>
        <v>9.3121693064298308E-2</v>
      </c>
      <c r="H208" s="180">
        <f t="shared" ca="1" si="159"/>
        <v>9.7341314172068344E-2</v>
      </c>
      <c r="I208" s="180">
        <f t="shared" ca="1" si="160"/>
        <v>0.13181764714291075</v>
      </c>
      <c r="J208" s="180">
        <f t="shared" ca="1" si="161"/>
        <v>9.3234154125310123E-2</v>
      </c>
      <c r="K208" s="180">
        <f t="shared" ca="1" si="162"/>
        <v>8.7202242713745909E-2</v>
      </c>
      <c r="L208" s="180">
        <f t="shared" ca="1" si="163"/>
        <v>0.14561328856756933</v>
      </c>
      <c r="P208">
        <f t="shared" ca="1" si="153"/>
        <v>3.2475805312623472E-2</v>
      </c>
      <c r="Q208">
        <f t="shared" ca="1" si="165"/>
        <v>-3.7190591463057941E-3</v>
      </c>
      <c r="R208">
        <f t="shared" ca="1" si="165"/>
        <v>-2.5179549917200051E-2</v>
      </c>
      <c r="S208">
        <f t="shared" ca="1" si="165"/>
        <v>2.3889223193570699E-2</v>
      </c>
      <c r="T208">
        <f t="shared" ca="1" si="165"/>
        <v>6.946830777583601E-3</v>
      </c>
      <c r="U208">
        <f t="shared" ca="1" si="165"/>
        <v>2.6081023793790375E-2</v>
      </c>
      <c r="V208">
        <f t="shared" ca="1" si="165"/>
        <v>3.0718324082462875E-3</v>
      </c>
      <c r="W208">
        <f t="shared" ca="1" si="164"/>
        <v>4.8867366191080897E-2</v>
      </c>
      <c r="X208">
        <f t="shared" ca="1" si="164"/>
        <v>-1.0244779429840128E-2</v>
      </c>
      <c r="Y208">
        <f t="shared" ca="1" si="164"/>
        <v>-5.2613447296900664E-3</v>
      </c>
      <c r="Z208">
        <f t="shared" ca="1" si="164"/>
        <v>5.849369885599591E-2</v>
      </c>
    </row>
    <row r="209" spans="1:26" hidden="1">
      <c r="B209" s="180">
        <f>'Inflation-Interest'!$E$68</f>
        <v>1.2999999999999999E-3</v>
      </c>
      <c r="C209" s="180">
        <f t="shared" ca="1" si="154"/>
        <v>0.13548213428392208</v>
      </c>
      <c r="D209" s="180">
        <f t="shared" ca="1" si="155"/>
        <v>-9.4233843459088536E-3</v>
      </c>
      <c r="E209" s="180">
        <f t="shared" ca="1" si="156"/>
        <v>-3.9336271571101637E-3</v>
      </c>
      <c r="F209" s="180">
        <f t="shared" ca="1" si="157"/>
        <v>1.343898416101107E-2</v>
      </c>
      <c r="G209" s="180">
        <f t="shared" ca="1" si="158"/>
        <v>2.8809309730569617E-5</v>
      </c>
      <c r="H209" s="180">
        <f t="shared" ca="1" si="159"/>
        <v>4.4516780277765303E-2</v>
      </c>
      <c r="I209" s="180">
        <f t="shared" ca="1" si="160"/>
        <v>3.3175494774637923E-2</v>
      </c>
      <c r="J209" s="180">
        <f t="shared" ca="1" si="161"/>
        <v>4.2945672419911617E-2</v>
      </c>
      <c r="K209" s="180">
        <f t="shared" ca="1" si="162"/>
        <v>8.2331433595426801E-2</v>
      </c>
      <c r="L209" s="180">
        <f t="shared" ca="1" si="163"/>
        <v>1.1627856826671328E-2</v>
      </c>
      <c r="P209">
        <f t="shared" ca="1" si="153"/>
        <v>8.6923900373604372E-3</v>
      </c>
      <c r="Q209">
        <f t="shared" ca="1" si="165"/>
        <v>8.6161706729439999E-2</v>
      </c>
      <c r="R209">
        <f t="shared" ca="1" si="165"/>
        <v>-2.0056340709435658E-2</v>
      </c>
      <c r="S209">
        <f t="shared" ca="1" si="165"/>
        <v>1.1741375575467471E-3</v>
      </c>
      <c r="T209">
        <f t="shared" ca="1" si="165"/>
        <v>1.113847202763742E-2</v>
      </c>
      <c r="U209">
        <f t="shared" ca="1" si="165"/>
        <v>1.8475586288721479E-3</v>
      </c>
      <c r="V209">
        <f t="shared" ca="1" si="165"/>
        <v>6.4912426387343597E-2</v>
      </c>
      <c r="W209">
        <f t="shared" ca="1" si="164"/>
        <v>3.4462792503390419E-2</v>
      </c>
      <c r="X209">
        <f t="shared" ca="1" si="164"/>
        <v>2.3012838671626741E-2</v>
      </c>
      <c r="Y209">
        <f t="shared" ca="1" si="164"/>
        <v>8.0893885836641991E-2</v>
      </c>
      <c r="Z209">
        <f t="shared" ca="1" si="164"/>
        <v>-5.6705498967619464E-3</v>
      </c>
    </row>
    <row r="210" spans="1:26" hidden="1">
      <c r="B210" s="180">
        <f>'Inflation-Interest'!$E$68</f>
        <v>1.2999999999999999E-3</v>
      </c>
      <c r="C210" s="180">
        <f t="shared" ca="1" si="154"/>
        <v>8.3767656109570751E-2</v>
      </c>
      <c r="D210" s="180">
        <f t="shared" ca="1" si="155"/>
        <v>4.3224342583072048E-2</v>
      </c>
      <c r="E210" s="180">
        <f t="shared" ca="1" si="156"/>
        <v>8.4206433530523678E-2</v>
      </c>
      <c r="F210" s="180">
        <f t="shared" ca="1" si="157"/>
        <v>7.0362994723047953E-2</v>
      </c>
      <c r="G210" s="180">
        <f t="shared" ca="1" si="158"/>
        <v>0.10788749106762312</v>
      </c>
      <c r="H210" s="180">
        <f t="shared" ca="1" si="159"/>
        <v>0.17133857618921322</v>
      </c>
      <c r="I210" s="180">
        <f t="shared" ca="1" si="160"/>
        <v>0.13332024683627178</v>
      </c>
      <c r="J210" s="180">
        <f t="shared" ca="1" si="161"/>
        <v>0.11276201008500994</v>
      </c>
      <c r="K210" s="180">
        <f t="shared" ca="1" si="162"/>
        <v>9.258438012378746E-2</v>
      </c>
      <c r="L210" s="180">
        <f t="shared" ca="1" si="163"/>
        <v>0.11034363372993809</v>
      </c>
      <c r="P210">
        <f t="shared" ca="1" si="153"/>
        <v>-4.7365294450911408E-2</v>
      </c>
      <c r="Q210">
        <f t="shared" ca="1" si="165"/>
        <v>6.8524861713186586E-2</v>
      </c>
      <c r="R210">
        <f t="shared" ca="1" si="165"/>
        <v>1.1443781379398485E-3</v>
      </c>
      <c r="S210">
        <f t="shared" ca="1" si="165"/>
        <v>2.5591156430447595E-2</v>
      </c>
      <c r="T210">
        <f t="shared" ca="1" si="165"/>
        <v>3.4732608914638478E-3</v>
      </c>
      <c r="U210">
        <f t="shared" ca="1" si="165"/>
        <v>3.1788955923306744E-2</v>
      </c>
      <c r="V210">
        <f t="shared" ca="1" si="165"/>
        <v>8.2756865117304373E-2</v>
      </c>
      <c r="W210">
        <f t="shared" ca="1" si="164"/>
        <v>4.0096739513218738E-2</v>
      </c>
      <c r="X210">
        <f t="shared" ca="1" si="164"/>
        <v>2.4806042426471629E-2</v>
      </c>
      <c r="Y210">
        <f t="shared" ca="1" si="164"/>
        <v>9.7281088894358332E-3</v>
      </c>
      <c r="Z210">
        <f t="shared" ca="1" si="164"/>
        <v>2.8768067263163138E-2</v>
      </c>
    </row>
    <row r="211" spans="1:26" hidden="1">
      <c r="B211" s="180">
        <f>'Inflation-Interest'!$E$68</f>
        <v>1.2999999999999999E-3</v>
      </c>
      <c r="C211" s="180">
        <f t="shared" ca="1" si="154"/>
        <v>2.5899474612370264E-2</v>
      </c>
      <c r="D211" s="180">
        <f t="shared" ca="1" si="155"/>
        <v>4.682181527506224E-2</v>
      </c>
      <c r="E211" s="180">
        <f t="shared" ca="1" si="156"/>
        <v>7.6985965276964996E-2</v>
      </c>
      <c r="F211" s="180">
        <f t="shared" ca="1" si="157"/>
        <v>5.9418357344454165E-2</v>
      </c>
      <c r="G211" s="180">
        <f t="shared" ca="1" si="158"/>
        <v>7.094098052397016E-2</v>
      </c>
      <c r="H211" s="180">
        <f t="shared" ca="1" si="159"/>
        <v>4.6621433903078366E-2</v>
      </c>
      <c r="I211" s="180">
        <f t="shared" ca="1" si="160"/>
        <v>3.3372290989074946E-2</v>
      </c>
      <c r="J211" s="180">
        <f t="shared" ca="1" si="161"/>
        <v>4.6574378042438719E-2</v>
      </c>
      <c r="K211" s="180">
        <f t="shared" ca="1" si="162"/>
        <v>5.3059032917704578E-2</v>
      </c>
      <c r="L211" s="180">
        <f t="shared" ca="1" si="163"/>
        <v>1.9421689048657653E-2</v>
      </c>
      <c r="P211">
        <f t="shared" ca="1" si="153"/>
        <v>3.5256627175205092E-2</v>
      </c>
      <c r="Q211">
        <f t="shared" ca="1" si="165"/>
        <v>-3.4255752396045933E-3</v>
      </c>
      <c r="R211">
        <f t="shared" ca="1" si="165"/>
        <v>2.5776716218424804E-2</v>
      </c>
      <c r="S211">
        <f t="shared" ca="1" si="165"/>
        <v>4.1043862811516521E-2</v>
      </c>
      <c r="T211">
        <f t="shared" ca="1" si="165"/>
        <v>7.7308616251345209E-3</v>
      </c>
      <c r="U211">
        <f t="shared" ca="1" si="165"/>
        <v>3.9852899117815949E-2</v>
      </c>
      <c r="V211">
        <f t="shared" ca="1" si="165"/>
        <v>4.5446566784829168E-3</v>
      </c>
      <c r="W211">
        <f t="shared" ca="1" si="164"/>
        <v>3.3253946828890532E-3</v>
      </c>
      <c r="X211">
        <f t="shared" ca="1" si="164"/>
        <v>9.5437094902732465E-3</v>
      </c>
      <c r="Y211">
        <f t="shared" ca="1" si="164"/>
        <v>1.4629745863636376E-2</v>
      </c>
      <c r="Z211">
        <f t="shared" ca="1" si="164"/>
        <v>-8.0410310206587357E-3</v>
      </c>
    </row>
    <row r="212" spans="1:26" hidden="1">
      <c r="B212" s="180">
        <f>'Inflation-Interest'!$E$68</f>
        <v>1.2999999999999999E-3</v>
      </c>
      <c r="C212" s="180">
        <f t="shared" ca="1" si="154"/>
        <v>3.4356659072173848E-2</v>
      </c>
      <c r="D212" s="180">
        <f t="shared" ca="1" si="155"/>
        <v>-4.6680420475279302E-2</v>
      </c>
      <c r="E212" s="180">
        <f t="shared" ca="1" si="156"/>
        <v>4.5747804960001803E-2</v>
      </c>
      <c r="F212" s="180">
        <f t="shared" ca="1" si="157"/>
        <v>5.8430307453464059E-2</v>
      </c>
      <c r="G212" s="180">
        <f t="shared" ca="1" si="158"/>
        <v>3.2584000884008021E-2</v>
      </c>
      <c r="H212" s="180">
        <f t="shared" ca="1" si="159"/>
        <v>3.4642761693442464E-2</v>
      </c>
      <c r="I212" s="180">
        <f t="shared" ca="1" si="160"/>
        <v>7.5494554946164805E-2</v>
      </c>
      <c r="J212" s="180">
        <f t="shared" ca="1" si="161"/>
        <v>2.7108812223852322E-2</v>
      </c>
      <c r="K212" s="180">
        <f t="shared" ca="1" si="162"/>
        <v>4.9781436494440494E-2</v>
      </c>
      <c r="L212" s="180">
        <f t="shared" ca="1" si="163"/>
        <v>3.6912153828840936E-2</v>
      </c>
      <c r="P212">
        <f t="shared" ca="1" si="153"/>
        <v>-2.8615564743159905E-3</v>
      </c>
      <c r="Q212">
        <f t="shared" ca="1" si="165"/>
        <v>4.957907327390116E-3</v>
      </c>
      <c r="R212">
        <f t="shared" ca="1" si="165"/>
        <v>-7.3898398547284069E-2</v>
      </c>
      <c r="S212">
        <f t="shared" ca="1" si="165"/>
        <v>1.4012846349772894E-2</v>
      </c>
      <c r="T212">
        <f t="shared" ca="1" si="165"/>
        <v>8.8069711725987151E-3</v>
      </c>
      <c r="U212">
        <f t="shared" ca="1" si="165"/>
        <v>-1.1525157288627828E-2</v>
      </c>
      <c r="V212">
        <f t="shared" ca="1" si="165"/>
        <v>-1.7949622626114544E-2</v>
      </c>
      <c r="W212">
        <f t="shared" ca="1" si="164"/>
        <v>5.1114280093307443E-2</v>
      </c>
      <c r="X212">
        <f t="shared" ca="1" si="164"/>
        <v>8.7713119352833217E-3</v>
      </c>
      <c r="Y212">
        <f t="shared" ca="1" si="164"/>
        <v>5.3805263901313682E-2</v>
      </c>
      <c r="Z212">
        <f t="shared" ca="1" si="164"/>
        <v>2.1763609586797249E-2</v>
      </c>
    </row>
    <row r="213" spans="1:26" hidden="1">
      <c r="B213" s="180">
        <f>'Inflation-Interest'!$E$68</f>
        <v>1.2999999999999999E-3</v>
      </c>
      <c r="C213" s="180">
        <f t="shared" ca="1" si="154"/>
        <v>0.10989900326169454</v>
      </c>
      <c r="D213" s="180">
        <f t="shared" ca="1" si="155"/>
        <v>3.6906231045951421E-2</v>
      </c>
      <c r="E213" s="180">
        <f t="shared" ca="1" si="156"/>
        <v>7.5084207757915022E-2</v>
      </c>
      <c r="F213" s="180">
        <f t="shared" ca="1" si="157"/>
        <v>5.4801382503055066E-2</v>
      </c>
      <c r="G213" s="180">
        <f t="shared" ca="1" si="158"/>
        <v>-9.5269134693377021E-3</v>
      </c>
      <c r="H213" s="180">
        <f t="shared" ca="1" si="159"/>
        <v>3.7833776432312366E-2</v>
      </c>
      <c r="I213" s="180">
        <f t="shared" ca="1" si="160"/>
        <v>1.3742111522076106E-2</v>
      </c>
      <c r="J213" s="180">
        <f t="shared" ca="1" si="161"/>
        <v>2.9917380297871263E-2</v>
      </c>
      <c r="K213" s="180">
        <f t="shared" ca="1" si="162"/>
        <v>1.0062440113371564E-2</v>
      </c>
      <c r="L213" s="180">
        <f t="shared" ca="1" si="163"/>
        <v>8.7242130288337882E-2</v>
      </c>
      <c r="P213">
        <f t="shared" ca="1" si="153"/>
        <v>6.6523653813071529E-2</v>
      </c>
      <c r="Q213">
        <f t="shared" ref="Q213:V220" ca="1" si="166">_xlfn.NORM.INV(RAND(), $B$6, $B$7)</f>
        <v>5.7994227609368357E-2</v>
      </c>
      <c r="R213">
        <f t="shared" ca="1" si="166"/>
        <v>-1.3394907491130977E-2</v>
      </c>
      <c r="S213">
        <f t="shared" ca="1" si="166"/>
        <v>3.3496745093125897E-2</v>
      </c>
      <c r="T213">
        <f t="shared" ca="1" si="166"/>
        <v>3.0163314623149633E-2</v>
      </c>
      <c r="U213">
        <f t="shared" ca="1" si="166"/>
        <v>-1.8660436353259011E-2</v>
      </c>
      <c r="V213">
        <f t="shared" ca="1" si="166"/>
        <v>2.5068371787388778E-2</v>
      </c>
      <c r="W213">
        <f t="shared" ca="1" si="164"/>
        <v>-4.0169202115265534E-3</v>
      </c>
      <c r="X213">
        <f t="shared" ca="1" si="164"/>
        <v>2.3535284181981087E-3</v>
      </c>
      <c r="Y213">
        <f t="shared" ca="1" si="164"/>
        <v>-1.6839069492788801E-3</v>
      </c>
      <c r="Z213">
        <f t="shared" ca="1" si="164"/>
        <v>3.4438914206039686E-2</v>
      </c>
    </row>
    <row r="214" spans="1:26" hidden="1">
      <c r="B214" s="180">
        <f>'Inflation-Interest'!$E$68</f>
        <v>1.2999999999999999E-3</v>
      </c>
      <c r="C214" s="180">
        <f t="shared" ca="1" si="154"/>
        <v>2.349093107800174E-2</v>
      </c>
      <c r="D214" s="180">
        <f t="shared" ca="1" si="155"/>
        <v>1.8539806477215842E-2</v>
      </c>
      <c r="E214" s="180">
        <f t="shared" ca="1" si="156"/>
        <v>4.3350649808872391E-2</v>
      </c>
      <c r="F214" s="180">
        <f t="shared" ca="1" si="157"/>
        <v>7.6788088320807205E-2</v>
      </c>
      <c r="G214" s="180">
        <f t="shared" ca="1" si="158"/>
        <v>9.2503019474949835E-2</v>
      </c>
      <c r="H214" s="180">
        <f t="shared" ca="1" si="159"/>
        <v>5.5258047620466641E-2</v>
      </c>
      <c r="I214" s="180">
        <f t="shared" ca="1" si="160"/>
        <v>0.11684400116186415</v>
      </c>
      <c r="J214" s="180">
        <f t="shared" ca="1" si="161"/>
        <v>0.11577798407334731</v>
      </c>
      <c r="K214" s="180">
        <f t="shared" ca="1" si="162"/>
        <v>6.231859560487836E-2</v>
      </c>
      <c r="L214" s="180">
        <f t="shared" ca="1" si="163"/>
        <v>8.8064506594230763E-2</v>
      </c>
      <c r="P214">
        <f t="shared" ca="1" si="153"/>
        <v>-2.3268221816341295E-2</v>
      </c>
      <c r="Q214">
        <f t="shared" ca="1" si="166"/>
        <v>1.6323432020207661E-3</v>
      </c>
      <c r="R214">
        <f t="shared" ca="1" si="166"/>
        <v>-4.3417504521913244E-3</v>
      </c>
      <c r="S214">
        <f t="shared" ca="1" si="166"/>
        <v>1.3426252567272643E-2</v>
      </c>
      <c r="T214">
        <f t="shared" ca="1" si="166"/>
        <v>2.0727970828469566E-2</v>
      </c>
      <c r="U214">
        <f t="shared" ca="1" si="166"/>
        <v>2.0215483545206737E-2</v>
      </c>
      <c r="V214">
        <f t="shared" ca="1" si="166"/>
        <v>-2.3622093108474632E-2</v>
      </c>
      <c r="W214">
        <f t="shared" ca="1" si="164"/>
        <v>3.6964740992236927E-2</v>
      </c>
      <c r="X214">
        <f t="shared" ca="1" si="164"/>
        <v>3.5858360245038426E-2</v>
      </c>
      <c r="Y214">
        <f t="shared" ca="1" si="164"/>
        <v>-1.9640645184470645E-3</v>
      </c>
      <c r="Z214">
        <f t="shared" ca="1" si="164"/>
        <v>4.0462436522586291E-2</v>
      </c>
    </row>
    <row r="215" spans="1:26" hidden="1">
      <c r="B215" s="180">
        <f>'Inflation-Interest'!$E$68</f>
        <v>1.2999999999999999E-3</v>
      </c>
      <c r="C215" s="180">
        <f t="shared" ca="1" si="154"/>
        <v>3.9603281618108714E-2</v>
      </c>
      <c r="D215" s="180">
        <f t="shared" ca="1" si="155"/>
        <v>8.1643105817647291E-2</v>
      </c>
      <c r="E215" s="180">
        <f t="shared" ca="1" si="156"/>
        <v>3.7952438664947137E-2</v>
      </c>
      <c r="F215" s="180">
        <f t="shared" ca="1" si="157"/>
        <v>8.7656008345081415E-4</v>
      </c>
      <c r="G215" s="180">
        <f t="shared" ca="1" si="158"/>
        <v>7.0277541123389325E-2</v>
      </c>
      <c r="H215" s="180">
        <f t="shared" ca="1" si="159"/>
        <v>4.9697568440165645E-2</v>
      </c>
      <c r="I215" s="180">
        <f t="shared" ca="1" si="160"/>
        <v>2.8452008279420134E-2</v>
      </c>
      <c r="J215" s="180">
        <f t="shared" ca="1" si="161"/>
        <v>-2.8190723726719047E-2</v>
      </c>
      <c r="K215" s="180">
        <f t="shared" ca="1" si="162"/>
        <v>7.7893887334185619E-2</v>
      </c>
      <c r="L215" s="180">
        <f t="shared" ca="1" si="163"/>
        <v>5.2839901314255637E-2</v>
      </c>
      <c r="P215">
        <f t="shared" ca="1" si="153"/>
        <v>-6.013383968608868E-2</v>
      </c>
      <c r="Q215">
        <f t="shared" ca="1" si="166"/>
        <v>1.8962737023437842E-3</v>
      </c>
      <c r="R215">
        <f t="shared" ca="1" si="166"/>
        <v>6.1857411523621703E-2</v>
      </c>
      <c r="S215">
        <f t="shared" ca="1" si="166"/>
        <v>1.8293751064435072E-2</v>
      </c>
      <c r="T215">
        <f t="shared" ca="1" si="166"/>
        <v>-2.1347221949741566E-2</v>
      </c>
      <c r="U215">
        <f t="shared" ca="1" si="166"/>
        <v>5.0353744705887993E-2</v>
      </c>
      <c r="V215">
        <f t="shared" ca="1" si="166"/>
        <v>2.8171036608580485E-2</v>
      </c>
      <c r="W215">
        <f t="shared" ca="1" si="164"/>
        <v>1.7120558364217206E-2</v>
      </c>
      <c r="X215">
        <f t="shared" ca="1" si="164"/>
        <v>-4.7797498619617934E-2</v>
      </c>
      <c r="Y215">
        <f t="shared" ca="1" si="164"/>
        <v>3.2204486503698025E-2</v>
      </c>
      <c r="Z215">
        <f t="shared" ca="1" si="164"/>
        <v>8.1963164294602178E-3</v>
      </c>
    </row>
    <row r="216" spans="1:26" hidden="1">
      <c r="B216" s="180">
        <f>'Inflation-Interest'!$E$68</f>
        <v>1.2999999999999999E-3</v>
      </c>
      <c r="C216" s="180">
        <f t="shared" ca="1" si="154"/>
        <v>4.7380468991659055E-2</v>
      </c>
      <c r="D216" s="180">
        <f t="shared" ca="1" si="155"/>
        <v>5.6221420448483626E-2</v>
      </c>
      <c r="E216" s="180">
        <f t="shared" ca="1" si="156"/>
        <v>3.9011099693389006E-2</v>
      </c>
      <c r="F216" s="180">
        <f t="shared" ca="1" si="157"/>
        <v>5.0860880921414671E-2</v>
      </c>
      <c r="G216" s="180">
        <f t="shared" ca="1" si="158"/>
        <v>4.7008410422285193E-2</v>
      </c>
      <c r="H216" s="180">
        <f t="shared" ca="1" si="159"/>
        <v>0.12773148855255173</v>
      </c>
      <c r="I216" s="180">
        <f t="shared" ca="1" si="160"/>
        <v>0.12539417063648836</v>
      </c>
      <c r="J216" s="180">
        <f t="shared" ca="1" si="161"/>
        <v>9.2379685402354472E-2</v>
      </c>
      <c r="K216" s="180">
        <f t="shared" ca="1" si="162"/>
        <v>0.10813896437076118</v>
      </c>
      <c r="L216" s="180">
        <f t="shared" ca="1" si="163"/>
        <v>9.010633353729447E-2</v>
      </c>
      <c r="P216">
        <f t="shared" ca="1" si="153"/>
        <v>3.6947648765560601E-2</v>
      </c>
      <c r="Q216">
        <f t="shared" ca="1" si="166"/>
        <v>3.3563758292987182E-3</v>
      </c>
      <c r="R216">
        <f t="shared" ca="1" si="166"/>
        <v>1.2683020084990041E-2</v>
      </c>
      <c r="S216">
        <f t="shared" ca="1" si="166"/>
        <v>-1.1349579699978136E-3</v>
      </c>
      <c r="T216">
        <f t="shared" ca="1" si="166"/>
        <v>2.7767043420073214E-3</v>
      </c>
      <c r="U216">
        <f t="shared" ca="1" si="166"/>
        <v>-8.4800928888669191E-3</v>
      </c>
      <c r="V216">
        <f t="shared" ca="1" si="166"/>
        <v>4.0368894067711755E-2</v>
      </c>
      <c r="W216">
        <f t="shared" ca="1" si="164"/>
        <v>3.8658683671462503E-2</v>
      </c>
      <c r="X216">
        <f t="shared" ca="1" si="164"/>
        <v>2.3898705005161804E-2</v>
      </c>
      <c r="Y216">
        <f t="shared" ca="1" si="164"/>
        <v>2.2373330185348712E-2</v>
      </c>
      <c r="Z216">
        <f t="shared" ca="1" si="164"/>
        <v>1.7084945293641265E-2</v>
      </c>
    </row>
    <row r="217" spans="1:26" hidden="1">
      <c r="B217" s="180">
        <f>'Inflation-Interest'!$E$68</f>
        <v>1.2999999999999999E-3</v>
      </c>
      <c r="C217" s="180">
        <f t="shared" ref="C217:C220" ca="1" si="167">C112+Q217</f>
        <v>9.926066847024978E-2</v>
      </c>
      <c r="D217" s="180">
        <f t="shared" ref="D217:D220" ca="1" si="168">D112+R217</f>
        <v>7.3139131367209453E-2</v>
      </c>
      <c r="E217" s="180">
        <f t="shared" ref="E217:E220" ca="1" si="169">E112+S217</f>
        <v>4.8354869626136637E-2</v>
      </c>
      <c r="F217" s="180">
        <f t="shared" ref="F217:F220" ca="1" si="170">F112+T217</f>
        <v>9.2501103152354769E-2</v>
      </c>
      <c r="G217" s="180">
        <f t="shared" ref="G217:G220" ca="1" si="171">G112+U217</f>
        <v>0.10113395035841061</v>
      </c>
      <c r="H217" s="180">
        <f t="shared" ref="H217:H220" ca="1" si="172">H112+V217</f>
        <v>5.1525756993707927E-2</v>
      </c>
      <c r="I217" s="180">
        <f t="shared" ref="I217:I220" ca="1" si="173">I112+W217</f>
        <v>9.1484250521592231E-2</v>
      </c>
      <c r="J217" s="180">
        <f t="shared" ref="J217:J220" ca="1" si="174">J112+X217</f>
        <v>4.9820070376861592E-2</v>
      </c>
      <c r="K217" s="180">
        <f t="shared" ref="K217:K220" ca="1" si="175">K112+Y217</f>
        <v>9.7071792241831253E-2</v>
      </c>
      <c r="L217" s="180">
        <f t="shared" ref="L217:L220" ca="1" si="176">L112+Z217</f>
        <v>0.10049242564939435</v>
      </c>
      <c r="P217">
        <f t="shared" ca="1" si="153"/>
        <v>4.7296711657025509E-2</v>
      </c>
      <c r="Q217">
        <f t="shared" ca="1" si="166"/>
        <v>4.9666245736792333E-2</v>
      </c>
      <c r="R217">
        <f t="shared" ca="1" si="166"/>
        <v>2.732121345576824E-2</v>
      </c>
      <c r="S217">
        <f t="shared" ca="1" si="166"/>
        <v>-4.7401494652855695E-3</v>
      </c>
      <c r="T217">
        <f t="shared" ca="1" si="166"/>
        <v>3.9575940497254547E-2</v>
      </c>
      <c r="U217">
        <f t="shared" ca="1" si="166"/>
        <v>2.0383801947754084E-2</v>
      </c>
      <c r="V217">
        <f t="shared" ca="1" si="166"/>
        <v>-2.661316774852648E-2</v>
      </c>
      <c r="W217">
        <f t="shared" ca="1" si="164"/>
        <v>3.900213875601348E-2</v>
      </c>
      <c r="X217">
        <f t="shared" ca="1" si="164"/>
        <v>-1.4811583304247058E-2</v>
      </c>
      <c r="Y217">
        <f t="shared" ca="1" si="164"/>
        <v>-2.5465116582525441E-4</v>
      </c>
      <c r="Z217">
        <f t="shared" ca="1" si="164"/>
        <v>1.4699583812737449E-2</v>
      </c>
    </row>
    <row r="218" spans="1:26" hidden="1">
      <c r="B218" s="180">
        <f>'Inflation-Interest'!$E$68</f>
        <v>1.2999999999999999E-3</v>
      </c>
      <c r="C218" s="180">
        <f t="shared" ca="1" si="167"/>
        <v>3.7150744000584712E-2</v>
      </c>
      <c r="D218" s="180">
        <f t="shared" ca="1" si="168"/>
        <v>3.2327379387321435E-2</v>
      </c>
      <c r="E218" s="180">
        <f t="shared" ca="1" si="169"/>
        <v>5.3299555383637107E-2</v>
      </c>
      <c r="F218" s="180">
        <f t="shared" ca="1" si="170"/>
        <v>5.3269533251637122E-2</v>
      </c>
      <c r="G218" s="180">
        <f t="shared" ca="1" si="171"/>
        <v>3.16852482827241E-2</v>
      </c>
      <c r="H218" s="180">
        <f t="shared" ca="1" si="172"/>
        <v>5.8151743898399513E-2</v>
      </c>
      <c r="I218" s="180">
        <f t="shared" ca="1" si="173"/>
        <v>7.4547755785044884E-2</v>
      </c>
      <c r="J218" s="180">
        <f t="shared" ca="1" si="174"/>
        <v>-1.2696473407168486E-2</v>
      </c>
      <c r="K218" s="180">
        <f t="shared" ca="1" si="175"/>
        <v>-1.1500135962429366E-3</v>
      </c>
      <c r="L218" s="180">
        <f t="shared" ca="1" si="176"/>
        <v>7.069971854395353E-2</v>
      </c>
      <c r="P218">
        <f t="shared" ca="1" si="153"/>
        <v>1.4175953069162302E-2</v>
      </c>
      <c r="Q218">
        <f t="shared" ca="1" si="166"/>
        <v>-1.2580659356152619E-2</v>
      </c>
      <c r="R218">
        <f t="shared" ca="1" si="166"/>
        <v>-9.6512880167767823E-4</v>
      </c>
      <c r="S218">
        <f t="shared" ca="1" si="166"/>
        <v>1.6744145583701277E-2</v>
      </c>
      <c r="T218">
        <f t="shared" ca="1" si="166"/>
        <v>-7.7717077315031524E-3</v>
      </c>
      <c r="U218">
        <f t="shared" ca="1" si="166"/>
        <v>-7.4138441467100705E-3</v>
      </c>
      <c r="V218">
        <f t="shared" ca="1" si="166"/>
        <v>2.5895364477024563E-2</v>
      </c>
      <c r="W218">
        <f t="shared" ca="1" si="164"/>
        <v>3.542978844479848E-2</v>
      </c>
      <c r="X218">
        <f t="shared" ca="1" si="164"/>
        <v>-1.1195962718152236E-2</v>
      </c>
      <c r="Y218">
        <f t="shared" ca="1" si="164"/>
        <v>-3.4349450152492689E-3</v>
      </c>
      <c r="Z218">
        <f t="shared" ca="1" si="164"/>
        <v>4.5419013153677884E-2</v>
      </c>
    </row>
    <row r="219" spans="1:26" hidden="1">
      <c r="B219" s="180">
        <f>'Inflation-Interest'!$E$68</f>
        <v>1.2999999999999999E-3</v>
      </c>
      <c r="C219" s="180">
        <f t="shared" ca="1" si="167"/>
        <v>5.3213283698293201E-2</v>
      </c>
      <c r="D219" s="180">
        <f t="shared" ca="1" si="168"/>
        <v>4.6017046698942736E-2</v>
      </c>
      <c r="E219" s="180">
        <f t="shared" ca="1" si="169"/>
        <v>-5.1862888410855734E-4</v>
      </c>
      <c r="F219" s="180">
        <f t="shared" ca="1" si="170"/>
        <v>6.3150419020902612E-2</v>
      </c>
      <c r="G219" s="180">
        <f t="shared" ca="1" si="171"/>
        <v>8.7367744065422782E-3</v>
      </c>
      <c r="H219" s="180">
        <f t="shared" ca="1" si="172"/>
        <v>1.1307644409539967E-3</v>
      </c>
      <c r="I219" s="180">
        <f t="shared" ca="1" si="173"/>
        <v>1.0603095093254127E-2</v>
      </c>
      <c r="J219" s="180">
        <f t="shared" ca="1" si="174"/>
        <v>4.3672232660648611E-3</v>
      </c>
      <c r="K219" s="180">
        <f t="shared" ca="1" si="175"/>
        <v>6.1306525079816439E-2</v>
      </c>
      <c r="L219" s="180">
        <f t="shared" ca="1" si="176"/>
        <v>6.8854979335546407E-2</v>
      </c>
      <c r="P219">
        <f t="shared" ca="1" si="153"/>
        <v>2.9085286157247758E-2</v>
      </c>
      <c r="Q219">
        <f t="shared" ca="1" si="166"/>
        <v>3.2782874732275195E-2</v>
      </c>
      <c r="R219">
        <f t="shared" ca="1" si="166"/>
        <v>2.4113071452449928E-2</v>
      </c>
      <c r="S219">
        <f t="shared" ca="1" si="166"/>
        <v>-1.715544382448041E-2</v>
      </c>
      <c r="T219">
        <f t="shared" ca="1" si="166"/>
        <v>4.1033882407011883E-2</v>
      </c>
      <c r="U219">
        <f t="shared" ca="1" si="166"/>
        <v>-3.499546961324089E-3</v>
      </c>
      <c r="V219">
        <f t="shared" ca="1" si="166"/>
        <v>-1.3367437226370103E-2</v>
      </c>
      <c r="W219">
        <f t="shared" ca="1" si="164"/>
        <v>3.9619279242611334E-3</v>
      </c>
      <c r="X219">
        <f t="shared" ca="1" si="164"/>
        <v>-1.6850654325326373E-2</v>
      </c>
      <c r="Y219">
        <f t="shared" ca="1" si="164"/>
        <v>2.8513667844500372E-2</v>
      </c>
      <c r="Z219">
        <f t="shared" ca="1" si="164"/>
        <v>5.6715487986191207E-3</v>
      </c>
    </row>
    <row r="220" spans="1:26" hidden="1">
      <c r="B220" s="180">
        <f>'Inflation-Interest'!$E$68</f>
        <v>1.2999999999999999E-3</v>
      </c>
      <c r="C220" s="180">
        <f t="shared" ca="1" si="167"/>
        <v>3.2141882435145097E-2</v>
      </c>
      <c r="D220" s="180">
        <f t="shared" ca="1" si="168"/>
        <v>4.4863783713002418E-2</v>
      </c>
      <c r="E220" s="180">
        <f t="shared" ca="1" si="169"/>
        <v>6.3842484483504006E-3</v>
      </c>
      <c r="F220" s="180">
        <f t="shared" ca="1" si="170"/>
        <v>5.7698944511746099E-2</v>
      </c>
      <c r="G220" s="180">
        <f t="shared" ca="1" si="171"/>
        <v>3.3303554416352299E-2</v>
      </c>
      <c r="H220" s="180">
        <f t="shared" ca="1" si="172"/>
        <v>3.1544185314104127E-2</v>
      </c>
      <c r="I220" s="180">
        <f t="shared" ca="1" si="173"/>
        <v>6.0946654407818691E-2</v>
      </c>
      <c r="J220" s="180">
        <f t="shared" ca="1" si="174"/>
        <v>4.4736393803258105E-2</v>
      </c>
      <c r="K220" s="180">
        <f t="shared" ca="1" si="175"/>
        <v>3.4883084356212256E-2</v>
      </c>
      <c r="L220" s="180">
        <f t="shared" ca="1" si="176"/>
        <v>3.7843706559020848E-3</v>
      </c>
      <c r="P220">
        <f t="shared" ca="1" si="153"/>
        <v>4.8361061889593868E-2</v>
      </c>
      <c r="Q220">
        <f t="shared" ca="1" si="166"/>
        <v>3.9219617878149416E-3</v>
      </c>
      <c r="R220">
        <f t="shared" ca="1" si="166"/>
        <v>2.2672539094288111E-2</v>
      </c>
      <c r="S220">
        <f t="shared" ca="1" si="166"/>
        <v>2.7887155413214466E-3</v>
      </c>
      <c r="T220">
        <f t="shared" ca="1" si="166"/>
        <v>3.6440631330372841E-2</v>
      </c>
      <c r="U220">
        <f t="shared" ca="1" si="166"/>
        <v>9.4491919800451137E-3</v>
      </c>
      <c r="V220">
        <f t="shared" ca="1" si="166"/>
        <v>1.811745924874425E-2</v>
      </c>
      <c r="W220">
        <f t="shared" ca="1" si="164"/>
        <v>2.9736973495607555E-2</v>
      </c>
      <c r="X220">
        <f t="shared" ca="1" si="164"/>
        <v>3.7132432775015926E-2</v>
      </c>
      <c r="Y220">
        <f t="shared" ca="1" si="164"/>
        <v>6.0711086169539779E-3</v>
      </c>
      <c r="Z220">
        <f t="shared" ca="1" si="164"/>
        <v>-2.157171461887453E-2</v>
      </c>
    </row>
    <row r="221" spans="1:26">
      <c r="A221" t="s">
        <v>483</v>
      </c>
      <c r="B221" s="180">
        <f>'Inflation-Interest'!F68</f>
        <v>1.6000000000000001E-3</v>
      </c>
      <c r="C221" s="180">
        <f t="shared" ref="C221:C252" ca="1" si="177">C121+Q221</f>
        <v>3.2313213138954418E-2</v>
      </c>
      <c r="D221" s="180">
        <f t="shared" ref="D221:D252" ca="1" si="178">D121+R221</f>
        <v>2.8811864492342749E-2</v>
      </c>
      <c r="E221" s="180">
        <f t="shared" ref="E221:E252" ca="1" si="179">E121+S221</f>
        <v>3.6220132589461175E-3</v>
      </c>
      <c r="F221" s="180">
        <f t="shared" ref="F221:F252" ca="1" si="180">F121+T221</f>
        <v>7.2016642761554311E-2</v>
      </c>
      <c r="G221" s="180">
        <f t="shared" ref="G221:G252" ca="1" si="181">G121+U221</f>
        <v>0.10474528470564275</v>
      </c>
      <c r="H221" s="180">
        <f t="shared" ref="H221:H252" ca="1" si="182">H121+V221</f>
        <v>0.14236917053805548</v>
      </c>
      <c r="I221" s="180">
        <f t="shared" ref="I221:I252" ca="1" si="183">I121+W221</f>
        <v>0.12423013926589553</v>
      </c>
      <c r="J221" s="180">
        <f t="shared" ref="J221:J252" ca="1" si="184">J121+X221</f>
        <v>0.11686319129181101</v>
      </c>
      <c r="K221" s="180">
        <f t="shared" ref="K221:K252" ca="1" si="185">K121+Y221</f>
        <v>9.1982695662800415E-2</v>
      </c>
      <c r="L221" s="180">
        <f t="shared" ref="L221:L252" ca="1" si="186">L121+Z221</f>
        <v>0.10975350909881235</v>
      </c>
      <c r="O221" t="s">
        <v>484</v>
      </c>
      <c r="P221">
        <f ca="1">_xlfn.NORM.INV(RAND(), $B$9, $B$10)</f>
        <v>3.2938761497881223E-3</v>
      </c>
      <c r="Q221">
        <f t="shared" ref="Q221:Z236" ca="1" si="187">_xlfn.NORM.INV(RAND(), $B$9, $B$10)</f>
        <v>-5.8259441766702683E-3</v>
      </c>
      <c r="R221">
        <f t="shared" ca="1" si="187"/>
        <v>-1.4570928728934154E-3</v>
      </c>
      <c r="S221">
        <f t="shared" ca="1" si="187"/>
        <v>-5.0103569305096013E-3</v>
      </c>
      <c r="T221">
        <f t="shared" ca="1" si="187"/>
        <v>2.560836540182819E-3</v>
      </c>
      <c r="U221">
        <f t="shared" ca="1" si="187"/>
        <v>-1.5028832180809292E-4</v>
      </c>
      <c r="V221">
        <f t="shared" ca="1" si="187"/>
        <v>-5.814953933492197E-3</v>
      </c>
      <c r="W221">
        <f t="shared" ca="1" si="187"/>
        <v>-1.1612190510487301E-2</v>
      </c>
      <c r="X221">
        <f t="shared" ca="1" si="187"/>
        <v>1.3225779200044769E-2</v>
      </c>
      <c r="Y221">
        <f t="shared" ca="1" si="187"/>
        <v>-2.6029693425309633E-3</v>
      </c>
      <c r="Z221">
        <f t="shared" ca="1" si="187"/>
        <v>6.9218215233131618E-3</v>
      </c>
    </row>
    <row r="222" spans="1:26" hidden="1">
      <c r="B222" s="180">
        <f>'Inflation-Interest'!F69</f>
        <v>0</v>
      </c>
      <c r="C222" s="180">
        <f t="shared" ca="1" si="177"/>
        <v>4.235673903477568E-2</v>
      </c>
      <c r="D222" s="180">
        <f t="shared" ca="1" si="178"/>
        <v>7.2907430958615571E-2</v>
      </c>
      <c r="E222" s="180">
        <f t="shared" ca="1" si="179"/>
        <v>6.846063114008695E-2</v>
      </c>
      <c r="F222" s="180">
        <f t="shared" ca="1" si="180"/>
        <v>0.14351809039344332</v>
      </c>
      <c r="G222" s="180">
        <f t="shared" ca="1" si="181"/>
        <v>5.537960075061394E-2</v>
      </c>
      <c r="H222" s="180">
        <f t="shared" ca="1" si="182"/>
        <v>0.12243227304237309</v>
      </c>
      <c r="I222" s="180">
        <f t="shared" ca="1" si="183"/>
        <v>9.0326845918347026E-2</v>
      </c>
      <c r="J222" s="180">
        <f t="shared" ca="1" si="184"/>
        <v>7.039310096100003E-2</v>
      </c>
      <c r="K222" s="180">
        <f t="shared" ca="1" si="185"/>
        <v>0.10062707333474592</v>
      </c>
      <c r="L222" s="180">
        <f t="shared" ca="1" si="186"/>
        <v>6.0867607982296679E-2</v>
      </c>
      <c r="P222">
        <f t="shared" ref="P222:Z253" ca="1" si="188">_xlfn.NORM.INV(RAND(), $B$9, $B$10)</f>
        <v>-2.1429635325958857E-3</v>
      </c>
      <c r="Q222">
        <f t="shared" ca="1" si="187"/>
        <v>-9.0655302207250845E-3</v>
      </c>
      <c r="R222">
        <f t="shared" ca="1" si="187"/>
        <v>8.8094407353863924E-3</v>
      </c>
      <c r="S222">
        <f t="shared" ca="1" si="187"/>
        <v>8.0442182961691089E-3</v>
      </c>
      <c r="T222">
        <f t="shared" ca="1" si="187"/>
        <v>-5.1390170128613371E-3</v>
      </c>
      <c r="U222">
        <f t="shared" ca="1" si="187"/>
        <v>-8.5838820082418646E-4</v>
      </c>
      <c r="V222">
        <f t="shared" ca="1" si="187"/>
        <v>-1.7857591562347806E-3</v>
      </c>
      <c r="W222">
        <f t="shared" ca="1" si="187"/>
        <v>6.5787940233558127E-3</v>
      </c>
      <c r="X222">
        <f t="shared" ca="1" si="187"/>
        <v>7.9676629381815033E-3</v>
      </c>
      <c r="Y222">
        <f t="shared" ca="1" si="187"/>
        <v>1.1588314065030266E-2</v>
      </c>
      <c r="Z222">
        <f t="shared" ca="1" si="187"/>
        <v>-9.8242552263801946E-3</v>
      </c>
    </row>
    <row r="223" spans="1:26" hidden="1">
      <c r="B223" s="180">
        <f>'Inflation-Interest'!F70</f>
        <v>0</v>
      </c>
      <c r="C223" s="180">
        <f t="shared" ca="1" si="177"/>
        <v>9.3604219845092942E-2</v>
      </c>
      <c r="D223" s="180">
        <f t="shared" ca="1" si="178"/>
        <v>1.436937916810781E-2</v>
      </c>
      <c r="E223" s="180">
        <f t="shared" ca="1" si="179"/>
        <v>0.11906344887814795</v>
      </c>
      <c r="F223" s="180">
        <f t="shared" ca="1" si="180"/>
        <v>8.7701970334469137E-2</v>
      </c>
      <c r="G223" s="180">
        <f t="shared" ca="1" si="181"/>
        <v>5.2933181681834744E-2</v>
      </c>
      <c r="H223" s="180">
        <f t="shared" ca="1" si="182"/>
        <v>6.5374003989392068E-2</v>
      </c>
      <c r="I223" s="180">
        <f t="shared" ca="1" si="183"/>
        <v>7.9520812189699697E-2</v>
      </c>
      <c r="J223" s="180">
        <f t="shared" ca="1" si="184"/>
        <v>5.7490502356304568E-2</v>
      </c>
      <c r="K223" s="180">
        <f t="shared" ca="1" si="185"/>
        <v>0.10246141502577367</v>
      </c>
      <c r="L223" s="180">
        <f t="shared" ca="1" si="186"/>
        <v>0.117739185452003</v>
      </c>
      <c r="P223">
        <f t="shared" ca="1" si="188"/>
        <v>-5.0196430817748107E-4</v>
      </c>
      <c r="Q223">
        <f t="shared" ca="1" si="187"/>
        <v>-1.4295903270089821E-2</v>
      </c>
      <c r="R223">
        <f t="shared" ca="1" si="187"/>
        <v>-6.5360761418301267E-3</v>
      </c>
      <c r="S223">
        <f t="shared" ca="1" si="187"/>
        <v>9.4563149959171859E-3</v>
      </c>
      <c r="T223">
        <f t="shared" ca="1" si="187"/>
        <v>3.507270136411755E-3</v>
      </c>
      <c r="U223">
        <f t="shared" ca="1" si="187"/>
        <v>1.157313937011817E-3</v>
      </c>
      <c r="V223">
        <f t="shared" ca="1" si="187"/>
        <v>2.1317511074382223E-3</v>
      </c>
      <c r="W223">
        <f t="shared" ca="1" si="187"/>
        <v>-1.4523093035679238E-2</v>
      </c>
      <c r="X223">
        <f t="shared" ca="1" si="187"/>
        <v>9.881172898013952E-3</v>
      </c>
      <c r="Y223">
        <f t="shared" ca="1" si="187"/>
        <v>3.3963648912738241E-3</v>
      </c>
      <c r="Z223">
        <f t="shared" ca="1" si="187"/>
        <v>-1.5101712611040668E-3</v>
      </c>
    </row>
    <row r="224" spans="1:26" hidden="1">
      <c r="B224" s="180">
        <f>'Inflation-Interest'!F71</f>
        <v>0</v>
      </c>
      <c r="C224" s="180">
        <f t="shared" ca="1" si="177"/>
        <v>6.6386186790318838E-2</v>
      </c>
      <c r="D224" s="180">
        <f t="shared" ca="1" si="178"/>
        <v>0.11434796084068073</v>
      </c>
      <c r="E224" s="180">
        <f t="shared" ca="1" si="179"/>
        <v>4.5174540048948858E-2</v>
      </c>
      <c r="F224" s="180">
        <f t="shared" ca="1" si="180"/>
        <v>1.3329143423028194E-2</v>
      </c>
      <c r="G224" s="180">
        <f t="shared" ca="1" si="181"/>
        <v>8.4446409108304785E-3</v>
      </c>
      <c r="H224" s="180">
        <f t="shared" ca="1" si="182"/>
        <v>8.2193491891368098E-2</v>
      </c>
      <c r="I224" s="180">
        <f t="shared" ca="1" si="183"/>
        <v>3.3921224707601644E-2</v>
      </c>
      <c r="J224" s="180">
        <f t="shared" ca="1" si="184"/>
        <v>0.10587057004669241</v>
      </c>
      <c r="K224" s="180">
        <f t="shared" ca="1" si="185"/>
        <v>0.12515877574692946</v>
      </c>
      <c r="L224" s="180">
        <f t="shared" ca="1" si="186"/>
        <v>3.8405398305967189E-2</v>
      </c>
      <c r="P224">
        <f t="shared" ca="1" si="188"/>
        <v>6.1452856358895141E-3</v>
      </c>
      <c r="Q224">
        <f t="shared" ca="1" si="187"/>
        <v>-8.9908217390273829E-4</v>
      </c>
      <c r="R224">
        <f t="shared" ca="1" si="187"/>
        <v>-8.8513484029497276E-3</v>
      </c>
      <c r="S224">
        <f t="shared" ca="1" si="187"/>
        <v>-5.5563119071991209E-3</v>
      </c>
      <c r="T224">
        <f t="shared" ca="1" si="187"/>
        <v>5.0445457015090732E-3</v>
      </c>
      <c r="U224">
        <f t="shared" ca="1" si="187"/>
        <v>-1.3057547525880868E-3</v>
      </c>
      <c r="V224">
        <f t="shared" ca="1" si="187"/>
        <v>-1.0001558830500853E-3</v>
      </c>
      <c r="W224">
        <f t="shared" ca="1" si="187"/>
        <v>8.4879459736826712E-3</v>
      </c>
      <c r="X224">
        <f t="shared" ca="1" si="187"/>
        <v>4.2415790832270126E-3</v>
      </c>
      <c r="Y224">
        <f t="shared" ca="1" si="187"/>
        <v>-1.2793134986351122E-3</v>
      </c>
      <c r="Z224">
        <f t="shared" ca="1" si="187"/>
        <v>9.291601959556528E-4</v>
      </c>
    </row>
    <row r="225" spans="2:26" hidden="1">
      <c r="B225" s="180">
        <f>'Inflation-Interest'!F72</f>
        <v>0</v>
      </c>
      <c r="C225" s="180">
        <f t="shared" ca="1" si="177"/>
        <v>8.1748503426723684E-2</v>
      </c>
      <c r="D225" s="180">
        <f t="shared" ca="1" si="178"/>
        <v>8.6321865908432507E-2</v>
      </c>
      <c r="E225" s="180">
        <f t="shared" ca="1" si="179"/>
        <v>0.10757058401328654</v>
      </c>
      <c r="F225" s="180">
        <f t="shared" ca="1" si="180"/>
        <v>6.4379887880635117E-2</v>
      </c>
      <c r="G225" s="180">
        <f t="shared" ca="1" si="181"/>
        <v>6.5032892960028635E-2</v>
      </c>
      <c r="H225" s="180">
        <f t="shared" ca="1" si="182"/>
        <v>6.4818105309917537E-2</v>
      </c>
      <c r="I225" s="180">
        <f t="shared" ca="1" si="183"/>
        <v>7.2843607601212182E-2</v>
      </c>
      <c r="J225" s="180">
        <f t="shared" ca="1" si="184"/>
        <v>4.1859918471110723E-2</v>
      </c>
      <c r="K225" s="180">
        <f t="shared" ca="1" si="185"/>
        <v>6.9452369295996214E-2</v>
      </c>
      <c r="L225" s="180">
        <f t="shared" ca="1" si="186"/>
        <v>6.1464902955049437E-2</v>
      </c>
      <c r="P225">
        <f t="shared" ca="1" si="188"/>
        <v>1.3100161067035024E-2</v>
      </c>
      <c r="Q225">
        <f t="shared" ca="1" si="187"/>
        <v>-2.6175456064724801E-3</v>
      </c>
      <c r="R225">
        <f t="shared" ca="1" si="187"/>
        <v>-5.3306172339897028E-3</v>
      </c>
      <c r="S225">
        <f t="shared" ca="1" si="187"/>
        <v>-3.146856884989592E-3</v>
      </c>
      <c r="T225">
        <f t="shared" ca="1" si="187"/>
        <v>1.7435459247024455E-3</v>
      </c>
      <c r="U225">
        <f t="shared" ca="1" si="187"/>
        <v>1.349285990251899E-2</v>
      </c>
      <c r="V225">
        <f t="shared" ca="1" si="187"/>
        <v>7.0544239162859245E-3</v>
      </c>
      <c r="W225">
        <f t="shared" ca="1" si="187"/>
        <v>8.5882218378720999E-3</v>
      </c>
      <c r="X225">
        <f t="shared" ca="1" si="187"/>
        <v>7.8146625429178389E-4</v>
      </c>
      <c r="Y225">
        <f t="shared" ca="1" si="187"/>
        <v>-9.0121023381884765E-3</v>
      </c>
      <c r="Z225">
        <f t="shared" ca="1" si="187"/>
        <v>-4.7428243622482311E-3</v>
      </c>
    </row>
    <row r="226" spans="2:26" hidden="1">
      <c r="B226" s="180">
        <f>'Inflation-Interest'!F73</f>
        <v>0</v>
      </c>
      <c r="C226" s="180">
        <f t="shared" ca="1" si="177"/>
        <v>6.6462788047080737E-2</v>
      </c>
      <c r="D226" s="180">
        <f t="shared" ca="1" si="178"/>
        <v>0.13980842084032091</v>
      </c>
      <c r="E226" s="180">
        <f t="shared" ca="1" si="179"/>
        <v>0.14505175985870006</v>
      </c>
      <c r="F226" s="180">
        <f t="shared" ca="1" si="180"/>
        <v>0.15206587233780888</v>
      </c>
      <c r="G226" s="180">
        <f t="shared" ca="1" si="181"/>
        <v>0.13977069700989309</v>
      </c>
      <c r="H226" s="180">
        <f t="shared" ca="1" si="182"/>
        <v>0.15420438563153915</v>
      </c>
      <c r="I226" s="180">
        <f t="shared" ca="1" si="183"/>
        <v>5.4830401452375443E-2</v>
      </c>
      <c r="J226" s="180">
        <f t="shared" ca="1" si="184"/>
        <v>5.5157891945228528E-2</v>
      </c>
      <c r="K226" s="180">
        <f t="shared" ca="1" si="185"/>
        <v>0.10985944188649212</v>
      </c>
      <c r="L226" s="180">
        <f t="shared" ca="1" si="186"/>
        <v>0.11360645198134929</v>
      </c>
      <c r="P226">
        <f t="shared" ca="1" si="188"/>
        <v>1.1276609979951029E-6</v>
      </c>
      <c r="Q226">
        <f t="shared" ca="1" si="187"/>
        <v>7.3453025942847713E-3</v>
      </c>
      <c r="R226">
        <f t="shared" ca="1" si="187"/>
        <v>-1.0363511369401843E-2</v>
      </c>
      <c r="S226">
        <f t="shared" ca="1" si="187"/>
        <v>1.0026457445125696E-2</v>
      </c>
      <c r="T226">
        <f t="shared" ca="1" si="187"/>
        <v>8.4676593359053285E-3</v>
      </c>
      <c r="U226">
        <f t="shared" ca="1" si="187"/>
        <v>9.4343219071760225E-3</v>
      </c>
      <c r="V226">
        <f t="shared" ca="1" si="187"/>
        <v>4.0492607541510817E-3</v>
      </c>
      <c r="W226">
        <f t="shared" ca="1" si="187"/>
        <v>-1.0908557037627067E-2</v>
      </c>
      <c r="X226">
        <f t="shared" ca="1" si="187"/>
        <v>-5.9712477220033927E-3</v>
      </c>
      <c r="Y226">
        <f t="shared" ca="1" si="187"/>
        <v>5.0672137658497221E-4</v>
      </c>
      <c r="Z226">
        <f t="shared" ca="1" si="187"/>
        <v>6.2830661686157443E-4</v>
      </c>
    </row>
    <row r="227" spans="2:26" hidden="1">
      <c r="B227" s="180">
        <f>'Inflation-Interest'!F74</f>
        <v>0</v>
      </c>
      <c r="C227" s="180">
        <f t="shared" ca="1" si="177"/>
        <v>4.1864445680168789E-2</v>
      </c>
      <c r="D227" s="180">
        <f t="shared" ca="1" si="178"/>
        <v>4.2045986578873214E-2</v>
      </c>
      <c r="E227" s="180">
        <f t="shared" ca="1" si="179"/>
        <v>3.1041801276926732E-2</v>
      </c>
      <c r="F227" s="180">
        <f t="shared" ca="1" si="180"/>
        <v>5.6935534554747536E-2</v>
      </c>
      <c r="G227" s="180">
        <f t="shared" ca="1" si="181"/>
        <v>4.1160212001971709E-2</v>
      </c>
      <c r="H227" s="180">
        <f t="shared" ca="1" si="182"/>
        <v>6.2066001422226381E-2</v>
      </c>
      <c r="I227" s="180">
        <f t="shared" ca="1" si="183"/>
        <v>2.4572914709701875E-2</v>
      </c>
      <c r="J227" s="180">
        <f t="shared" ca="1" si="184"/>
        <v>4.1492358574939062E-2</v>
      </c>
      <c r="K227" s="180">
        <f t="shared" ca="1" si="185"/>
        <v>4.7035567819522693E-2</v>
      </c>
      <c r="L227" s="180">
        <f t="shared" ca="1" si="186"/>
        <v>8.5274317700310603E-2</v>
      </c>
      <c r="P227">
        <f t="shared" ca="1" si="188"/>
        <v>6.4450010085882461E-3</v>
      </c>
      <c r="Q227">
        <f t="shared" ca="1" si="187"/>
        <v>-7.3307301850024861E-3</v>
      </c>
      <c r="R227">
        <f t="shared" ca="1" si="187"/>
        <v>3.9411967208003015E-3</v>
      </c>
      <c r="S227">
        <f t="shared" ca="1" si="187"/>
        <v>1.3517041676541607E-3</v>
      </c>
      <c r="T227">
        <f t="shared" ca="1" si="187"/>
        <v>7.0132784027885954E-3</v>
      </c>
      <c r="U227">
        <f t="shared" ca="1" si="187"/>
        <v>1.3146682487452353E-3</v>
      </c>
      <c r="V227">
        <f t="shared" ca="1" si="187"/>
        <v>4.5433928362335419E-3</v>
      </c>
      <c r="W227">
        <f t="shared" ca="1" si="187"/>
        <v>-7.992208122148103E-3</v>
      </c>
      <c r="X227">
        <f t="shared" ca="1" si="187"/>
        <v>1.2909059168996168E-2</v>
      </c>
      <c r="Y227">
        <f t="shared" ca="1" si="187"/>
        <v>-8.9628560449976202E-3</v>
      </c>
      <c r="Z227">
        <f t="shared" ca="1" si="187"/>
        <v>1.6396714852340258E-3</v>
      </c>
    </row>
    <row r="228" spans="2:26" hidden="1">
      <c r="B228" s="180">
        <f>'Inflation-Interest'!F75</f>
        <v>0</v>
      </c>
      <c r="C228" s="180">
        <f t="shared" ca="1" si="177"/>
        <v>8.009564014255062E-2</v>
      </c>
      <c r="D228" s="180">
        <f t="shared" ca="1" si="178"/>
        <v>4.6434081754200829E-2</v>
      </c>
      <c r="E228" s="180">
        <f t="shared" ca="1" si="179"/>
        <v>5.1352253124165179E-2</v>
      </c>
      <c r="F228" s="180">
        <f t="shared" ca="1" si="180"/>
        <v>-1.3358595206899436E-2</v>
      </c>
      <c r="G228" s="180">
        <f t="shared" ca="1" si="181"/>
        <v>-1.1325711196351238E-2</v>
      </c>
      <c r="H228" s="180">
        <f t="shared" ca="1" si="182"/>
        <v>5.9004440868881187E-2</v>
      </c>
      <c r="I228" s="180">
        <f t="shared" ca="1" si="183"/>
        <v>2.7213993676572831E-2</v>
      </c>
      <c r="J228" s="180">
        <f t="shared" ca="1" si="184"/>
        <v>2.7936442718619215E-3</v>
      </c>
      <c r="K228" s="180">
        <f t="shared" ca="1" si="185"/>
        <v>2.6790724574309636E-2</v>
      </c>
      <c r="L228" s="180">
        <f t="shared" ca="1" si="186"/>
        <v>2.1932547943213077E-2</v>
      </c>
      <c r="P228">
        <f t="shared" ca="1" si="188"/>
        <v>3.6349573270598136E-3</v>
      </c>
      <c r="Q228">
        <f t="shared" ca="1" si="187"/>
        <v>9.1130066677535711E-3</v>
      </c>
      <c r="R228">
        <f t="shared" ca="1" si="187"/>
        <v>4.618929342502044E-3</v>
      </c>
      <c r="S228">
        <f t="shared" ca="1" si="187"/>
        <v>1.4455050940671527E-2</v>
      </c>
      <c r="T228">
        <f t="shared" ca="1" si="187"/>
        <v>-1.2827194075354579E-3</v>
      </c>
      <c r="U228">
        <f t="shared" ca="1" si="187"/>
        <v>-8.5798870302114059E-3</v>
      </c>
      <c r="V228">
        <f t="shared" ca="1" si="187"/>
        <v>2.2276925105770766E-3</v>
      </c>
      <c r="W228">
        <f t="shared" ca="1" si="187"/>
        <v>-4.5705431669432134E-3</v>
      </c>
      <c r="X228">
        <f t="shared" ca="1" si="187"/>
        <v>-2.3245994624220122E-3</v>
      </c>
      <c r="Y228">
        <f t="shared" ca="1" si="187"/>
        <v>-4.3188285619043384E-3</v>
      </c>
      <c r="Z228">
        <f t="shared" ca="1" si="187"/>
        <v>6.9279742828403854E-4</v>
      </c>
    </row>
    <row r="229" spans="2:26" hidden="1">
      <c r="B229" s="180">
        <f>'Inflation-Interest'!F76</f>
        <v>0</v>
      </c>
      <c r="C229" s="180">
        <f t="shared" ca="1" si="177"/>
        <v>6.0988256943362906E-2</v>
      </c>
      <c r="D229" s="180">
        <f t="shared" ca="1" si="178"/>
        <v>6.9508205316211977E-2</v>
      </c>
      <c r="E229" s="180">
        <f t="shared" ca="1" si="179"/>
        <v>0.14706745903485402</v>
      </c>
      <c r="F229" s="180">
        <f t="shared" ca="1" si="180"/>
        <v>5.4371239371368181E-2</v>
      </c>
      <c r="G229" s="180">
        <f t="shared" ca="1" si="181"/>
        <v>2.7217333915675278E-2</v>
      </c>
      <c r="H229" s="180">
        <f t="shared" ca="1" si="182"/>
        <v>2.380853820774273E-2</v>
      </c>
      <c r="I229" s="180">
        <f t="shared" ca="1" si="183"/>
        <v>2.3323886631222517E-2</v>
      </c>
      <c r="J229" s="180">
        <f t="shared" ca="1" si="184"/>
        <v>8.0346075689527841E-2</v>
      </c>
      <c r="K229" s="180">
        <f t="shared" ca="1" si="185"/>
        <v>3.9338641804733836E-2</v>
      </c>
      <c r="L229" s="180">
        <f t="shared" ca="1" si="186"/>
        <v>3.871091808697797E-2</v>
      </c>
      <c r="P229">
        <f t="shared" ca="1" si="188"/>
        <v>5.9026401768087254E-3</v>
      </c>
      <c r="Q229">
        <f t="shared" ca="1" si="187"/>
        <v>-1.1348503669444379E-3</v>
      </c>
      <c r="R229">
        <f t="shared" ca="1" si="187"/>
        <v>-5.9858540427910282E-3</v>
      </c>
      <c r="S229">
        <f t="shared" ca="1" si="187"/>
        <v>9.441264790311638E-4</v>
      </c>
      <c r="T229">
        <f t="shared" ca="1" si="187"/>
        <v>6.0262031908824192E-3</v>
      </c>
      <c r="U229">
        <f t="shared" ca="1" si="187"/>
        <v>-1.0336452765691732E-2</v>
      </c>
      <c r="V229">
        <f t="shared" ca="1" si="187"/>
        <v>-6.0187819901857623E-3</v>
      </c>
      <c r="W229">
        <f t="shared" ca="1" si="187"/>
        <v>-4.1922773809677781E-4</v>
      </c>
      <c r="X229">
        <f t="shared" ca="1" si="187"/>
        <v>-1.1838236385639446E-2</v>
      </c>
      <c r="Y229">
        <f t="shared" ca="1" si="187"/>
        <v>-1.8542843665904419E-3</v>
      </c>
      <c r="Z229">
        <f t="shared" ca="1" si="187"/>
        <v>1.4578860939890906E-3</v>
      </c>
    </row>
    <row r="230" spans="2:26" hidden="1">
      <c r="B230" s="180">
        <f>'Inflation-Interest'!F77</f>
        <v>0</v>
      </c>
      <c r="C230" s="180">
        <f t="shared" ca="1" si="177"/>
        <v>-1.5555508011646678E-2</v>
      </c>
      <c r="D230" s="180">
        <f t="shared" ca="1" si="178"/>
        <v>6.5831846682233075E-2</v>
      </c>
      <c r="E230" s="180">
        <f t="shared" ca="1" si="179"/>
        <v>-3.6425169982210306E-2</v>
      </c>
      <c r="F230" s="180">
        <f t="shared" ca="1" si="180"/>
        <v>-6.6989545806025001E-3</v>
      </c>
      <c r="G230" s="180">
        <f t="shared" ca="1" si="181"/>
        <v>2.8455516548088412E-2</v>
      </c>
      <c r="H230" s="180">
        <f t="shared" ca="1" si="182"/>
        <v>5.1494994727941439E-2</v>
      </c>
      <c r="I230" s="180">
        <f t="shared" ca="1" si="183"/>
        <v>1.242527787607031E-3</v>
      </c>
      <c r="J230" s="180">
        <f t="shared" ca="1" si="184"/>
        <v>4.1536234644783702E-3</v>
      </c>
      <c r="K230" s="180">
        <f t="shared" ca="1" si="185"/>
        <v>-1.1475205857021083E-2</v>
      </c>
      <c r="L230" s="180">
        <f t="shared" ca="1" si="186"/>
        <v>5.0303295299319734E-2</v>
      </c>
      <c r="P230">
        <f t="shared" ca="1" si="188"/>
        <v>-9.1901148562556004E-3</v>
      </c>
      <c r="Q230">
        <f t="shared" ca="1" si="187"/>
        <v>2.9520111512244623E-3</v>
      </c>
      <c r="R230">
        <f t="shared" ca="1" si="187"/>
        <v>-1.1008637888279046E-3</v>
      </c>
      <c r="S230">
        <f t="shared" ca="1" si="187"/>
        <v>-1.4175841249051406E-2</v>
      </c>
      <c r="T230">
        <f t="shared" ca="1" si="187"/>
        <v>7.8576123555108429E-3</v>
      </c>
      <c r="U230">
        <f t="shared" ca="1" si="187"/>
        <v>2.6688125713546576E-3</v>
      </c>
      <c r="V230">
        <f t="shared" ca="1" si="187"/>
        <v>-2.2386067168638042E-3</v>
      </c>
      <c r="W230">
        <f t="shared" ca="1" si="187"/>
        <v>-4.5631768803649211E-3</v>
      </c>
      <c r="X230">
        <f t="shared" ca="1" si="187"/>
        <v>-5.7040312530726662E-3</v>
      </c>
      <c r="Y230">
        <f t="shared" ca="1" si="187"/>
        <v>9.3949559482059183E-3</v>
      </c>
      <c r="Z230">
        <f t="shared" ca="1" si="187"/>
        <v>5.7139762295397689E-4</v>
      </c>
    </row>
    <row r="231" spans="2:26" hidden="1">
      <c r="B231" s="180">
        <f>'Inflation-Interest'!F78</f>
        <v>0</v>
      </c>
      <c r="C231" s="180">
        <f t="shared" ca="1" si="177"/>
        <v>4.8525831222025237E-2</v>
      </c>
      <c r="D231" s="180">
        <f t="shared" ca="1" si="178"/>
        <v>8.3480694010454229E-2</v>
      </c>
      <c r="E231" s="180">
        <f t="shared" ca="1" si="179"/>
        <v>6.6509096375016077E-2</v>
      </c>
      <c r="F231" s="180">
        <f t="shared" ca="1" si="180"/>
        <v>5.7385569410388117E-2</v>
      </c>
      <c r="G231" s="180">
        <f t="shared" ca="1" si="181"/>
        <v>7.7451814750696069E-2</v>
      </c>
      <c r="H231" s="180">
        <f t="shared" ca="1" si="182"/>
        <v>9.8950072276255172E-2</v>
      </c>
      <c r="I231" s="180">
        <f t="shared" ca="1" si="183"/>
        <v>0.13840546276426149</v>
      </c>
      <c r="J231" s="180">
        <f t="shared" ca="1" si="184"/>
        <v>6.8763660794276885E-2</v>
      </c>
      <c r="K231" s="180">
        <f t="shared" ca="1" si="185"/>
        <v>0.13711722367279977</v>
      </c>
      <c r="L231" s="180">
        <f t="shared" ca="1" si="186"/>
        <v>8.0966750156619638E-2</v>
      </c>
      <c r="P231">
        <f t="shared" ca="1" si="188"/>
        <v>3.8829575259196979E-4</v>
      </c>
      <c r="Q231">
        <f t="shared" ca="1" si="187"/>
        <v>3.4359100125540944E-3</v>
      </c>
      <c r="R231">
        <f t="shared" ca="1" si="187"/>
        <v>-1.2529709063058613E-3</v>
      </c>
      <c r="S231">
        <f t="shared" ca="1" si="187"/>
        <v>1.5459640963935784E-3</v>
      </c>
      <c r="T231">
        <f t="shared" ca="1" si="187"/>
        <v>-9.3484457220535302E-3</v>
      </c>
      <c r="U231">
        <f t="shared" ca="1" si="187"/>
        <v>-4.4824129122773343E-3</v>
      </c>
      <c r="V231">
        <f t="shared" ca="1" si="187"/>
        <v>7.2934634649472413E-3</v>
      </c>
      <c r="W231">
        <f t="shared" ca="1" si="187"/>
        <v>6.6225549006751418E-4</v>
      </c>
      <c r="X231">
        <f t="shared" ca="1" si="187"/>
        <v>-8.8674425438592976E-3</v>
      </c>
      <c r="Y231">
        <f t="shared" ca="1" si="187"/>
        <v>4.6547212419498912E-3</v>
      </c>
      <c r="Z231">
        <f t="shared" ca="1" si="187"/>
        <v>-7.9923283137481108E-3</v>
      </c>
    </row>
    <row r="232" spans="2:26" hidden="1">
      <c r="B232" s="180">
        <f>'Inflation-Interest'!F79</f>
        <v>0</v>
      </c>
      <c r="C232" s="180">
        <f t="shared" ca="1" si="177"/>
        <v>2.4536057164281248E-2</v>
      </c>
      <c r="D232" s="180">
        <f t="shared" ca="1" si="178"/>
        <v>3.8582867440791688E-2</v>
      </c>
      <c r="E232" s="180">
        <f t="shared" ca="1" si="179"/>
        <v>6.9980744884983823E-3</v>
      </c>
      <c r="F232" s="180">
        <f t="shared" ca="1" si="180"/>
        <v>4.6836096130606013E-2</v>
      </c>
      <c r="G232" s="180">
        <f t="shared" ca="1" si="181"/>
        <v>5.5306795997956883E-2</v>
      </c>
      <c r="H232" s="180">
        <f t="shared" ca="1" si="182"/>
        <v>7.5907319919935087E-2</v>
      </c>
      <c r="I232" s="180">
        <f t="shared" ca="1" si="183"/>
        <v>3.6472012028559479E-2</v>
      </c>
      <c r="J232" s="180">
        <f t="shared" ca="1" si="184"/>
        <v>7.9629084271105738E-2</v>
      </c>
      <c r="K232" s="180">
        <f t="shared" ca="1" si="185"/>
        <v>7.947863123031515E-2</v>
      </c>
      <c r="L232" s="180">
        <f t="shared" ca="1" si="186"/>
        <v>7.3108755810441781E-2</v>
      </c>
      <c r="P232">
        <f t="shared" ca="1" si="188"/>
        <v>-4.5530558634763454E-3</v>
      </c>
      <c r="Q232">
        <f t="shared" ca="1" si="187"/>
        <v>-1.1704542129238072E-2</v>
      </c>
      <c r="R232">
        <f t="shared" ca="1" si="187"/>
        <v>-6.3239632245940588E-3</v>
      </c>
      <c r="S232">
        <f t="shared" ca="1" si="187"/>
        <v>-5.9505720984786604E-3</v>
      </c>
      <c r="T232">
        <f t="shared" ca="1" si="187"/>
        <v>7.8544327741220739E-4</v>
      </c>
      <c r="U232">
        <f t="shared" ca="1" si="187"/>
        <v>8.4955229868439574E-3</v>
      </c>
      <c r="V232">
        <f t="shared" ca="1" si="187"/>
        <v>8.6185673594798441E-3</v>
      </c>
      <c r="W232">
        <f t="shared" ca="1" si="187"/>
        <v>-5.056019246985787E-3</v>
      </c>
      <c r="X232">
        <f t="shared" ca="1" si="187"/>
        <v>1.0273597650938491E-2</v>
      </c>
      <c r="Y232">
        <f t="shared" ca="1" si="187"/>
        <v>9.4795913328699632E-3</v>
      </c>
      <c r="Z232">
        <f t="shared" ca="1" si="187"/>
        <v>5.2465176921132478E-3</v>
      </c>
    </row>
    <row r="233" spans="2:26" hidden="1">
      <c r="B233" s="180">
        <f>'Inflation-Interest'!F80</f>
        <v>0</v>
      </c>
      <c r="C233" s="180">
        <f t="shared" ca="1" si="177"/>
        <v>5.5096236714073536E-2</v>
      </c>
      <c r="D233" s="180">
        <f t="shared" ca="1" si="178"/>
        <v>5.5447084213303049E-2</v>
      </c>
      <c r="E233" s="180">
        <f t="shared" ca="1" si="179"/>
        <v>6.7491765045419164E-2</v>
      </c>
      <c r="F233" s="180">
        <f t="shared" ca="1" si="180"/>
        <v>0.11457772006762157</v>
      </c>
      <c r="G233" s="180">
        <f t="shared" ca="1" si="181"/>
        <v>8.237820568558607E-2</v>
      </c>
      <c r="H233" s="180">
        <f t="shared" ca="1" si="182"/>
        <v>5.9421437773550821E-2</v>
      </c>
      <c r="I233" s="180">
        <f t="shared" ca="1" si="183"/>
        <v>1.8950678201006071E-2</v>
      </c>
      <c r="J233" s="180">
        <f t="shared" ca="1" si="184"/>
        <v>7.2297499305708071E-2</v>
      </c>
      <c r="K233" s="180">
        <f t="shared" ca="1" si="185"/>
        <v>6.8968834762335285E-2</v>
      </c>
      <c r="L233" s="180">
        <f t="shared" ca="1" si="186"/>
        <v>6.3599387886658781E-2</v>
      </c>
      <c r="P233">
        <f t="shared" ca="1" si="188"/>
        <v>1.7406748503685852E-4</v>
      </c>
      <c r="Q233">
        <f t="shared" ca="1" si="187"/>
        <v>-7.6013948896100159E-3</v>
      </c>
      <c r="R233">
        <f t="shared" ca="1" si="187"/>
        <v>-1.3818482285650189E-2</v>
      </c>
      <c r="S233">
        <f t="shared" ca="1" si="187"/>
        <v>-2.6933177694375731E-4</v>
      </c>
      <c r="T233">
        <f t="shared" ca="1" si="187"/>
        <v>2.1728523675235093E-3</v>
      </c>
      <c r="U233">
        <f t="shared" ca="1" si="187"/>
        <v>-7.3011975696229163E-3</v>
      </c>
      <c r="V233">
        <f t="shared" ca="1" si="187"/>
        <v>1.6761063541411423E-3</v>
      </c>
      <c r="W233">
        <f t="shared" ca="1" si="187"/>
        <v>7.1525360892912126E-3</v>
      </c>
      <c r="X233">
        <f t="shared" ca="1" si="187"/>
        <v>-3.2631565150464613E-3</v>
      </c>
      <c r="Y233">
        <f t="shared" ca="1" si="187"/>
        <v>4.6635449322319014E-3</v>
      </c>
      <c r="Z233">
        <f t="shared" ca="1" si="187"/>
        <v>7.8908281142940195E-3</v>
      </c>
    </row>
    <row r="234" spans="2:26" hidden="1">
      <c r="B234" s="180">
        <f>'Inflation-Interest'!F81</f>
        <v>0</v>
      </c>
      <c r="C234" s="180">
        <f t="shared" ca="1" si="177"/>
        <v>6.2199379658426701E-2</v>
      </c>
      <c r="D234" s="180">
        <f t="shared" ca="1" si="178"/>
        <v>9.2261759440027777E-2</v>
      </c>
      <c r="E234" s="180">
        <f t="shared" ca="1" si="179"/>
        <v>1.2930187585795592E-2</v>
      </c>
      <c r="F234" s="180">
        <f t="shared" ca="1" si="180"/>
        <v>8.2861050037250208E-2</v>
      </c>
      <c r="G234" s="180">
        <f t="shared" ca="1" si="181"/>
        <v>8.1363395716357104E-2</v>
      </c>
      <c r="H234" s="180">
        <f t="shared" ca="1" si="182"/>
        <v>0.11535035310812314</v>
      </c>
      <c r="I234" s="180">
        <f t="shared" ca="1" si="183"/>
        <v>7.7230193737622119E-2</v>
      </c>
      <c r="J234" s="180">
        <f t="shared" ca="1" si="184"/>
        <v>7.2139653960424668E-2</v>
      </c>
      <c r="K234" s="180">
        <f t="shared" ca="1" si="185"/>
        <v>0.11623046623420583</v>
      </c>
      <c r="L234" s="180">
        <f t="shared" ca="1" si="186"/>
        <v>8.072130105791063E-2</v>
      </c>
      <c r="P234">
        <f t="shared" ca="1" si="188"/>
        <v>3.7601684386084482E-4</v>
      </c>
      <c r="Q234">
        <f t="shared" ca="1" si="187"/>
        <v>7.1172285721477855E-3</v>
      </c>
      <c r="R234">
        <f t="shared" ca="1" si="187"/>
        <v>1.36791675207335E-2</v>
      </c>
      <c r="S234">
        <f t="shared" ca="1" si="187"/>
        <v>-6.3923017955937189E-3</v>
      </c>
      <c r="T234">
        <f t="shared" ca="1" si="187"/>
        <v>-3.9512980099972556E-4</v>
      </c>
      <c r="U234">
        <f t="shared" ca="1" si="187"/>
        <v>-4.5213632108436633E-3</v>
      </c>
      <c r="V234">
        <f t="shared" ca="1" si="187"/>
        <v>1.1133566882110113E-2</v>
      </c>
      <c r="W234">
        <f t="shared" ca="1" si="187"/>
        <v>-9.9860240126260465E-4</v>
      </c>
      <c r="X234">
        <f t="shared" ca="1" si="187"/>
        <v>-6.5215928890836493E-4</v>
      </c>
      <c r="Y234">
        <f t="shared" ca="1" si="187"/>
        <v>1.1472195280536836E-3</v>
      </c>
      <c r="Z234">
        <f t="shared" ca="1" si="187"/>
        <v>-1.321835287699993E-2</v>
      </c>
    </row>
    <row r="235" spans="2:26" hidden="1">
      <c r="B235" s="180">
        <f>'Inflation-Interest'!F82</f>
        <v>0</v>
      </c>
      <c r="C235" s="180">
        <f t="shared" ca="1" si="177"/>
        <v>3.580195230938911E-2</v>
      </c>
      <c r="D235" s="180">
        <f t="shared" ca="1" si="178"/>
        <v>8.0819727737656777E-2</v>
      </c>
      <c r="E235" s="180">
        <f t="shared" ca="1" si="179"/>
        <v>5.8701238287467511E-2</v>
      </c>
      <c r="F235" s="180">
        <f t="shared" ca="1" si="180"/>
        <v>3.2577869720952092E-2</v>
      </c>
      <c r="G235" s="180">
        <f t="shared" ca="1" si="181"/>
        <v>4.6073468555558245E-2</v>
      </c>
      <c r="H235" s="180">
        <f t="shared" ca="1" si="182"/>
        <v>2.283291685701001E-2</v>
      </c>
      <c r="I235" s="180">
        <f t="shared" ca="1" si="183"/>
        <v>1.5513172556336118E-2</v>
      </c>
      <c r="J235" s="180">
        <f t="shared" ca="1" si="184"/>
        <v>2.6037185091785302E-2</v>
      </c>
      <c r="K235" s="180">
        <f t="shared" ca="1" si="185"/>
        <v>-4.2143129084146018E-4</v>
      </c>
      <c r="L235" s="180">
        <f t="shared" ca="1" si="186"/>
        <v>9.2885391840324388E-3</v>
      </c>
      <c r="P235">
        <f t="shared" ca="1" si="188"/>
        <v>-2.0562196257730282E-3</v>
      </c>
      <c r="Q235">
        <f t="shared" ca="1" si="187"/>
        <v>-1.2550914688779814E-3</v>
      </c>
      <c r="R235">
        <f t="shared" ca="1" si="187"/>
        <v>-2.0621324374280026E-3</v>
      </c>
      <c r="S235">
        <f t="shared" ca="1" si="187"/>
        <v>-4.8009105613536791E-3</v>
      </c>
      <c r="T235">
        <f t="shared" ca="1" si="187"/>
        <v>-3.4075390939458908E-3</v>
      </c>
      <c r="U235">
        <f t="shared" ca="1" si="187"/>
        <v>-1.3944623090129127E-3</v>
      </c>
      <c r="V235">
        <f t="shared" ca="1" si="187"/>
        <v>1.1864520843092674E-3</v>
      </c>
      <c r="W235">
        <f t="shared" ca="1" si="187"/>
        <v>-1.0833287881951582E-2</v>
      </c>
      <c r="X235">
        <f t="shared" ca="1" si="187"/>
        <v>-2.9094081374384851E-3</v>
      </c>
      <c r="Y235">
        <f t="shared" ca="1" si="187"/>
        <v>-2.7581770715813907E-3</v>
      </c>
      <c r="Z235">
        <f t="shared" ca="1" si="187"/>
        <v>4.0829243497947417E-3</v>
      </c>
    </row>
    <row r="236" spans="2:26" hidden="1">
      <c r="B236" s="180">
        <f>'Inflation-Interest'!F83</f>
        <v>0</v>
      </c>
      <c r="C236" s="180">
        <f t="shared" ca="1" si="177"/>
        <v>6.1873214264490418E-2</v>
      </c>
      <c r="D236" s="180">
        <f t="shared" ca="1" si="178"/>
        <v>4.159974208125275E-2</v>
      </c>
      <c r="E236" s="180">
        <f t="shared" ca="1" si="179"/>
        <v>-2.3030047637680868E-2</v>
      </c>
      <c r="F236" s="180">
        <f t="shared" ca="1" si="180"/>
        <v>-1.2035139955718742E-2</v>
      </c>
      <c r="G236" s="180">
        <f t="shared" ca="1" si="181"/>
        <v>2.2458135788097043E-3</v>
      </c>
      <c r="H236" s="180">
        <f t="shared" ca="1" si="182"/>
        <v>-1.187695268734943E-2</v>
      </c>
      <c r="I236" s="180">
        <f t="shared" ca="1" si="183"/>
        <v>-4.4753720119728245E-2</v>
      </c>
      <c r="J236" s="180">
        <f t="shared" ca="1" si="184"/>
        <v>-8.1336327219000429E-2</v>
      </c>
      <c r="K236" s="180">
        <f t="shared" ca="1" si="185"/>
        <v>-5.5706255218760381E-3</v>
      </c>
      <c r="L236" s="180">
        <f t="shared" ca="1" si="186"/>
        <v>1.6407640297890137E-2</v>
      </c>
      <c r="P236">
        <f t="shared" ca="1" si="188"/>
        <v>2.1547976183583901E-3</v>
      </c>
      <c r="Q236">
        <f t="shared" ca="1" si="187"/>
        <v>-6.0147247002667239E-3</v>
      </c>
      <c r="R236">
        <f t="shared" ca="1" si="187"/>
        <v>-5.4755521212928419E-3</v>
      </c>
      <c r="S236">
        <f t="shared" ca="1" si="187"/>
        <v>-5.1185628669536752E-4</v>
      </c>
      <c r="T236">
        <f t="shared" ca="1" si="187"/>
        <v>-5.0523473206086182E-4</v>
      </c>
      <c r="U236">
        <f t="shared" ca="1" si="187"/>
        <v>1.1030317530617532E-2</v>
      </c>
      <c r="V236">
        <f t="shared" ca="1" si="187"/>
        <v>5.3245663398521709E-3</v>
      </c>
      <c r="W236">
        <f t="shared" ca="1" si="187"/>
        <v>-1.2088882122013526E-2</v>
      </c>
      <c r="X236">
        <f t="shared" ca="1" si="187"/>
        <v>-7.1889922111276006E-3</v>
      </c>
      <c r="Y236">
        <f t="shared" ca="1" si="187"/>
        <v>1.590205901344921E-2</v>
      </c>
      <c r="Z236">
        <f t="shared" ca="1" si="187"/>
        <v>4.2822143527195911E-4</v>
      </c>
    </row>
    <row r="237" spans="2:26" hidden="1">
      <c r="B237" s="180">
        <f>'Inflation-Interest'!F84</f>
        <v>0</v>
      </c>
      <c r="C237" s="180">
        <f t="shared" ca="1" si="177"/>
        <v>2.0115892176391179E-2</v>
      </c>
      <c r="D237" s="180">
        <f t="shared" ca="1" si="178"/>
        <v>1.5179040945297527E-2</v>
      </c>
      <c r="E237" s="180">
        <f t="shared" ca="1" si="179"/>
        <v>3.2116791505849514E-2</v>
      </c>
      <c r="F237" s="180">
        <f t="shared" ca="1" si="180"/>
        <v>3.3783172791642592E-2</v>
      </c>
      <c r="G237" s="180">
        <f t="shared" ca="1" si="181"/>
        <v>7.0510344108372064E-2</v>
      </c>
      <c r="H237" s="180">
        <f t="shared" ca="1" si="182"/>
        <v>-3.3342808717321459E-4</v>
      </c>
      <c r="I237" s="180">
        <f t="shared" ca="1" si="183"/>
        <v>6.6587031486247852E-2</v>
      </c>
      <c r="J237" s="180">
        <f t="shared" ca="1" si="184"/>
        <v>5.3277155957020809E-2</v>
      </c>
      <c r="K237" s="180">
        <f t="shared" ca="1" si="185"/>
        <v>8.2384488151850385E-2</v>
      </c>
      <c r="L237" s="180">
        <f t="shared" ca="1" si="186"/>
        <v>8.5370185955639083E-2</v>
      </c>
      <c r="P237">
        <f t="shared" ca="1" si="188"/>
        <v>1.2063551172634955E-3</v>
      </c>
      <c r="Q237">
        <f t="shared" ca="1" si="188"/>
        <v>2.5814277218258633E-3</v>
      </c>
      <c r="R237">
        <f t="shared" ca="1" si="188"/>
        <v>-4.8329099916218834E-3</v>
      </c>
      <c r="S237">
        <f t="shared" ca="1" si="188"/>
        <v>-3.4266162270267611E-3</v>
      </c>
      <c r="T237">
        <f t="shared" ca="1" si="188"/>
        <v>7.0061947926451946E-3</v>
      </c>
      <c r="U237">
        <f t="shared" ca="1" si="188"/>
        <v>9.5436992037224201E-3</v>
      </c>
      <c r="V237">
        <f t="shared" ca="1" si="188"/>
        <v>-1.9279653016848453E-3</v>
      </c>
      <c r="W237">
        <f t="shared" ca="1" si="188"/>
        <v>1.2756724374748782E-3</v>
      </c>
      <c r="X237">
        <f t="shared" ca="1" si="188"/>
        <v>-2.1156279818945116E-3</v>
      </c>
      <c r="Y237">
        <f t="shared" ca="1" si="188"/>
        <v>1.6308741028975054E-4</v>
      </c>
      <c r="Z237">
        <f t="shared" ca="1" si="188"/>
        <v>9.3649959436736055E-3</v>
      </c>
    </row>
    <row r="238" spans="2:26" hidden="1">
      <c r="B238" s="180">
        <f>'Inflation-Interest'!F85</f>
        <v>0</v>
      </c>
      <c r="C238" s="180">
        <f t="shared" ca="1" si="177"/>
        <v>6.2208153978712953E-2</v>
      </c>
      <c r="D238" s="180">
        <f t="shared" ca="1" si="178"/>
        <v>3.3085441558065767E-2</v>
      </c>
      <c r="E238" s="180">
        <f t="shared" ca="1" si="179"/>
        <v>3.7985105804716195E-2</v>
      </c>
      <c r="F238" s="180">
        <f t="shared" ca="1" si="180"/>
        <v>4.4280688863098341E-2</v>
      </c>
      <c r="G238" s="180">
        <f t="shared" ca="1" si="181"/>
        <v>5.3914092442232775E-2</v>
      </c>
      <c r="H238" s="180">
        <f t="shared" ca="1" si="182"/>
        <v>0.12745848833831894</v>
      </c>
      <c r="I238" s="180">
        <f t="shared" ca="1" si="183"/>
        <v>0.10180002632720137</v>
      </c>
      <c r="J238" s="180">
        <f t="shared" ca="1" si="184"/>
        <v>6.7430833830447803E-2</v>
      </c>
      <c r="K238" s="180">
        <f t="shared" ca="1" si="185"/>
        <v>4.9465931798740502E-2</v>
      </c>
      <c r="L238" s="180">
        <f t="shared" ca="1" si="186"/>
        <v>3.8139628336430198E-2</v>
      </c>
      <c r="P238">
        <f t="shared" ca="1" si="188"/>
        <v>-4.2734436097857263E-4</v>
      </c>
      <c r="Q238">
        <f t="shared" ca="1" si="188"/>
        <v>-4.4484869970332699E-3</v>
      </c>
      <c r="R238">
        <f t="shared" ca="1" si="188"/>
        <v>5.7717742031347559E-3</v>
      </c>
      <c r="S238">
        <f t="shared" ca="1" si="188"/>
        <v>-9.3845810599543014E-3</v>
      </c>
      <c r="T238">
        <f t="shared" ca="1" si="188"/>
        <v>-7.379256741993045E-3</v>
      </c>
      <c r="U238">
        <f t="shared" ca="1" si="188"/>
        <v>-1.3898167877187009E-3</v>
      </c>
      <c r="V238">
        <f t="shared" ca="1" si="188"/>
        <v>2.0125889071897175E-3</v>
      </c>
      <c r="W238">
        <f t="shared" ca="1" si="188"/>
        <v>5.19737279796587E-3</v>
      </c>
      <c r="X238">
        <f t="shared" ca="1" si="188"/>
        <v>1.3892535711571741E-3</v>
      </c>
      <c r="Y238">
        <f t="shared" ca="1" si="188"/>
        <v>-5.9518258677499717E-3</v>
      </c>
      <c r="Z238">
        <f t="shared" ca="1" si="188"/>
        <v>-2.0276603161058803E-3</v>
      </c>
    </row>
    <row r="239" spans="2:26" hidden="1">
      <c r="B239" s="180">
        <f>'Inflation-Interest'!F86</f>
        <v>0</v>
      </c>
      <c r="C239" s="180">
        <f t="shared" ca="1" si="177"/>
        <v>9.5425918545242308E-2</v>
      </c>
      <c r="D239" s="180">
        <f t="shared" ca="1" si="178"/>
        <v>9.7246770785154091E-2</v>
      </c>
      <c r="E239" s="180">
        <f t="shared" ca="1" si="179"/>
        <v>9.2139400349683598E-2</v>
      </c>
      <c r="F239" s="180">
        <f t="shared" ca="1" si="180"/>
        <v>8.913698376648288E-2</v>
      </c>
      <c r="G239" s="180">
        <f t="shared" ca="1" si="181"/>
        <v>8.6064404886214418E-2</v>
      </c>
      <c r="H239" s="180">
        <f t="shared" ca="1" si="182"/>
        <v>6.9427891934441502E-2</v>
      </c>
      <c r="I239" s="180">
        <f t="shared" ca="1" si="183"/>
        <v>4.0392691338764185E-2</v>
      </c>
      <c r="J239" s="180">
        <f t="shared" ca="1" si="184"/>
        <v>9.0215161733778193E-2</v>
      </c>
      <c r="K239" s="180">
        <f t="shared" ca="1" si="185"/>
        <v>2.6952082979669452E-2</v>
      </c>
      <c r="L239" s="180">
        <f t="shared" ca="1" si="186"/>
        <v>5.3789013102068725E-2</v>
      </c>
      <c r="P239">
        <f t="shared" ca="1" si="188"/>
        <v>-3.1654564140559224E-3</v>
      </c>
      <c r="Q239">
        <f t="shared" ca="1" si="188"/>
        <v>5.3288699396439624E-3</v>
      </c>
      <c r="R239">
        <f t="shared" ca="1" si="188"/>
        <v>-2.6702735471621961E-3</v>
      </c>
      <c r="S239">
        <f t="shared" ca="1" si="188"/>
        <v>8.4176129816083793E-3</v>
      </c>
      <c r="T239">
        <f t="shared" ca="1" si="188"/>
        <v>1.0277084015225244E-2</v>
      </c>
      <c r="U239">
        <f t="shared" ca="1" si="188"/>
        <v>6.2274169910170171E-3</v>
      </c>
      <c r="V239">
        <f t="shared" ca="1" si="188"/>
        <v>-2.3642682399915558E-3</v>
      </c>
      <c r="W239">
        <f t="shared" ca="1" si="188"/>
        <v>3.3920493250228865E-3</v>
      </c>
      <c r="X239">
        <f t="shared" ca="1" si="188"/>
        <v>4.378740467817074E-3</v>
      </c>
      <c r="Y239">
        <f t="shared" ca="1" si="188"/>
        <v>2.1629188970198037E-3</v>
      </c>
      <c r="Z239">
        <f t="shared" ca="1" si="188"/>
        <v>-5.8476493680830084E-4</v>
      </c>
    </row>
    <row r="240" spans="2:26" hidden="1">
      <c r="B240" s="180">
        <f>'Inflation-Interest'!F87</f>
        <v>0</v>
      </c>
      <c r="C240" s="180">
        <f t="shared" ca="1" si="177"/>
        <v>2.718813986545187E-2</v>
      </c>
      <c r="D240" s="180">
        <f t="shared" ca="1" si="178"/>
        <v>1.3040062677480237E-2</v>
      </c>
      <c r="E240" s="180">
        <f t="shared" ca="1" si="179"/>
        <v>-2.6056660064774379E-2</v>
      </c>
      <c r="F240" s="180">
        <f t="shared" ca="1" si="180"/>
        <v>4.6974086425237239E-2</v>
      </c>
      <c r="G240" s="180">
        <f t="shared" ca="1" si="181"/>
        <v>1.6158550517815312E-2</v>
      </c>
      <c r="H240" s="180">
        <f t="shared" ca="1" si="182"/>
        <v>1.2519782954777238E-2</v>
      </c>
      <c r="I240" s="180">
        <f t="shared" ca="1" si="183"/>
        <v>-1.7688866856083944E-2</v>
      </c>
      <c r="J240" s="180">
        <f t="shared" ca="1" si="184"/>
        <v>-2.5274931049151961E-2</v>
      </c>
      <c r="K240" s="180">
        <f t="shared" ca="1" si="185"/>
        <v>-8.9878578096766991E-4</v>
      </c>
      <c r="L240" s="180">
        <f t="shared" ca="1" si="186"/>
        <v>8.5601865721624537E-3</v>
      </c>
      <c r="P240">
        <f t="shared" ca="1" si="188"/>
        <v>-5.3352602059110335E-4</v>
      </c>
      <c r="Q240">
        <f t="shared" ca="1" si="188"/>
        <v>5.5971549359200368E-3</v>
      </c>
      <c r="R240">
        <f t="shared" ca="1" si="188"/>
        <v>-7.6986117001669463E-3</v>
      </c>
      <c r="S240">
        <f t="shared" ca="1" si="188"/>
        <v>8.343275819646253E-4</v>
      </c>
      <c r="T240">
        <f t="shared" ca="1" si="188"/>
        <v>-7.6407776783107631E-3</v>
      </c>
      <c r="U240">
        <f t="shared" ca="1" si="188"/>
        <v>7.0743915183936442E-3</v>
      </c>
      <c r="V240">
        <f t="shared" ca="1" si="188"/>
        <v>-3.8388217861746164E-4</v>
      </c>
      <c r="W240">
        <f t="shared" ca="1" si="188"/>
        <v>1.3101628369885392E-2</v>
      </c>
      <c r="X240">
        <f t="shared" ca="1" si="188"/>
        <v>-2.5737025725599215E-3</v>
      </c>
      <c r="Y240">
        <f t="shared" ca="1" si="188"/>
        <v>-5.5434413975208787E-3</v>
      </c>
      <c r="Z240">
        <f t="shared" ca="1" si="188"/>
        <v>7.1263503267909095E-3</v>
      </c>
    </row>
    <row r="241" spans="2:26" hidden="1">
      <c r="B241" s="180">
        <f>'Inflation-Interest'!F88</f>
        <v>0</v>
      </c>
      <c r="C241" s="180">
        <f t="shared" ca="1" si="177"/>
        <v>3.200963514401118E-2</v>
      </c>
      <c r="D241" s="180">
        <f t="shared" ca="1" si="178"/>
        <v>1.7582462277864454E-2</v>
      </c>
      <c r="E241" s="180">
        <f t="shared" ca="1" si="179"/>
        <v>3.183495193932754E-2</v>
      </c>
      <c r="F241" s="180">
        <f t="shared" ca="1" si="180"/>
        <v>6.0867906919861922E-3</v>
      </c>
      <c r="G241" s="180">
        <f t="shared" ca="1" si="181"/>
        <v>2.5125411505666422E-2</v>
      </c>
      <c r="H241" s="180">
        <f t="shared" ca="1" si="182"/>
        <v>6.7030110641517732E-2</v>
      </c>
      <c r="I241" s="180">
        <f t="shared" ca="1" si="183"/>
        <v>6.264965419255511E-2</v>
      </c>
      <c r="J241" s="180">
        <f t="shared" ca="1" si="184"/>
        <v>-1.0189351558499916E-2</v>
      </c>
      <c r="K241" s="180">
        <f t="shared" ca="1" si="185"/>
        <v>5.0193707924098926E-2</v>
      </c>
      <c r="L241" s="180">
        <f t="shared" ca="1" si="186"/>
        <v>2.5027014598463643E-2</v>
      </c>
      <c r="P241">
        <f t="shared" ca="1" si="188"/>
        <v>9.4332044230438349E-3</v>
      </c>
      <c r="Q241">
        <f t="shared" ca="1" si="188"/>
        <v>-4.7573708946732768E-3</v>
      </c>
      <c r="R241">
        <f t="shared" ca="1" si="188"/>
        <v>1.216093919203576E-3</v>
      </c>
      <c r="S241">
        <f t="shared" ca="1" si="188"/>
        <v>-8.6700105358637914E-3</v>
      </c>
      <c r="T241">
        <f t="shared" ca="1" si="188"/>
        <v>-1.2141122539917473E-2</v>
      </c>
      <c r="U241">
        <f t="shared" ca="1" si="188"/>
        <v>1.7831762428576613E-3</v>
      </c>
      <c r="V241">
        <f t="shared" ca="1" si="188"/>
        <v>1.1493838625591514E-3</v>
      </c>
      <c r="W241">
        <f t="shared" ca="1" si="188"/>
        <v>9.7095646258332589E-3</v>
      </c>
      <c r="X241">
        <f t="shared" ca="1" si="188"/>
        <v>3.3705742165322057E-3</v>
      </c>
      <c r="Y241">
        <f t="shared" ca="1" si="188"/>
        <v>2.5984310581730389E-3</v>
      </c>
      <c r="Z241">
        <f t="shared" ca="1" si="188"/>
        <v>-7.241702287846913E-3</v>
      </c>
    </row>
    <row r="242" spans="2:26" hidden="1">
      <c r="B242" s="180">
        <f>'Inflation-Interest'!F89</f>
        <v>0</v>
      </c>
      <c r="C242" s="180">
        <f t="shared" ca="1" si="177"/>
        <v>3.360569425154647E-2</v>
      </c>
      <c r="D242" s="180">
        <f t="shared" ca="1" si="178"/>
        <v>8.062218582053185E-2</v>
      </c>
      <c r="E242" s="180">
        <f t="shared" ca="1" si="179"/>
        <v>1.7472440257393997E-2</v>
      </c>
      <c r="F242" s="180">
        <f t="shared" ca="1" si="180"/>
        <v>8.4339481982010647E-2</v>
      </c>
      <c r="G242" s="180">
        <f t="shared" ca="1" si="181"/>
        <v>8.6705118170089732E-2</v>
      </c>
      <c r="H242" s="180">
        <f t="shared" ca="1" si="182"/>
        <v>8.4558929753905707E-2</v>
      </c>
      <c r="I242" s="180">
        <f t="shared" ca="1" si="183"/>
        <v>9.5603214720277024E-2</v>
      </c>
      <c r="J242" s="180">
        <f t="shared" ca="1" si="184"/>
        <v>4.50089030264538E-2</v>
      </c>
      <c r="K242" s="180">
        <f t="shared" ca="1" si="185"/>
        <v>8.431825950838101E-2</v>
      </c>
      <c r="L242" s="180">
        <f t="shared" ca="1" si="186"/>
        <v>7.3742343544885347E-2</v>
      </c>
      <c r="P242">
        <f t="shared" ca="1" si="188"/>
        <v>7.8602586347215845E-3</v>
      </c>
      <c r="Q242">
        <f t="shared" ca="1" si="188"/>
        <v>-4.5994002230898869E-3</v>
      </c>
      <c r="R242">
        <f t="shared" ca="1" si="188"/>
        <v>4.4757953665095357E-3</v>
      </c>
      <c r="S242">
        <f t="shared" ca="1" si="188"/>
        <v>5.6738317425225294E-3</v>
      </c>
      <c r="T242">
        <f t="shared" ca="1" si="188"/>
        <v>-8.7580282163559446E-3</v>
      </c>
      <c r="U242">
        <f t="shared" ca="1" si="188"/>
        <v>8.9054979968972332E-3</v>
      </c>
      <c r="V242">
        <f t="shared" ca="1" si="188"/>
        <v>6.8692836961883746E-3</v>
      </c>
      <c r="W242">
        <f t="shared" ca="1" si="188"/>
        <v>5.5369953911174026E-3</v>
      </c>
      <c r="X242">
        <f t="shared" ca="1" si="188"/>
        <v>7.1025412651803382E-3</v>
      </c>
      <c r="Y242">
        <f t="shared" ca="1" si="188"/>
        <v>1.9085958694934971E-3</v>
      </c>
      <c r="Z242">
        <f t="shared" ca="1" si="188"/>
        <v>-5.8654155722211217E-3</v>
      </c>
    </row>
    <row r="243" spans="2:26" hidden="1">
      <c r="B243" s="180">
        <f>'Inflation-Interest'!F90</f>
        <v>0</v>
      </c>
      <c r="C243" s="180">
        <f t="shared" ca="1" si="177"/>
        <v>3.6683685086160961E-2</v>
      </c>
      <c r="D243" s="180">
        <f t="shared" ca="1" si="178"/>
        <v>6.1281056930747813E-2</v>
      </c>
      <c r="E243" s="180">
        <f t="shared" ca="1" si="179"/>
        <v>3.2893291172673263E-2</v>
      </c>
      <c r="F243" s="180">
        <f t="shared" ca="1" si="180"/>
        <v>8.2099543686858345E-2</v>
      </c>
      <c r="G243" s="180">
        <f t="shared" ca="1" si="181"/>
        <v>3.8743864309735587E-2</v>
      </c>
      <c r="H243" s="180">
        <f t="shared" ca="1" si="182"/>
        <v>-3.2020425091146471E-2</v>
      </c>
      <c r="I243" s="180">
        <f t="shared" ca="1" si="183"/>
        <v>-3.0521868119817597E-3</v>
      </c>
      <c r="J243" s="180">
        <f t="shared" ca="1" si="184"/>
        <v>-2.0713399516347923E-2</v>
      </c>
      <c r="K243" s="180">
        <f t="shared" ca="1" si="185"/>
        <v>-8.084050382563239E-2</v>
      </c>
      <c r="L243" s="180">
        <f t="shared" ca="1" si="186"/>
        <v>-1.5996085025765067E-2</v>
      </c>
      <c r="P243">
        <f t="shared" ca="1" si="188"/>
        <v>3.0818802973610511E-3</v>
      </c>
      <c r="Q243">
        <f t="shared" ca="1" si="188"/>
        <v>1.1843781584806869E-3</v>
      </c>
      <c r="R243">
        <f t="shared" ca="1" si="188"/>
        <v>-6.0511910267903053E-3</v>
      </c>
      <c r="S243">
        <f t="shared" ca="1" si="188"/>
        <v>-1.1943009901418729E-2</v>
      </c>
      <c r="T243">
        <f t="shared" ca="1" si="188"/>
        <v>6.1222771127537609E-3</v>
      </c>
      <c r="U243">
        <f t="shared" ca="1" si="188"/>
        <v>-6.0945287565337904E-4</v>
      </c>
      <c r="V243">
        <f t="shared" ca="1" si="188"/>
        <v>6.1658432169125442E-3</v>
      </c>
      <c r="W243">
        <f t="shared" ca="1" si="188"/>
        <v>-6.6919690576144972E-3</v>
      </c>
      <c r="X243">
        <f t="shared" ca="1" si="188"/>
        <v>-6.5219937209520665E-3</v>
      </c>
      <c r="Y243">
        <f t="shared" ca="1" si="188"/>
        <v>-5.1782435201090942E-4</v>
      </c>
      <c r="Z243">
        <f t="shared" ca="1" si="188"/>
        <v>8.8763150323987287E-3</v>
      </c>
    </row>
    <row r="244" spans="2:26" hidden="1">
      <c r="B244" s="180">
        <f>'Inflation-Interest'!F91</f>
        <v>0</v>
      </c>
      <c r="C244" s="180">
        <f t="shared" ca="1" si="177"/>
        <v>7.1892595798450545E-2</v>
      </c>
      <c r="D244" s="180">
        <f t="shared" ca="1" si="178"/>
        <v>9.3276616370971732E-2</v>
      </c>
      <c r="E244" s="180">
        <f t="shared" ca="1" si="179"/>
        <v>8.0726748752919644E-2</v>
      </c>
      <c r="F244" s="180">
        <f t="shared" ca="1" si="180"/>
        <v>7.2867730138575948E-2</v>
      </c>
      <c r="G244" s="180">
        <f t="shared" ca="1" si="181"/>
        <v>0.10499403290015664</v>
      </c>
      <c r="H244" s="180">
        <f t="shared" ca="1" si="182"/>
        <v>7.4703605738570142E-2</v>
      </c>
      <c r="I244" s="180">
        <f t="shared" ca="1" si="183"/>
        <v>7.7027222345180169E-2</v>
      </c>
      <c r="J244" s="180">
        <f t="shared" ca="1" si="184"/>
        <v>2.3575666298046437E-2</v>
      </c>
      <c r="K244" s="180">
        <f t="shared" ca="1" si="185"/>
        <v>0.11552703550677039</v>
      </c>
      <c r="L244" s="180">
        <f t="shared" ca="1" si="186"/>
        <v>4.5073003325103507E-2</v>
      </c>
      <c r="P244">
        <f t="shared" ca="1" si="188"/>
        <v>-5.3165577052533917E-3</v>
      </c>
      <c r="Q244">
        <f t="shared" ca="1" si="188"/>
        <v>4.1810098973912016E-3</v>
      </c>
      <c r="R244">
        <f t="shared" ca="1" si="188"/>
        <v>-4.7914380789981599E-3</v>
      </c>
      <c r="S244">
        <f t="shared" ca="1" si="188"/>
        <v>3.6376815607218537E-3</v>
      </c>
      <c r="T244">
        <f t="shared" ca="1" si="188"/>
        <v>-8.7768145278345339E-3</v>
      </c>
      <c r="U244">
        <f t="shared" ca="1" si="188"/>
        <v>1.2970315531280832E-3</v>
      </c>
      <c r="V244">
        <f t="shared" ca="1" si="188"/>
        <v>4.3638531222702148E-3</v>
      </c>
      <c r="W244">
        <f t="shared" ca="1" si="188"/>
        <v>-6.9406872995445945E-4</v>
      </c>
      <c r="X244">
        <f t="shared" ca="1" si="188"/>
        <v>-3.5247445487977219E-3</v>
      </c>
      <c r="Y244">
        <f t="shared" ca="1" si="188"/>
        <v>-7.0219545705475055E-3</v>
      </c>
      <c r="Z244">
        <f t="shared" ca="1" si="188"/>
        <v>-6.1381126964676746E-3</v>
      </c>
    </row>
    <row r="245" spans="2:26" hidden="1">
      <c r="B245" s="180">
        <f>'Inflation-Interest'!F92</f>
        <v>0</v>
      </c>
      <c r="C245" s="180">
        <f t="shared" ca="1" si="177"/>
        <v>3.1946350880106895E-2</v>
      </c>
      <c r="D245" s="180">
        <f t="shared" ca="1" si="178"/>
        <v>4.9342912175584695E-2</v>
      </c>
      <c r="E245" s="180">
        <f t="shared" ca="1" si="179"/>
        <v>4.581658063317387E-2</v>
      </c>
      <c r="F245" s="180">
        <f t="shared" ca="1" si="180"/>
        <v>3.6827062934570109E-2</v>
      </c>
      <c r="G245" s="180">
        <f t="shared" ca="1" si="181"/>
        <v>3.3450891896038233E-2</v>
      </c>
      <c r="H245" s="180">
        <f t="shared" ca="1" si="182"/>
        <v>5.2829871844926178E-2</v>
      </c>
      <c r="I245" s="180">
        <f t="shared" ca="1" si="183"/>
        <v>8.1433414875323656E-2</v>
      </c>
      <c r="J245" s="180">
        <f t="shared" ca="1" si="184"/>
        <v>6.7363909489677673E-2</v>
      </c>
      <c r="K245" s="180">
        <f t="shared" ca="1" si="185"/>
        <v>4.1787498707938124E-2</v>
      </c>
      <c r="L245" s="180">
        <f t="shared" ca="1" si="186"/>
        <v>9.7221715905731254E-2</v>
      </c>
      <c r="P245">
        <f t="shared" ca="1" si="188"/>
        <v>7.5041597377116269E-3</v>
      </c>
      <c r="Q245">
        <f t="shared" ca="1" si="188"/>
        <v>1.0725439055434079E-3</v>
      </c>
      <c r="R245">
        <f t="shared" ca="1" si="188"/>
        <v>1.2261177351799568E-2</v>
      </c>
      <c r="S245">
        <f t="shared" ca="1" si="188"/>
        <v>1.187285486754797E-2</v>
      </c>
      <c r="T245">
        <f t="shared" ca="1" si="188"/>
        <v>-2.0760077605142912E-3</v>
      </c>
      <c r="U245">
        <f t="shared" ca="1" si="188"/>
        <v>5.2336835101190219E-3</v>
      </c>
      <c r="V245">
        <f t="shared" ca="1" si="188"/>
        <v>-4.9141760463956652E-3</v>
      </c>
      <c r="W245">
        <f t="shared" ca="1" si="188"/>
        <v>-3.5655120301050264E-3</v>
      </c>
      <c r="X245">
        <f t="shared" ca="1" si="188"/>
        <v>-1.1540138016186103E-2</v>
      </c>
      <c r="Y245">
        <f t="shared" ca="1" si="188"/>
        <v>-4.0139403233096158E-3</v>
      </c>
      <c r="Z245">
        <f t="shared" ca="1" si="188"/>
        <v>1.3328665777205685E-2</v>
      </c>
    </row>
    <row r="246" spans="2:26" hidden="1">
      <c r="B246" s="180">
        <f>'Inflation-Interest'!F93</f>
        <v>0</v>
      </c>
      <c r="C246" s="180">
        <f t="shared" ca="1" si="177"/>
        <v>2.7137006453327697E-2</v>
      </c>
      <c r="D246" s="180">
        <f t="shared" ca="1" si="178"/>
        <v>1.9059426372730958E-2</v>
      </c>
      <c r="E246" s="180">
        <f t="shared" ca="1" si="179"/>
        <v>5.6480093783682551E-2</v>
      </c>
      <c r="F246" s="180">
        <f t="shared" ca="1" si="180"/>
        <v>4.86518858358495E-2</v>
      </c>
      <c r="G246" s="180">
        <f t="shared" ca="1" si="181"/>
        <v>3.2977676546873946E-2</v>
      </c>
      <c r="H246" s="180">
        <f t="shared" ca="1" si="182"/>
        <v>3.5340233005292682E-2</v>
      </c>
      <c r="I246" s="180">
        <f t="shared" ca="1" si="183"/>
        <v>5.5800236362643411E-2</v>
      </c>
      <c r="J246" s="180">
        <f t="shared" ca="1" si="184"/>
        <v>9.0846081664691505E-2</v>
      </c>
      <c r="K246" s="180">
        <f t="shared" ca="1" si="185"/>
        <v>6.7521860498280281E-2</v>
      </c>
      <c r="L246" s="180">
        <f t="shared" ca="1" si="186"/>
        <v>2.3333298638361106E-2</v>
      </c>
      <c r="P246">
        <f t="shared" ca="1" si="188"/>
        <v>4.0165673113598237E-3</v>
      </c>
      <c r="Q246">
        <f t="shared" ca="1" si="188"/>
        <v>1.1823888134312795E-2</v>
      </c>
      <c r="R246">
        <f t="shared" ca="1" si="188"/>
        <v>-3.0045517191026353E-3</v>
      </c>
      <c r="S246">
        <f t="shared" ca="1" si="188"/>
        <v>5.4258974160354264E-3</v>
      </c>
      <c r="T246">
        <f t="shared" ca="1" si="188"/>
        <v>7.2340393294393502E-3</v>
      </c>
      <c r="U246">
        <f t="shared" ca="1" si="188"/>
        <v>4.0833080440612103E-3</v>
      </c>
      <c r="V246">
        <f t="shared" ca="1" si="188"/>
        <v>-4.1878600699429905E-3</v>
      </c>
      <c r="W246">
        <f t="shared" ca="1" si="188"/>
        <v>2.0609564249871632E-3</v>
      </c>
      <c r="X246">
        <f t="shared" ca="1" si="188"/>
        <v>-3.6295923258870167E-3</v>
      </c>
      <c r="Y246">
        <f t="shared" ca="1" si="188"/>
        <v>-1.5807939866904221E-3</v>
      </c>
      <c r="Z246">
        <f t="shared" ca="1" si="188"/>
        <v>1.1085701728699968E-4</v>
      </c>
    </row>
    <row r="247" spans="2:26" hidden="1">
      <c r="B247" s="180">
        <f>'Inflation-Interest'!F94</f>
        <v>0</v>
      </c>
      <c r="C247" s="180">
        <f t="shared" ca="1" si="177"/>
        <v>5.7499826466141359E-2</v>
      </c>
      <c r="D247" s="180">
        <f t="shared" ca="1" si="178"/>
        <v>5.394834857244573E-2</v>
      </c>
      <c r="E247" s="180">
        <f t="shared" ca="1" si="179"/>
        <v>5.3262394087852043E-2</v>
      </c>
      <c r="F247" s="180">
        <f t="shared" ca="1" si="180"/>
        <v>6.7741954531477702E-2</v>
      </c>
      <c r="G247" s="180">
        <f t="shared" ca="1" si="181"/>
        <v>3.5739935108310639E-2</v>
      </c>
      <c r="H247" s="180">
        <f t="shared" ca="1" si="182"/>
        <v>8.3720464899477792E-2</v>
      </c>
      <c r="I247" s="180">
        <f t="shared" ca="1" si="183"/>
        <v>0.14932594804656241</v>
      </c>
      <c r="J247" s="180">
        <f t="shared" ca="1" si="184"/>
        <v>9.8285970355958416E-2</v>
      </c>
      <c r="K247" s="180">
        <f t="shared" ca="1" si="185"/>
        <v>0.12352577008974823</v>
      </c>
      <c r="L247" s="180">
        <f t="shared" ca="1" si="186"/>
        <v>3.0877609771690368E-2</v>
      </c>
      <c r="P247">
        <f t="shared" ca="1" si="188"/>
        <v>1.0828100933774941E-2</v>
      </c>
      <c r="Q247">
        <f t="shared" ca="1" si="188"/>
        <v>-1.0572781554371775E-3</v>
      </c>
      <c r="R247">
        <f t="shared" ca="1" si="188"/>
        <v>-3.4049787842212073E-4</v>
      </c>
      <c r="S247">
        <f t="shared" ca="1" si="188"/>
        <v>7.7878051071380659E-3</v>
      </c>
      <c r="T247">
        <f t="shared" ca="1" si="188"/>
        <v>-2.4272754454192557E-3</v>
      </c>
      <c r="U247">
        <f t="shared" ca="1" si="188"/>
        <v>-5.3383903238653533E-4</v>
      </c>
      <c r="V247">
        <f t="shared" ca="1" si="188"/>
        <v>1.5966713743530949E-2</v>
      </c>
      <c r="W247">
        <f t="shared" ca="1" si="188"/>
        <v>2.1668616807325909E-3</v>
      </c>
      <c r="X247">
        <f t="shared" ca="1" si="188"/>
        <v>-6.3394842102219252E-3</v>
      </c>
      <c r="Y247">
        <f t="shared" ca="1" si="188"/>
        <v>-1.2160593118796235E-3</v>
      </c>
      <c r="Z247">
        <f t="shared" ca="1" si="188"/>
        <v>3.498527841441309E-3</v>
      </c>
    </row>
    <row r="248" spans="2:26" hidden="1">
      <c r="B248" s="180">
        <f>'Inflation-Interest'!F95</f>
        <v>0</v>
      </c>
      <c r="C248" s="180">
        <f t="shared" ca="1" si="177"/>
        <v>5.0242793718633827E-2</v>
      </c>
      <c r="D248" s="180">
        <f t="shared" ca="1" si="178"/>
        <v>6.7935628003359033E-2</v>
      </c>
      <c r="E248" s="180">
        <f t="shared" ca="1" si="179"/>
        <v>9.068571046852128E-2</v>
      </c>
      <c r="F248" s="180">
        <f t="shared" ca="1" si="180"/>
        <v>0.15393036122281023</v>
      </c>
      <c r="G248" s="180">
        <f t="shared" ca="1" si="181"/>
        <v>0.15344154203337293</v>
      </c>
      <c r="H248" s="180">
        <f t="shared" ca="1" si="182"/>
        <v>0.12924266343509852</v>
      </c>
      <c r="I248" s="180">
        <f t="shared" ca="1" si="183"/>
        <v>0.17668464375055271</v>
      </c>
      <c r="J248" s="180">
        <f t="shared" ca="1" si="184"/>
        <v>0.17365841483034133</v>
      </c>
      <c r="K248" s="180">
        <f t="shared" ca="1" si="185"/>
        <v>6.1454876243481719E-2</v>
      </c>
      <c r="L248" s="180">
        <f t="shared" ca="1" si="186"/>
        <v>0.1548594941582887</v>
      </c>
      <c r="P248">
        <f t="shared" ca="1" si="188"/>
        <v>4.8444118354405387E-3</v>
      </c>
      <c r="Q248">
        <f t="shared" ca="1" si="188"/>
        <v>2.6544024376946025E-3</v>
      </c>
      <c r="R248">
        <f t="shared" ca="1" si="188"/>
        <v>-6.9942314758753765E-3</v>
      </c>
      <c r="S248">
        <f t="shared" ca="1" si="188"/>
        <v>-2.3235243774626397E-2</v>
      </c>
      <c r="T248">
        <f t="shared" ca="1" si="188"/>
        <v>1.5817204052196853E-5</v>
      </c>
      <c r="U248">
        <f t="shared" ca="1" si="188"/>
        <v>-9.7907594734092992E-3</v>
      </c>
      <c r="V248">
        <f t="shared" ca="1" si="188"/>
        <v>-1.0368348542972741E-2</v>
      </c>
      <c r="W248">
        <f t="shared" ca="1" si="188"/>
        <v>1.1013414386894951E-2</v>
      </c>
      <c r="X248">
        <f t="shared" ca="1" si="188"/>
        <v>-1.9600583339733114E-5</v>
      </c>
      <c r="Y248">
        <f t="shared" ca="1" si="188"/>
        <v>1.8938381569004689E-5</v>
      </c>
      <c r="Z248">
        <f t="shared" ca="1" si="188"/>
        <v>-6.1435983144760955E-3</v>
      </c>
    </row>
    <row r="249" spans="2:26" hidden="1">
      <c r="B249" s="180">
        <f>'Inflation-Interest'!F96</f>
        <v>0</v>
      </c>
      <c r="C249" s="180">
        <f t="shared" ca="1" si="177"/>
        <v>6.4333234810523499E-2</v>
      </c>
      <c r="D249" s="180">
        <f t="shared" ca="1" si="178"/>
        <v>8.0374726348042547E-2</v>
      </c>
      <c r="E249" s="180">
        <f t="shared" ca="1" si="179"/>
        <v>0.10868612634807304</v>
      </c>
      <c r="F249" s="180">
        <f t="shared" ca="1" si="180"/>
        <v>0.1266951703363067</v>
      </c>
      <c r="G249" s="180">
        <f t="shared" ca="1" si="181"/>
        <v>9.5317095567060833E-2</v>
      </c>
      <c r="H249" s="180">
        <f t="shared" ca="1" si="182"/>
        <v>9.7821045552344943E-2</v>
      </c>
      <c r="I249" s="180">
        <f t="shared" ca="1" si="183"/>
        <v>0.11550837687606826</v>
      </c>
      <c r="J249" s="180">
        <f t="shared" ca="1" si="184"/>
        <v>6.4516551823204232E-2</v>
      </c>
      <c r="K249" s="180">
        <f t="shared" ca="1" si="185"/>
        <v>0.10854133741022438</v>
      </c>
      <c r="L249" s="180">
        <f t="shared" ca="1" si="186"/>
        <v>0.15232110248100725</v>
      </c>
      <c r="P249">
        <f t="shared" ca="1" si="188"/>
        <v>1.9206745188078065E-4</v>
      </c>
      <c r="Q249">
        <f t="shared" ca="1" si="188"/>
        <v>1.747063979027837E-3</v>
      </c>
      <c r="R249">
        <f t="shared" ca="1" si="188"/>
        <v>-8.4742838361094967E-3</v>
      </c>
      <c r="S249">
        <f t="shared" ca="1" si="188"/>
        <v>1.077727484601573E-2</v>
      </c>
      <c r="T249">
        <f t="shared" ca="1" si="188"/>
        <v>-6.9467495533723448E-3</v>
      </c>
      <c r="U249">
        <f t="shared" ca="1" si="188"/>
        <v>-1.8477049599915987E-3</v>
      </c>
      <c r="V249">
        <f t="shared" ca="1" si="188"/>
        <v>5.448442528022404E-3</v>
      </c>
      <c r="W249">
        <f t="shared" ca="1" si="188"/>
        <v>-4.6522350040123384E-3</v>
      </c>
      <c r="X249">
        <f t="shared" ca="1" si="188"/>
        <v>-1.8420727517134774E-3</v>
      </c>
      <c r="Y249">
        <f t="shared" ca="1" si="188"/>
        <v>-3.5362147759808939E-3</v>
      </c>
      <c r="Z249">
        <f t="shared" ca="1" si="188"/>
        <v>4.9276955897709397E-3</v>
      </c>
    </row>
    <row r="250" spans="2:26" hidden="1">
      <c r="B250" s="180">
        <f>'Inflation-Interest'!F97</f>
        <v>0</v>
      </c>
      <c r="C250" s="180">
        <f t="shared" ca="1" si="177"/>
        <v>5.0629076559451452E-2</v>
      </c>
      <c r="D250" s="180">
        <f t="shared" ca="1" si="178"/>
        <v>0.10998024888106547</v>
      </c>
      <c r="E250" s="180">
        <f t="shared" ca="1" si="179"/>
        <v>5.1710880131937434E-2</v>
      </c>
      <c r="F250" s="180">
        <f t="shared" ca="1" si="180"/>
        <v>5.0730157817098914E-2</v>
      </c>
      <c r="G250" s="180">
        <f t="shared" ca="1" si="181"/>
        <v>5.3544941594668181E-2</v>
      </c>
      <c r="H250" s="180">
        <f t="shared" ca="1" si="182"/>
        <v>9.8592117388399177E-3</v>
      </c>
      <c r="I250" s="180">
        <f t="shared" ca="1" si="183"/>
        <v>2.7192722898961984E-2</v>
      </c>
      <c r="J250" s="180">
        <f t="shared" ca="1" si="184"/>
        <v>2.0073391252804759E-2</v>
      </c>
      <c r="K250" s="180">
        <f t="shared" ca="1" si="185"/>
        <v>-8.3957168298496015E-4</v>
      </c>
      <c r="L250" s="180">
        <f t="shared" ca="1" si="186"/>
        <v>2.1837942177270156E-2</v>
      </c>
      <c r="P250">
        <f t="shared" ca="1" si="188"/>
        <v>-4.7549272810074716E-3</v>
      </c>
      <c r="Q250">
        <f t="shared" ca="1" si="188"/>
        <v>-5.5307886758285477E-4</v>
      </c>
      <c r="R250">
        <f t="shared" ca="1" si="188"/>
        <v>3.2037608813274116E-3</v>
      </c>
      <c r="S250">
        <f t="shared" ca="1" si="188"/>
        <v>-2.7935683267631991E-3</v>
      </c>
      <c r="T250">
        <f t="shared" ca="1" si="188"/>
        <v>-1.0059925820918542E-2</v>
      </c>
      <c r="U250">
        <f t="shared" ca="1" si="188"/>
        <v>-3.8478274543066104E-3</v>
      </c>
      <c r="V250">
        <f t="shared" ca="1" si="188"/>
        <v>-1.400935939547472E-3</v>
      </c>
      <c r="W250">
        <f t="shared" ca="1" si="188"/>
        <v>2.2718573964642302E-4</v>
      </c>
      <c r="X250">
        <f t="shared" ca="1" si="188"/>
        <v>-1.7987327729569965E-3</v>
      </c>
      <c r="Y250">
        <f t="shared" ca="1" si="188"/>
        <v>-7.7458042345947302E-3</v>
      </c>
      <c r="Z250">
        <f t="shared" ca="1" si="188"/>
        <v>-4.4245760820085366E-3</v>
      </c>
    </row>
    <row r="251" spans="2:26" hidden="1">
      <c r="B251" s="180">
        <f>'Inflation-Interest'!F98</f>
        <v>0</v>
      </c>
      <c r="C251" s="180">
        <f t="shared" ca="1" si="177"/>
        <v>6.0970225844213723E-2</v>
      </c>
      <c r="D251" s="180">
        <f t="shared" ca="1" si="178"/>
        <v>8.7267603310920067E-2</v>
      </c>
      <c r="E251" s="180">
        <f t="shared" ca="1" si="179"/>
        <v>6.1273715847547476E-2</v>
      </c>
      <c r="F251" s="180">
        <f t="shared" ca="1" si="180"/>
        <v>3.8161277116888832E-2</v>
      </c>
      <c r="G251" s="180">
        <f t="shared" ca="1" si="181"/>
        <v>0.11783256156840755</v>
      </c>
      <c r="H251" s="180">
        <f t="shared" ca="1" si="182"/>
        <v>4.6329745709238854E-2</v>
      </c>
      <c r="I251" s="180">
        <f t="shared" ca="1" si="183"/>
        <v>6.9730044528996352E-2</v>
      </c>
      <c r="J251" s="180">
        <f t="shared" ca="1" si="184"/>
        <v>-2.2152789103202647E-2</v>
      </c>
      <c r="K251" s="180">
        <f t="shared" ca="1" si="185"/>
        <v>4.5206817081945877E-2</v>
      </c>
      <c r="L251" s="180">
        <f t="shared" ca="1" si="186"/>
        <v>6.8101928467608153E-2</v>
      </c>
      <c r="P251">
        <f t="shared" ca="1" si="188"/>
        <v>-3.6905646406429722E-3</v>
      </c>
      <c r="Q251">
        <f t="shared" ca="1" si="188"/>
        <v>1.8702828752583474E-3</v>
      </c>
      <c r="R251">
        <f t="shared" ca="1" si="188"/>
        <v>-5.1084987289393381E-3</v>
      </c>
      <c r="S251">
        <f t="shared" ca="1" si="188"/>
        <v>8.4207391199845674E-3</v>
      </c>
      <c r="T251">
        <f t="shared" ca="1" si="188"/>
        <v>1.3661305950074479E-3</v>
      </c>
      <c r="U251">
        <f t="shared" ca="1" si="188"/>
        <v>8.7771084893977953E-3</v>
      </c>
      <c r="V251">
        <f t="shared" ca="1" si="188"/>
        <v>-4.0464150345427673E-3</v>
      </c>
      <c r="W251">
        <f t="shared" ca="1" si="188"/>
        <v>-8.0738545799236624E-4</v>
      </c>
      <c r="X251">
        <f t="shared" ca="1" si="188"/>
        <v>2.917668818097947E-3</v>
      </c>
      <c r="Y251">
        <f t="shared" ca="1" si="188"/>
        <v>-4.2631852993713117E-3</v>
      </c>
      <c r="Z251">
        <f t="shared" ca="1" si="188"/>
        <v>7.2150031371593613E-3</v>
      </c>
    </row>
    <row r="252" spans="2:26" hidden="1">
      <c r="B252" s="180">
        <f>'Inflation-Interest'!F99</f>
        <v>0</v>
      </c>
      <c r="C252" s="180">
        <f t="shared" ca="1" si="177"/>
        <v>3.8485579120253799E-2</v>
      </c>
      <c r="D252" s="180">
        <f t="shared" ca="1" si="178"/>
        <v>2.3608285035122953E-2</v>
      </c>
      <c r="E252" s="180">
        <f t="shared" ca="1" si="179"/>
        <v>-9.5330434427020848E-3</v>
      </c>
      <c r="F252" s="180">
        <f t="shared" ca="1" si="180"/>
        <v>3.3796385775319938E-2</v>
      </c>
      <c r="G252" s="180">
        <f t="shared" ca="1" si="181"/>
        <v>-1.1383305156596329E-3</v>
      </c>
      <c r="H252" s="180">
        <f t="shared" ca="1" si="182"/>
        <v>1.4458366777197588E-2</v>
      </c>
      <c r="I252" s="180">
        <f t="shared" ca="1" si="183"/>
        <v>-4.6129820050742142E-2</v>
      </c>
      <c r="J252" s="180">
        <f t="shared" ca="1" si="184"/>
        <v>-6.0167474941267849E-3</v>
      </c>
      <c r="K252" s="180">
        <f t="shared" ca="1" si="185"/>
        <v>2.9255486865924992E-2</v>
      </c>
      <c r="L252" s="180">
        <f t="shared" ca="1" si="186"/>
        <v>-2.2249633333455872E-2</v>
      </c>
      <c r="P252">
        <f t="shared" ca="1" si="188"/>
        <v>5.5620604710624891E-3</v>
      </c>
      <c r="Q252">
        <f t="shared" ca="1" si="188"/>
        <v>-4.047361614614697E-3</v>
      </c>
      <c r="R252">
        <f t="shared" ca="1" si="188"/>
        <v>-9.626237586146176E-3</v>
      </c>
      <c r="S252">
        <f t="shared" ca="1" si="188"/>
        <v>-2.9348071522259426E-3</v>
      </c>
      <c r="T252">
        <f t="shared" ca="1" si="188"/>
        <v>3.3946363122402105E-4</v>
      </c>
      <c r="U252">
        <f t="shared" ca="1" si="188"/>
        <v>-1.712256752500103E-2</v>
      </c>
      <c r="V252">
        <f t="shared" ca="1" si="188"/>
        <v>1.2722904698568328E-2</v>
      </c>
      <c r="W252">
        <f t="shared" ca="1" si="188"/>
        <v>-9.0976085473870214E-4</v>
      </c>
      <c r="X252">
        <f t="shared" ca="1" si="188"/>
        <v>4.7395063650099998E-3</v>
      </c>
      <c r="Y252">
        <f t="shared" ca="1" si="188"/>
        <v>-1.0365902370489048E-3</v>
      </c>
      <c r="Z252">
        <f t="shared" ca="1" si="188"/>
        <v>-7.3249314997824791E-3</v>
      </c>
    </row>
    <row r="253" spans="2:26" hidden="1">
      <c r="B253" s="180">
        <f>'Inflation-Interest'!F100</f>
        <v>0</v>
      </c>
      <c r="C253" s="180">
        <f t="shared" ref="C253:C284" ca="1" si="189">C153+Q253</f>
        <v>5.1877312590699401E-2</v>
      </c>
      <c r="D253" s="180">
        <f t="shared" ref="D253:D284" ca="1" si="190">D153+R253</f>
        <v>5.6009787610983644E-2</v>
      </c>
      <c r="E253" s="180">
        <f t="shared" ref="E253:E284" ca="1" si="191">E153+S253</f>
        <v>7.5042701418145383E-2</v>
      </c>
      <c r="F253" s="180">
        <f t="shared" ref="F253:F284" ca="1" si="192">F153+T253</f>
        <v>4.4326703832225763E-2</v>
      </c>
      <c r="G253" s="180">
        <f t="shared" ref="G253:G284" ca="1" si="193">G153+U253</f>
        <v>6.8359252013276667E-2</v>
      </c>
      <c r="H253" s="180">
        <f t="shared" ref="H253:H284" ca="1" si="194">H153+V253</f>
        <v>0.1010563061530582</v>
      </c>
      <c r="I253" s="180">
        <f t="shared" ref="I253:I284" ca="1" si="195">I153+W253</f>
        <v>7.668978694889339E-2</v>
      </c>
      <c r="J253" s="180">
        <f t="shared" ref="J253:J284" ca="1" si="196">J153+X253</f>
        <v>8.0340846593692325E-2</v>
      </c>
      <c r="K253" s="180">
        <f t="shared" ref="K253:K284" ca="1" si="197">K153+Y253</f>
        <v>5.8393943953927274E-2</v>
      </c>
      <c r="L253" s="180">
        <f t="shared" ref="L253:L284" ca="1" si="198">L153+Z253</f>
        <v>2.8347752813204629E-3</v>
      </c>
      <c r="P253">
        <f t="shared" ca="1" si="188"/>
        <v>2.030170650732768E-3</v>
      </c>
      <c r="Q253">
        <f t="shared" ca="1" si="188"/>
        <v>-4.0820698864002731E-4</v>
      </c>
      <c r="R253">
        <f t="shared" ca="1" si="188"/>
        <v>4.6670111430400932E-3</v>
      </c>
      <c r="S253">
        <f t="shared" ca="1" si="188"/>
        <v>-7.3059766753241521E-3</v>
      </c>
      <c r="T253">
        <f t="shared" ca="1" si="188"/>
        <v>3.0048414023501808E-3</v>
      </c>
      <c r="U253">
        <f t="shared" ca="1" si="188"/>
        <v>-7.0591959634715325E-3</v>
      </c>
      <c r="V253">
        <f t="shared" ca="1" si="188"/>
        <v>-1.1250410001150662E-2</v>
      </c>
      <c r="W253">
        <f t="shared" ca="1" si="188"/>
        <v>-6.9352676725698767E-3</v>
      </c>
      <c r="X253">
        <f t="shared" ca="1" si="188"/>
        <v>-1.354036038243448E-3</v>
      </c>
      <c r="Y253">
        <f t="shared" ca="1" si="188"/>
        <v>4.6726147008909515E-3</v>
      </c>
      <c r="Z253">
        <f t="shared" ca="1" si="188"/>
        <v>6.3794365739578609E-3</v>
      </c>
    </row>
    <row r="254" spans="2:26" hidden="1">
      <c r="B254" s="180">
        <f>'Inflation-Interest'!F101</f>
        <v>0</v>
      </c>
      <c r="C254" s="180">
        <f t="shared" ca="1" si="189"/>
        <v>9.1060540876962429E-2</v>
      </c>
      <c r="D254" s="180">
        <f t="shared" ca="1" si="190"/>
        <v>0.1095652559276695</v>
      </c>
      <c r="E254" s="180">
        <f t="shared" ca="1" si="191"/>
        <v>7.4170989158396289E-2</v>
      </c>
      <c r="F254" s="180">
        <f t="shared" ca="1" si="192"/>
        <v>7.0163544658258609E-2</v>
      </c>
      <c r="G254" s="180">
        <f t="shared" ca="1" si="193"/>
        <v>4.1409956614359478E-2</v>
      </c>
      <c r="H254" s="180">
        <f t="shared" ca="1" si="194"/>
        <v>0.12167392482172515</v>
      </c>
      <c r="I254" s="180">
        <f t="shared" ca="1" si="195"/>
        <v>6.0045234382978631E-2</v>
      </c>
      <c r="J254" s="180">
        <f t="shared" ca="1" si="196"/>
        <v>0.11452843384651999</v>
      </c>
      <c r="K254" s="180">
        <f t="shared" ca="1" si="197"/>
        <v>7.4060062792483256E-2</v>
      </c>
      <c r="L254" s="180">
        <f t="shared" ca="1" si="198"/>
        <v>5.3544933465055206E-2</v>
      </c>
      <c r="P254">
        <f t="shared" ref="P254:Z277" ca="1" si="199">_xlfn.NORM.INV(RAND(), $B$9, $B$10)</f>
        <v>-9.5505833370036818E-4</v>
      </c>
      <c r="Q254">
        <f t="shared" ca="1" si="199"/>
        <v>-1.8475160184302662E-3</v>
      </c>
      <c r="R254">
        <f t="shared" ca="1" si="199"/>
        <v>-1.1632880617454076E-3</v>
      </c>
      <c r="S254">
        <f t="shared" ca="1" si="199"/>
        <v>5.0711530150968822E-3</v>
      </c>
      <c r="T254">
        <f t="shared" ca="1" si="199"/>
        <v>7.4106755307600577E-4</v>
      </c>
      <c r="U254">
        <f t="shared" ca="1" si="199"/>
        <v>2.682871201992231E-3</v>
      </c>
      <c r="V254">
        <f t="shared" ca="1" si="199"/>
        <v>1.1995235286361981E-2</v>
      </c>
      <c r="W254">
        <f t="shared" ca="1" si="199"/>
        <v>6.3411703242959765E-3</v>
      </c>
      <c r="X254">
        <f t="shared" ca="1" si="199"/>
        <v>1.4017632322796415E-2</v>
      </c>
      <c r="Y254">
        <f t="shared" ca="1" si="199"/>
        <v>3.9081512805055115E-3</v>
      </c>
      <c r="Z254">
        <f t="shared" ca="1" si="199"/>
        <v>8.21714698558711E-3</v>
      </c>
    </row>
    <row r="255" spans="2:26" hidden="1">
      <c r="B255" s="180">
        <f>'Inflation-Interest'!F102</f>
        <v>0</v>
      </c>
      <c r="C255" s="180">
        <f t="shared" ca="1" si="189"/>
        <v>7.1662255749168235E-2</v>
      </c>
      <c r="D255" s="180">
        <f t="shared" ca="1" si="190"/>
        <v>4.3372898823170483E-2</v>
      </c>
      <c r="E255" s="180">
        <f t="shared" ca="1" si="191"/>
        <v>9.4563678024374098E-2</v>
      </c>
      <c r="F255" s="180">
        <f t="shared" ca="1" si="192"/>
        <v>6.2491176947679437E-2</v>
      </c>
      <c r="G255" s="180">
        <f t="shared" ca="1" si="193"/>
        <v>3.2306995506113587E-2</v>
      </c>
      <c r="H255" s="180">
        <f t="shared" ca="1" si="194"/>
        <v>6.4027935654477314E-2</v>
      </c>
      <c r="I255" s="180">
        <f t="shared" ca="1" si="195"/>
        <v>5.1015948824834165E-2</v>
      </c>
      <c r="J255" s="180">
        <f t="shared" ca="1" si="196"/>
        <v>5.9849111984747724E-2</v>
      </c>
      <c r="K255" s="180">
        <f t="shared" ca="1" si="197"/>
        <v>0.13577293184926062</v>
      </c>
      <c r="L255" s="180">
        <f t="shared" ca="1" si="198"/>
        <v>0.10231084305407781</v>
      </c>
      <c r="P255">
        <f t="shared" ca="1" si="199"/>
        <v>1.0954634990065198E-2</v>
      </c>
      <c r="Q255">
        <f t="shared" ca="1" si="199"/>
        <v>-1.0620909239399651E-2</v>
      </c>
      <c r="R255">
        <f t="shared" ca="1" si="199"/>
        <v>-4.6005651680305236E-3</v>
      </c>
      <c r="S255">
        <f t="shared" ca="1" si="199"/>
        <v>2.9988940390423576E-4</v>
      </c>
      <c r="T255">
        <f t="shared" ca="1" si="199"/>
        <v>-8.8159829893933502E-4</v>
      </c>
      <c r="U255">
        <f t="shared" ca="1" si="199"/>
        <v>2.0727977318886087E-3</v>
      </c>
      <c r="V255">
        <f t="shared" ca="1" si="199"/>
        <v>-2.0460510463335245E-4</v>
      </c>
      <c r="W255">
        <f t="shared" ca="1" si="199"/>
        <v>-3.6894708037110884E-3</v>
      </c>
      <c r="X255">
        <f t="shared" ca="1" si="199"/>
        <v>-1.6549328341162856E-3</v>
      </c>
      <c r="Y255">
        <f t="shared" ca="1" si="199"/>
        <v>7.7440596680652578E-3</v>
      </c>
      <c r="Z255">
        <f t="shared" ca="1" si="199"/>
        <v>1.0441234836665217E-2</v>
      </c>
    </row>
    <row r="256" spans="2:26" hidden="1">
      <c r="B256" s="180">
        <f>'Inflation-Interest'!F103</f>
        <v>0</v>
      </c>
      <c r="C256" s="180">
        <f t="shared" ca="1" si="189"/>
        <v>4.6107830907205223E-2</v>
      </c>
      <c r="D256" s="180">
        <f t="shared" ca="1" si="190"/>
        <v>4.3715983004806672E-3</v>
      </c>
      <c r="E256" s="180">
        <f t="shared" ca="1" si="191"/>
        <v>8.9471785422388025E-2</v>
      </c>
      <c r="F256" s="180">
        <f t="shared" ca="1" si="192"/>
        <v>6.8482026069254728E-2</v>
      </c>
      <c r="G256" s="180">
        <f t="shared" ca="1" si="193"/>
        <v>0.12173149754644148</v>
      </c>
      <c r="H256" s="180">
        <f t="shared" ca="1" si="194"/>
        <v>0.11241183728822263</v>
      </c>
      <c r="I256" s="180">
        <f t="shared" ca="1" si="195"/>
        <v>8.6730367249169368E-2</v>
      </c>
      <c r="J256" s="180">
        <f t="shared" ca="1" si="196"/>
        <v>0.1131066484098945</v>
      </c>
      <c r="K256" s="180">
        <f t="shared" ca="1" si="197"/>
        <v>0.11391156082368534</v>
      </c>
      <c r="L256" s="180">
        <f t="shared" ca="1" si="198"/>
        <v>5.4598767966114875E-2</v>
      </c>
      <c r="P256">
        <f t="shared" ca="1" si="199"/>
        <v>4.1901289964582141E-3</v>
      </c>
      <c r="Q256">
        <f t="shared" ca="1" si="199"/>
        <v>3.2015550548955196E-3</v>
      </c>
      <c r="R256">
        <f t="shared" ca="1" si="199"/>
        <v>-1.0760698220302909E-2</v>
      </c>
      <c r="S256">
        <f t="shared" ca="1" si="199"/>
        <v>1.7479759166902367E-3</v>
      </c>
      <c r="T256">
        <f t="shared" ca="1" si="199"/>
        <v>-3.2989936701451267E-4</v>
      </c>
      <c r="U256">
        <f t="shared" ca="1" si="199"/>
        <v>2.3250734505641827E-3</v>
      </c>
      <c r="V256">
        <f t="shared" ca="1" si="199"/>
        <v>2.7143475333700961E-3</v>
      </c>
      <c r="W256">
        <f t="shared" ca="1" si="199"/>
        <v>2.5518232307767787E-3</v>
      </c>
      <c r="X256">
        <f t="shared" ca="1" si="199"/>
        <v>1.5970325084514092E-3</v>
      </c>
      <c r="Y256">
        <f t="shared" ca="1" si="199"/>
        <v>1.0681109043235639E-3</v>
      </c>
      <c r="Z256">
        <f t="shared" ca="1" si="199"/>
        <v>-4.5482917806289897E-3</v>
      </c>
    </row>
    <row r="257" spans="2:26" hidden="1">
      <c r="B257" s="180">
        <f>'Inflation-Interest'!F104</f>
        <v>0</v>
      </c>
      <c r="C257" s="180">
        <f t="shared" ca="1" si="189"/>
        <v>8.4094540294039094E-2</v>
      </c>
      <c r="D257" s="180">
        <f t="shared" ca="1" si="190"/>
        <v>3.4809193469848003E-2</v>
      </c>
      <c r="E257" s="180">
        <f t="shared" ca="1" si="191"/>
        <v>0.12032885074283489</v>
      </c>
      <c r="F257" s="180">
        <f t="shared" ca="1" si="192"/>
        <v>7.8179910786497012E-2</v>
      </c>
      <c r="G257" s="180">
        <f t="shared" ca="1" si="193"/>
        <v>7.2755671324117782E-2</v>
      </c>
      <c r="H257" s="180">
        <f t="shared" ca="1" si="194"/>
        <v>7.0204837906745449E-2</v>
      </c>
      <c r="I257" s="180">
        <f t="shared" ca="1" si="195"/>
        <v>0.10541121014780525</v>
      </c>
      <c r="J257" s="180">
        <f t="shared" ca="1" si="196"/>
        <v>0.10582967549908755</v>
      </c>
      <c r="K257" s="180">
        <f t="shared" ca="1" si="197"/>
        <v>7.5823542436349409E-2</v>
      </c>
      <c r="L257" s="180">
        <f t="shared" ca="1" si="198"/>
        <v>8.5109295821339026E-2</v>
      </c>
      <c r="P257">
        <f t="shared" ca="1" si="199"/>
        <v>4.4074364165943485E-4</v>
      </c>
      <c r="Q257">
        <f t="shared" ca="1" si="199"/>
        <v>5.5566517999118478E-3</v>
      </c>
      <c r="R257">
        <f t="shared" ca="1" si="199"/>
        <v>-1.0781026490022931E-2</v>
      </c>
      <c r="S257">
        <f t="shared" ca="1" si="199"/>
        <v>1.2447891752673911E-3</v>
      </c>
      <c r="T257">
        <f t="shared" ca="1" si="199"/>
        <v>2.5858044331457113E-3</v>
      </c>
      <c r="U257">
        <f t="shared" ca="1" si="199"/>
        <v>1.3084047380421085E-3</v>
      </c>
      <c r="V257">
        <f t="shared" ca="1" si="199"/>
        <v>-3.3047282109209884E-3</v>
      </c>
      <c r="W257">
        <f t="shared" ca="1" si="199"/>
        <v>-2.0171184535744342E-4</v>
      </c>
      <c r="X257">
        <f t="shared" ca="1" si="199"/>
        <v>-1.311565254467539E-2</v>
      </c>
      <c r="Y257">
        <f t="shared" ca="1" si="199"/>
        <v>-4.9092194702441971E-3</v>
      </c>
      <c r="Z257">
        <f t="shared" ca="1" si="199"/>
        <v>1.155785930519633E-2</v>
      </c>
    </row>
    <row r="258" spans="2:26" hidden="1">
      <c r="B258" s="180">
        <f>'Inflation-Interest'!F105</f>
        <v>0</v>
      </c>
      <c r="C258" s="180">
        <f t="shared" ca="1" si="189"/>
        <v>9.3676066638353858E-2</v>
      </c>
      <c r="D258" s="180">
        <f t="shared" ca="1" si="190"/>
        <v>8.1800913478065049E-2</v>
      </c>
      <c r="E258" s="180">
        <f t="shared" ca="1" si="191"/>
        <v>9.9268778136462676E-2</v>
      </c>
      <c r="F258" s="180">
        <f t="shared" ca="1" si="192"/>
        <v>7.2835497597521642E-2</v>
      </c>
      <c r="G258" s="180">
        <f t="shared" ca="1" si="193"/>
        <v>9.4947066905211819E-2</v>
      </c>
      <c r="H258" s="180">
        <f t="shared" ca="1" si="194"/>
        <v>0.1229177744509415</v>
      </c>
      <c r="I258" s="180">
        <f t="shared" ca="1" si="195"/>
        <v>4.0883461675346532E-2</v>
      </c>
      <c r="J258" s="180">
        <f t="shared" ca="1" si="196"/>
        <v>0.11172774236085216</v>
      </c>
      <c r="K258" s="180">
        <f t="shared" ca="1" si="197"/>
        <v>4.2704568501134285E-2</v>
      </c>
      <c r="L258" s="180">
        <f t="shared" ca="1" si="198"/>
        <v>7.0509135028432729E-2</v>
      </c>
      <c r="P258">
        <f t="shared" ca="1" si="199"/>
        <v>-1.8024448026268771E-3</v>
      </c>
      <c r="Q258">
        <f t="shared" ca="1" si="199"/>
        <v>3.0515943304440345E-3</v>
      </c>
      <c r="R258">
        <f t="shared" ca="1" si="199"/>
        <v>5.7319262805359305E-3</v>
      </c>
      <c r="S258">
        <f t="shared" ca="1" si="199"/>
        <v>4.6600868450869656E-3</v>
      </c>
      <c r="T258">
        <f t="shared" ca="1" si="199"/>
        <v>4.3201919835813077E-3</v>
      </c>
      <c r="U258">
        <f t="shared" ca="1" si="199"/>
        <v>-8.1738943591607533E-4</v>
      </c>
      <c r="V258">
        <f t="shared" ca="1" si="199"/>
        <v>-5.6850927441342279E-4</v>
      </c>
      <c r="W258">
        <f t="shared" ca="1" si="199"/>
        <v>3.9606989178645659E-3</v>
      </c>
      <c r="X258">
        <f t="shared" ca="1" si="199"/>
        <v>-3.5219743614080287E-3</v>
      </c>
      <c r="Y258">
        <f t="shared" ca="1" si="199"/>
        <v>-9.0717289290875129E-3</v>
      </c>
      <c r="Z258">
        <f t="shared" ca="1" si="199"/>
        <v>-1.4873591342047117E-3</v>
      </c>
    </row>
    <row r="259" spans="2:26" hidden="1">
      <c r="B259" s="180">
        <f>'Inflation-Interest'!F106</f>
        <v>0</v>
      </c>
      <c r="C259" s="180">
        <f t="shared" ca="1" si="189"/>
        <v>1.6133706153626748E-2</v>
      </c>
      <c r="D259" s="180">
        <f t="shared" ca="1" si="190"/>
        <v>5.9026609970966905E-2</v>
      </c>
      <c r="E259" s="180">
        <f t="shared" ca="1" si="191"/>
        <v>5.9359728522774498E-2</v>
      </c>
      <c r="F259" s="180">
        <f t="shared" ca="1" si="192"/>
        <v>8.3075658916632392E-3</v>
      </c>
      <c r="G259" s="180">
        <f t="shared" ca="1" si="193"/>
        <v>-5.3459000250768961E-3</v>
      </c>
      <c r="H259" s="180">
        <f t="shared" ca="1" si="194"/>
        <v>1.7298157022223421E-3</v>
      </c>
      <c r="I259" s="180">
        <f t="shared" ca="1" si="195"/>
        <v>-5.6523067448221789E-3</v>
      </c>
      <c r="J259" s="180">
        <f t="shared" ca="1" si="196"/>
        <v>5.152857139298743E-2</v>
      </c>
      <c r="K259" s="180">
        <f t="shared" ca="1" si="197"/>
        <v>4.5867009815515933E-2</v>
      </c>
      <c r="L259" s="180">
        <f t="shared" ca="1" si="198"/>
        <v>-2.9291591368020661E-2</v>
      </c>
      <c r="P259">
        <f t="shared" ca="1" si="199"/>
        <v>-7.7865592644711917E-3</v>
      </c>
      <c r="Q259">
        <f t="shared" ca="1" si="199"/>
        <v>-1.0929443543028224E-2</v>
      </c>
      <c r="R259">
        <f t="shared" ca="1" si="199"/>
        <v>-6.4600279611521849E-3</v>
      </c>
      <c r="S259">
        <f t="shared" ca="1" si="199"/>
        <v>2.6766149228087742E-3</v>
      </c>
      <c r="T259">
        <f t="shared" ca="1" si="199"/>
        <v>4.8335301755366433E-3</v>
      </c>
      <c r="U259">
        <f t="shared" ca="1" si="199"/>
        <v>7.8988305377942908E-3</v>
      </c>
      <c r="V259">
        <f t="shared" ca="1" si="199"/>
        <v>1.0682135079708897E-3</v>
      </c>
      <c r="W259">
        <f t="shared" ca="1" si="199"/>
        <v>-5.4697272942903895E-3</v>
      </c>
      <c r="X259">
        <f t="shared" ca="1" si="199"/>
        <v>-4.1512114318866403E-3</v>
      </c>
      <c r="Y259">
        <f t="shared" ca="1" si="199"/>
        <v>-4.1619841628194891E-4</v>
      </c>
      <c r="Z259">
        <f t="shared" ca="1" si="199"/>
        <v>-8.6624969477446506E-3</v>
      </c>
    </row>
    <row r="260" spans="2:26" hidden="1">
      <c r="B260" s="180">
        <f>'Inflation-Interest'!F107</f>
        <v>0</v>
      </c>
      <c r="C260" s="180">
        <f t="shared" ca="1" si="189"/>
        <v>7.2349352773264375E-2</v>
      </c>
      <c r="D260" s="180">
        <f t="shared" ca="1" si="190"/>
        <v>6.0392799996573432E-2</v>
      </c>
      <c r="E260" s="180">
        <f t="shared" ca="1" si="191"/>
        <v>0.10104436266666368</v>
      </c>
      <c r="F260" s="180">
        <f t="shared" ca="1" si="192"/>
        <v>0.10466507369672563</v>
      </c>
      <c r="G260" s="180">
        <f t="shared" ca="1" si="193"/>
        <v>6.1478342936463003E-2</v>
      </c>
      <c r="H260" s="180">
        <f t="shared" ca="1" si="194"/>
        <v>3.6239050299357443E-2</v>
      </c>
      <c r="I260" s="180">
        <f t="shared" ca="1" si="195"/>
        <v>0.10393123460262152</v>
      </c>
      <c r="J260" s="180">
        <f t="shared" ca="1" si="196"/>
        <v>0.11034701094098937</v>
      </c>
      <c r="K260" s="180">
        <f t="shared" ca="1" si="197"/>
        <v>7.8281090833587794E-2</v>
      </c>
      <c r="L260" s="180">
        <f t="shared" ca="1" si="198"/>
        <v>7.973856920532274E-2</v>
      </c>
      <c r="P260">
        <f t="shared" ca="1" si="199"/>
        <v>7.1074860714733122E-3</v>
      </c>
      <c r="Q260">
        <f t="shared" ca="1" si="199"/>
        <v>-9.8742884906181175E-3</v>
      </c>
      <c r="R260">
        <f t="shared" ca="1" si="199"/>
        <v>5.0603337836576529E-3</v>
      </c>
      <c r="S260">
        <f t="shared" ca="1" si="199"/>
        <v>-3.2990406233230408E-3</v>
      </c>
      <c r="T260">
        <f t="shared" ca="1" si="199"/>
        <v>4.215942396020955E-3</v>
      </c>
      <c r="U260">
        <f t="shared" ca="1" si="199"/>
        <v>4.0458504686020089E-3</v>
      </c>
      <c r="V260">
        <f t="shared" ca="1" si="199"/>
        <v>-2.3268799796883114E-3</v>
      </c>
      <c r="W260">
        <f t="shared" ca="1" si="199"/>
        <v>-6.3471433097924005E-3</v>
      </c>
      <c r="X260">
        <f t="shared" ca="1" si="199"/>
        <v>-2.8787666986083674E-3</v>
      </c>
      <c r="Y260">
        <f t="shared" ca="1" si="199"/>
        <v>-2.2090404801948611E-3</v>
      </c>
      <c r="Z260">
        <f t="shared" ca="1" si="199"/>
        <v>1.2163971271911891E-3</v>
      </c>
    </row>
    <row r="261" spans="2:26" hidden="1">
      <c r="B261" s="180">
        <f>'Inflation-Interest'!F108</f>
        <v>0</v>
      </c>
      <c r="C261" s="180">
        <f t="shared" ca="1" si="189"/>
        <v>3.0163614061193039E-2</v>
      </c>
      <c r="D261" s="180">
        <f t="shared" ca="1" si="190"/>
        <v>5.0933599754955448E-2</v>
      </c>
      <c r="E261" s="180">
        <f t="shared" ca="1" si="191"/>
        <v>1.8452041199074683E-2</v>
      </c>
      <c r="F261" s="180">
        <f t="shared" ca="1" si="192"/>
        <v>4.4308647062876053E-3</v>
      </c>
      <c r="G261" s="180">
        <f t="shared" ca="1" si="193"/>
        <v>7.5976557875919282E-2</v>
      </c>
      <c r="H261" s="180">
        <f t="shared" ca="1" si="194"/>
        <v>3.4187531482141188E-2</v>
      </c>
      <c r="I261" s="180">
        <f t="shared" ca="1" si="195"/>
        <v>3.0269128119635856E-2</v>
      </c>
      <c r="J261" s="180">
        <f t="shared" ca="1" si="196"/>
        <v>5.2387558233609036E-2</v>
      </c>
      <c r="K261" s="180">
        <f t="shared" ca="1" si="197"/>
        <v>4.5300496130657668E-2</v>
      </c>
      <c r="L261" s="180">
        <f t="shared" ca="1" si="198"/>
        <v>2.9555008240491135E-4</v>
      </c>
      <c r="P261">
        <f t="shared" ca="1" si="199"/>
        <v>3.8984367556683036E-4</v>
      </c>
      <c r="Q261">
        <f t="shared" ca="1" si="199"/>
        <v>-1.0101969183011952E-5</v>
      </c>
      <c r="R261">
        <f t="shared" ca="1" si="199"/>
        <v>2.4822437817274075E-3</v>
      </c>
      <c r="S261">
        <f t="shared" ca="1" si="199"/>
        <v>8.6712393465404377E-3</v>
      </c>
      <c r="T261">
        <f t="shared" ca="1" si="199"/>
        <v>4.6393244147635597E-3</v>
      </c>
      <c r="U261">
        <f t="shared" ca="1" si="199"/>
        <v>7.3974027295731657E-3</v>
      </c>
      <c r="V261">
        <f t="shared" ca="1" si="199"/>
        <v>1.5562240894429157E-2</v>
      </c>
      <c r="W261">
        <f t="shared" ca="1" si="199"/>
        <v>1.5364090524413353E-2</v>
      </c>
      <c r="X261">
        <f t="shared" ca="1" si="199"/>
        <v>-3.9067376578122235E-3</v>
      </c>
      <c r="Y261">
        <f t="shared" ca="1" si="199"/>
        <v>2.4393965468924288E-3</v>
      </c>
      <c r="Z261">
        <f t="shared" ca="1" si="199"/>
        <v>6.3039598276052981E-3</v>
      </c>
    </row>
    <row r="262" spans="2:26" hidden="1">
      <c r="B262" s="180">
        <f>'Inflation-Interest'!F109</f>
        <v>0</v>
      </c>
      <c r="C262" s="180">
        <f t="shared" ca="1" si="189"/>
        <v>1.1788799831923925E-2</v>
      </c>
      <c r="D262" s="180">
        <f t="shared" ca="1" si="190"/>
        <v>9.4435950084921463E-2</v>
      </c>
      <c r="E262" s="180">
        <f t="shared" ca="1" si="191"/>
        <v>6.2063925230296468E-2</v>
      </c>
      <c r="F262" s="180">
        <f t="shared" ca="1" si="192"/>
        <v>4.4601737221968092E-2</v>
      </c>
      <c r="G262" s="180">
        <f t="shared" ca="1" si="193"/>
        <v>8.3420185438142391E-2</v>
      </c>
      <c r="H262" s="180">
        <f t="shared" ca="1" si="194"/>
        <v>6.3074059870151744E-2</v>
      </c>
      <c r="I262" s="180">
        <f t="shared" ca="1" si="195"/>
        <v>9.1177958031968515E-2</v>
      </c>
      <c r="J262" s="180">
        <f t="shared" ca="1" si="196"/>
        <v>0.11794347996584417</v>
      </c>
      <c r="K262" s="180">
        <f t="shared" ca="1" si="197"/>
        <v>0.14579175074866868</v>
      </c>
      <c r="L262" s="180">
        <f t="shared" ca="1" si="198"/>
        <v>9.7366806325851679E-2</v>
      </c>
      <c r="P262">
        <f t="shared" ca="1" si="199"/>
        <v>-6.487084439255662E-3</v>
      </c>
      <c r="Q262">
        <f t="shared" ca="1" si="199"/>
        <v>1.615200465996607E-3</v>
      </c>
      <c r="R262">
        <f t="shared" ca="1" si="199"/>
        <v>-6.3556324650267506E-3</v>
      </c>
      <c r="S262">
        <f t="shared" ca="1" si="199"/>
        <v>-8.3313829071942347E-3</v>
      </c>
      <c r="T262">
        <f t="shared" ca="1" si="199"/>
        <v>-5.4281955847875502E-3</v>
      </c>
      <c r="U262">
        <f t="shared" ca="1" si="199"/>
        <v>1.9296745248528412E-3</v>
      </c>
      <c r="V262">
        <f t="shared" ca="1" si="199"/>
        <v>-2.5896528657154186E-3</v>
      </c>
      <c r="W262">
        <f t="shared" ca="1" si="199"/>
        <v>1.1183460105561051E-3</v>
      </c>
      <c r="X262">
        <f t="shared" ca="1" si="199"/>
        <v>-7.2449895387245193E-3</v>
      </c>
      <c r="Y262">
        <f t="shared" ca="1" si="199"/>
        <v>2.662629930674498E-4</v>
      </c>
      <c r="Z262">
        <f t="shared" ca="1" si="199"/>
        <v>-7.0931480374672551E-5</v>
      </c>
    </row>
    <row r="263" spans="2:26" hidden="1">
      <c r="B263" s="180">
        <f>'Inflation-Interest'!F110</f>
        <v>0</v>
      </c>
      <c r="C263" s="180">
        <f t="shared" ca="1" si="189"/>
        <v>9.3828893174081149E-2</v>
      </c>
      <c r="D263" s="180">
        <f t="shared" ca="1" si="190"/>
        <v>-4.4301453917937376E-2</v>
      </c>
      <c r="E263" s="180">
        <f t="shared" ca="1" si="191"/>
        <v>0.10392028227826332</v>
      </c>
      <c r="F263" s="180">
        <f t="shared" ca="1" si="192"/>
        <v>3.3639911240186185E-2</v>
      </c>
      <c r="G263" s="180">
        <f t="shared" ca="1" si="193"/>
        <v>7.3088392958564244E-2</v>
      </c>
      <c r="H263" s="180">
        <f t="shared" ca="1" si="194"/>
        <v>7.0791413238048453E-2</v>
      </c>
      <c r="I263" s="180">
        <f t="shared" ca="1" si="195"/>
        <v>7.3139152780380981E-2</v>
      </c>
      <c r="J263" s="180">
        <f t="shared" ca="1" si="196"/>
        <v>5.4339817040127344E-2</v>
      </c>
      <c r="K263" s="180">
        <f t="shared" ca="1" si="197"/>
        <v>8.496272436764013E-2</v>
      </c>
      <c r="L263" s="180">
        <f t="shared" ca="1" si="198"/>
        <v>4.8689701344286365E-2</v>
      </c>
      <c r="P263">
        <f t="shared" ca="1" si="199"/>
        <v>7.3684335531706596E-4</v>
      </c>
      <c r="Q263">
        <f t="shared" ca="1" si="199"/>
        <v>1.5177212160814786E-2</v>
      </c>
      <c r="R263">
        <f t="shared" ca="1" si="199"/>
        <v>-7.4268986441837416E-4</v>
      </c>
      <c r="S263">
        <f t="shared" ca="1" si="199"/>
        <v>6.755682527807812E-3</v>
      </c>
      <c r="T263">
        <f t="shared" ca="1" si="199"/>
        <v>-5.5128433116992462E-3</v>
      </c>
      <c r="U263">
        <f t="shared" ca="1" si="199"/>
        <v>-1.2967539711734905E-3</v>
      </c>
      <c r="V263">
        <f t="shared" ca="1" si="199"/>
        <v>3.665450822442429E-4</v>
      </c>
      <c r="W263">
        <f t="shared" ca="1" si="199"/>
        <v>3.6361675152762982E-3</v>
      </c>
      <c r="X263">
        <f t="shared" ca="1" si="199"/>
        <v>-1.1632844044219616E-2</v>
      </c>
      <c r="Y263">
        <f t="shared" ca="1" si="199"/>
        <v>3.5772252702888224E-3</v>
      </c>
      <c r="Z263">
        <f t="shared" ca="1" si="199"/>
        <v>2.9522601365805658E-3</v>
      </c>
    </row>
    <row r="264" spans="2:26" hidden="1">
      <c r="B264" s="180">
        <f>'Inflation-Interest'!F111</f>
        <v>0</v>
      </c>
      <c r="C264" s="180">
        <f t="shared" ca="1" si="189"/>
        <v>6.0016646648216883E-2</v>
      </c>
      <c r="D264" s="180">
        <f t="shared" ca="1" si="190"/>
        <v>0.1060754446968753</v>
      </c>
      <c r="E264" s="180">
        <f t="shared" ca="1" si="191"/>
        <v>8.3067084915254885E-2</v>
      </c>
      <c r="F264" s="180">
        <f t="shared" ca="1" si="192"/>
        <v>2.4658622432264909E-2</v>
      </c>
      <c r="G264" s="180">
        <f t="shared" ca="1" si="193"/>
        <v>1.7193028021477728E-2</v>
      </c>
      <c r="H264" s="180">
        <f t="shared" ca="1" si="194"/>
        <v>8.1747961606357176E-4</v>
      </c>
      <c r="I264" s="180">
        <f t="shared" ca="1" si="195"/>
        <v>5.2239212831442214E-2</v>
      </c>
      <c r="J264" s="180">
        <f t="shared" ca="1" si="196"/>
        <v>-3.6784376969866799E-2</v>
      </c>
      <c r="K264" s="180">
        <f t="shared" ca="1" si="197"/>
        <v>4.0946733271693049E-2</v>
      </c>
      <c r="L264" s="180">
        <f t="shared" ca="1" si="198"/>
        <v>5.3821532646597989E-2</v>
      </c>
      <c r="P264">
        <f t="shared" ca="1" si="199"/>
        <v>4.2696335133962865E-3</v>
      </c>
      <c r="Q264">
        <f t="shared" ca="1" si="199"/>
        <v>-4.5294365803422651E-3</v>
      </c>
      <c r="R264">
        <f t="shared" ca="1" si="199"/>
        <v>2.7078922337770667E-3</v>
      </c>
      <c r="S264">
        <f t="shared" ca="1" si="199"/>
        <v>9.4723098546770322E-3</v>
      </c>
      <c r="T264">
        <f t="shared" ca="1" si="199"/>
        <v>1.2201990856410543E-3</v>
      </c>
      <c r="U264">
        <f t="shared" ca="1" si="199"/>
        <v>9.1769200087816905E-3</v>
      </c>
      <c r="V264">
        <f t="shared" ca="1" si="199"/>
        <v>-3.8293589337683805E-4</v>
      </c>
      <c r="W264">
        <f t="shared" ca="1" si="199"/>
        <v>1.5096583451781219E-2</v>
      </c>
      <c r="X264">
        <f t="shared" ca="1" si="199"/>
        <v>-1.3679768145402159E-2</v>
      </c>
      <c r="Y264">
        <f t="shared" ca="1" si="199"/>
        <v>8.5997406136500421E-3</v>
      </c>
      <c r="Z264">
        <f t="shared" ca="1" si="199"/>
        <v>-1.3996911275874505E-2</v>
      </c>
    </row>
    <row r="265" spans="2:26" hidden="1">
      <c r="B265" s="180">
        <f>'Inflation-Interest'!F112</f>
        <v>0</v>
      </c>
      <c r="C265" s="180">
        <f t="shared" ca="1" si="189"/>
        <v>4.1584896234243052E-2</v>
      </c>
      <c r="D265" s="180">
        <f t="shared" ca="1" si="190"/>
        <v>4.2252152388276096E-3</v>
      </c>
      <c r="E265" s="180">
        <f t="shared" ca="1" si="191"/>
        <v>8.3535983705627703E-2</v>
      </c>
      <c r="F265" s="180">
        <f t="shared" ca="1" si="192"/>
        <v>5.0646806251447747E-2</v>
      </c>
      <c r="G265" s="180">
        <f t="shared" ca="1" si="193"/>
        <v>3.3795546249081626E-2</v>
      </c>
      <c r="H265" s="180">
        <f t="shared" ca="1" si="194"/>
        <v>4.2835422921925562E-2</v>
      </c>
      <c r="I265" s="180">
        <f t="shared" ca="1" si="195"/>
        <v>6.3273274665265255E-3</v>
      </c>
      <c r="J265" s="180">
        <f t="shared" ca="1" si="196"/>
        <v>0.10215127489639454</v>
      </c>
      <c r="K265" s="180">
        <f t="shared" ca="1" si="197"/>
        <v>1.4779788512881075E-2</v>
      </c>
      <c r="L265" s="180">
        <f t="shared" ca="1" si="198"/>
        <v>1.2683450213663922E-2</v>
      </c>
      <c r="P265">
        <f t="shared" ca="1" si="199"/>
        <v>4.2549220259956177E-5</v>
      </c>
      <c r="Q265">
        <f t="shared" ca="1" si="199"/>
        <v>-6.7917376011807397E-3</v>
      </c>
      <c r="R265">
        <f t="shared" ca="1" si="199"/>
        <v>3.7563841201318031E-3</v>
      </c>
      <c r="S265">
        <f t="shared" ca="1" si="199"/>
        <v>-8.5447044804372822E-3</v>
      </c>
      <c r="T265">
        <f t="shared" ca="1" si="199"/>
        <v>-2.8459126702169767E-4</v>
      </c>
      <c r="U265">
        <f t="shared" ca="1" si="199"/>
        <v>-1.0406783774394891E-3</v>
      </c>
      <c r="V265">
        <f t="shared" ca="1" si="199"/>
        <v>3.5410707478854216E-4</v>
      </c>
      <c r="W265">
        <f t="shared" ca="1" si="199"/>
        <v>-2.1313134068410471E-3</v>
      </c>
      <c r="X265">
        <f t="shared" ca="1" si="199"/>
        <v>-3.5983296793812579E-4</v>
      </c>
      <c r="Y265">
        <f t="shared" ca="1" si="199"/>
        <v>-4.0414361239686757E-4</v>
      </c>
      <c r="Z265">
        <f t="shared" ca="1" si="199"/>
        <v>2.9663832035804051E-3</v>
      </c>
    </row>
    <row r="266" spans="2:26" hidden="1">
      <c r="B266" s="180">
        <f>'Inflation-Interest'!F113</f>
        <v>0</v>
      </c>
      <c r="C266" s="180">
        <f t="shared" ca="1" si="189"/>
        <v>0.11689625787428744</v>
      </c>
      <c r="D266" s="180">
        <f t="shared" ca="1" si="190"/>
        <v>6.9826664506300151E-2</v>
      </c>
      <c r="E266" s="180">
        <f t="shared" ca="1" si="191"/>
        <v>6.4556604724699138E-2</v>
      </c>
      <c r="F266" s="180">
        <f t="shared" ca="1" si="192"/>
        <v>0.12215465495981985</v>
      </c>
      <c r="G266" s="180">
        <f t="shared" ca="1" si="193"/>
        <v>2.2567838981356579E-2</v>
      </c>
      <c r="H266" s="180">
        <f t="shared" ca="1" si="194"/>
        <v>0.12575241253326161</v>
      </c>
      <c r="I266" s="180">
        <f t="shared" ca="1" si="195"/>
        <v>0.10845909926609246</v>
      </c>
      <c r="J266" s="180">
        <f t="shared" ca="1" si="196"/>
        <v>6.3338022570505179E-2</v>
      </c>
      <c r="K266" s="180">
        <f t="shared" ca="1" si="197"/>
        <v>0.10109333197374824</v>
      </c>
      <c r="L266" s="180">
        <f t="shared" ca="1" si="198"/>
        <v>7.9231455520050065E-2</v>
      </c>
      <c r="P266">
        <f t="shared" ca="1" si="199"/>
        <v>-3.7632180891811933E-4</v>
      </c>
      <c r="Q266">
        <f t="shared" ca="1" si="199"/>
        <v>6.5250737681243481E-3</v>
      </c>
      <c r="R266">
        <f t="shared" ca="1" si="199"/>
        <v>-6.4606191972268708E-4</v>
      </c>
      <c r="S266">
        <f t="shared" ca="1" si="199"/>
        <v>2.4183327114203965E-4</v>
      </c>
      <c r="T266">
        <f t="shared" ca="1" si="199"/>
        <v>1.3480674677960757E-2</v>
      </c>
      <c r="U266">
        <f t="shared" ca="1" si="199"/>
        <v>-2.8640600372947414E-3</v>
      </c>
      <c r="V266">
        <f t="shared" ca="1" si="199"/>
        <v>1.0742394884811237E-2</v>
      </c>
      <c r="W266">
        <f t="shared" ca="1" si="199"/>
        <v>6.4526293432753722E-3</v>
      </c>
      <c r="X266">
        <f t="shared" ca="1" si="199"/>
        <v>4.4428276426461636E-3</v>
      </c>
      <c r="Y266">
        <f t="shared" ca="1" si="199"/>
        <v>9.3983387060568701E-3</v>
      </c>
      <c r="Z266">
        <f t="shared" ca="1" si="199"/>
        <v>2.3033854316819322E-3</v>
      </c>
    </row>
    <row r="267" spans="2:26" hidden="1">
      <c r="B267" s="180">
        <f>'Inflation-Interest'!F114</f>
        <v>0</v>
      </c>
      <c r="C267" s="180">
        <f t="shared" ca="1" si="189"/>
        <v>3.9503858847296208E-2</v>
      </c>
      <c r="D267" s="180">
        <f t="shared" ca="1" si="190"/>
        <v>4.8099461788042537E-2</v>
      </c>
      <c r="E267" s="180">
        <f t="shared" ca="1" si="191"/>
        <v>5.3799524296035142E-2</v>
      </c>
      <c r="F267" s="180">
        <f t="shared" ca="1" si="192"/>
        <v>6.4797960361283324E-2</v>
      </c>
      <c r="G267" s="180">
        <f t="shared" ca="1" si="193"/>
        <v>4.3105148358443035E-2</v>
      </c>
      <c r="H267" s="180">
        <f t="shared" ca="1" si="194"/>
        <v>1.0391424100484379E-2</v>
      </c>
      <c r="I267" s="180">
        <f t="shared" ca="1" si="195"/>
        <v>5.0711286721698536E-2</v>
      </c>
      <c r="J267" s="180">
        <f t="shared" ca="1" si="196"/>
        <v>3.1926456186999727E-2</v>
      </c>
      <c r="K267" s="180">
        <f t="shared" ca="1" si="197"/>
        <v>4.3286243752124393E-2</v>
      </c>
      <c r="L267" s="180">
        <f t="shared" ca="1" si="198"/>
        <v>5.5333008210328272E-2</v>
      </c>
      <c r="P267">
        <f t="shared" ca="1" si="199"/>
        <v>-7.6640634607599931E-4</v>
      </c>
      <c r="Q267">
        <f t="shared" ca="1" si="199"/>
        <v>8.9223804687187814E-3</v>
      </c>
      <c r="R267">
        <f t="shared" ca="1" si="199"/>
        <v>-8.6992882828214714E-4</v>
      </c>
      <c r="S267">
        <f t="shared" ca="1" si="199"/>
        <v>-2.7096565038399064E-3</v>
      </c>
      <c r="T267">
        <f t="shared" ca="1" si="199"/>
        <v>-1.1454623924541659E-2</v>
      </c>
      <c r="U267">
        <f t="shared" ca="1" si="199"/>
        <v>2.4828161857346079E-3</v>
      </c>
      <c r="V267">
        <f t="shared" ca="1" si="199"/>
        <v>-4.5605543931975853E-3</v>
      </c>
      <c r="W267">
        <f t="shared" ca="1" si="199"/>
        <v>5.0273364743784838E-3</v>
      </c>
      <c r="X267">
        <f t="shared" ca="1" si="199"/>
        <v>-2.3821132286584211E-3</v>
      </c>
      <c r="Y267">
        <f t="shared" ca="1" si="199"/>
        <v>-6.664490995366589E-3</v>
      </c>
      <c r="Z267">
        <f t="shared" ca="1" si="199"/>
        <v>-4.3902337573155596E-3</v>
      </c>
    </row>
    <row r="268" spans="2:26" hidden="1">
      <c r="B268" s="180">
        <f>'Inflation-Interest'!F115</f>
        <v>0</v>
      </c>
      <c r="C268" s="180">
        <f t="shared" ca="1" si="189"/>
        <v>5.8647980481433784E-2</v>
      </c>
      <c r="D268" s="180">
        <f t="shared" ca="1" si="190"/>
        <v>7.8692930648538426E-2</v>
      </c>
      <c r="E268" s="180">
        <f t="shared" ca="1" si="191"/>
        <v>8.6731064367571165E-2</v>
      </c>
      <c r="F268" s="180">
        <f t="shared" ca="1" si="192"/>
        <v>9.2504831931356099E-2</v>
      </c>
      <c r="G268" s="180">
        <f t="shared" ca="1" si="193"/>
        <v>6.7829420774183247E-2</v>
      </c>
      <c r="H268" s="180">
        <f t="shared" ca="1" si="194"/>
        <v>5.9195053977052436E-2</v>
      </c>
      <c r="I268" s="180">
        <f t="shared" ca="1" si="195"/>
        <v>0.13630329369578337</v>
      </c>
      <c r="J268" s="180">
        <f t="shared" ca="1" si="196"/>
        <v>0.11155355222950454</v>
      </c>
      <c r="K268" s="180">
        <f t="shared" ca="1" si="197"/>
        <v>6.5319801538112482E-2</v>
      </c>
      <c r="L268" s="180">
        <f t="shared" ca="1" si="198"/>
        <v>0.10650344245741016</v>
      </c>
      <c r="P268">
        <f t="shared" ca="1" si="199"/>
        <v>9.8758064687767631E-3</v>
      </c>
      <c r="Q268">
        <f t="shared" ca="1" si="199"/>
        <v>7.5406185615078981E-3</v>
      </c>
      <c r="R268">
        <f t="shared" ca="1" si="199"/>
        <v>7.3528473474688679E-3</v>
      </c>
      <c r="S268">
        <f t="shared" ca="1" si="199"/>
        <v>-8.9266453624323935E-3</v>
      </c>
      <c r="T268">
        <f t="shared" ca="1" si="199"/>
        <v>1.3672912447687329E-2</v>
      </c>
      <c r="U268">
        <f t="shared" ca="1" si="199"/>
        <v>3.0168311077225438E-3</v>
      </c>
      <c r="V268">
        <f t="shared" ca="1" si="199"/>
        <v>-6.4597450311508061E-3</v>
      </c>
      <c r="W268">
        <f t="shared" ca="1" si="199"/>
        <v>1.9147018500227313E-2</v>
      </c>
      <c r="X268">
        <f t="shared" ca="1" si="199"/>
        <v>-1.1139342521267316E-2</v>
      </c>
      <c r="Y268">
        <f t="shared" ca="1" si="199"/>
        <v>1.2732962897282659E-4</v>
      </c>
      <c r="Z268">
        <f t="shared" ca="1" si="199"/>
        <v>-5.8959837987562543E-3</v>
      </c>
    </row>
    <row r="269" spans="2:26" hidden="1">
      <c r="B269" s="180">
        <f>'Inflation-Interest'!F116</f>
        <v>0</v>
      </c>
      <c r="C269" s="180">
        <f t="shared" ca="1" si="189"/>
        <v>8.399747851825623E-2</v>
      </c>
      <c r="D269" s="180">
        <f t="shared" ca="1" si="190"/>
        <v>9.8435328250492657E-2</v>
      </c>
      <c r="E269" s="180">
        <f t="shared" ca="1" si="191"/>
        <v>4.3064447044950549E-2</v>
      </c>
      <c r="F269" s="180">
        <f t="shared" ca="1" si="192"/>
        <v>-4.5101556415298082E-2</v>
      </c>
      <c r="G269" s="180">
        <f t="shared" ca="1" si="193"/>
        <v>-9.8872421635437177E-3</v>
      </c>
      <c r="H269" s="180">
        <f t="shared" ca="1" si="194"/>
        <v>4.1606283075762772E-2</v>
      </c>
      <c r="I269" s="180">
        <f t="shared" ca="1" si="195"/>
        <v>5.5161386247785929E-3</v>
      </c>
      <c r="J269" s="180">
        <f t="shared" ca="1" si="196"/>
        <v>1.7713286017333629E-2</v>
      </c>
      <c r="K269" s="180">
        <f t="shared" ca="1" si="197"/>
        <v>3.0756491571788419E-2</v>
      </c>
      <c r="L269" s="180">
        <f t="shared" ca="1" si="198"/>
        <v>3.3310313798942649E-2</v>
      </c>
      <c r="P269">
        <f t="shared" ca="1" si="199"/>
        <v>9.5065164722541208E-3</v>
      </c>
      <c r="Q269">
        <f t="shared" ca="1" si="199"/>
        <v>-1.6913778380247587E-3</v>
      </c>
      <c r="R269">
        <f t="shared" ca="1" si="199"/>
        <v>3.8374628831754488E-3</v>
      </c>
      <c r="S269">
        <f t="shared" ca="1" si="199"/>
        <v>2.4289782807608859E-3</v>
      </c>
      <c r="T269">
        <f t="shared" ca="1" si="199"/>
        <v>-8.717813435819434E-3</v>
      </c>
      <c r="U269">
        <f t="shared" ca="1" si="199"/>
        <v>3.4003986824962741E-3</v>
      </c>
      <c r="V269">
        <f t="shared" ca="1" si="199"/>
        <v>2.331945909524835E-3</v>
      </c>
      <c r="W269">
        <f t="shared" ca="1" si="199"/>
        <v>7.1918720591124773E-5</v>
      </c>
      <c r="X269">
        <f t="shared" ca="1" si="199"/>
        <v>9.0304384739585877E-3</v>
      </c>
      <c r="Y269">
        <f t="shared" ca="1" si="199"/>
        <v>-1.4189690522661545E-3</v>
      </c>
      <c r="Z269">
        <f t="shared" ca="1" si="199"/>
        <v>9.3485715331582345E-3</v>
      </c>
    </row>
    <row r="270" spans="2:26" hidden="1">
      <c r="B270" s="180">
        <f>'Inflation-Interest'!F117</f>
        <v>0</v>
      </c>
      <c r="C270" s="180">
        <f t="shared" ca="1" si="189"/>
        <v>2.2052863875577179E-2</v>
      </c>
      <c r="D270" s="180">
        <f t="shared" ca="1" si="190"/>
        <v>5.5272031651705369E-2</v>
      </c>
      <c r="E270" s="180">
        <f t="shared" ca="1" si="191"/>
        <v>6.6067145666015403E-2</v>
      </c>
      <c r="F270" s="180">
        <f t="shared" ca="1" si="192"/>
        <v>6.6500312449510768E-2</v>
      </c>
      <c r="G270" s="180">
        <f t="shared" ca="1" si="193"/>
        <v>8.1366648271039052E-2</v>
      </c>
      <c r="H270" s="180">
        <f t="shared" ca="1" si="194"/>
        <v>0.10315594779483789</v>
      </c>
      <c r="I270" s="180">
        <f t="shared" ca="1" si="195"/>
        <v>7.7467886040963968E-2</v>
      </c>
      <c r="J270" s="180">
        <f t="shared" ca="1" si="196"/>
        <v>7.1346883345140957E-2</v>
      </c>
      <c r="K270" s="180">
        <f t="shared" ca="1" si="197"/>
        <v>9.801973220850968E-2</v>
      </c>
      <c r="L270" s="180">
        <f t="shared" ca="1" si="198"/>
        <v>7.4236385337284092E-2</v>
      </c>
      <c r="P270">
        <f t="shared" ca="1" si="199"/>
        <v>3.4603728350320424E-3</v>
      </c>
      <c r="Q270">
        <f t="shared" ca="1" si="199"/>
        <v>-1.0171230066936619E-2</v>
      </c>
      <c r="R270">
        <f t="shared" ca="1" si="199"/>
        <v>2.3589541567115993E-3</v>
      </c>
      <c r="S270">
        <f t="shared" ca="1" si="199"/>
        <v>-1.0696753088883713E-2</v>
      </c>
      <c r="T270">
        <f t="shared" ca="1" si="199"/>
        <v>-6.7031086075984899E-3</v>
      </c>
      <c r="U270">
        <f t="shared" ca="1" si="199"/>
        <v>3.3816952828717817E-3</v>
      </c>
      <c r="V270">
        <f t="shared" ca="1" si="199"/>
        <v>9.4517428073146916E-3</v>
      </c>
      <c r="W270">
        <f t="shared" ca="1" si="199"/>
        <v>-3.8631660815397558E-3</v>
      </c>
      <c r="X270">
        <f t="shared" ca="1" si="199"/>
        <v>-8.229802265496319E-3</v>
      </c>
      <c r="Y270">
        <f t="shared" ca="1" si="199"/>
        <v>1.2315144617569941E-2</v>
      </c>
      <c r="Z270">
        <f t="shared" ca="1" si="199"/>
        <v>4.5726502432030568E-3</v>
      </c>
    </row>
    <row r="271" spans="2:26" hidden="1">
      <c r="B271" s="180">
        <f>'Inflation-Interest'!F118</f>
        <v>0</v>
      </c>
      <c r="C271" s="180">
        <f t="shared" ca="1" si="189"/>
        <v>7.2702419408513977E-2</v>
      </c>
      <c r="D271" s="180">
        <f t="shared" ca="1" si="190"/>
        <v>0.1043198491718017</v>
      </c>
      <c r="E271" s="180">
        <f t="shared" ca="1" si="191"/>
        <v>6.2408534424917957E-2</v>
      </c>
      <c r="F271" s="180">
        <f t="shared" ca="1" si="192"/>
        <v>8.587548967222014E-2</v>
      </c>
      <c r="G271" s="180">
        <f t="shared" ca="1" si="193"/>
        <v>0.13359573229441407</v>
      </c>
      <c r="H271" s="180">
        <f t="shared" ca="1" si="194"/>
        <v>9.5328133893692782E-2</v>
      </c>
      <c r="I271" s="180">
        <f t="shared" ca="1" si="195"/>
        <v>0.13761505275742753</v>
      </c>
      <c r="J271" s="180">
        <f t="shared" ca="1" si="196"/>
        <v>6.3859594173013234E-2</v>
      </c>
      <c r="K271" s="180">
        <f t="shared" ca="1" si="197"/>
        <v>0.12123534443212115</v>
      </c>
      <c r="L271" s="180">
        <f t="shared" ca="1" si="198"/>
        <v>0.11731920300483355</v>
      </c>
      <c r="P271">
        <f t="shared" ca="1" si="199"/>
        <v>-2.5585465313098612E-3</v>
      </c>
      <c r="Q271">
        <f t="shared" ca="1" si="199"/>
        <v>-6.7619924623608203E-3</v>
      </c>
      <c r="R271">
        <f t="shared" ca="1" si="199"/>
        <v>2.2555111178798773E-3</v>
      </c>
      <c r="S271">
        <f t="shared" ca="1" si="199"/>
        <v>1.349964386487457E-3</v>
      </c>
      <c r="T271">
        <f t="shared" ca="1" si="199"/>
        <v>6.7044737397206379E-3</v>
      </c>
      <c r="U271">
        <f t="shared" ca="1" si="199"/>
        <v>-6.7960907906135896E-3</v>
      </c>
      <c r="V271">
        <f t="shared" ca="1" si="199"/>
        <v>-9.8694603061287058E-3</v>
      </c>
      <c r="W271">
        <f t="shared" ca="1" si="199"/>
        <v>1.2347908778617836E-3</v>
      </c>
      <c r="X271">
        <f t="shared" ca="1" si="199"/>
        <v>4.8753043357489768E-3</v>
      </c>
      <c r="Y271">
        <f t="shared" ca="1" si="199"/>
        <v>1.2611078219560061E-2</v>
      </c>
      <c r="Z271">
        <f t="shared" ca="1" si="199"/>
        <v>-7.38364155572195E-3</v>
      </c>
    </row>
    <row r="272" spans="2:26" hidden="1">
      <c r="B272" s="180">
        <f>'Inflation-Interest'!F119</f>
        <v>0</v>
      </c>
      <c r="C272" s="180">
        <f t="shared" ca="1" si="189"/>
        <v>2.737445699453564E-2</v>
      </c>
      <c r="D272" s="180">
        <f t="shared" ca="1" si="190"/>
        <v>3.0453593736236906E-2</v>
      </c>
      <c r="E272" s="180">
        <f t="shared" ca="1" si="191"/>
        <v>4.8828710381791346E-2</v>
      </c>
      <c r="F272" s="180">
        <f t="shared" ca="1" si="192"/>
        <v>0.1122957183501527</v>
      </c>
      <c r="G272" s="180">
        <f t="shared" ca="1" si="193"/>
        <v>4.6690866094214453E-2</v>
      </c>
      <c r="H272" s="180">
        <f t="shared" ca="1" si="194"/>
        <v>0.14554210263574183</v>
      </c>
      <c r="I272" s="180">
        <f t="shared" ca="1" si="195"/>
        <v>6.7482534640944711E-2</v>
      </c>
      <c r="J272" s="180">
        <f t="shared" ca="1" si="196"/>
        <v>5.7584554322691738E-2</v>
      </c>
      <c r="K272" s="180">
        <f t="shared" ca="1" si="197"/>
        <v>0.1128715890811294</v>
      </c>
      <c r="L272" s="180">
        <f t="shared" ca="1" si="198"/>
        <v>0.13425711816813665</v>
      </c>
      <c r="P272">
        <f t="shared" ca="1" si="199"/>
        <v>5.5491212516463025E-3</v>
      </c>
      <c r="Q272">
        <f t="shared" ca="1" si="199"/>
        <v>-1.2280473920642717E-2</v>
      </c>
      <c r="R272">
        <f t="shared" ca="1" si="199"/>
        <v>-7.959849674212623E-3</v>
      </c>
      <c r="S272">
        <f t="shared" ca="1" si="199"/>
        <v>-2.7130232902570746E-3</v>
      </c>
      <c r="T272">
        <f t="shared" ca="1" si="199"/>
        <v>5.9378272064820612E-3</v>
      </c>
      <c r="U272">
        <f t="shared" ca="1" si="199"/>
        <v>-3.1087019118504339E-3</v>
      </c>
      <c r="V272">
        <f t="shared" ca="1" si="199"/>
        <v>1.3224015898692267E-2</v>
      </c>
      <c r="W272">
        <f t="shared" ca="1" si="199"/>
        <v>2.9874761095913778E-3</v>
      </c>
      <c r="X272">
        <f t="shared" ca="1" si="199"/>
        <v>-8.4382608314032622E-4</v>
      </c>
      <c r="Y272">
        <f t="shared" ca="1" si="199"/>
        <v>-3.6794397586127782E-4</v>
      </c>
      <c r="Z272">
        <f t="shared" ca="1" si="199"/>
        <v>1.397640693290845E-3</v>
      </c>
    </row>
    <row r="273" spans="2:26" hidden="1">
      <c r="B273" s="180">
        <f>'Inflation-Interest'!F120</f>
        <v>0</v>
      </c>
      <c r="C273" s="180">
        <f t="shared" ca="1" si="189"/>
        <v>5.5135014774300363E-2</v>
      </c>
      <c r="D273" s="180">
        <f t="shared" ca="1" si="190"/>
        <v>4.0090725910534836E-2</v>
      </c>
      <c r="E273" s="180">
        <f t="shared" ca="1" si="191"/>
        <v>3.6885153861221667E-2</v>
      </c>
      <c r="F273" s="180">
        <f t="shared" ca="1" si="192"/>
        <v>4.5508487011912624E-2</v>
      </c>
      <c r="G273" s="180">
        <f t="shared" ca="1" si="193"/>
        <v>-2.1591913399685109E-2</v>
      </c>
      <c r="H273" s="180">
        <f t="shared" ca="1" si="194"/>
        <v>3.7407290066133983E-2</v>
      </c>
      <c r="I273" s="180">
        <f t="shared" ca="1" si="195"/>
        <v>2.7407539791154518E-2</v>
      </c>
      <c r="J273" s="180">
        <f t="shared" ca="1" si="196"/>
        <v>-2.7700053032718063E-2</v>
      </c>
      <c r="K273" s="180">
        <f t="shared" ca="1" si="197"/>
        <v>1.5655110327915327E-2</v>
      </c>
      <c r="L273" s="180">
        <f t="shared" ca="1" si="198"/>
        <v>2.4750669410893184E-2</v>
      </c>
      <c r="P273">
        <f t="shared" ca="1" si="199"/>
        <v>-1.1233969737623807E-3</v>
      </c>
      <c r="Q273">
        <f t="shared" ca="1" si="199"/>
        <v>-4.8558190317826494E-3</v>
      </c>
      <c r="R273">
        <f t="shared" ca="1" si="199"/>
        <v>3.1881160730639242E-3</v>
      </c>
      <c r="S273">
        <f t="shared" ca="1" si="199"/>
        <v>-2.83358219976619E-3</v>
      </c>
      <c r="T273">
        <f t="shared" ca="1" si="199"/>
        <v>-4.386040806428078E-4</v>
      </c>
      <c r="U273">
        <f t="shared" ca="1" si="199"/>
        <v>-9.6666138991938037E-3</v>
      </c>
      <c r="V273">
        <f t="shared" ca="1" si="199"/>
        <v>2.4251552294049829E-3</v>
      </c>
      <c r="W273">
        <f t="shared" ca="1" si="199"/>
        <v>8.8981564259983537E-3</v>
      </c>
      <c r="X273">
        <f t="shared" ca="1" si="199"/>
        <v>6.2686148028546955E-3</v>
      </c>
      <c r="Y273">
        <f t="shared" ca="1" si="199"/>
        <v>1.4428848769237061E-3</v>
      </c>
      <c r="Z273">
        <f t="shared" ca="1" si="199"/>
        <v>3.0257350091246128E-3</v>
      </c>
    </row>
    <row r="274" spans="2:26" hidden="1">
      <c r="B274" s="180">
        <f>'Inflation-Interest'!F121</f>
        <v>0</v>
      </c>
      <c r="C274" s="180">
        <f t="shared" ca="1" si="189"/>
        <v>6.4524847557234741E-2</v>
      </c>
      <c r="D274" s="180">
        <f t="shared" ca="1" si="190"/>
        <v>2.9956983014225488E-2</v>
      </c>
      <c r="E274" s="180">
        <f t="shared" ca="1" si="191"/>
        <v>8.2216088952829752E-2</v>
      </c>
      <c r="F274" s="180">
        <f t="shared" ca="1" si="192"/>
        <v>8.5339680069272367E-2</v>
      </c>
      <c r="G274" s="180">
        <f t="shared" ca="1" si="193"/>
        <v>4.4964056019518757E-2</v>
      </c>
      <c r="H274" s="180">
        <f t="shared" ca="1" si="194"/>
        <v>4.2997717808049063E-2</v>
      </c>
      <c r="I274" s="180">
        <f t="shared" ca="1" si="195"/>
        <v>6.6452181594905166E-2</v>
      </c>
      <c r="J274" s="180">
        <f t="shared" ca="1" si="196"/>
        <v>8.7885000633660615E-2</v>
      </c>
      <c r="K274" s="180">
        <f t="shared" ca="1" si="197"/>
        <v>0.13143082295389844</v>
      </c>
      <c r="L274" s="180">
        <f t="shared" ca="1" si="198"/>
        <v>8.9495001640001501E-2</v>
      </c>
      <c r="P274">
        <f t="shared" ca="1" si="199"/>
        <v>9.7925289323069296E-3</v>
      </c>
      <c r="Q274">
        <f t="shared" ca="1" si="199"/>
        <v>-4.1632135599927039E-3</v>
      </c>
      <c r="R274">
        <f t="shared" ca="1" si="199"/>
        <v>5.5603867794518803E-3</v>
      </c>
      <c r="S274">
        <f t="shared" ca="1" si="199"/>
        <v>-1.1238540674064878E-3</v>
      </c>
      <c r="T274">
        <f t="shared" ca="1" si="199"/>
        <v>5.7619891684400053E-3</v>
      </c>
      <c r="U274">
        <f t="shared" ca="1" si="199"/>
        <v>-2.9207822559968949E-3</v>
      </c>
      <c r="V274">
        <f t="shared" ca="1" si="199"/>
        <v>1.3129913371277306E-3</v>
      </c>
      <c r="W274">
        <f t="shared" ca="1" si="199"/>
        <v>-7.0780820023148882E-3</v>
      </c>
      <c r="X274">
        <f t="shared" ca="1" si="199"/>
        <v>-4.644304222479907E-3</v>
      </c>
      <c r="Y274">
        <f t="shared" ca="1" si="199"/>
        <v>3.5818875425979654E-3</v>
      </c>
      <c r="Z274">
        <f t="shared" ca="1" si="199"/>
        <v>-1.3694659139303031E-2</v>
      </c>
    </row>
    <row r="275" spans="2:26" hidden="1">
      <c r="B275" s="180">
        <f>'Inflation-Interest'!F122</f>
        <v>0</v>
      </c>
      <c r="C275" s="180">
        <f t="shared" ca="1" si="189"/>
        <v>0.10499450463267801</v>
      </c>
      <c r="D275" s="180">
        <f t="shared" ca="1" si="190"/>
        <v>1.1655822967182804E-2</v>
      </c>
      <c r="E275" s="180">
        <f t="shared" ca="1" si="191"/>
        <v>-4.4794856891041436E-3</v>
      </c>
      <c r="F275" s="180">
        <f t="shared" ca="1" si="192"/>
        <v>4.850562644392236E-2</v>
      </c>
      <c r="G275" s="180">
        <f t="shared" ca="1" si="193"/>
        <v>1.4968097094903373E-2</v>
      </c>
      <c r="H275" s="180">
        <f t="shared" ca="1" si="194"/>
        <v>-1.316671404035589E-3</v>
      </c>
      <c r="I275" s="180">
        <f t="shared" ca="1" si="195"/>
        <v>6.769797118545888E-2</v>
      </c>
      <c r="J275" s="180">
        <f t="shared" ca="1" si="196"/>
        <v>6.0104009103058964E-2</v>
      </c>
      <c r="K275" s="180">
        <f t="shared" ca="1" si="197"/>
        <v>4.6853077157658268E-2</v>
      </c>
      <c r="L275" s="180">
        <f t="shared" ca="1" si="198"/>
        <v>3.1202485469085581E-2</v>
      </c>
      <c r="P275">
        <f t="shared" ca="1" si="199"/>
        <v>3.5470970496168947E-3</v>
      </c>
      <c r="Q275">
        <f t="shared" ca="1" si="199"/>
        <v>3.5035229175911513E-3</v>
      </c>
      <c r="R275">
        <f t="shared" ca="1" si="199"/>
        <v>-1.0139452132663864E-2</v>
      </c>
      <c r="S275">
        <f t="shared" ca="1" si="199"/>
        <v>5.7775519094656579E-3</v>
      </c>
      <c r="T275">
        <f t="shared" ca="1" si="199"/>
        <v>-4.572547094306067E-3</v>
      </c>
      <c r="U275">
        <f t="shared" ca="1" si="199"/>
        <v>-7.1928557197827991E-4</v>
      </c>
      <c r="V275">
        <f t="shared" ca="1" si="199"/>
        <v>-3.7803548320229717E-4</v>
      </c>
      <c r="W275">
        <f t="shared" ca="1" si="199"/>
        <v>2.8000709066646253E-3</v>
      </c>
      <c r="X275">
        <f t="shared" ca="1" si="199"/>
        <v>4.601780224212066E-4</v>
      </c>
      <c r="Y275">
        <f t="shared" ca="1" si="199"/>
        <v>7.7499766497038762E-3</v>
      </c>
      <c r="Z275">
        <f t="shared" ca="1" si="199"/>
        <v>6.588519461109743E-4</v>
      </c>
    </row>
    <row r="276" spans="2:26" hidden="1">
      <c r="B276" s="180">
        <f>'Inflation-Interest'!F123</f>
        <v>0</v>
      </c>
      <c r="C276" s="180">
        <f t="shared" ca="1" si="189"/>
        <v>5.3140677716494555E-2</v>
      </c>
      <c r="D276" s="180">
        <f t="shared" ca="1" si="190"/>
        <v>3.4669419114963518E-2</v>
      </c>
      <c r="E276" s="180">
        <f t="shared" ca="1" si="191"/>
        <v>7.2409708082307137E-2</v>
      </c>
      <c r="F276" s="180">
        <f t="shared" ca="1" si="192"/>
        <v>3.7365174247053302E-2</v>
      </c>
      <c r="G276" s="180">
        <f t="shared" ca="1" si="193"/>
        <v>7.979619073709486E-2</v>
      </c>
      <c r="H276" s="180">
        <f t="shared" ca="1" si="194"/>
        <v>0.11379818631936169</v>
      </c>
      <c r="I276" s="180">
        <f t="shared" ca="1" si="195"/>
        <v>0.10925869525108915</v>
      </c>
      <c r="J276" s="180">
        <f t="shared" ca="1" si="196"/>
        <v>7.7935433403150164E-2</v>
      </c>
      <c r="K276" s="180">
        <f t="shared" ca="1" si="197"/>
        <v>0.13870412786151387</v>
      </c>
      <c r="L276" s="180">
        <f t="shared" ca="1" si="198"/>
        <v>9.2913215929763385E-2</v>
      </c>
      <c r="P276">
        <f t="shared" ca="1" si="199"/>
        <v>1.0953733387444735E-2</v>
      </c>
      <c r="Q276">
        <f t="shared" ca="1" si="199"/>
        <v>3.2621129636708109E-3</v>
      </c>
      <c r="R276">
        <f t="shared" ca="1" si="199"/>
        <v>1.1676882963973507E-3</v>
      </c>
      <c r="S276">
        <f t="shared" ca="1" si="199"/>
        <v>-8.3526053240066799E-3</v>
      </c>
      <c r="T276">
        <f t="shared" ca="1" si="199"/>
        <v>-7.177387624065802E-3</v>
      </c>
      <c r="U276">
        <f t="shared" ca="1" si="199"/>
        <v>4.409760494367602E-3</v>
      </c>
      <c r="V276">
        <f t="shared" ca="1" si="199"/>
        <v>7.099990180774938E-3</v>
      </c>
      <c r="W276">
        <f t="shared" ca="1" si="199"/>
        <v>-5.10589085803788E-4</v>
      </c>
      <c r="X276">
        <f t="shared" ca="1" si="199"/>
        <v>1.1248503335760997E-2</v>
      </c>
      <c r="Y276">
        <f t="shared" ca="1" si="199"/>
        <v>-2.02428313458009E-4</v>
      </c>
      <c r="Z276">
        <f t="shared" ca="1" si="199"/>
        <v>3.7512228445009737E-3</v>
      </c>
    </row>
    <row r="277" spans="2:26" hidden="1">
      <c r="B277" s="180">
        <f>'Inflation-Interest'!F124</f>
        <v>0</v>
      </c>
      <c r="C277" s="180">
        <f t="shared" ca="1" si="189"/>
        <v>5.7247776727257706E-2</v>
      </c>
      <c r="D277" s="180">
        <f t="shared" ca="1" si="190"/>
        <v>2.3528671040924945E-2</v>
      </c>
      <c r="E277" s="180">
        <f t="shared" ca="1" si="191"/>
        <v>1.4038515062736116E-2</v>
      </c>
      <c r="F277" s="180">
        <f t="shared" ca="1" si="192"/>
        <v>5.1054840684706532E-2</v>
      </c>
      <c r="G277" s="180">
        <f t="shared" ca="1" si="193"/>
        <v>8.9620513179271999E-2</v>
      </c>
      <c r="H277" s="180">
        <f t="shared" ca="1" si="194"/>
        <v>1.6842769766860558E-2</v>
      </c>
      <c r="I277" s="180">
        <f t="shared" ca="1" si="195"/>
        <v>6.1433627175352966E-2</v>
      </c>
      <c r="J277" s="180">
        <f t="shared" ca="1" si="196"/>
        <v>7.5050725600327703E-2</v>
      </c>
      <c r="K277" s="180">
        <f t="shared" ca="1" si="197"/>
        <v>0.10859835957608951</v>
      </c>
      <c r="L277" s="180">
        <f t="shared" ca="1" si="198"/>
        <v>0.14604264510076648</v>
      </c>
      <c r="P277">
        <f t="shared" ca="1" si="199"/>
        <v>-1.1289722140529987E-2</v>
      </c>
      <c r="Q277">
        <f t="shared" ca="1" si="199"/>
        <v>6.3321080235010053E-3</v>
      </c>
      <c r="R277">
        <f t="shared" ref="Q277:Z302" ca="1" si="200">_xlfn.NORM.INV(RAND(), $B$9, $B$10)</f>
        <v>-3.9903826196520708E-3</v>
      </c>
      <c r="S277">
        <f t="shared" ca="1" si="200"/>
        <v>-6.5836481923638958E-3</v>
      </c>
      <c r="T277">
        <f t="shared" ca="1" si="200"/>
        <v>-7.3374788585447133E-3</v>
      </c>
      <c r="U277">
        <f t="shared" ca="1" si="200"/>
        <v>-5.8670609941359562E-3</v>
      </c>
      <c r="V277">
        <f t="shared" ca="1" si="200"/>
        <v>-4.5783879689619512E-3</v>
      </c>
      <c r="W277">
        <f t="shared" ca="1" si="200"/>
        <v>-7.2809854767929916E-3</v>
      </c>
      <c r="X277">
        <f t="shared" ca="1" si="200"/>
        <v>3.9119936990279431E-3</v>
      </c>
      <c r="Y277">
        <f t="shared" ca="1" si="200"/>
        <v>-1.7067487241156511E-2</v>
      </c>
      <c r="Z277">
        <f t="shared" ca="1" si="200"/>
        <v>2.9580359074354219E-3</v>
      </c>
    </row>
    <row r="278" spans="2:26" hidden="1">
      <c r="B278" s="180">
        <f>'Inflation-Interest'!F125</f>
        <v>0</v>
      </c>
      <c r="C278" s="180">
        <f t="shared" ca="1" si="189"/>
        <v>4.1516880179085683E-2</v>
      </c>
      <c r="D278" s="180">
        <f t="shared" ca="1" si="190"/>
        <v>4.7789719476870177E-2</v>
      </c>
      <c r="E278" s="180">
        <f t="shared" ca="1" si="191"/>
        <v>7.3054450400799567E-2</v>
      </c>
      <c r="F278" s="180">
        <f t="shared" ca="1" si="192"/>
        <v>4.4579988390766011E-2</v>
      </c>
      <c r="G278" s="180">
        <f t="shared" ca="1" si="193"/>
        <v>9.8149517867613431E-2</v>
      </c>
      <c r="H278" s="180">
        <f t="shared" ca="1" si="194"/>
        <v>6.5244039844034665E-2</v>
      </c>
      <c r="I278" s="180">
        <f t="shared" ca="1" si="195"/>
        <v>9.7582753735855121E-2</v>
      </c>
      <c r="J278" s="180">
        <f t="shared" ca="1" si="196"/>
        <v>3.328237162001435E-2</v>
      </c>
      <c r="K278" s="180">
        <f t="shared" ca="1" si="197"/>
        <v>0.10252968435511538</v>
      </c>
      <c r="L278" s="180">
        <f t="shared" ca="1" si="198"/>
        <v>7.3868183533945697E-2</v>
      </c>
      <c r="P278">
        <f t="shared" ref="P278:P320" ca="1" si="201">_xlfn.NORM.INV(RAND(), $B$9, $B$10)</f>
        <v>-8.8381508925862787E-3</v>
      </c>
      <c r="Q278">
        <f t="shared" ca="1" si="200"/>
        <v>-1.6014044318298638E-3</v>
      </c>
      <c r="R278">
        <f t="shared" ca="1" si="200"/>
        <v>7.5299755644051176E-3</v>
      </c>
      <c r="S278">
        <f t="shared" ca="1" si="200"/>
        <v>-6.1658320174421142E-3</v>
      </c>
      <c r="T278">
        <f t="shared" ca="1" si="200"/>
        <v>-7.3755791588650998E-4</v>
      </c>
      <c r="U278">
        <f t="shared" ca="1" si="200"/>
        <v>7.2430043930841635E-4</v>
      </c>
      <c r="V278">
        <f t="shared" ca="1" si="200"/>
        <v>8.2138996718979975E-3</v>
      </c>
      <c r="W278">
        <f t="shared" ca="1" si="200"/>
        <v>-6.1699218781221675E-4</v>
      </c>
      <c r="X278">
        <f t="shared" ca="1" si="200"/>
        <v>-7.5265810424904609E-3</v>
      </c>
      <c r="Y278">
        <f t="shared" ca="1" si="200"/>
        <v>-7.0475017138222525E-3</v>
      </c>
      <c r="Z278">
        <f t="shared" ca="1" si="200"/>
        <v>6.090459829889038E-3</v>
      </c>
    </row>
    <row r="279" spans="2:26" hidden="1">
      <c r="B279" s="180">
        <f>'Inflation-Interest'!F126</f>
        <v>0</v>
      </c>
      <c r="C279" s="180">
        <f t="shared" ca="1" si="189"/>
        <v>0.10804963959710685</v>
      </c>
      <c r="D279" s="180">
        <f t="shared" ca="1" si="190"/>
        <v>7.746756927557287E-2</v>
      </c>
      <c r="E279" s="180">
        <f t="shared" ca="1" si="191"/>
        <v>9.4134568445875783E-2</v>
      </c>
      <c r="F279" s="180">
        <f t="shared" ca="1" si="192"/>
        <v>0.12150877253617809</v>
      </c>
      <c r="G279" s="180">
        <f t="shared" ca="1" si="193"/>
        <v>0.1062507251267302</v>
      </c>
      <c r="H279" s="180">
        <f t="shared" ca="1" si="194"/>
        <v>0.10201846658607122</v>
      </c>
      <c r="I279" s="180">
        <f t="shared" ca="1" si="195"/>
        <v>0.10965199678796396</v>
      </c>
      <c r="J279" s="180">
        <f t="shared" ca="1" si="196"/>
        <v>0.16877035692825196</v>
      </c>
      <c r="K279" s="180">
        <f t="shared" ca="1" si="197"/>
        <v>8.8453436534359095E-2</v>
      </c>
      <c r="L279" s="180">
        <f t="shared" ca="1" si="198"/>
        <v>0.12716226112491621</v>
      </c>
      <c r="P279">
        <f t="shared" ca="1" si="201"/>
        <v>-6.8237444157861317E-3</v>
      </c>
      <c r="Q279">
        <f t="shared" ca="1" si="200"/>
        <v>-2.6691312391092428E-3</v>
      </c>
      <c r="R279">
        <f t="shared" ca="1" si="200"/>
        <v>1.8669946505904919E-3</v>
      </c>
      <c r="S279">
        <f t="shared" ca="1" si="200"/>
        <v>-5.1677667181083634E-3</v>
      </c>
      <c r="T279">
        <f t="shared" ca="1" si="200"/>
        <v>-1.0426434756801141E-2</v>
      </c>
      <c r="U279">
        <f t="shared" ca="1" si="200"/>
        <v>-1.7554669967718841E-2</v>
      </c>
      <c r="V279">
        <f t="shared" ca="1" si="200"/>
        <v>5.9236267642777543E-3</v>
      </c>
      <c r="W279">
        <f t="shared" ca="1" si="200"/>
        <v>1.9158736987290148E-3</v>
      </c>
      <c r="X279">
        <f t="shared" ca="1" si="200"/>
        <v>5.3495486753975556E-3</v>
      </c>
      <c r="Y279">
        <f t="shared" ca="1" si="200"/>
        <v>7.1226423269541237E-3</v>
      </c>
      <c r="Z279">
        <f t="shared" ca="1" si="200"/>
        <v>1.5563643129044712E-3</v>
      </c>
    </row>
    <row r="280" spans="2:26" hidden="1">
      <c r="B280" s="180">
        <f>'Inflation-Interest'!F127</f>
        <v>0</v>
      </c>
      <c r="C280" s="180">
        <f t="shared" ca="1" si="189"/>
        <v>6.1404914448001675E-2</v>
      </c>
      <c r="D280" s="180">
        <f t="shared" ca="1" si="190"/>
        <v>7.2049528805244484E-2</v>
      </c>
      <c r="E280" s="180">
        <f t="shared" ca="1" si="191"/>
        <v>4.9299822529706445E-2</v>
      </c>
      <c r="F280" s="180">
        <f t="shared" ca="1" si="192"/>
        <v>6.0383796254870829E-2</v>
      </c>
      <c r="G280" s="180">
        <f t="shared" ca="1" si="193"/>
        <v>8.9114634019431399E-2</v>
      </c>
      <c r="H280" s="180">
        <f t="shared" ca="1" si="194"/>
        <v>8.5483757424528198E-2</v>
      </c>
      <c r="I280" s="180">
        <f t="shared" ca="1" si="195"/>
        <v>4.2222689184256958E-2</v>
      </c>
      <c r="J280" s="180">
        <f t="shared" ca="1" si="196"/>
        <v>0.11607824564114333</v>
      </c>
      <c r="K280" s="180">
        <f t="shared" ca="1" si="197"/>
        <v>1.5831274374691874E-2</v>
      </c>
      <c r="L280" s="180">
        <f t="shared" ca="1" si="198"/>
        <v>6.9662138500619669E-2</v>
      </c>
      <c r="P280">
        <f t="shared" ca="1" si="201"/>
        <v>-8.0083828303728552E-3</v>
      </c>
      <c r="Q280">
        <f t="shared" ca="1" si="200"/>
        <v>-6.2206067565892757E-3</v>
      </c>
      <c r="R280">
        <f t="shared" ca="1" si="200"/>
        <v>-1.9637581479556602E-3</v>
      </c>
      <c r="S280">
        <f t="shared" ca="1" si="200"/>
        <v>-1.5600494724592128E-3</v>
      </c>
      <c r="T280">
        <f t="shared" ca="1" si="200"/>
        <v>2.1501998140409967E-3</v>
      </c>
      <c r="U280">
        <f t="shared" ca="1" si="200"/>
        <v>1.4363947023723442E-2</v>
      </c>
      <c r="V280">
        <f t="shared" ca="1" si="200"/>
        <v>-7.4175806644997825E-3</v>
      </c>
      <c r="W280">
        <f t="shared" ca="1" si="200"/>
        <v>-3.2230930739594464E-3</v>
      </c>
      <c r="X280">
        <f t="shared" ca="1" si="200"/>
        <v>1.1210336706694191E-2</v>
      </c>
      <c r="Y280">
        <f t="shared" ca="1" si="200"/>
        <v>3.2700474025554495E-4</v>
      </c>
      <c r="Z280">
        <f t="shared" ca="1" si="200"/>
        <v>-4.1895872192444306E-3</v>
      </c>
    </row>
    <row r="281" spans="2:26" hidden="1">
      <c r="B281" s="180">
        <f>'Inflation-Interest'!F128</f>
        <v>0</v>
      </c>
      <c r="C281" s="180">
        <f t="shared" ca="1" si="189"/>
        <v>6.0329817137484469E-2</v>
      </c>
      <c r="D281" s="180">
        <f t="shared" ca="1" si="190"/>
        <v>4.9295464957045357E-2</v>
      </c>
      <c r="E281" s="180">
        <f t="shared" ca="1" si="191"/>
        <v>4.0064450923665784E-2</v>
      </c>
      <c r="F281" s="180">
        <f t="shared" ca="1" si="192"/>
        <v>0.12953189599504486</v>
      </c>
      <c r="G281" s="180">
        <f t="shared" ca="1" si="193"/>
        <v>0.14500688757311894</v>
      </c>
      <c r="H281" s="180">
        <f t="shared" ca="1" si="194"/>
        <v>5.2274442235182003E-2</v>
      </c>
      <c r="I281" s="180">
        <f t="shared" ca="1" si="195"/>
        <v>9.5904391533154484E-2</v>
      </c>
      <c r="J281" s="180">
        <f t="shared" ca="1" si="196"/>
        <v>3.7306159818353599E-2</v>
      </c>
      <c r="K281" s="180">
        <f t="shared" ca="1" si="197"/>
        <v>2.5242206268255692E-2</v>
      </c>
      <c r="L281" s="180">
        <f t="shared" ca="1" si="198"/>
        <v>7.3464633323613859E-4</v>
      </c>
      <c r="P281">
        <f t="shared" ca="1" si="201"/>
        <v>4.0751734464577691E-4</v>
      </c>
      <c r="Q281">
        <f t="shared" ca="1" si="200"/>
        <v>-1.9932444350199939E-2</v>
      </c>
      <c r="R281">
        <f t="shared" ca="1" si="200"/>
        <v>9.6451670037641813E-3</v>
      </c>
      <c r="S281">
        <f t="shared" ca="1" si="200"/>
        <v>-1.0627002270161532E-2</v>
      </c>
      <c r="T281">
        <f t="shared" ca="1" si="200"/>
        <v>4.8564682571016144E-3</v>
      </c>
      <c r="U281">
        <f t="shared" ca="1" si="200"/>
        <v>-4.0153731572205629E-4</v>
      </c>
      <c r="V281">
        <f t="shared" ca="1" si="200"/>
        <v>8.6137753372189305E-4</v>
      </c>
      <c r="W281">
        <f t="shared" ca="1" si="200"/>
        <v>5.4545942905011241E-3</v>
      </c>
      <c r="X281">
        <f t="shared" ca="1" si="200"/>
        <v>-6.4250760097868519E-3</v>
      </c>
      <c r="Y281">
        <f t="shared" ca="1" si="200"/>
        <v>2.385513764423872E-3</v>
      </c>
      <c r="Z281">
        <f t="shared" ca="1" si="200"/>
        <v>-5.9431766801324691E-3</v>
      </c>
    </row>
    <row r="282" spans="2:26" hidden="1">
      <c r="B282" s="180">
        <f>'Inflation-Interest'!F129</f>
        <v>0</v>
      </c>
      <c r="C282" s="180">
        <f t="shared" ca="1" si="189"/>
        <v>0.12101234753415382</v>
      </c>
      <c r="D282" s="180">
        <f t="shared" ca="1" si="190"/>
        <v>2.0426923250504651E-2</v>
      </c>
      <c r="E282" s="180">
        <f t="shared" ca="1" si="191"/>
        <v>1.511372065679982E-2</v>
      </c>
      <c r="F282" s="180">
        <f t="shared" ca="1" si="192"/>
        <v>-4.2926810131389045E-5</v>
      </c>
      <c r="G282" s="180">
        <f t="shared" ca="1" si="193"/>
        <v>1.4058203120917629E-4</v>
      </c>
      <c r="H282" s="180">
        <f t="shared" ca="1" si="194"/>
        <v>6.9755135956415231E-3</v>
      </c>
      <c r="I282" s="180">
        <f t="shared" ca="1" si="195"/>
        <v>-6.5156549247928023E-3</v>
      </c>
      <c r="J282" s="180">
        <f t="shared" ca="1" si="196"/>
        <v>-2.0204324248257743E-2</v>
      </c>
      <c r="K282" s="180">
        <f t="shared" ca="1" si="197"/>
        <v>6.2704940368706139E-3</v>
      </c>
      <c r="L282" s="180">
        <f t="shared" ca="1" si="198"/>
        <v>1.3848597657660264E-2</v>
      </c>
      <c r="P282">
        <f t="shared" ca="1" si="201"/>
        <v>1.3212288013058097E-3</v>
      </c>
      <c r="Q282">
        <f t="shared" ca="1" si="200"/>
        <v>1.0129624283992779E-2</v>
      </c>
      <c r="R282">
        <f t="shared" ca="1" si="200"/>
        <v>1.5515294650485241E-3</v>
      </c>
      <c r="S282">
        <f t="shared" ca="1" si="200"/>
        <v>2.9707349665692652E-3</v>
      </c>
      <c r="T282">
        <f t="shared" ca="1" si="200"/>
        <v>3.6934230352850387E-3</v>
      </c>
      <c r="U282">
        <f t="shared" ca="1" si="200"/>
        <v>-8.7084195678862274E-4</v>
      </c>
      <c r="V282">
        <f t="shared" ca="1" si="200"/>
        <v>-8.6448577155909829E-3</v>
      </c>
      <c r="W282">
        <f t="shared" ca="1" si="200"/>
        <v>6.1672765703150289E-3</v>
      </c>
      <c r="X282">
        <f t="shared" ca="1" si="200"/>
        <v>5.5700927298012303E-3</v>
      </c>
      <c r="Y282">
        <f t="shared" ca="1" si="200"/>
        <v>8.9969631010481678E-4</v>
      </c>
      <c r="Z282">
        <f t="shared" ca="1" si="200"/>
        <v>-1.6253520968483324E-3</v>
      </c>
    </row>
    <row r="283" spans="2:26" hidden="1">
      <c r="B283" s="180">
        <f>'Inflation-Interest'!F130</f>
        <v>0</v>
      </c>
      <c r="C283" s="180">
        <f t="shared" ca="1" si="189"/>
        <v>1.8043743969775452E-2</v>
      </c>
      <c r="D283" s="180">
        <f t="shared" ca="1" si="190"/>
        <v>6.5011844829658896E-2</v>
      </c>
      <c r="E283" s="180">
        <f t="shared" ca="1" si="191"/>
        <v>5.7079721056166786E-2</v>
      </c>
      <c r="F283" s="180">
        <f t="shared" ca="1" si="192"/>
        <v>5.8940651851278281E-2</v>
      </c>
      <c r="G283" s="180">
        <f t="shared" ca="1" si="193"/>
        <v>1.5790422118462811E-2</v>
      </c>
      <c r="H283" s="180">
        <f t="shared" ca="1" si="194"/>
        <v>5.0009801579300663E-2</v>
      </c>
      <c r="I283" s="180">
        <f t="shared" ca="1" si="195"/>
        <v>6.4068057232187461E-2</v>
      </c>
      <c r="J283" s="180">
        <f t="shared" ca="1" si="196"/>
        <v>9.3766374191248933E-2</v>
      </c>
      <c r="K283" s="180">
        <f t="shared" ca="1" si="197"/>
        <v>7.2781715692135263E-2</v>
      </c>
      <c r="L283" s="180">
        <f t="shared" ca="1" si="198"/>
        <v>6.7562199268501918E-2</v>
      </c>
      <c r="P283">
        <f t="shared" ca="1" si="201"/>
        <v>-9.4439736273409843E-3</v>
      </c>
      <c r="Q283">
        <f t="shared" ca="1" si="200"/>
        <v>-1.5212261952156239E-3</v>
      </c>
      <c r="R283">
        <f t="shared" ca="1" si="200"/>
        <v>2.1195747851487697E-3</v>
      </c>
      <c r="S283">
        <f t="shared" ca="1" si="200"/>
        <v>-3.2180257877828448E-3</v>
      </c>
      <c r="T283">
        <f t="shared" ca="1" si="200"/>
        <v>4.518994852306289E-3</v>
      </c>
      <c r="U283">
        <f t="shared" ca="1" si="200"/>
        <v>-1.7739253985688685E-4</v>
      </c>
      <c r="V283">
        <f t="shared" ca="1" si="200"/>
        <v>-2.476378947893852E-3</v>
      </c>
      <c r="W283">
        <f t="shared" ca="1" si="200"/>
        <v>8.2232944048858773E-3</v>
      </c>
      <c r="X283">
        <f t="shared" ca="1" si="200"/>
        <v>1.4537152525878436E-2</v>
      </c>
      <c r="Y283">
        <f t="shared" ca="1" si="200"/>
        <v>-1.261156710273002E-2</v>
      </c>
      <c r="Z283">
        <f t="shared" ca="1" si="200"/>
        <v>-1.7286293539961082E-3</v>
      </c>
    </row>
    <row r="284" spans="2:26" hidden="1">
      <c r="B284" s="180">
        <f>'Inflation-Interest'!F131</f>
        <v>0</v>
      </c>
      <c r="C284" s="180">
        <f t="shared" ca="1" si="189"/>
        <v>4.9028018325875021E-2</v>
      </c>
      <c r="D284" s="180">
        <f t="shared" ca="1" si="190"/>
        <v>2.1488742833767876E-2</v>
      </c>
      <c r="E284" s="180">
        <f t="shared" ca="1" si="191"/>
        <v>6.7058815955675824E-2</v>
      </c>
      <c r="F284" s="180">
        <f t="shared" ca="1" si="192"/>
        <v>1.8298565778478576E-2</v>
      </c>
      <c r="G284" s="180">
        <f t="shared" ca="1" si="193"/>
        <v>2.7095250694737057E-2</v>
      </c>
      <c r="H284" s="180">
        <f t="shared" ca="1" si="194"/>
        <v>8.2906329492310332E-2</v>
      </c>
      <c r="I284" s="180">
        <f t="shared" ca="1" si="195"/>
        <v>3.2685176274167088E-2</v>
      </c>
      <c r="J284" s="180">
        <f t="shared" ca="1" si="196"/>
        <v>3.9952474268304762E-2</v>
      </c>
      <c r="K284" s="180">
        <f t="shared" ca="1" si="197"/>
        <v>-7.5828302921674556E-4</v>
      </c>
      <c r="L284" s="180">
        <f t="shared" ca="1" si="198"/>
        <v>-1.9461452872577688E-2</v>
      </c>
      <c r="P284">
        <f t="shared" ca="1" si="201"/>
        <v>3.5017249205127076E-3</v>
      </c>
      <c r="Q284">
        <f t="shared" ca="1" si="200"/>
        <v>1.4423118772789704E-2</v>
      </c>
      <c r="R284">
        <f t="shared" ca="1" si="200"/>
        <v>2.4157705256794759E-3</v>
      </c>
      <c r="S284">
        <f t="shared" ca="1" si="200"/>
        <v>3.8641583651240641E-4</v>
      </c>
      <c r="T284">
        <f t="shared" ca="1" si="200"/>
        <v>-3.1635387509653672E-3</v>
      </c>
      <c r="U284">
        <f t="shared" ca="1" si="200"/>
        <v>-4.8863038244626703E-4</v>
      </c>
      <c r="V284">
        <f t="shared" ca="1" si="200"/>
        <v>1.1593276630380267E-2</v>
      </c>
      <c r="W284">
        <f t="shared" ca="1" si="200"/>
        <v>-1.8869972611310804E-3</v>
      </c>
      <c r="X284">
        <f t="shared" ca="1" si="200"/>
        <v>7.2904801126065979E-3</v>
      </c>
      <c r="Y284">
        <f t="shared" ca="1" si="200"/>
        <v>3.2329108939438515E-3</v>
      </c>
      <c r="Z284">
        <f t="shared" ca="1" si="200"/>
        <v>-7.3163325586920683E-3</v>
      </c>
    </row>
    <row r="285" spans="2:26" hidden="1">
      <c r="B285" s="180">
        <f>'Inflation-Interest'!F132</f>
        <v>0</v>
      </c>
      <c r="C285" s="180">
        <f t="shared" ref="C285:C316" ca="1" si="202">C185+Q285</f>
        <v>7.5096387318704105E-2</v>
      </c>
      <c r="D285" s="180">
        <f t="shared" ref="D285:D316" ca="1" si="203">D185+R285</f>
        <v>0.1028315623302731</v>
      </c>
      <c r="E285" s="180">
        <f t="shared" ref="E285:E316" ca="1" si="204">E185+S285</f>
        <v>7.5401867080386403E-2</v>
      </c>
      <c r="F285" s="180">
        <f t="shared" ref="F285:F316" ca="1" si="205">F185+T285</f>
        <v>9.5343119162845658E-2</v>
      </c>
      <c r="G285" s="180">
        <f t="shared" ref="G285:G316" ca="1" si="206">G185+U285</f>
        <v>9.6529893176434137E-2</v>
      </c>
      <c r="H285" s="180">
        <f t="shared" ref="H285:H316" ca="1" si="207">H185+V285</f>
        <v>8.0862226588795758E-2</v>
      </c>
      <c r="I285" s="180">
        <f t="shared" ref="I285:I316" ca="1" si="208">I185+W285</f>
        <v>9.3683572186774575E-2</v>
      </c>
      <c r="J285" s="180">
        <f t="shared" ref="J285:J316" ca="1" si="209">J185+X285</f>
        <v>5.6783896552929786E-2</v>
      </c>
      <c r="K285" s="180">
        <f t="shared" ref="K285:K316" ca="1" si="210">K185+Y285</f>
        <v>0.10347749138919081</v>
      </c>
      <c r="L285" s="180">
        <f t="shared" ref="L285:L316" ca="1" si="211">L185+Z285</f>
        <v>9.0927987841764632E-2</v>
      </c>
      <c r="P285">
        <f t="shared" ca="1" si="201"/>
        <v>2.8953693914531577E-3</v>
      </c>
      <c r="Q285">
        <f t="shared" ca="1" si="200"/>
        <v>7.8386767735049486E-3</v>
      </c>
      <c r="R285">
        <f t="shared" ca="1" si="200"/>
        <v>8.4633617304746347E-3</v>
      </c>
      <c r="S285">
        <f t="shared" ca="1" si="200"/>
        <v>-7.8737913274365169E-3</v>
      </c>
      <c r="T285">
        <f t="shared" ca="1" si="200"/>
        <v>3.7089128651826776E-3</v>
      </c>
      <c r="U285">
        <f t="shared" ca="1" si="200"/>
        <v>8.5990334650288356E-3</v>
      </c>
      <c r="V285">
        <f t="shared" ca="1" si="200"/>
        <v>8.6972476644850607E-3</v>
      </c>
      <c r="W285">
        <f t="shared" ca="1" si="200"/>
        <v>2.4815847591363625E-3</v>
      </c>
      <c r="X285">
        <f t="shared" ca="1" si="200"/>
        <v>4.0704786112002577E-3</v>
      </c>
      <c r="Y285">
        <f t="shared" ca="1" si="200"/>
        <v>-8.2031243714763696E-3</v>
      </c>
      <c r="Z285">
        <f t="shared" ca="1" si="200"/>
        <v>-5.7387904882520027E-5</v>
      </c>
    </row>
    <row r="286" spans="2:26" hidden="1">
      <c r="B286" s="180">
        <f>'Inflation-Interest'!F133</f>
        <v>0</v>
      </c>
      <c r="C286" s="180">
        <f t="shared" ca="1" si="202"/>
        <v>4.2844738787786191E-2</v>
      </c>
      <c r="D286" s="180">
        <f t="shared" ca="1" si="203"/>
        <v>7.2719468496139542E-2</v>
      </c>
      <c r="E286" s="180">
        <f t="shared" ca="1" si="204"/>
        <v>4.4142786009006819E-2</v>
      </c>
      <c r="F286" s="180">
        <f t="shared" ca="1" si="205"/>
        <v>2.7847123617927592E-2</v>
      </c>
      <c r="G286" s="180">
        <f t="shared" ca="1" si="206"/>
        <v>7.7311998354147288E-2</v>
      </c>
      <c r="H286" s="180">
        <f t="shared" ca="1" si="207"/>
        <v>-6.4628443957784262E-2</v>
      </c>
      <c r="I286" s="180">
        <f t="shared" ca="1" si="208"/>
        <v>4.0401769836103888E-3</v>
      </c>
      <c r="J286" s="180">
        <f t="shared" ca="1" si="209"/>
        <v>6.7006838591257861E-2</v>
      </c>
      <c r="K286" s="180">
        <f t="shared" ca="1" si="210"/>
        <v>1.5145426586804817E-2</v>
      </c>
      <c r="L286" s="180">
        <f t="shared" ca="1" si="211"/>
        <v>2.3185386773498566E-2</v>
      </c>
      <c r="P286">
        <f t="shared" ca="1" si="201"/>
        <v>-8.9228067019988134E-3</v>
      </c>
      <c r="Q286">
        <f t="shared" ca="1" si="200"/>
        <v>-1.114343459922847E-2</v>
      </c>
      <c r="R286">
        <f t="shared" ca="1" si="200"/>
        <v>8.6428106759725461E-3</v>
      </c>
      <c r="S286">
        <f t="shared" ca="1" si="200"/>
        <v>3.8964651870715878E-3</v>
      </c>
      <c r="T286">
        <f t="shared" ca="1" si="200"/>
        <v>-6.7689220617786839E-3</v>
      </c>
      <c r="U286">
        <f t="shared" ca="1" si="200"/>
        <v>-7.1183427272660934E-3</v>
      </c>
      <c r="V286">
        <f t="shared" ca="1" si="200"/>
        <v>2.8889974061997847E-3</v>
      </c>
      <c r="W286">
        <f t="shared" ca="1" si="200"/>
        <v>8.4219786759823102E-3</v>
      </c>
      <c r="X286">
        <f t="shared" ca="1" si="200"/>
        <v>9.2392801687427722E-3</v>
      </c>
      <c r="Y286">
        <f t="shared" ca="1" si="200"/>
        <v>5.6828030932181751E-4</v>
      </c>
      <c r="Z286">
        <f t="shared" ca="1" si="200"/>
        <v>-3.0473510969154737E-3</v>
      </c>
    </row>
    <row r="287" spans="2:26" hidden="1">
      <c r="B287" s="180">
        <f>'Inflation-Interest'!F134</f>
        <v>0</v>
      </c>
      <c r="C287" s="180">
        <f t="shared" ca="1" si="202"/>
        <v>6.4689077857284075E-2</v>
      </c>
      <c r="D287" s="180">
        <f t="shared" ca="1" si="203"/>
        <v>0.10268176071177182</v>
      </c>
      <c r="E287" s="180">
        <f t="shared" ca="1" si="204"/>
        <v>3.6209674623902913E-2</v>
      </c>
      <c r="F287" s="180">
        <f t="shared" ca="1" si="205"/>
        <v>2.1823278386500843E-2</v>
      </c>
      <c r="G287" s="180">
        <f t="shared" ca="1" si="206"/>
        <v>5.3153360059860939E-2</v>
      </c>
      <c r="H287" s="180">
        <f t="shared" ca="1" si="207"/>
        <v>6.6380814268174923E-2</v>
      </c>
      <c r="I287" s="180">
        <f t="shared" ca="1" si="208"/>
        <v>8.0104084285466309E-2</v>
      </c>
      <c r="J287" s="180">
        <f t="shared" ca="1" si="209"/>
        <v>6.8214635687533665E-2</v>
      </c>
      <c r="K287" s="180">
        <f t="shared" ca="1" si="210"/>
        <v>6.5231957229287402E-2</v>
      </c>
      <c r="L287" s="180">
        <f t="shared" ca="1" si="211"/>
        <v>0.11443495136543486</v>
      </c>
      <c r="P287">
        <f t="shared" ca="1" si="201"/>
        <v>1.4787525258844994E-3</v>
      </c>
      <c r="Q287">
        <f t="shared" ca="1" si="200"/>
        <v>-6.6961726202288876E-3</v>
      </c>
      <c r="R287">
        <f t="shared" ca="1" si="200"/>
        <v>1.6189956815405822E-3</v>
      </c>
      <c r="S287">
        <f t="shared" ca="1" si="200"/>
        <v>-1.0404775497111109E-2</v>
      </c>
      <c r="T287">
        <f t="shared" ca="1" si="200"/>
        <v>-5.4051817436543128E-3</v>
      </c>
      <c r="U287">
        <f t="shared" ca="1" si="200"/>
        <v>-5.28130576198915E-4</v>
      </c>
      <c r="V287">
        <f t="shared" ca="1" si="200"/>
        <v>7.415395709783482E-3</v>
      </c>
      <c r="W287">
        <f t="shared" ca="1" si="200"/>
        <v>-1.1546671983190203E-3</v>
      </c>
      <c r="X287">
        <f t="shared" ca="1" si="200"/>
        <v>-1.0261505652419288E-2</v>
      </c>
      <c r="Y287">
        <f t="shared" ca="1" si="200"/>
        <v>4.9523757371412501E-3</v>
      </c>
      <c r="Z287">
        <f t="shared" ca="1" si="200"/>
        <v>6.0552236687148363E-3</v>
      </c>
    </row>
    <row r="288" spans="2:26" hidden="1">
      <c r="B288" s="180">
        <f>'Inflation-Interest'!F135</f>
        <v>0</v>
      </c>
      <c r="C288" s="180">
        <f t="shared" ca="1" si="202"/>
        <v>0.10652795213462088</v>
      </c>
      <c r="D288" s="180">
        <f t="shared" ca="1" si="203"/>
        <v>3.6644754036413762E-2</v>
      </c>
      <c r="E288" s="180">
        <f t="shared" ca="1" si="204"/>
        <v>5.3582360521454327E-2</v>
      </c>
      <c r="F288" s="180">
        <f t="shared" ca="1" si="205"/>
        <v>4.0960931028012605E-2</v>
      </c>
      <c r="G288" s="180">
        <f t="shared" ca="1" si="206"/>
        <v>3.7314418674702934E-2</v>
      </c>
      <c r="H288" s="180">
        <f t="shared" ca="1" si="207"/>
        <v>-1.3651957614424916E-2</v>
      </c>
      <c r="I288" s="180">
        <f t="shared" ca="1" si="208"/>
        <v>7.6949519845540645E-2</v>
      </c>
      <c r="J288" s="180">
        <f t="shared" ca="1" si="209"/>
        <v>2.7300940821317506E-2</v>
      </c>
      <c r="K288" s="180">
        <f t="shared" ca="1" si="210"/>
        <v>-5.2295016756340055E-4</v>
      </c>
      <c r="L288" s="180">
        <f t="shared" ca="1" si="211"/>
        <v>1.8629816417470801E-3</v>
      </c>
      <c r="P288">
        <f t="shared" ca="1" si="201"/>
        <v>4.7433468650950675E-3</v>
      </c>
      <c r="Q288">
        <f t="shared" ca="1" si="200"/>
        <v>-3.1489633464231118E-3</v>
      </c>
      <c r="R288">
        <f t="shared" ca="1" si="200"/>
        <v>-3.5032221907045202E-3</v>
      </c>
      <c r="S288">
        <f t="shared" ca="1" si="200"/>
        <v>-3.5618938208995701E-3</v>
      </c>
      <c r="T288">
        <f t="shared" ca="1" si="200"/>
        <v>3.1520648290068156E-5</v>
      </c>
      <c r="U288">
        <f t="shared" ca="1" si="200"/>
        <v>-2.8542697334323513E-3</v>
      </c>
      <c r="V288">
        <f t="shared" ca="1" si="200"/>
        <v>-1.9733061322130627E-3</v>
      </c>
      <c r="W288">
        <f t="shared" ca="1" si="200"/>
        <v>9.1766138290620882E-3</v>
      </c>
      <c r="X288">
        <f t="shared" ca="1" si="200"/>
        <v>-2.0019026195549233E-3</v>
      </c>
      <c r="Y288">
        <f t="shared" ca="1" si="200"/>
        <v>2.5812812603795625E-3</v>
      </c>
      <c r="Z288">
        <f t="shared" ca="1" si="200"/>
        <v>-4.5242632949828724E-4</v>
      </c>
    </row>
    <row r="289" spans="2:26" hidden="1">
      <c r="B289" s="180">
        <f>'Inflation-Interest'!F136</f>
        <v>0</v>
      </c>
      <c r="C289" s="180">
        <f t="shared" ca="1" si="202"/>
        <v>5.2601724222280551E-2</v>
      </c>
      <c r="D289" s="180">
        <f t="shared" ca="1" si="203"/>
        <v>1.9784114068991651E-2</v>
      </c>
      <c r="E289" s="180">
        <f t="shared" ca="1" si="204"/>
        <v>5.7831058319538019E-2</v>
      </c>
      <c r="F289" s="180">
        <f t="shared" ca="1" si="205"/>
        <v>1.9199787040544515E-2</v>
      </c>
      <c r="G289" s="180">
        <f t="shared" ca="1" si="206"/>
        <v>4.1864675913368218E-2</v>
      </c>
      <c r="H289" s="180">
        <f t="shared" ca="1" si="207"/>
        <v>6.8868039137321632E-2</v>
      </c>
      <c r="I289" s="180">
        <f t="shared" ca="1" si="208"/>
        <v>4.9134788797822224E-2</v>
      </c>
      <c r="J289" s="180">
        <f t="shared" ca="1" si="209"/>
        <v>1.1318424270103983E-2</v>
      </c>
      <c r="K289" s="180">
        <f t="shared" ca="1" si="210"/>
        <v>2.6907948274428422E-2</v>
      </c>
      <c r="L289" s="180">
        <f t="shared" ca="1" si="211"/>
        <v>3.7800849443768804E-2</v>
      </c>
      <c r="P289">
        <f t="shared" ca="1" si="201"/>
        <v>-1.2116426677095001E-4</v>
      </c>
      <c r="Q289">
        <f t="shared" ca="1" si="200"/>
        <v>6.7924611348588902E-3</v>
      </c>
      <c r="R289">
        <f t="shared" ca="1" si="200"/>
        <v>-2.1093335199482105E-3</v>
      </c>
      <c r="S289">
        <f t="shared" ca="1" si="200"/>
        <v>-7.225367928695845E-3</v>
      </c>
      <c r="T289">
        <f t="shared" ca="1" si="200"/>
        <v>-1.223365266465113E-4</v>
      </c>
      <c r="U289">
        <f t="shared" ca="1" si="200"/>
        <v>-1.5324596512383117E-3</v>
      </c>
      <c r="V289">
        <f t="shared" ca="1" si="200"/>
        <v>-6.6474119120736304E-4</v>
      </c>
      <c r="W289">
        <f t="shared" ca="1" si="200"/>
        <v>-1.9384227915939232E-3</v>
      </c>
      <c r="X289">
        <f t="shared" ca="1" si="200"/>
        <v>2.621522969375322E-3</v>
      </c>
      <c r="Y289">
        <f t="shared" ca="1" si="200"/>
        <v>-9.4160135973776864E-3</v>
      </c>
      <c r="Z289">
        <f t="shared" ca="1" si="200"/>
        <v>-7.7930600440858869E-3</v>
      </c>
    </row>
    <row r="290" spans="2:26" hidden="1">
      <c r="B290" s="180">
        <f>'Inflation-Interest'!F137</f>
        <v>0</v>
      </c>
      <c r="C290" s="180">
        <f t="shared" ca="1" si="202"/>
        <v>3.7379534849603137E-2</v>
      </c>
      <c r="D290" s="180">
        <f t="shared" ca="1" si="203"/>
        <v>3.3644177184994056E-3</v>
      </c>
      <c r="E290" s="180">
        <f t="shared" ca="1" si="204"/>
        <v>3.9785622752251185E-2</v>
      </c>
      <c r="F290" s="180">
        <f t="shared" ca="1" si="205"/>
        <v>5.6029455472094009E-2</v>
      </c>
      <c r="G290" s="180">
        <f t="shared" ca="1" si="206"/>
        <v>4.9073186044653931E-2</v>
      </c>
      <c r="H290" s="180">
        <f t="shared" ca="1" si="207"/>
        <v>5.0707711574318616E-2</v>
      </c>
      <c r="I290" s="180">
        <f t="shared" ca="1" si="208"/>
        <v>7.7699140057919294E-2</v>
      </c>
      <c r="J290" s="180">
        <f t="shared" ca="1" si="209"/>
        <v>6.3677441201171164E-2</v>
      </c>
      <c r="K290" s="180">
        <f t="shared" ca="1" si="210"/>
        <v>9.0337980161324535E-2</v>
      </c>
      <c r="L290" s="180">
        <f t="shared" ca="1" si="211"/>
        <v>9.7686234115088658E-2</v>
      </c>
      <c r="P290">
        <f t="shared" ca="1" si="201"/>
        <v>4.6041610346311363E-3</v>
      </c>
      <c r="Q290">
        <f t="shared" ca="1" si="200"/>
        <v>1.0256763949191479E-2</v>
      </c>
      <c r="R290">
        <f t="shared" ca="1" si="200"/>
        <v>5.9749332681623083E-3</v>
      </c>
      <c r="S290">
        <f t="shared" ca="1" si="200"/>
        <v>7.7528190929329549E-3</v>
      </c>
      <c r="T290">
        <f t="shared" ca="1" si="200"/>
        <v>-1.452542962807758E-3</v>
      </c>
      <c r="U290">
        <f t="shared" ca="1" si="200"/>
        <v>-1.025295987159159E-2</v>
      </c>
      <c r="V290">
        <f t="shared" ca="1" si="200"/>
        <v>4.7358853362783234E-4</v>
      </c>
      <c r="W290">
        <f t="shared" ca="1" si="200"/>
        <v>-3.3637273973816963E-4</v>
      </c>
      <c r="X290">
        <f t="shared" ca="1" si="200"/>
        <v>-4.8167219725837431E-3</v>
      </c>
      <c r="Y290">
        <f t="shared" ca="1" si="200"/>
        <v>8.6091882066315472E-3</v>
      </c>
      <c r="Z290">
        <f t="shared" ca="1" si="200"/>
        <v>-2.5409236909300771E-3</v>
      </c>
    </row>
    <row r="291" spans="2:26" hidden="1">
      <c r="B291" s="180">
        <f>'Inflation-Interest'!F138</f>
        <v>0</v>
      </c>
      <c r="C291" s="180">
        <f t="shared" ca="1" si="202"/>
        <v>4.4606679608991895E-2</v>
      </c>
      <c r="D291" s="180">
        <f t="shared" ca="1" si="203"/>
        <v>6.780563563083554E-2</v>
      </c>
      <c r="E291" s="180">
        <f t="shared" ca="1" si="204"/>
        <v>4.1972353467577571E-2</v>
      </c>
      <c r="F291" s="180">
        <f t="shared" ca="1" si="205"/>
        <v>8.4629247630667495E-2</v>
      </c>
      <c r="G291" s="180">
        <f t="shared" ca="1" si="206"/>
        <v>4.8554732651961086E-2</v>
      </c>
      <c r="H291" s="180">
        <f t="shared" ca="1" si="207"/>
        <v>8.5040852020350749E-2</v>
      </c>
      <c r="I291" s="180">
        <f t="shared" ca="1" si="208"/>
        <v>6.4415069496802771E-2</v>
      </c>
      <c r="J291" s="180">
        <f t="shared" ca="1" si="209"/>
        <v>4.5094792049239088E-3</v>
      </c>
      <c r="K291" s="180">
        <f t="shared" ca="1" si="210"/>
        <v>-1.6241842660215292E-2</v>
      </c>
      <c r="L291" s="180">
        <f t="shared" ca="1" si="211"/>
        <v>3.4795947852247919E-2</v>
      </c>
      <c r="P291">
        <f t="shared" ca="1" si="201"/>
        <v>1.236778685538966E-4</v>
      </c>
      <c r="Q291">
        <f t="shared" ca="1" si="200"/>
        <v>-5.6733982976928977E-3</v>
      </c>
      <c r="R291">
        <f t="shared" ca="1" si="200"/>
        <v>3.5508673280962464E-3</v>
      </c>
      <c r="S291">
        <f t="shared" ca="1" si="200"/>
        <v>8.5109818547168814E-3</v>
      </c>
      <c r="T291">
        <f t="shared" ca="1" si="200"/>
        <v>-4.4427458551138891E-3</v>
      </c>
      <c r="U291">
        <f t="shared" ca="1" si="200"/>
        <v>4.5789244411360208E-3</v>
      </c>
      <c r="V291">
        <f t="shared" ca="1" si="200"/>
        <v>4.4479244109712438E-3</v>
      </c>
      <c r="W291">
        <f t="shared" ca="1" si="200"/>
        <v>-2.0618777312724763E-3</v>
      </c>
      <c r="X291">
        <f t="shared" ca="1" si="200"/>
        <v>-5.1499474688420743E-4</v>
      </c>
      <c r="Y291">
        <f t="shared" ca="1" si="200"/>
        <v>-1.2191477297790186E-2</v>
      </c>
      <c r="Z291">
        <f t="shared" ca="1" si="200"/>
        <v>4.7301825530865673E-3</v>
      </c>
    </row>
    <row r="292" spans="2:26" hidden="1">
      <c r="B292" s="180">
        <f>'Inflation-Interest'!F139</f>
        <v>0</v>
      </c>
      <c r="C292" s="180">
        <f t="shared" ca="1" si="202"/>
        <v>8.2171575637736055E-2</v>
      </c>
      <c r="D292" s="180">
        <f t="shared" ca="1" si="203"/>
        <v>5.9086701104915533E-2</v>
      </c>
      <c r="E292" s="180">
        <f t="shared" ca="1" si="204"/>
        <v>6.8184325113760921E-2</v>
      </c>
      <c r="F292" s="180">
        <f t="shared" ca="1" si="205"/>
        <v>6.9558450112452264E-2</v>
      </c>
      <c r="G292" s="180">
        <f t="shared" ca="1" si="206"/>
        <v>7.5732492036666862E-2</v>
      </c>
      <c r="H292" s="180">
        <f t="shared" ca="1" si="207"/>
        <v>5.8231907710096391E-2</v>
      </c>
      <c r="I292" s="180">
        <f t="shared" ca="1" si="208"/>
        <v>7.9493631957486072E-2</v>
      </c>
      <c r="J292" s="180">
        <f t="shared" ca="1" si="209"/>
        <v>7.2969472673827432E-2</v>
      </c>
      <c r="K292" s="180">
        <f t="shared" ca="1" si="210"/>
        <v>7.7218522558470948E-2</v>
      </c>
      <c r="L292" s="180">
        <f t="shared" ca="1" si="211"/>
        <v>6.4668742919412547E-2</v>
      </c>
      <c r="P292">
        <f t="shared" ca="1" si="201"/>
        <v>1.0965907697918206E-2</v>
      </c>
      <c r="Q292">
        <f t="shared" ca="1" si="200"/>
        <v>-3.2873810713479864E-3</v>
      </c>
      <c r="R292">
        <f t="shared" ca="1" si="200"/>
        <v>-2.9088987763220497E-3</v>
      </c>
      <c r="S292">
        <f t="shared" ca="1" si="200"/>
        <v>3.4993704343622869E-3</v>
      </c>
      <c r="T292">
        <f t="shared" ca="1" si="200"/>
        <v>1.0540151537504481E-2</v>
      </c>
      <c r="U292">
        <f t="shared" ca="1" si="200"/>
        <v>1.3147534420726996E-2</v>
      </c>
      <c r="V292">
        <f t="shared" ca="1" si="200"/>
        <v>-1.1837076957794863E-3</v>
      </c>
      <c r="W292">
        <f t="shared" ca="1" si="200"/>
        <v>7.485735079385652E-3</v>
      </c>
      <c r="X292">
        <f t="shared" ca="1" si="200"/>
        <v>-3.8542074606074451E-3</v>
      </c>
      <c r="Y292">
        <f t="shared" ca="1" si="200"/>
        <v>-8.1569935719607266E-3</v>
      </c>
      <c r="Z292">
        <f t="shared" ca="1" si="200"/>
        <v>-2.6653468637027037E-4</v>
      </c>
    </row>
    <row r="293" spans="2:26" hidden="1">
      <c r="B293" s="180">
        <f>'Inflation-Interest'!F140</f>
        <v>0</v>
      </c>
      <c r="C293" s="180">
        <f t="shared" ca="1" si="202"/>
        <v>9.9864732514926197E-2</v>
      </c>
      <c r="D293" s="180">
        <f t="shared" ca="1" si="203"/>
        <v>0.10424941304730549</v>
      </c>
      <c r="E293" s="180">
        <f t="shared" ca="1" si="204"/>
        <v>9.7073898961463317E-2</v>
      </c>
      <c r="F293" s="180">
        <f t="shared" ca="1" si="205"/>
        <v>0.1051461433256148</v>
      </c>
      <c r="G293" s="180">
        <f t="shared" ca="1" si="206"/>
        <v>0.12721445331481315</v>
      </c>
      <c r="H293" s="180">
        <f t="shared" ca="1" si="207"/>
        <v>8.8967358281700396E-2</v>
      </c>
      <c r="I293" s="180">
        <f t="shared" ca="1" si="208"/>
        <v>7.6658502841258483E-2</v>
      </c>
      <c r="J293" s="180">
        <f t="shared" ca="1" si="209"/>
        <v>0.11689810552203192</v>
      </c>
      <c r="K293" s="180">
        <f t="shared" ca="1" si="210"/>
        <v>0.11260137570664802</v>
      </c>
      <c r="L293" s="180">
        <f t="shared" ca="1" si="211"/>
        <v>0.10856607111939641</v>
      </c>
      <c r="P293">
        <f t="shared" ca="1" si="201"/>
        <v>7.5139211409388715E-3</v>
      </c>
      <c r="Q293">
        <f t="shared" ca="1" si="200"/>
        <v>-5.1034250476022244E-4</v>
      </c>
      <c r="R293">
        <f t="shared" ca="1" si="200"/>
        <v>4.8394697607664813E-4</v>
      </c>
      <c r="S293">
        <f t="shared" ca="1" si="200"/>
        <v>-7.3225117670543119E-3</v>
      </c>
      <c r="T293">
        <f t="shared" ca="1" si="200"/>
        <v>7.7226889749400646E-3</v>
      </c>
      <c r="U293">
        <f t="shared" ca="1" si="200"/>
        <v>9.7542560155918455E-4</v>
      </c>
      <c r="V293">
        <f t="shared" ca="1" si="200"/>
        <v>-1.2610713611957165E-3</v>
      </c>
      <c r="W293">
        <f t="shared" ca="1" si="200"/>
        <v>4.6146806522360333E-5</v>
      </c>
      <c r="X293">
        <f t="shared" ca="1" si="200"/>
        <v>8.6028834398803617E-3</v>
      </c>
      <c r="Y293">
        <f t="shared" ca="1" si="200"/>
        <v>2.7469933792440768E-3</v>
      </c>
      <c r="Z293">
        <f t="shared" ca="1" si="200"/>
        <v>-7.5887151768012457E-3</v>
      </c>
    </row>
    <row r="294" spans="2:26" hidden="1">
      <c r="B294" s="180">
        <f>'Inflation-Interest'!F141</f>
        <v>0</v>
      </c>
      <c r="C294" s="180">
        <f t="shared" ca="1" si="202"/>
        <v>5.3790786565815374E-2</v>
      </c>
      <c r="D294" s="180">
        <f t="shared" ca="1" si="203"/>
        <v>5.4839037666429981E-2</v>
      </c>
      <c r="E294" s="180">
        <f t="shared" ca="1" si="204"/>
        <v>9.2452897666924341E-2</v>
      </c>
      <c r="F294" s="180">
        <f t="shared" ca="1" si="205"/>
        <v>9.0439746562739801E-2</v>
      </c>
      <c r="G294" s="180">
        <f t="shared" ca="1" si="206"/>
        <v>8.7391946052165839E-2</v>
      </c>
      <c r="H294" s="180">
        <f t="shared" ca="1" si="207"/>
        <v>0.11539033928984556</v>
      </c>
      <c r="I294" s="180">
        <f t="shared" ca="1" si="208"/>
        <v>7.6632193595605358E-2</v>
      </c>
      <c r="J294" s="180">
        <f t="shared" ca="1" si="209"/>
        <v>7.4502024158484226E-2</v>
      </c>
      <c r="K294" s="180">
        <f t="shared" ca="1" si="210"/>
        <v>5.4915613034672489E-2</v>
      </c>
      <c r="L294" s="180">
        <f t="shared" ca="1" si="211"/>
        <v>5.2942831345997143E-2</v>
      </c>
      <c r="P294">
        <f t="shared" ca="1" si="201"/>
        <v>6.8396130181722567E-3</v>
      </c>
      <c r="Q294">
        <f t="shared" ca="1" si="200"/>
        <v>-9.1064872978366511E-3</v>
      </c>
      <c r="R294">
        <f t="shared" ca="1" si="200"/>
        <v>1.4261742842611341E-3</v>
      </c>
      <c r="S294">
        <f t="shared" ca="1" si="200"/>
        <v>-1.3629219248566173E-3</v>
      </c>
      <c r="T294">
        <f t="shared" ca="1" si="200"/>
        <v>2.4268601572543119E-3</v>
      </c>
      <c r="U294">
        <f t="shared" ca="1" si="200"/>
        <v>1.119550403082091E-2</v>
      </c>
      <c r="V294">
        <f t="shared" ca="1" si="200"/>
        <v>2.4133335007721652E-3</v>
      </c>
      <c r="W294">
        <f t="shared" ca="1" si="200"/>
        <v>9.3311422552658924E-3</v>
      </c>
      <c r="X294">
        <f t="shared" ca="1" si="200"/>
        <v>-2.1548708336521401E-3</v>
      </c>
      <c r="Y294">
        <f t="shared" ca="1" si="200"/>
        <v>-1.4684960472102012E-3</v>
      </c>
      <c r="Z294">
        <f t="shared" ca="1" si="200"/>
        <v>1.5470960390441978E-2</v>
      </c>
    </row>
    <row r="295" spans="2:26" hidden="1">
      <c r="B295" s="180">
        <f>'Inflation-Interest'!F142</f>
        <v>0</v>
      </c>
      <c r="C295" s="180">
        <f t="shared" ca="1" si="202"/>
        <v>8.717911312629302E-2</v>
      </c>
      <c r="D295" s="180">
        <f t="shared" ca="1" si="203"/>
        <v>9.110254643876825E-2</v>
      </c>
      <c r="E295" s="180">
        <f t="shared" ca="1" si="204"/>
        <v>0.14208403513546133</v>
      </c>
      <c r="F295" s="180">
        <f t="shared" ca="1" si="205"/>
        <v>0.14228784883844023</v>
      </c>
      <c r="G295" s="180">
        <f t="shared" ca="1" si="206"/>
        <v>0.15712209343871267</v>
      </c>
      <c r="H295" s="180">
        <f t="shared" ca="1" si="207"/>
        <v>0.20486500338640651</v>
      </c>
      <c r="I295" s="180">
        <f t="shared" ca="1" si="208"/>
        <v>0.16498690593852633</v>
      </c>
      <c r="J295" s="180">
        <f t="shared" ca="1" si="209"/>
        <v>0.15429640072676262</v>
      </c>
      <c r="K295" s="180">
        <f t="shared" ca="1" si="210"/>
        <v>0.15908504728211451</v>
      </c>
      <c r="L295" s="180">
        <f t="shared" ca="1" si="211"/>
        <v>0.13968379690099669</v>
      </c>
      <c r="P295">
        <f t="shared" ca="1" si="201"/>
        <v>-8.5872464471610337E-3</v>
      </c>
      <c r="Q295">
        <f t="shared" ca="1" si="200"/>
        <v>-1.1333505296450873E-2</v>
      </c>
      <c r="R295">
        <f t="shared" ca="1" si="200"/>
        <v>1.7225926951877964E-3</v>
      </c>
      <c r="S295">
        <f t="shared" ca="1" si="200"/>
        <v>-1.0067908255154783E-2</v>
      </c>
      <c r="T295">
        <f t="shared" ca="1" si="200"/>
        <v>-2.4325091555702926E-3</v>
      </c>
      <c r="U295">
        <f t="shared" ca="1" si="200"/>
        <v>-6.5446699760321895E-3</v>
      </c>
      <c r="V295">
        <f t="shared" ca="1" si="200"/>
        <v>8.497731191785823E-3</v>
      </c>
      <c r="W295">
        <f t="shared" ca="1" si="200"/>
        <v>3.0673985105490165E-3</v>
      </c>
      <c r="X295">
        <f t="shared" ca="1" si="200"/>
        <v>1.7513879744998624E-3</v>
      </c>
      <c r="Y295">
        <f t="shared" ca="1" si="200"/>
        <v>-4.9734358026292085E-4</v>
      </c>
      <c r="Z295">
        <f t="shared" ca="1" si="200"/>
        <v>8.2267927063491755E-3</v>
      </c>
    </row>
    <row r="296" spans="2:26" hidden="1">
      <c r="B296" s="180">
        <f>'Inflation-Interest'!F143</f>
        <v>0</v>
      </c>
      <c r="C296" s="180">
        <f t="shared" ca="1" si="202"/>
        <v>6.4395209151174044E-3</v>
      </c>
      <c r="D296" s="180">
        <f t="shared" ca="1" si="203"/>
        <v>8.940765777268175E-3</v>
      </c>
      <c r="E296" s="180">
        <f t="shared" ca="1" si="204"/>
        <v>-6.0745166644274968E-4</v>
      </c>
      <c r="F296" s="180">
        <f t="shared" ca="1" si="205"/>
        <v>7.4204477739527666E-3</v>
      </c>
      <c r="G296" s="180">
        <f t="shared" ca="1" si="206"/>
        <v>-1.2350324583099929E-3</v>
      </c>
      <c r="H296" s="180">
        <f t="shared" ca="1" si="207"/>
        <v>-3.1226477888921245E-3</v>
      </c>
      <c r="I296" s="180">
        <f t="shared" ca="1" si="208"/>
        <v>-3.8621543823583002E-2</v>
      </c>
      <c r="J296" s="180">
        <f t="shared" ca="1" si="209"/>
        <v>-2.8763544672840476E-2</v>
      </c>
      <c r="K296" s="180">
        <f t="shared" ca="1" si="210"/>
        <v>-4.5313933961476122E-2</v>
      </c>
      <c r="L296" s="180">
        <f t="shared" ca="1" si="211"/>
        <v>-1.722001824335689E-2</v>
      </c>
      <c r="P296">
        <f t="shared" ca="1" si="201"/>
        <v>6.1505821854593735E-3</v>
      </c>
      <c r="Q296">
        <f t="shared" ca="1" si="200"/>
        <v>-1.153896911204237E-2</v>
      </c>
      <c r="R296">
        <f t="shared" ca="1" si="200"/>
        <v>-9.0123040887130513E-3</v>
      </c>
      <c r="S296">
        <f t="shared" ca="1" si="200"/>
        <v>3.6932899129266538E-3</v>
      </c>
      <c r="T296">
        <f t="shared" ca="1" si="200"/>
        <v>4.1057023078668563E-3</v>
      </c>
      <c r="U296">
        <f t="shared" ca="1" si="200"/>
        <v>3.6055959798058906E-3</v>
      </c>
      <c r="V296">
        <f t="shared" ca="1" si="200"/>
        <v>-3.9443332011800808E-3</v>
      </c>
      <c r="W296">
        <f t="shared" ca="1" si="200"/>
        <v>-5.3517900538755103E-3</v>
      </c>
      <c r="X296">
        <f t="shared" ca="1" si="200"/>
        <v>8.5712409826720591E-3</v>
      </c>
      <c r="Y296">
        <f t="shared" ca="1" si="200"/>
        <v>-5.2481443738230573E-3</v>
      </c>
      <c r="Z296">
        <f t="shared" ca="1" si="200"/>
        <v>-4.1855457633335038E-3</v>
      </c>
    </row>
    <row r="297" spans="2:26" hidden="1">
      <c r="B297" s="180">
        <f>'Inflation-Interest'!F144</f>
        <v>0</v>
      </c>
      <c r="C297" s="180">
        <f t="shared" ca="1" si="202"/>
        <v>7.61999393733237E-2</v>
      </c>
      <c r="D297" s="180">
        <f t="shared" ca="1" si="203"/>
        <v>0.10318958082466997</v>
      </c>
      <c r="E297" s="180">
        <f t="shared" ca="1" si="204"/>
        <v>4.7652744109282316E-2</v>
      </c>
      <c r="F297" s="180">
        <f t="shared" ca="1" si="205"/>
        <v>7.1404795566089405E-2</v>
      </c>
      <c r="G297" s="180">
        <f t="shared" ca="1" si="206"/>
        <v>0.12566307410080613</v>
      </c>
      <c r="H297" s="180">
        <f t="shared" ca="1" si="207"/>
        <v>6.9166162642410892E-2</v>
      </c>
      <c r="I297" s="180">
        <f t="shared" ca="1" si="208"/>
        <v>4.1932709782237745E-2</v>
      </c>
      <c r="J297" s="180">
        <f t="shared" ca="1" si="209"/>
        <v>2.2089340387997376E-2</v>
      </c>
      <c r="K297" s="180">
        <f t="shared" ca="1" si="210"/>
        <v>-6.9291502886978593E-3</v>
      </c>
      <c r="L297" s="180">
        <f t="shared" ca="1" si="211"/>
        <v>6.6802811736939152E-2</v>
      </c>
      <c r="P297">
        <f t="shared" ca="1" si="201"/>
        <v>-9.4927672663436945E-3</v>
      </c>
      <c r="Q297">
        <f t="shared" ca="1" si="200"/>
        <v>1.0094589225281919E-2</v>
      </c>
      <c r="R297">
        <f t="shared" ca="1" si="200"/>
        <v>-5.1975260691234058E-3</v>
      </c>
      <c r="S297">
        <f t="shared" ca="1" si="200"/>
        <v>-1.2357436335299365E-3</v>
      </c>
      <c r="T297">
        <f t="shared" ca="1" si="200"/>
        <v>1.3419461736300074E-2</v>
      </c>
      <c r="U297">
        <f t="shared" ca="1" si="200"/>
        <v>-5.062152695458017E-3</v>
      </c>
      <c r="V297">
        <f t="shared" ca="1" si="200"/>
        <v>1.1249806126935684E-2</v>
      </c>
      <c r="W297">
        <f t="shared" ca="1" si="200"/>
        <v>6.105387384757798E-3</v>
      </c>
      <c r="X297">
        <f t="shared" ca="1" si="200"/>
        <v>6.7246206186021675E-3</v>
      </c>
      <c r="Y297">
        <f t="shared" ca="1" si="200"/>
        <v>2.7882854141594512E-3</v>
      </c>
      <c r="Z297">
        <f t="shared" ca="1" si="200"/>
        <v>4.5279592966852829E-3</v>
      </c>
    </row>
    <row r="298" spans="2:26" hidden="1">
      <c r="B298" s="180">
        <f>'Inflation-Interest'!F145</f>
        <v>0</v>
      </c>
      <c r="C298" s="180">
        <f t="shared" ca="1" si="202"/>
        <v>-2.9022851040712443E-2</v>
      </c>
      <c r="D298" s="180">
        <f t="shared" ca="1" si="203"/>
        <v>7.1311843285529697E-2</v>
      </c>
      <c r="E298" s="180">
        <f t="shared" ca="1" si="204"/>
        <v>4.3189640665301978E-3</v>
      </c>
      <c r="F298" s="180">
        <f t="shared" ca="1" si="205"/>
        <v>1.5866479677346411E-2</v>
      </c>
      <c r="G298" s="180">
        <f t="shared" ca="1" si="206"/>
        <v>1.4900911993921148E-2</v>
      </c>
      <c r="H298" s="180">
        <f t="shared" ca="1" si="207"/>
        <v>-2.9346340234430771E-3</v>
      </c>
      <c r="I298" s="180">
        <f t="shared" ca="1" si="208"/>
        <v>2.0610728106094645E-2</v>
      </c>
      <c r="J298" s="180">
        <f t="shared" ca="1" si="209"/>
        <v>4.6556820997120718E-2</v>
      </c>
      <c r="K298" s="180">
        <f t="shared" ca="1" si="210"/>
        <v>4.2830780080278477E-2</v>
      </c>
      <c r="L298" s="180">
        <f t="shared" ca="1" si="211"/>
        <v>-1.1857377953785863E-2</v>
      </c>
      <c r="P298">
        <f t="shared" ca="1" si="201"/>
        <v>-4.0724112417169387E-3</v>
      </c>
      <c r="Q298">
        <f t="shared" ca="1" si="200"/>
        <v>-4.6920632486681374E-4</v>
      </c>
      <c r="R298">
        <f t="shared" ca="1" si="200"/>
        <v>5.4669220898025178E-3</v>
      </c>
      <c r="S298">
        <f t="shared" ca="1" si="200"/>
        <v>4.3999058277330756E-3</v>
      </c>
      <c r="T298">
        <f t="shared" ca="1" si="200"/>
        <v>2.9653722846684442E-3</v>
      </c>
      <c r="U298">
        <f t="shared" ca="1" si="200"/>
        <v>1.3666128012372786E-2</v>
      </c>
      <c r="V298">
        <f t="shared" ca="1" si="200"/>
        <v>6.978953443671738E-5</v>
      </c>
      <c r="W298">
        <f t="shared" ca="1" si="200"/>
        <v>-3.4290821213163666E-3</v>
      </c>
      <c r="X298">
        <f t="shared" ca="1" si="200"/>
        <v>7.9660483828954826E-5</v>
      </c>
      <c r="Y298">
        <f t="shared" ca="1" si="200"/>
        <v>1.2028989710543879E-2</v>
      </c>
      <c r="Z298">
        <f t="shared" ca="1" si="200"/>
        <v>-3.802412929359544E-3</v>
      </c>
    </row>
    <row r="299" spans="2:26" hidden="1">
      <c r="B299" s="180">
        <f>'Inflation-Interest'!F146</f>
        <v>0</v>
      </c>
      <c r="C299" s="180">
        <f t="shared" ca="1" si="202"/>
        <v>8.7108878973893453E-2</v>
      </c>
      <c r="D299" s="180">
        <f t="shared" ca="1" si="203"/>
        <v>0.11060795700627228</v>
      </c>
      <c r="E299" s="180">
        <f t="shared" ca="1" si="204"/>
        <v>6.5349137569533089E-2</v>
      </c>
      <c r="F299" s="180">
        <f t="shared" ca="1" si="205"/>
        <v>3.928063033377354E-2</v>
      </c>
      <c r="G299" s="180">
        <f t="shared" ca="1" si="206"/>
        <v>0.1079613347781604</v>
      </c>
      <c r="H299" s="180">
        <f t="shared" ca="1" si="207"/>
        <v>0.11966113171744798</v>
      </c>
      <c r="I299" s="180">
        <f t="shared" ca="1" si="208"/>
        <v>6.7897684565419669E-2</v>
      </c>
      <c r="J299" s="180">
        <f t="shared" ca="1" si="209"/>
        <v>9.6429024188951232E-2</v>
      </c>
      <c r="K299" s="180">
        <f t="shared" ca="1" si="210"/>
        <v>0.16156428759983588</v>
      </c>
      <c r="L299" s="180">
        <f t="shared" ca="1" si="211"/>
        <v>8.9440860165917707E-2</v>
      </c>
      <c r="P299">
        <f t="shared" ca="1" si="201"/>
        <v>-3.8550358401108027E-3</v>
      </c>
      <c r="Q299">
        <f t="shared" ca="1" si="200"/>
        <v>6.3735713016115896E-3</v>
      </c>
      <c r="R299">
        <f t="shared" ca="1" si="200"/>
        <v>6.6998211546090451E-3</v>
      </c>
      <c r="S299">
        <f t="shared" ca="1" si="200"/>
        <v>-5.710079867546217E-3</v>
      </c>
      <c r="T299">
        <f t="shared" ca="1" si="200"/>
        <v>7.0740096213478335E-3</v>
      </c>
      <c r="U299">
        <f t="shared" ca="1" si="200"/>
        <v>6.3495187853148264E-3</v>
      </c>
      <c r="V299">
        <f t="shared" ca="1" si="200"/>
        <v>8.9115349745562036E-3</v>
      </c>
      <c r="W299">
        <f t="shared" ca="1" si="200"/>
        <v>9.8299662184116662E-3</v>
      </c>
      <c r="X299">
        <f t="shared" ca="1" si="200"/>
        <v>1.4988232000021445E-2</v>
      </c>
      <c r="Y299">
        <f t="shared" ca="1" si="200"/>
        <v>7.9264776377791152E-4</v>
      </c>
      <c r="Z299">
        <f t="shared" ca="1" si="200"/>
        <v>-3.1041266844324508E-3</v>
      </c>
    </row>
    <row r="300" spans="2:26" hidden="1">
      <c r="B300" s="180">
        <f>'Inflation-Interest'!F147</f>
        <v>0</v>
      </c>
      <c r="C300" s="180">
        <f t="shared" ca="1" si="202"/>
        <v>5.2020337234545844E-3</v>
      </c>
      <c r="D300" s="180">
        <f t="shared" ca="1" si="203"/>
        <v>8.545807968168298E-2</v>
      </c>
      <c r="E300" s="180">
        <f t="shared" ca="1" si="204"/>
        <v>2.1556112917946926E-2</v>
      </c>
      <c r="F300" s="180">
        <f t="shared" ca="1" si="205"/>
        <v>-5.5987060445420976E-3</v>
      </c>
      <c r="G300" s="180">
        <f t="shared" ca="1" si="206"/>
        <v>4.619605495068374E-3</v>
      </c>
      <c r="H300" s="180">
        <f t="shared" ca="1" si="207"/>
        <v>2.5734838352362309E-2</v>
      </c>
      <c r="I300" s="180">
        <f t="shared" ca="1" si="208"/>
        <v>-4.9876397570151713E-2</v>
      </c>
      <c r="J300" s="180">
        <f t="shared" ca="1" si="209"/>
        <v>-1.8407324787342381E-2</v>
      </c>
      <c r="K300" s="180">
        <f t="shared" ca="1" si="210"/>
        <v>-4.1543800638880267E-2</v>
      </c>
      <c r="L300" s="180">
        <f t="shared" ca="1" si="211"/>
        <v>-4.4274146815897995E-2</v>
      </c>
      <c r="P300">
        <f t="shared" ca="1" si="201"/>
        <v>-4.9375969643624556E-4</v>
      </c>
      <c r="Q300">
        <f t="shared" ca="1" si="200"/>
        <v>-2.3674130253828704E-3</v>
      </c>
      <c r="R300">
        <f t="shared" ca="1" si="200"/>
        <v>7.9591940294988905E-3</v>
      </c>
      <c r="S300">
        <f t="shared" ca="1" si="200"/>
        <v>-1.5825606873049176E-3</v>
      </c>
      <c r="T300">
        <f t="shared" ca="1" si="200"/>
        <v>-1.3748442486595416E-2</v>
      </c>
      <c r="U300">
        <f t="shared" ca="1" si="200"/>
        <v>-6.6137296831020771E-3</v>
      </c>
      <c r="V300">
        <f t="shared" ca="1" si="200"/>
        <v>7.4736696290669542E-4</v>
      </c>
      <c r="W300">
        <f t="shared" ca="1" si="200"/>
        <v>-2.4984744782374817E-4</v>
      </c>
      <c r="X300">
        <f t="shared" ca="1" si="200"/>
        <v>-3.6561219614462265E-3</v>
      </c>
      <c r="Y300">
        <f t="shared" ca="1" si="200"/>
        <v>-9.8234355040467637E-4</v>
      </c>
      <c r="Z300">
        <f t="shared" ca="1" si="200"/>
        <v>1.114602405145163E-2</v>
      </c>
    </row>
    <row r="301" spans="2:26" hidden="1">
      <c r="B301" s="180">
        <f>'Inflation-Interest'!F148</f>
        <v>0</v>
      </c>
      <c r="C301" s="180">
        <f t="shared" ca="1" si="202"/>
        <v>4.1708972398450353E-2</v>
      </c>
      <c r="D301" s="180">
        <f t="shared" ca="1" si="203"/>
        <v>7.7544443017531536E-2</v>
      </c>
      <c r="E301" s="180">
        <f t="shared" ca="1" si="204"/>
        <v>3.9271230346375315E-2</v>
      </c>
      <c r="F301" s="180">
        <f t="shared" ca="1" si="205"/>
        <v>-9.5185611254228371E-3</v>
      </c>
      <c r="G301" s="180">
        <f t="shared" ca="1" si="206"/>
        <v>4.2525556087015554E-2</v>
      </c>
      <c r="H301" s="180">
        <f t="shared" ca="1" si="207"/>
        <v>7.0011014813466013E-2</v>
      </c>
      <c r="I301" s="180">
        <f t="shared" ca="1" si="208"/>
        <v>5.6838629728867811E-3</v>
      </c>
      <c r="J301" s="180">
        <f t="shared" ca="1" si="209"/>
        <v>1.6552511057507081E-2</v>
      </c>
      <c r="K301" s="180">
        <f t="shared" ca="1" si="210"/>
        <v>-1.1353340137637811E-2</v>
      </c>
      <c r="L301" s="180">
        <f t="shared" ca="1" si="211"/>
        <v>5.9651382160600619E-2</v>
      </c>
      <c r="P301">
        <f t="shared" ca="1" si="201"/>
        <v>1.0243872295533156E-2</v>
      </c>
      <c r="Q301">
        <f t="shared" ca="1" si="200"/>
        <v>1.0564809006612965E-3</v>
      </c>
      <c r="R301">
        <f t="shared" ca="1" si="200"/>
        <v>5.9095139750549811E-3</v>
      </c>
      <c r="S301">
        <f t="shared" ca="1" si="200"/>
        <v>-7.4489430543239667E-3</v>
      </c>
      <c r="T301">
        <f t="shared" ca="1" si="200"/>
        <v>2.2091016789543572E-4</v>
      </c>
      <c r="U301">
        <f t="shared" ca="1" si="200"/>
        <v>-9.6153594616397199E-3</v>
      </c>
      <c r="V301">
        <f t="shared" ca="1" si="200"/>
        <v>5.4038712302408171E-3</v>
      </c>
      <c r="W301">
        <f t="shared" ca="1" si="200"/>
        <v>-8.0191075744302561E-3</v>
      </c>
      <c r="X301">
        <f t="shared" ca="1" si="200"/>
        <v>6.5755155568500787E-3</v>
      </c>
      <c r="Y301">
        <f t="shared" ca="1" si="200"/>
        <v>-1.9107155602078943E-2</v>
      </c>
      <c r="Z301">
        <f t="shared" ca="1" si="200"/>
        <v>1.758191058844269E-2</v>
      </c>
    </row>
    <row r="302" spans="2:26" hidden="1">
      <c r="B302" s="180">
        <f>'Inflation-Interest'!F149</f>
        <v>0</v>
      </c>
      <c r="C302" s="180">
        <f t="shared" ca="1" si="202"/>
        <v>9.904612050074213E-2</v>
      </c>
      <c r="D302" s="180">
        <f t="shared" ca="1" si="203"/>
        <v>0.12295911048918609</v>
      </c>
      <c r="E302" s="180">
        <f t="shared" ca="1" si="204"/>
        <v>8.3833914161702591E-2</v>
      </c>
      <c r="F302" s="180">
        <f t="shared" ca="1" si="205"/>
        <v>7.0309563837435612E-2</v>
      </c>
      <c r="G302" s="180">
        <f t="shared" ca="1" si="206"/>
        <v>0.12596561477745696</v>
      </c>
      <c r="H302" s="180">
        <f t="shared" ca="1" si="207"/>
        <v>0.11933465219340056</v>
      </c>
      <c r="I302" s="180">
        <f t="shared" ca="1" si="208"/>
        <v>9.1077300928866622E-2</v>
      </c>
      <c r="J302" s="180">
        <f t="shared" ca="1" si="209"/>
        <v>0.16589333104603807</v>
      </c>
      <c r="K302" s="180">
        <f t="shared" ca="1" si="210"/>
        <v>0.16931805841231853</v>
      </c>
      <c r="L302" s="180">
        <f t="shared" ca="1" si="211"/>
        <v>0.13380037215706686</v>
      </c>
      <c r="P302">
        <f t="shared" ca="1" si="201"/>
        <v>-2.1545119327811358E-3</v>
      </c>
      <c r="Q302">
        <f t="shared" ca="1" si="200"/>
        <v>-7.8706514778053103E-3</v>
      </c>
      <c r="R302">
        <f t="shared" ca="1" si="200"/>
        <v>5.0228760674196054E-3</v>
      </c>
      <c r="S302">
        <f t="shared" ca="1" si="200"/>
        <v>-4.4423067408183418E-4</v>
      </c>
      <c r="T302">
        <f t="shared" ca="1" si="200"/>
        <v>-8.3303274759697621E-3</v>
      </c>
      <c r="U302">
        <f t="shared" ca="1" si="200"/>
        <v>1.2253704810213503E-2</v>
      </c>
      <c r="V302">
        <f t="shared" ca="1" si="200"/>
        <v>2.0701273947876467E-3</v>
      </c>
      <c r="W302">
        <f t="shared" ref="Q302:Z320" ca="1" si="212">_xlfn.NORM.INV(RAND(), $B$9, $B$10)</f>
        <v>-1.3266910155779325E-2</v>
      </c>
      <c r="X302">
        <f t="shared" ca="1" si="212"/>
        <v>2.6970682164843859E-3</v>
      </c>
      <c r="Y302">
        <f t="shared" ca="1" si="212"/>
        <v>7.6087372843266273E-4</v>
      </c>
      <c r="Z302">
        <f t="shared" ca="1" si="212"/>
        <v>2.9163529859299805E-3</v>
      </c>
    </row>
    <row r="303" spans="2:26" hidden="1">
      <c r="B303" s="180">
        <f>'Inflation-Interest'!F150</f>
        <v>0</v>
      </c>
      <c r="C303" s="180">
        <f t="shared" ca="1" si="202"/>
        <v>3.4852395902759174E-2</v>
      </c>
      <c r="D303" s="180">
        <f t="shared" ca="1" si="203"/>
        <v>4.2962563813209786E-2</v>
      </c>
      <c r="E303" s="180">
        <f t="shared" ca="1" si="204"/>
        <v>4.9445835067997046E-2</v>
      </c>
      <c r="F303" s="180">
        <f t="shared" ca="1" si="205"/>
        <v>7.2896180115849668E-2</v>
      </c>
      <c r="G303" s="180">
        <f t="shared" ca="1" si="206"/>
        <v>0.10736616140981506</v>
      </c>
      <c r="H303" s="180">
        <f t="shared" ca="1" si="207"/>
        <v>9.0171743192133988E-2</v>
      </c>
      <c r="I303" s="180">
        <f t="shared" ca="1" si="208"/>
        <v>8.0296383702895019E-2</v>
      </c>
      <c r="J303" s="180">
        <f t="shared" ca="1" si="209"/>
        <v>0.12600175011481685</v>
      </c>
      <c r="K303" s="180">
        <f t="shared" ca="1" si="210"/>
        <v>6.4720832740184545E-2</v>
      </c>
      <c r="L303" s="180">
        <f t="shared" ca="1" si="211"/>
        <v>8.1569232633875999E-2</v>
      </c>
      <c r="P303">
        <f t="shared" ca="1" si="201"/>
        <v>1.0689715533968294E-2</v>
      </c>
      <c r="Q303">
        <f t="shared" ca="1" si="212"/>
        <v>7.99745876162904E-3</v>
      </c>
      <c r="R303">
        <f t="shared" ca="1" si="212"/>
        <v>4.8954078994005393E-3</v>
      </c>
      <c r="S303">
        <f t="shared" ca="1" si="212"/>
        <v>-2.5727022922855812E-3</v>
      </c>
      <c r="T303">
        <f t="shared" ca="1" si="212"/>
        <v>9.897546372914786E-3</v>
      </c>
      <c r="U303">
        <f t="shared" ca="1" si="212"/>
        <v>-1.9578971903568476E-3</v>
      </c>
      <c r="V303">
        <f t="shared" ca="1" si="212"/>
        <v>-1.1622817272239775E-2</v>
      </c>
      <c r="W303">
        <f t="shared" ca="1" si="212"/>
        <v>-5.9110039163054148E-4</v>
      </c>
      <c r="X303">
        <f t="shared" ca="1" si="212"/>
        <v>1.6298054699211049E-3</v>
      </c>
      <c r="Y303">
        <f t="shared" ca="1" si="212"/>
        <v>-7.9851875794219687E-4</v>
      </c>
      <c r="Z303">
        <f t="shared" ca="1" si="212"/>
        <v>-2.8939741359084218E-3</v>
      </c>
    </row>
    <row r="304" spans="2:26" hidden="1">
      <c r="B304" s="180">
        <f>'Inflation-Interest'!F151</f>
        <v>0</v>
      </c>
      <c r="C304" s="180">
        <f t="shared" ca="1" si="202"/>
        <v>3.5865777937057398E-2</v>
      </c>
      <c r="D304" s="180">
        <f t="shared" ca="1" si="203"/>
        <v>3.2715617642879974E-2</v>
      </c>
      <c r="E304" s="180">
        <f t="shared" ca="1" si="204"/>
        <v>7.100304742945053E-2</v>
      </c>
      <c r="F304" s="180">
        <f t="shared" ca="1" si="205"/>
        <v>4.7267956198005515E-2</v>
      </c>
      <c r="G304" s="180">
        <f t="shared" ca="1" si="206"/>
        <v>0.10497262276222159</v>
      </c>
      <c r="H304" s="180">
        <f t="shared" ca="1" si="207"/>
        <v>8.6547052808213301E-2</v>
      </c>
      <c r="I304" s="180">
        <f t="shared" ca="1" si="208"/>
        <v>0.13314020720444444</v>
      </c>
      <c r="J304" s="180">
        <f t="shared" ca="1" si="209"/>
        <v>2.7357329337255445E-2</v>
      </c>
      <c r="K304" s="180">
        <f t="shared" ca="1" si="210"/>
        <v>7.9470846403344411E-2</v>
      </c>
      <c r="L304" s="180">
        <f t="shared" ca="1" si="211"/>
        <v>0.10607623714554074</v>
      </c>
      <c r="P304">
        <f t="shared" ca="1" si="201"/>
        <v>-2.2521314685442378E-3</v>
      </c>
      <c r="Q304">
        <f t="shared" ca="1" si="212"/>
        <v>8.6339342456081137E-4</v>
      </c>
      <c r="R304">
        <f t="shared" ca="1" si="212"/>
        <v>4.5988341885547677E-3</v>
      </c>
      <c r="S304">
        <f t="shared" ca="1" si="212"/>
        <v>2.1013891463366637E-3</v>
      </c>
      <c r="T304">
        <f t="shared" ca="1" si="212"/>
        <v>-7.3102008010594681E-3</v>
      </c>
      <c r="U304">
        <f t="shared" ca="1" si="212"/>
        <v>-2.5177608752261671E-3</v>
      </c>
      <c r="V304">
        <f t="shared" ca="1" si="212"/>
        <v>8.5485937364834143E-3</v>
      </c>
      <c r="W304">
        <f t="shared" ca="1" si="212"/>
        <v>-1.1258813287956099E-3</v>
      </c>
      <c r="X304">
        <f t="shared" ca="1" si="212"/>
        <v>-9.7729440311628297E-3</v>
      </c>
      <c r="Y304">
        <f t="shared" ca="1" si="212"/>
        <v>-1.4204779258453882E-2</v>
      </c>
      <c r="Z304">
        <f t="shared" ca="1" si="212"/>
        <v>2.1835284520590153E-3</v>
      </c>
    </row>
    <row r="305" spans="2:26" hidden="1">
      <c r="B305" s="180">
        <f>'Inflation-Interest'!F152</f>
        <v>0</v>
      </c>
      <c r="C305" s="180">
        <f t="shared" ca="1" si="202"/>
        <v>1.9020355497824923E-2</v>
      </c>
      <c r="D305" s="180">
        <f t="shared" ca="1" si="203"/>
        <v>5.0695912389944975E-2</v>
      </c>
      <c r="E305" s="180">
        <f t="shared" ca="1" si="204"/>
        <v>2.5580791785795788E-2</v>
      </c>
      <c r="F305" s="180">
        <f t="shared" ca="1" si="205"/>
        <v>6.5953270903484199E-2</v>
      </c>
      <c r="G305" s="180">
        <f t="shared" ca="1" si="206"/>
        <v>4.5583263033830784E-2</v>
      </c>
      <c r="H305" s="180">
        <f t="shared" ca="1" si="207"/>
        <v>9.5565350102591207E-2</v>
      </c>
      <c r="I305" s="180">
        <f t="shared" ca="1" si="208"/>
        <v>9.3000247637688022E-2</v>
      </c>
      <c r="J305" s="180">
        <f t="shared" ca="1" si="209"/>
        <v>4.6842013013940295E-2</v>
      </c>
      <c r="K305" s="180">
        <f t="shared" ca="1" si="210"/>
        <v>6.3540228677386484E-2</v>
      </c>
      <c r="L305" s="180">
        <f t="shared" ca="1" si="211"/>
        <v>8.2692146281769519E-2</v>
      </c>
      <c r="P305">
        <f t="shared" ca="1" si="201"/>
        <v>-6.5013851369476452E-3</v>
      </c>
      <c r="Q305">
        <f t="shared" ca="1" si="212"/>
        <v>-5.0284801102250705E-3</v>
      </c>
      <c r="R305">
        <f t="shared" ca="1" si="212"/>
        <v>6.8304241540715592E-3</v>
      </c>
      <c r="S305">
        <f t="shared" ca="1" si="212"/>
        <v>-9.9504007266259641E-3</v>
      </c>
      <c r="T305">
        <f t="shared" ca="1" si="212"/>
        <v>1.0564862990937196E-2</v>
      </c>
      <c r="U305">
        <f t="shared" ca="1" si="212"/>
        <v>-1.1505156599561365E-2</v>
      </c>
      <c r="V305">
        <f t="shared" ca="1" si="212"/>
        <v>7.6065694964921795E-3</v>
      </c>
      <c r="W305">
        <f t="shared" ca="1" si="212"/>
        <v>3.3289645829497412E-3</v>
      </c>
      <c r="X305">
        <f t="shared" ca="1" si="212"/>
        <v>3.1545778911292628E-3</v>
      </c>
      <c r="Y305">
        <f t="shared" ca="1" si="212"/>
        <v>1.5525960320489866E-3</v>
      </c>
      <c r="Z305">
        <f t="shared" ca="1" si="212"/>
        <v>-3.0782572400164521E-3</v>
      </c>
    </row>
    <row r="306" spans="2:26" hidden="1">
      <c r="B306" s="180">
        <f>'Inflation-Interest'!F153</f>
        <v>0</v>
      </c>
      <c r="C306" s="180">
        <f t="shared" ca="1" si="202"/>
        <v>1.4298272676139478E-3</v>
      </c>
      <c r="D306" s="180">
        <f t="shared" ca="1" si="203"/>
        <v>6.318826974338336E-2</v>
      </c>
      <c r="E306" s="180">
        <f t="shared" ca="1" si="204"/>
        <v>6.6796902763597829E-2</v>
      </c>
      <c r="F306" s="180">
        <f t="shared" ca="1" si="205"/>
        <v>5.614255183264933E-2</v>
      </c>
      <c r="G306" s="180">
        <f t="shared" ca="1" si="206"/>
        <v>8.0371501999104242E-2</v>
      </c>
      <c r="H306" s="180">
        <f t="shared" ca="1" si="207"/>
        <v>8.0109896249554557E-2</v>
      </c>
      <c r="I306" s="180">
        <f t="shared" ca="1" si="208"/>
        <v>5.0056843386260756E-2</v>
      </c>
      <c r="J306" s="180">
        <f t="shared" ca="1" si="209"/>
        <v>8.4619524146173908E-3</v>
      </c>
      <c r="K306" s="180">
        <f t="shared" ca="1" si="210"/>
        <v>-2.0214182756179536E-2</v>
      </c>
      <c r="L306" s="180">
        <f t="shared" ca="1" si="211"/>
        <v>6.5563298940352358E-2</v>
      </c>
      <c r="P306">
        <f t="shared" ca="1" si="201"/>
        <v>3.134832027696256E-3</v>
      </c>
      <c r="Q306">
        <f t="shared" ca="1" si="212"/>
        <v>-3.3516311870823144E-3</v>
      </c>
      <c r="R306">
        <f t="shared" ca="1" si="212"/>
        <v>-9.8009905599587456E-6</v>
      </c>
      <c r="S306">
        <f t="shared" ca="1" si="212"/>
        <v>6.7452998929115637E-4</v>
      </c>
      <c r="T306">
        <f t="shared" ca="1" si="212"/>
        <v>-2.2712502975741258E-3</v>
      </c>
      <c r="U306">
        <f t="shared" ca="1" si="212"/>
        <v>4.9192279034297277E-3</v>
      </c>
      <c r="V306">
        <f t="shared" ca="1" si="212"/>
        <v>2.1779464622607024E-3</v>
      </c>
      <c r="W306">
        <f t="shared" ca="1" si="212"/>
        <v>7.7588863754705726E-3</v>
      </c>
      <c r="X306">
        <f t="shared" ca="1" si="212"/>
        <v>-6.3256021820186463E-3</v>
      </c>
      <c r="Y306">
        <f t="shared" ca="1" si="212"/>
        <v>6.732621311449586E-3</v>
      </c>
      <c r="Z306">
        <f t="shared" ca="1" si="212"/>
        <v>3.9388145441830204E-3</v>
      </c>
    </row>
    <row r="307" spans="2:26" hidden="1">
      <c r="B307" s="180">
        <f>'Inflation-Interest'!F154</f>
        <v>0</v>
      </c>
      <c r="C307" s="180">
        <f t="shared" ca="1" si="202"/>
        <v>7.0985362220246664E-2</v>
      </c>
      <c r="D307" s="180">
        <f t="shared" ca="1" si="203"/>
        <v>-7.3051480852220725E-3</v>
      </c>
      <c r="E307" s="180">
        <f t="shared" ca="1" si="204"/>
        <v>-1.5555784844658737E-2</v>
      </c>
      <c r="F307" s="180">
        <f t="shared" ca="1" si="205"/>
        <v>7.5581795609972344E-2</v>
      </c>
      <c r="G307" s="180">
        <f t="shared" ca="1" si="206"/>
        <v>2.4342328726022856E-2</v>
      </c>
      <c r="H307" s="180">
        <f t="shared" ca="1" si="207"/>
        <v>6.6824355104067173E-2</v>
      </c>
      <c r="I307" s="180">
        <f t="shared" ca="1" si="208"/>
        <v>3.0446277803675051E-2</v>
      </c>
      <c r="J307" s="180">
        <f t="shared" ca="1" si="209"/>
        <v>5.9314740584920853E-2</v>
      </c>
      <c r="K307" s="180">
        <f t="shared" ca="1" si="210"/>
        <v>8.6861984817858715E-2</v>
      </c>
      <c r="L307" s="180">
        <f t="shared" ca="1" si="211"/>
        <v>9.1716170916660913E-2</v>
      </c>
      <c r="P307">
        <f t="shared" ca="1" si="201"/>
        <v>-5.4914930075176775E-3</v>
      </c>
      <c r="Q307">
        <f t="shared" ca="1" si="212"/>
        <v>3.6511537018745362E-3</v>
      </c>
      <c r="R307">
        <f t="shared" ca="1" si="212"/>
        <v>5.1065051775718963E-3</v>
      </c>
      <c r="S307">
        <f t="shared" ca="1" si="212"/>
        <v>-9.815671582560654E-4</v>
      </c>
      <c r="T307">
        <f t="shared" ca="1" si="212"/>
        <v>-6.5942638865730428E-3</v>
      </c>
      <c r="U307">
        <f t="shared" ca="1" si="212"/>
        <v>-8.2486680727547283E-3</v>
      </c>
      <c r="V307">
        <f t="shared" ca="1" si="212"/>
        <v>-1.0965734742321037E-3</v>
      </c>
      <c r="W307">
        <f t="shared" ca="1" si="212"/>
        <v>5.6172286092898722E-3</v>
      </c>
      <c r="X307">
        <f t="shared" ca="1" si="212"/>
        <v>1.7661378869207855E-4</v>
      </c>
      <c r="Y307">
        <f t="shared" ca="1" si="212"/>
        <v>-1.5687259310037561E-3</v>
      </c>
      <c r="Z307">
        <f t="shared" ca="1" si="212"/>
        <v>6.9929540959516269E-3</v>
      </c>
    </row>
    <row r="308" spans="2:26" hidden="1">
      <c r="B308" s="180">
        <f>'Inflation-Interest'!F155</f>
        <v>0</v>
      </c>
      <c r="C308" s="180">
        <f t="shared" ca="1" si="202"/>
        <v>3.189777288614986E-2</v>
      </c>
      <c r="D308" s="180">
        <f t="shared" ca="1" si="203"/>
        <v>9.8522943357850692E-3</v>
      </c>
      <c r="E308" s="180">
        <f t="shared" ca="1" si="204"/>
        <v>7.5705306719251547E-2</v>
      </c>
      <c r="F308" s="180">
        <f t="shared" ca="1" si="205"/>
        <v>6.848772912276091E-2</v>
      </c>
      <c r="G308" s="180">
        <f t="shared" ca="1" si="206"/>
        <v>9.2607168409548385E-2</v>
      </c>
      <c r="H308" s="180">
        <f t="shared" ca="1" si="207"/>
        <v>0.11150368427626849</v>
      </c>
      <c r="I308" s="180">
        <f t="shared" ca="1" si="208"/>
        <v>0.13235928217308029</v>
      </c>
      <c r="J308" s="180">
        <f t="shared" ca="1" si="209"/>
        <v>0.10215594342678655</v>
      </c>
      <c r="K308" s="180">
        <f t="shared" ca="1" si="210"/>
        <v>8.9153740132385875E-2</v>
      </c>
      <c r="L308" s="180">
        <f t="shared" ca="1" si="211"/>
        <v>0.13880575274244314</v>
      </c>
      <c r="P308">
        <f t="shared" ca="1" si="201"/>
        <v>4.5302260630612186E-3</v>
      </c>
      <c r="Q308">
        <f t="shared" ca="1" si="212"/>
        <v>3.6419195107684479E-3</v>
      </c>
      <c r="R308">
        <f t="shared" ca="1" si="212"/>
        <v>-2.3168984424965012E-3</v>
      </c>
      <c r="S308">
        <f t="shared" ca="1" si="212"/>
        <v>-1.9811081339899525E-3</v>
      </c>
      <c r="T308">
        <f t="shared" ca="1" si="212"/>
        <v>1.9048869748757918E-3</v>
      </c>
      <c r="U308">
        <f t="shared" ca="1" si="212"/>
        <v>-5.1452465474992662E-4</v>
      </c>
      <c r="V308">
        <f t="shared" ca="1" si="212"/>
        <v>1.4162370104200142E-2</v>
      </c>
      <c r="W308">
        <f t="shared" ca="1" si="212"/>
        <v>5.4163503016955333E-4</v>
      </c>
      <c r="X308">
        <f t="shared" ca="1" si="212"/>
        <v>8.9217893014764335E-3</v>
      </c>
      <c r="Y308">
        <f t="shared" ca="1" si="212"/>
        <v>1.9514974186399653E-3</v>
      </c>
      <c r="Z308">
        <f t="shared" ca="1" si="212"/>
        <v>-6.8075358251261913E-3</v>
      </c>
    </row>
    <row r="309" spans="2:26" hidden="1">
      <c r="B309" s="180">
        <f>'Inflation-Interest'!F156</f>
        <v>0</v>
      </c>
      <c r="C309" s="180">
        <f t="shared" ca="1" si="202"/>
        <v>0.13095169032698581</v>
      </c>
      <c r="D309" s="180">
        <f t="shared" ca="1" si="203"/>
        <v>-1.2924689159370926E-2</v>
      </c>
      <c r="E309" s="180">
        <f t="shared" ca="1" si="204"/>
        <v>-1.6524596554173997E-2</v>
      </c>
      <c r="F309" s="180">
        <f t="shared" ca="1" si="205"/>
        <v>1.0624596430400701E-2</v>
      </c>
      <c r="G309" s="180">
        <f t="shared" ca="1" si="206"/>
        <v>-8.6190211979804963E-4</v>
      </c>
      <c r="H309" s="180">
        <f t="shared" ca="1" si="207"/>
        <v>4.8600087221175432E-2</v>
      </c>
      <c r="I309" s="180">
        <f t="shared" ca="1" si="208"/>
        <v>4.3740853829369999E-2</v>
      </c>
      <c r="J309" s="180">
        <f t="shared" ca="1" si="209"/>
        <v>3.1778523645700149E-2</v>
      </c>
      <c r="K309" s="180">
        <f t="shared" ca="1" si="210"/>
        <v>7.2946362729267925E-2</v>
      </c>
      <c r="L309" s="180">
        <f t="shared" ca="1" si="211"/>
        <v>1.3818096637904675E-2</v>
      </c>
      <c r="P309">
        <f t="shared" ca="1" si="201"/>
        <v>1.3532787845553849E-3</v>
      </c>
      <c r="Q309">
        <f t="shared" ca="1" si="212"/>
        <v>-4.5304439569362814E-3</v>
      </c>
      <c r="R309">
        <f t="shared" ca="1" si="212"/>
        <v>-3.5013048134620731E-3</v>
      </c>
      <c r="S309">
        <f t="shared" ca="1" si="212"/>
        <v>-1.2590969397063834E-2</v>
      </c>
      <c r="T309">
        <f t="shared" ca="1" si="212"/>
        <v>-2.8143877306103684E-3</v>
      </c>
      <c r="U309">
        <f t="shared" ca="1" si="212"/>
        <v>-8.9071142952861925E-4</v>
      </c>
      <c r="V309">
        <f t="shared" ca="1" si="212"/>
        <v>4.0833069434101296E-3</v>
      </c>
      <c r="W309">
        <f t="shared" ca="1" si="212"/>
        <v>1.0565359054732073E-2</v>
      </c>
      <c r="X309">
        <f t="shared" ca="1" si="212"/>
        <v>-1.1167148774211469E-2</v>
      </c>
      <c r="Y309">
        <f t="shared" ca="1" si="212"/>
        <v>-9.3850708661588726E-3</v>
      </c>
      <c r="Z309">
        <f t="shared" ca="1" si="212"/>
        <v>2.1902398112333484E-3</v>
      </c>
    </row>
    <row r="310" spans="2:26" hidden="1">
      <c r="B310" s="180">
        <f>'Inflation-Interest'!F157</f>
        <v>0</v>
      </c>
      <c r="C310" s="180">
        <f t="shared" ca="1" si="202"/>
        <v>8.9844749749936059E-2</v>
      </c>
      <c r="D310" s="180">
        <f t="shared" ca="1" si="203"/>
        <v>5.1514746023318785E-2</v>
      </c>
      <c r="E310" s="180">
        <f t="shared" ca="1" si="204"/>
        <v>8.3408842588418561E-2</v>
      </c>
      <c r="F310" s="180">
        <f t="shared" ca="1" si="205"/>
        <v>7.1802441285100674E-2</v>
      </c>
      <c r="G310" s="180">
        <f t="shared" ca="1" si="206"/>
        <v>0.10528381619095163</v>
      </c>
      <c r="H310" s="180">
        <f t="shared" ca="1" si="207"/>
        <v>0.17739974999443869</v>
      </c>
      <c r="I310" s="180">
        <f t="shared" ca="1" si="208"/>
        <v>0.12322038165189486</v>
      </c>
      <c r="J310" s="180">
        <f t="shared" ca="1" si="209"/>
        <v>0.1187193951146889</v>
      </c>
      <c r="K310" s="180">
        <f t="shared" ca="1" si="210"/>
        <v>9.817178170289835E-2</v>
      </c>
      <c r="L310" s="180">
        <f t="shared" ca="1" si="211"/>
        <v>0.10153806501791662</v>
      </c>
      <c r="P310">
        <f t="shared" ca="1" si="201"/>
        <v>-5.1557049172829749E-3</v>
      </c>
      <c r="Q310">
        <f t="shared" ca="1" si="212"/>
        <v>6.0770936403653055E-3</v>
      </c>
      <c r="R310">
        <f t="shared" ca="1" si="212"/>
        <v>8.2904034402467384E-3</v>
      </c>
      <c r="S310">
        <f t="shared" ca="1" si="212"/>
        <v>-7.9759094210511943E-4</v>
      </c>
      <c r="T310">
        <f t="shared" ca="1" si="212"/>
        <v>1.439446562052726E-3</v>
      </c>
      <c r="U310">
        <f t="shared" ca="1" si="212"/>
        <v>-2.6036748766714822E-3</v>
      </c>
      <c r="V310">
        <f t="shared" ca="1" si="212"/>
        <v>6.0611738052254727E-3</v>
      </c>
      <c r="W310">
        <f t="shared" ca="1" si="212"/>
        <v>-1.0099865184376921E-2</v>
      </c>
      <c r="X310">
        <f t="shared" ca="1" si="212"/>
        <v>5.9573850296789563E-3</v>
      </c>
      <c r="Y310">
        <f t="shared" ca="1" si="212"/>
        <v>5.5874015791108891E-3</v>
      </c>
      <c r="Z310">
        <f t="shared" ca="1" si="212"/>
        <v>-8.8055687120214658E-3</v>
      </c>
    </row>
    <row r="311" spans="2:26" hidden="1">
      <c r="B311" s="180">
        <f>'Inflation-Interest'!F158</f>
        <v>0</v>
      </c>
      <c r="C311" s="180">
        <f t="shared" ca="1" si="202"/>
        <v>3.1430677000462252E-2</v>
      </c>
      <c r="D311" s="180">
        <f t="shared" ca="1" si="203"/>
        <v>4.7441878027463115E-2</v>
      </c>
      <c r="E311" s="180">
        <f t="shared" ca="1" si="204"/>
        <v>9.0009639338291758E-2</v>
      </c>
      <c r="F311" s="180">
        <f t="shared" ca="1" si="205"/>
        <v>6.6711759092903708E-2</v>
      </c>
      <c r="G311" s="180">
        <f t="shared" ca="1" si="206"/>
        <v>7.1684646646602013E-2</v>
      </c>
      <c r="H311" s="180">
        <f t="shared" ca="1" si="207"/>
        <v>4.19829945407795E-2</v>
      </c>
      <c r="I311" s="180">
        <f t="shared" ca="1" si="208"/>
        <v>3.8473368456374828E-2</v>
      </c>
      <c r="J311" s="180">
        <f t="shared" ca="1" si="209"/>
        <v>3.5865419661414086E-2</v>
      </c>
      <c r="K311" s="180">
        <f t="shared" ca="1" si="210"/>
        <v>5.9128282940439897E-2</v>
      </c>
      <c r="L311" s="180">
        <f t="shared" ca="1" si="211"/>
        <v>2.2747677132647443E-2</v>
      </c>
      <c r="P311">
        <f t="shared" ca="1" si="201"/>
        <v>1.1639794852751741E-3</v>
      </c>
      <c r="Q311">
        <f t="shared" ca="1" si="212"/>
        <v>5.5312023880919881E-3</v>
      </c>
      <c r="R311">
        <f t="shared" ca="1" si="212"/>
        <v>6.200627524008724E-4</v>
      </c>
      <c r="S311">
        <f t="shared" ca="1" si="212"/>
        <v>1.3023674061326759E-2</v>
      </c>
      <c r="T311">
        <f t="shared" ca="1" si="212"/>
        <v>7.2934017484495434E-3</v>
      </c>
      <c r="U311">
        <f t="shared" ca="1" si="212"/>
        <v>7.4366612263185848E-4</v>
      </c>
      <c r="V311">
        <f t="shared" ca="1" si="212"/>
        <v>-4.6384393622988648E-3</v>
      </c>
      <c r="W311">
        <f t="shared" ca="1" si="212"/>
        <v>5.1010774672998801E-3</v>
      </c>
      <c r="X311">
        <f t="shared" ca="1" si="212"/>
        <v>-1.0708958381024633E-2</v>
      </c>
      <c r="Y311">
        <f t="shared" ca="1" si="212"/>
        <v>6.0692500227353162E-3</v>
      </c>
      <c r="Z311">
        <f t="shared" ca="1" si="212"/>
        <v>3.3259880839897884E-3</v>
      </c>
    </row>
    <row r="312" spans="2:26" hidden="1">
      <c r="B312" s="180">
        <f>'Inflation-Interest'!F159</f>
        <v>0</v>
      </c>
      <c r="C312" s="180">
        <f t="shared" ca="1" si="202"/>
        <v>2.9128963574354617E-2</v>
      </c>
      <c r="D312" s="180">
        <f t="shared" ca="1" si="203"/>
        <v>-5.5205740159912024E-2</v>
      </c>
      <c r="E312" s="180">
        <f t="shared" ca="1" si="204"/>
        <v>3.7518725866096003E-2</v>
      </c>
      <c r="F312" s="180">
        <f t="shared" ca="1" si="205"/>
        <v>6.3754059276866532E-2</v>
      </c>
      <c r="G312" s="180">
        <f t="shared" ca="1" si="206"/>
        <v>3.1787714123038144E-2</v>
      </c>
      <c r="H312" s="180">
        <f t="shared" ca="1" si="207"/>
        <v>2.4220541269641321E-2</v>
      </c>
      <c r="I312" s="180">
        <f t="shared" ca="1" si="208"/>
        <v>6.6351660424940895E-2</v>
      </c>
      <c r="J312" s="180">
        <f t="shared" ca="1" si="209"/>
        <v>2.7591593249012399E-2</v>
      </c>
      <c r="K312" s="180">
        <f t="shared" ca="1" si="210"/>
        <v>4.643845458573604E-2</v>
      </c>
      <c r="L312" s="180">
        <f t="shared" ca="1" si="211"/>
        <v>2.9150131369353384E-2</v>
      </c>
      <c r="P312">
        <f t="shared" ca="1" si="201"/>
        <v>-2.2247949962550864E-4</v>
      </c>
      <c r="Q312">
        <f t="shared" ca="1" si="212"/>
        <v>-5.2276954978192312E-3</v>
      </c>
      <c r="R312">
        <f t="shared" ca="1" si="212"/>
        <v>-8.5253196846327237E-3</v>
      </c>
      <c r="S312">
        <f t="shared" ca="1" si="212"/>
        <v>-8.2290790939057983E-3</v>
      </c>
      <c r="T312">
        <f t="shared" ca="1" si="212"/>
        <v>5.3237518234024658E-3</v>
      </c>
      <c r="U312">
        <f t="shared" ca="1" si="212"/>
        <v>-7.9628676096987446E-4</v>
      </c>
      <c r="V312">
        <f t="shared" ca="1" si="212"/>
        <v>-1.0422220423801141E-2</v>
      </c>
      <c r="W312">
        <f t="shared" ca="1" si="212"/>
        <v>-9.1428945212239082E-3</v>
      </c>
      <c r="X312">
        <f t="shared" ca="1" si="212"/>
        <v>4.8278102516007828E-4</v>
      </c>
      <c r="Y312">
        <f t="shared" ca="1" si="212"/>
        <v>-3.3429819087044533E-3</v>
      </c>
      <c r="Z312">
        <f t="shared" ca="1" si="212"/>
        <v>-7.7620224594875517E-3</v>
      </c>
    </row>
    <row r="313" spans="2:26" hidden="1">
      <c r="B313" s="180">
        <f>'Inflation-Interest'!F160</f>
        <v>0</v>
      </c>
      <c r="C313" s="180">
        <f t="shared" ca="1" si="202"/>
        <v>0.10999657426925379</v>
      </c>
      <c r="D313" s="180">
        <f t="shared" ca="1" si="203"/>
        <v>4.4555426152696462E-2</v>
      </c>
      <c r="E313" s="180">
        <f t="shared" ca="1" si="204"/>
        <v>8.6728122902670901E-2</v>
      </c>
      <c r="F313" s="180">
        <f t="shared" ca="1" si="205"/>
        <v>5.3516564576585726E-2</v>
      </c>
      <c r="G313" s="180">
        <f t="shared" ca="1" si="206"/>
        <v>-1.925785722838182E-2</v>
      </c>
      <c r="H313" s="180">
        <f t="shared" ca="1" si="207"/>
        <v>3.1949630884090745E-2</v>
      </c>
      <c r="I313" s="180">
        <f t="shared" ca="1" si="208"/>
        <v>1.9979732940197593E-2</v>
      </c>
      <c r="J313" s="180">
        <f t="shared" ca="1" si="209"/>
        <v>3.8648251075508649E-2</v>
      </c>
      <c r="K313" s="180">
        <f t="shared" ca="1" si="210"/>
        <v>5.6507570870047985E-3</v>
      </c>
      <c r="L313" s="180">
        <f t="shared" ca="1" si="211"/>
        <v>8.2642006972858742E-2</v>
      </c>
      <c r="P313">
        <f t="shared" ca="1" si="201"/>
        <v>9.7709666787841043E-3</v>
      </c>
      <c r="Q313">
        <f t="shared" ca="1" si="212"/>
        <v>9.7571007559247097E-5</v>
      </c>
      <c r="R313">
        <f t="shared" ca="1" si="212"/>
        <v>7.6491951067450426E-3</v>
      </c>
      <c r="S313">
        <f t="shared" ca="1" si="212"/>
        <v>1.1643915144755882E-2</v>
      </c>
      <c r="T313">
        <f t="shared" ca="1" si="212"/>
        <v>-1.2848179264693359E-3</v>
      </c>
      <c r="U313">
        <f t="shared" ca="1" si="212"/>
        <v>-9.7309437590441181E-3</v>
      </c>
      <c r="V313">
        <f t="shared" ca="1" si="212"/>
        <v>-5.884145548221623E-3</v>
      </c>
      <c r="W313">
        <f t="shared" ca="1" si="212"/>
        <v>6.2376214181214893E-3</v>
      </c>
      <c r="X313">
        <f t="shared" ca="1" si="212"/>
        <v>8.7308707776373885E-3</v>
      </c>
      <c r="Y313">
        <f t="shared" ca="1" si="212"/>
        <v>-4.411683026366766E-3</v>
      </c>
      <c r="Z313">
        <f t="shared" ca="1" si="212"/>
        <v>-4.6001233154791413E-3</v>
      </c>
    </row>
    <row r="314" spans="2:26" hidden="1">
      <c r="B314" s="180">
        <f>'Inflation-Interest'!F161</f>
        <v>0</v>
      </c>
      <c r="C314" s="180">
        <f t="shared" ca="1" si="202"/>
        <v>2.7379526647803243E-2</v>
      </c>
      <c r="D314" s="180">
        <f t="shared" ca="1" si="203"/>
        <v>2.4614606393514499E-2</v>
      </c>
      <c r="E314" s="180">
        <f t="shared" ca="1" si="204"/>
        <v>4.1757366052958961E-2</v>
      </c>
      <c r="F314" s="180">
        <f t="shared" ca="1" si="205"/>
        <v>7.5450683714949576E-2</v>
      </c>
      <c r="G314" s="180">
        <f t="shared" ca="1" si="206"/>
        <v>8.8540630003958551E-2</v>
      </c>
      <c r="H314" s="180">
        <f t="shared" ca="1" si="207"/>
        <v>6.1424776202503174E-2</v>
      </c>
      <c r="I314" s="180">
        <f t="shared" ca="1" si="208"/>
        <v>0.11830223765789215</v>
      </c>
      <c r="J314" s="180">
        <f t="shared" ca="1" si="209"/>
        <v>9.7275001603927796E-2</v>
      </c>
      <c r="K314" s="180">
        <f t="shared" ca="1" si="210"/>
        <v>7.4551792326851982E-2</v>
      </c>
      <c r="L314" s="180">
        <f t="shared" ca="1" si="211"/>
        <v>8.2556844338668001E-2</v>
      </c>
      <c r="P314">
        <f t="shared" ca="1" si="201"/>
        <v>-8.2448879622507801E-3</v>
      </c>
      <c r="Q314">
        <f t="shared" ca="1" si="212"/>
        <v>3.8885955698015036E-3</v>
      </c>
      <c r="R314">
        <f t="shared" ca="1" si="212"/>
        <v>6.0747999162986573E-3</v>
      </c>
      <c r="S314">
        <f t="shared" ca="1" si="212"/>
        <v>-1.5932837559134269E-3</v>
      </c>
      <c r="T314">
        <f t="shared" ca="1" si="212"/>
        <v>-1.3374046058576255E-3</v>
      </c>
      <c r="U314">
        <f t="shared" ca="1" si="212"/>
        <v>-3.9623894709912887E-3</v>
      </c>
      <c r="V314">
        <f t="shared" ca="1" si="212"/>
        <v>6.1667285820365325E-3</v>
      </c>
      <c r="W314">
        <f t="shared" ca="1" si="212"/>
        <v>1.4582364960279992E-3</v>
      </c>
      <c r="X314">
        <f t="shared" ca="1" si="212"/>
        <v>-1.8502982469419518E-2</v>
      </c>
      <c r="Y314">
        <f t="shared" ca="1" si="212"/>
        <v>1.2233196721973622E-2</v>
      </c>
      <c r="Z314">
        <f t="shared" ca="1" si="212"/>
        <v>-5.507662255562755E-3</v>
      </c>
    </row>
    <row r="315" spans="2:26" hidden="1">
      <c r="B315" s="180">
        <f>'Inflation-Interest'!F162</f>
        <v>0</v>
      </c>
      <c r="C315" s="180">
        <f t="shared" ca="1" si="202"/>
        <v>3.6328860837354753E-2</v>
      </c>
      <c r="D315" s="180">
        <f t="shared" ca="1" si="203"/>
        <v>7.5714862075194442E-2</v>
      </c>
      <c r="E315" s="180">
        <f t="shared" ca="1" si="204"/>
        <v>4.8715308713129221E-2</v>
      </c>
      <c r="F315" s="180">
        <f t="shared" ca="1" si="205"/>
        <v>-8.1732058442494254E-4</v>
      </c>
      <c r="G315" s="180">
        <f t="shared" ca="1" si="206"/>
        <v>5.5064097808322249E-2</v>
      </c>
      <c r="H315" s="180">
        <f t="shared" ca="1" si="207"/>
        <v>4.7663926877107687E-2</v>
      </c>
      <c r="I315" s="180">
        <f t="shared" ca="1" si="208"/>
        <v>3.9516979117783985E-2</v>
      </c>
      <c r="J315" s="180">
        <f t="shared" ca="1" si="209"/>
        <v>-2.9156565604416408E-2</v>
      </c>
      <c r="K315" s="180">
        <f t="shared" ca="1" si="210"/>
        <v>8.1026132799051562E-2</v>
      </c>
      <c r="L315" s="180">
        <f t="shared" ca="1" si="211"/>
        <v>4.3726978455542923E-2</v>
      </c>
      <c r="P315">
        <f t="shared" ca="1" si="201"/>
        <v>-5.8521954530081979E-3</v>
      </c>
      <c r="Q315">
        <f t="shared" ca="1" si="212"/>
        <v>-3.2744207807539586E-3</v>
      </c>
      <c r="R315">
        <f t="shared" ca="1" si="212"/>
        <v>-5.9282437424528489E-3</v>
      </c>
      <c r="S315">
        <f t="shared" ca="1" si="212"/>
        <v>1.0762870048182082E-2</v>
      </c>
      <c r="T315">
        <f t="shared" ca="1" si="212"/>
        <v>-1.6938806678757567E-3</v>
      </c>
      <c r="U315">
        <f t="shared" ca="1" si="212"/>
        <v>-1.521344331506708E-2</v>
      </c>
      <c r="V315">
        <f t="shared" ca="1" si="212"/>
        <v>-2.0336415630579563E-3</v>
      </c>
      <c r="W315">
        <f t="shared" ca="1" si="212"/>
        <v>1.1064970838363847E-2</v>
      </c>
      <c r="X315">
        <f t="shared" ca="1" si="212"/>
        <v>-9.6584187769736265E-4</v>
      </c>
      <c r="Y315">
        <f t="shared" ca="1" si="212"/>
        <v>3.1322454648659384E-3</v>
      </c>
      <c r="Z315">
        <f t="shared" ca="1" si="212"/>
        <v>-9.1129228587127128E-3</v>
      </c>
    </row>
    <row r="316" spans="2:26" hidden="1">
      <c r="B316" s="180">
        <f>'Inflation-Interest'!F163</f>
        <v>0</v>
      </c>
      <c r="C316" s="180">
        <f t="shared" ca="1" si="202"/>
        <v>3.4675050717847405E-2</v>
      </c>
      <c r="D316" s="180">
        <f t="shared" ca="1" si="203"/>
        <v>6.8804480173166621E-2</v>
      </c>
      <c r="E316" s="180">
        <f t="shared" ca="1" si="204"/>
        <v>3.1606774271014895E-2</v>
      </c>
      <c r="F316" s="180">
        <f t="shared" ca="1" si="205"/>
        <v>5.7443881036458526E-2</v>
      </c>
      <c r="G316" s="180">
        <f t="shared" ca="1" si="206"/>
        <v>4.22723201853588E-2</v>
      </c>
      <c r="H316" s="180">
        <f t="shared" ca="1" si="207"/>
        <v>0.12220270319647547</v>
      </c>
      <c r="I316" s="180">
        <f t="shared" ca="1" si="208"/>
        <v>0.12684407963992372</v>
      </c>
      <c r="J316" s="180">
        <f t="shared" ca="1" si="209"/>
        <v>9.2118560867685412E-2</v>
      </c>
      <c r="K316" s="180">
        <f t="shared" ca="1" si="210"/>
        <v>0.11262252531274954</v>
      </c>
      <c r="L316" s="180">
        <f t="shared" ca="1" si="211"/>
        <v>9.9667240757678549E-2</v>
      </c>
      <c r="P316">
        <f t="shared" ca="1" si="201"/>
        <v>2.6162712401509129E-3</v>
      </c>
      <c r="Q316">
        <f t="shared" ca="1" si="212"/>
        <v>-1.2705418273811648E-2</v>
      </c>
      <c r="R316">
        <f t="shared" ca="1" si="212"/>
        <v>1.2583059724683E-2</v>
      </c>
      <c r="S316">
        <f t="shared" ca="1" si="212"/>
        <v>-7.4043254223741086E-3</v>
      </c>
      <c r="T316">
        <f t="shared" ca="1" si="212"/>
        <v>6.5830001150438576E-3</v>
      </c>
      <c r="U316">
        <f t="shared" ca="1" si="212"/>
        <v>-4.7360902369263918E-3</v>
      </c>
      <c r="V316">
        <f t="shared" ca="1" si="212"/>
        <v>-5.528785356076261E-3</v>
      </c>
      <c r="W316">
        <f t="shared" ca="1" si="212"/>
        <v>1.4499090034353682E-3</v>
      </c>
      <c r="X316">
        <f t="shared" ca="1" si="212"/>
        <v>-2.611245346690599E-4</v>
      </c>
      <c r="Y316">
        <f t="shared" ca="1" si="212"/>
        <v>4.4835609419883555E-3</v>
      </c>
      <c r="Z316">
        <f t="shared" ca="1" si="212"/>
        <v>9.5609072203840812E-3</v>
      </c>
    </row>
    <row r="317" spans="2:26" hidden="1">
      <c r="B317" s="180">
        <f>'Inflation-Interest'!F164</f>
        <v>0</v>
      </c>
      <c r="C317" s="180">
        <f t="shared" ref="C317:C348" ca="1" si="213">C217+Q317</f>
        <v>9.067533269704206E-2</v>
      </c>
      <c r="D317" s="180">
        <f t="shared" ref="D317:D348" ca="1" si="214">D217+R317</f>
        <v>7.5256193703477525E-2</v>
      </c>
      <c r="E317" s="180">
        <f t="shared" ref="E317:E348" ca="1" si="215">E217+S317</f>
        <v>5.0139019382608625E-2</v>
      </c>
      <c r="F317" s="180">
        <f t="shared" ref="F317:F348" ca="1" si="216">F217+T317</f>
        <v>9.4929097307080254E-2</v>
      </c>
      <c r="G317" s="180">
        <f t="shared" ref="G317:G348" ca="1" si="217">G217+U317</f>
        <v>9.5463671402467642E-2</v>
      </c>
      <c r="H317" s="180">
        <f t="shared" ref="H317:H348" ca="1" si="218">H217+V317</f>
        <v>4.6329590513550789E-2</v>
      </c>
      <c r="I317" s="180">
        <f t="shared" ref="I317:I348" ca="1" si="219">I217+W317</f>
        <v>9.2084166181498367E-2</v>
      </c>
      <c r="J317" s="180">
        <f t="shared" ref="J317:J348" ca="1" si="220">J217+X317</f>
        <v>4.3665236792699923E-2</v>
      </c>
      <c r="K317" s="180">
        <f t="shared" ref="K317:K348" ca="1" si="221">K217+Y317</f>
        <v>0.1027764488262649</v>
      </c>
      <c r="L317" s="180">
        <f t="shared" ref="L317:L348" ca="1" si="222">L217+Z317</f>
        <v>8.9099510830316406E-2</v>
      </c>
      <c r="P317">
        <f t="shared" ca="1" si="201"/>
        <v>-1.5284134655673019E-2</v>
      </c>
      <c r="Q317">
        <f t="shared" ca="1" si="212"/>
        <v>-8.5853357732077178E-3</v>
      </c>
      <c r="R317">
        <f t="shared" ca="1" si="212"/>
        <v>2.1170623362680653E-3</v>
      </c>
      <c r="S317">
        <f t="shared" ca="1" si="212"/>
        <v>1.7841497564719891E-3</v>
      </c>
      <c r="T317">
        <f t="shared" ca="1" si="212"/>
        <v>2.4279941547254895E-3</v>
      </c>
      <c r="U317">
        <f t="shared" ca="1" si="212"/>
        <v>-5.6702789559429628E-3</v>
      </c>
      <c r="V317">
        <f t="shared" ca="1" si="212"/>
        <v>-5.1961664801571392E-3</v>
      </c>
      <c r="W317">
        <f t="shared" ca="1" si="212"/>
        <v>5.9991565990613334E-4</v>
      </c>
      <c r="X317">
        <f t="shared" ca="1" si="212"/>
        <v>-6.1548335841616671E-3</v>
      </c>
      <c r="Y317">
        <f t="shared" ca="1" si="212"/>
        <v>5.7046565844336445E-3</v>
      </c>
      <c r="Z317">
        <f t="shared" ca="1" si="212"/>
        <v>-1.1392914819077943E-2</v>
      </c>
    </row>
    <row r="318" spans="2:26" hidden="1">
      <c r="B318" s="180">
        <f>'Inflation-Interest'!F165</f>
        <v>0</v>
      </c>
      <c r="C318" s="180">
        <f t="shared" ca="1" si="213"/>
        <v>4.921654630159783E-2</v>
      </c>
      <c r="D318" s="180">
        <f t="shared" ca="1" si="214"/>
        <v>4.0049726304815327E-2</v>
      </c>
      <c r="E318" s="180">
        <f t="shared" ca="1" si="215"/>
        <v>5.4124587360085741E-2</v>
      </c>
      <c r="F318" s="180">
        <f t="shared" ca="1" si="216"/>
        <v>5.5523854538662973E-2</v>
      </c>
      <c r="G318" s="180">
        <f t="shared" ca="1" si="217"/>
        <v>3.8870958753956894E-2</v>
      </c>
      <c r="H318" s="180">
        <f t="shared" ca="1" si="218"/>
        <v>5.5438074025666133E-2</v>
      </c>
      <c r="I318" s="180">
        <f t="shared" ca="1" si="219"/>
        <v>7.4496084103669161E-2</v>
      </c>
      <c r="J318" s="180">
        <f t="shared" ca="1" si="220"/>
        <v>-6.2326795920181581E-3</v>
      </c>
      <c r="K318" s="180">
        <f t="shared" ca="1" si="221"/>
        <v>-6.7064027752867447E-3</v>
      </c>
      <c r="L318" s="180">
        <f t="shared" ca="1" si="222"/>
        <v>6.4264099806053576E-2</v>
      </c>
      <c r="P318">
        <f t="shared" ca="1" si="201"/>
        <v>-1.0813867692124932E-2</v>
      </c>
      <c r="Q318">
        <f t="shared" ca="1" si="212"/>
        <v>1.2065802301013118E-2</v>
      </c>
      <c r="R318">
        <f t="shared" ca="1" si="212"/>
        <v>7.7223469174938922E-3</v>
      </c>
      <c r="S318">
        <f t="shared" ca="1" si="212"/>
        <v>8.250319764486338E-4</v>
      </c>
      <c r="T318">
        <f t="shared" ca="1" si="212"/>
        <v>2.2543212870258476E-3</v>
      </c>
      <c r="U318">
        <f t="shared" ca="1" si="212"/>
        <v>7.1857104712327903E-3</v>
      </c>
      <c r="V318">
        <f t="shared" ca="1" si="212"/>
        <v>-2.7136698727333831E-3</v>
      </c>
      <c r="W318">
        <f t="shared" ca="1" si="212"/>
        <v>-5.1671681375728017E-5</v>
      </c>
      <c r="X318">
        <f t="shared" ca="1" si="212"/>
        <v>6.4637938151503281E-3</v>
      </c>
      <c r="Y318">
        <f t="shared" ca="1" si="212"/>
        <v>-5.5563891790438085E-3</v>
      </c>
      <c r="Z318">
        <f t="shared" ca="1" si="212"/>
        <v>-6.4356187378999527E-3</v>
      </c>
    </row>
    <row r="319" spans="2:26" hidden="1">
      <c r="B319" s="180">
        <f>'Inflation-Interest'!F166</f>
        <v>0</v>
      </c>
      <c r="C319" s="180">
        <f t="shared" ca="1" si="213"/>
        <v>4.7704481882421948E-2</v>
      </c>
      <c r="D319" s="180">
        <f t="shared" ca="1" si="214"/>
        <v>5.335576519998967E-2</v>
      </c>
      <c r="E319" s="180">
        <f t="shared" ca="1" si="215"/>
        <v>-1.5259545591980289E-2</v>
      </c>
      <c r="F319" s="180">
        <f t="shared" ca="1" si="216"/>
        <v>7.51382572282904E-2</v>
      </c>
      <c r="G319" s="180">
        <f t="shared" ca="1" si="217"/>
        <v>5.0737967850978437E-3</v>
      </c>
      <c r="H319" s="180">
        <f t="shared" ca="1" si="218"/>
        <v>4.5089210960706626E-3</v>
      </c>
      <c r="I319" s="180">
        <f t="shared" ca="1" si="219"/>
        <v>1.4265787234037356E-2</v>
      </c>
      <c r="J319" s="180">
        <f t="shared" ca="1" si="220"/>
        <v>9.2699737578666504E-3</v>
      </c>
      <c r="K319" s="180">
        <f t="shared" ca="1" si="221"/>
        <v>6.2507112029669534E-2</v>
      </c>
      <c r="L319" s="180">
        <f t="shared" ca="1" si="222"/>
        <v>7.3449303778186342E-2</v>
      </c>
      <c r="P319">
        <f t="shared" ca="1" si="201"/>
        <v>-4.6029228077714727E-3</v>
      </c>
      <c r="Q319">
        <f t="shared" ca="1" si="212"/>
        <v>-5.5088018158712497E-3</v>
      </c>
      <c r="R319">
        <f t="shared" ca="1" si="212"/>
        <v>7.3387185010469333E-3</v>
      </c>
      <c r="S319">
        <f t="shared" ca="1" si="212"/>
        <v>-1.4740916707871731E-2</v>
      </c>
      <c r="T319">
        <f t="shared" ca="1" si="212"/>
        <v>1.1987838207387795E-2</v>
      </c>
      <c r="U319">
        <f t="shared" ca="1" si="212"/>
        <v>-3.6629776214444345E-3</v>
      </c>
      <c r="V319">
        <f t="shared" ca="1" si="212"/>
        <v>3.3781566551166664E-3</v>
      </c>
      <c r="W319">
        <f t="shared" ca="1" si="212"/>
        <v>3.6626921407832288E-3</v>
      </c>
      <c r="X319">
        <f t="shared" ca="1" si="212"/>
        <v>4.9027504918017894E-3</v>
      </c>
      <c r="Y319">
        <f t="shared" ca="1" si="212"/>
        <v>1.2005869498530914E-3</v>
      </c>
      <c r="Z319">
        <f t="shared" ca="1" si="212"/>
        <v>4.5943244426399389E-3</v>
      </c>
    </row>
    <row r="320" spans="2:26" hidden="1">
      <c r="B320" s="180">
        <f>'Inflation-Interest'!F167</f>
        <v>0</v>
      </c>
      <c r="C320" s="180">
        <f t="shared" ca="1" si="213"/>
        <v>3.0021682720655338E-2</v>
      </c>
      <c r="D320" s="180">
        <f t="shared" ca="1" si="214"/>
        <v>4.3932279395240095E-2</v>
      </c>
      <c r="E320" s="180">
        <f t="shared" ca="1" si="215"/>
        <v>-2.7517334412685331E-3</v>
      </c>
      <c r="F320" s="180">
        <f t="shared" ca="1" si="216"/>
        <v>7.0063656690015214E-2</v>
      </c>
      <c r="G320" s="180">
        <f t="shared" ca="1" si="217"/>
        <v>2.26141905036733E-2</v>
      </c>
      <c r="H320" s="180">
        <f t="shared" ca="1" si="218"/>
        <v>3.1925181789912604E-2</v>
      </c>
      <c r="I320" s="180">
        <f t="shared" ca="1" si="219"/>
        <v>6.5587854326715683E-2</v>
      </c>
      <c r="J320" s="180">
        <f t="shared" ca="1" si="220"/>
        <v>3.6955383475368801E-2</v>
      </c>
      <c r="K320" s="180">
        <f t="shared" ca="1" si="221"/>
        <v>3.8476791607862139E-2</v>
      </c>
      <c r="L320" s="180">
        <f t="shared" ca="1" si="222"/>
        <v>5.6102319722136692E-3</v>
      </c>
      <c r="P320">
        <f t="shared" ca="1" si="201"/>
        <v>6.7093258998794482E-3</v>
      </c>
      <c r="Q320">
        <f t="shared" ca="1" si="212"/>
        <v>-2.1201997144897596E-3</v>
      </c>
      <c r="R320">
        <f t="shared" ca="1" si="212"/>
        <v>-9.3150431776232035E-4</v>
      </c>
      <c r="S320">
        <f t="shared" ca="1" si="212"/>
        <v>-9.1359818896189337E-3</v>
      </c>
      <c r="T320">
        <f t="shared" ca="1" si="212"/>
        <v>1.2364712178269111E-2</v>
      </c>
      <c r="U320">
        <f t="shared" ca="1" si="212"/>
        <v>-1.0689363912678999E-2</v>
      </c>
      <c r="V320">
        <f t="shared" ca="1" si="212"/>
        <v>3.8099647580847539E-4</v>
      </c>
      <c r="W320">
        <f t="shared" ca="1" si="212"/>
        <v>4.6411999188969892E-3</v>
      </c>
      <c r="X320">
        <f t="shared" ca="1" si="212"/>
        <v>-7.7810103278893039E-3</v>
      </c>
      <c r="Y320">
        <f t="shared" ca="1" si="212"/>
        <v>3.593707251649883E-3</v>
      </c>
      <c r="Z320">
        <f t="shared" ca="1" si="212"/>
        <v>1.8258613163115846E-3</v>
      </c>
    </row>
    <row r="321" spans="1:26">
      <c r="A321" t="s">
        <v>485</v>
      </c>
      <c r="B321" s="180">
        <f>'Inflation-Interest'!G68</f>
        <v>1.66E-2</v>
      </c>
      <c r="C321" s="180">
        <f t="shared" ca="1" si="213"/>
        <v>2.9494206042697112E-2</v>
      </c>
      <c r="D321" s="180">
        <f t="shared" ca="1" si="214"/>
        <v>4.1461859266426704E-2</v>
      </c>
      <c r="E321" s="180">
        <f t="shared" ca="1" si="215"/>
        <v>2.4600162379687342E-2</v>
      </c>
      <c r="F321" s="180">
        <f t="shared" ca="1" si="216"/>
        <v>8.4344199658274055E-2</v>
      </c>
      <c r="G321" s="180">
        <f t="shared" ca="1" si="217"/>
        <v>0.11049739317364839</v>
      </c>
      <c r="H321" s="180">
        <f t="shared" ca="1" si="218"/>
        <v>0.15799025744151388</v>
      </c>
      <c r="I321" s="180">
        <f t="shared" ca="1" si="219"/>
        <v>0.13861523883519911</v>
      </c>
      <c r="J321" s="180">
        <f t="shared" ca="1" si="220"/>
        <v>0.12309258545905717</v>
      </c>
      <c r="K321" s="180">
        <f t="shared" ca="1" si="221"/>
        <v>9.7671881786203105E-2</v>
      </c>
      <c r="L321" s="180">
        <f t="shared" ca="1" si="222"/>
        <v>0.11486934632502915</v>
      </c>
      <c r="O321" t="s">
        <v>486</v>
      </c>
      <c r="P321">
        <f ca="1">_xlfn.NORM.INV(RAND(), $B$12, $B$13)</f>
        <v>2.0673138596703541E-2</v>
      </c>
      <c r="Q321">
        <f t="shared" ref="Q321:Z336" ca="1" si="223">_xlfn.NORM.INV(RAND(), $B$12, $B$13)</f>
        <v>-2.8190070962573078E-3</v>
      </c>
      <c r="R321">
        <f t="shared" ca="1" si="223"/>
        <v>1.2649994774083958E-2</v>
      </c>
      <c r="S321">
        <f t="shared" ca="1" si="223"/>
        <v>2.0978149120741224E-2</v>
      </c>
      <c r="T321">
        <f t="shared" ca="1" si="223"/>
        <v>1.2327556896719737E-2</v>
      </c>
      <c r="U321">
        <f t="shared" ca="1" si="223"/>
        <v>5.7521084680056426E-3</v>
      </c>
      <c r="V321">
        <f t="shared" ca="1" si="223"/>
        <v>1.5621086903458394E-2</v>
      </c>
      <c r="W321">
        <f t="shared" ca="1" si="223"/>
        <v>1.4385099569303565E-2</v>
      </c>
      <c r="X321">
        <f t="shared" ca="1" si="223"/>
        <v>6.2293941672461666E-3</v>
      </c>
      <c r="Y321">
        <f t="shared" ca="1" si="223"/>
        <v>5.689186123402688E-3</v>
      </c>
      <c r="Z321">
        <f t="shared" ca="1" si="223"/>
        <v>5.1158372262168099E-3</v>
      </c>
    </row>
    <row r="322" spans="1:26" hidden="1">
      <c r="B322" s="180">
        <f>'Inflation-Interest'!G69</f>
        <v>0</v>
      </c>
      <c r="C322" s="180">
        <f t="shared" ca="1" si="213"/>
        <v>5.0503802578146025E-2</v>
      </c>
      <c r="D322" s="180">
        <f t="shared" ca="1" si="214"/>
        <v>8.6706633435514768E-2</v>
      </c>
      <c r="E322" s="180">
        <f t="shared" ca="1" si="215"/>
        <v>5.3751158551337622E-2</v>
      </c>
      <c r="F322" s="180">
        <f t="shared" ca="1" si="216"/>
        <v>0.16159422632990045</v>
      </c>
      <c r="G322" s="180">
        <f t="shared" ca="1" si="217"/>
        <v>7.0992019996480318E-2</v>
      </c>
      <c r="H322" s="180">
        <f t="shared" ca="1" si="218"/>
        <v>0.11749888194252177</v>
      </c>
      <c r="I322" s="180">
        <f t="shared" ca="1" si="219"/>
        <v>7.8112792204093034E-2</v>
      </c>
      <c r="J322" s="180">
        <f t="shared" ca="1" si="220"/>
        <v>6.1006297444900832E-2</v>
      </c>
      <c r="K322" s="180">
        <f t="shared" ca="1" si="221"/>
        <v>0.12621354107532823</v>
      </c>
      <c r="L322" s="180">
        <f t="shared" ca="1" si="222"/>
        <v>8.3543665472685547E-2</v>
      </c>
      <c r="P322">
        <f t="shared" ref="P322:Z353" ca="1" si="224">_xlfn.NORM.INV(RAND(), $B$12, $B$13)</f>
        <v>2.8329714949409848E-2</v>
      </c>
      <c r="Q322">
        <f t="shared" ca="1" si="223"/>
        <v>8.1470635433703448E-3</v>
      </c>
      <c r="R322">
        <f t="shared" ca="1" si="223"/>
        <v>1.3799202476899204E-2</v>
      </c>
      <c r="S322">
        <f t="shared" ca="1" si="223"/>
        <v>-1.4709472588749327E-2</v>
      </c>
      <c r="T322">
        <f t="shared" ca="1" si="223"/>
        <v>1.8076135936457134E-2</v>
      </c>
      <c r="U322">
        <f t="shared" ca="1" si="223"/>
        <v>1.5612419245866378E-2</v>
      </c>
      <c r="V322">
        <f t="shared" ca="1" si="223"/>
        <v>-4.9333910998513187E-3</v>
      </c>
      <c r="W322">
        <f t="shared" ca="1" si="223"/>
        <v>-1.2214053714253987E-2</v>
      </c>
      <c r="X322">
        <f t="shared" ca="1" si="223"/>
        <v>-9.3868035160991955E-3</v>
      </c>
      <c r="Y322">
        <f t="shared" ca="1" si="223"/>
        <v>2.5586467740582312E-2</v>
      </c>
      <c r="Z322">
        <f t="shared" ca="1" si="223"/>
        <v>2.2676057490388871E-2</v>
      </c>
    </row>
    <row r="323" spans="1:26" hidden="1">
      <c r="B323" s="180">
        <f>'Inflation-Interest'!G70</f>
        <v>0</v>
      </c>
      <c r="C323" s="180">
        <f t="shared" ca="1" si="213"/>
        <v>0.11298770681774434</v>
      </c>
      <c r="D323" s="180">
        <f t="shared" ca="1" si="214"/>
        <v>3.1036691020917277E-2</v>
      </c>
      <c r="E323" s="180">
        <f t="shared" ca="1" si="215"/>
        <v>0.14706193327983891</v>
      </c>
      <c r="F323" s="180">
        <f t="shared" ca="1" si="216"/>
        <v>9.4006472118197959E-2</v>
      </c>
      <c r="G323" s="180">
        <f t="shared" ca="1" si="217"/>
        <v>7.79931541788145E-2</v>
      </c>
      <c r="H323" s="180">
        <f t="shared" ca="1" si="218"/>
        <v>7.2283543595113797E-2</v>
      </c>
      <c r="I323" s="180">
        <f t="shared" ca="1" si="219"/>
        <v>9.4015686775344609E-2</v>
      </c>
      <c r="J323" s="180">
        <f t="shared" ca="1" si="220"/>
        <v>7.5462307875362553E-2</v>
      </c>
      <c r="K323" s="180">
        <f t="shared" ca="1" si="221"/>
        <v>0.1105197405336914</v>
      </c>
      <c r="L323" s="180">
        <f t="shared" ca="1" si="222"/>
        <v>0.11489393670866323</v>
      </c>
      <c r="P323">
        <f t="shared" ca="1" si="224"/>
        <v>2.7305681299680272E-2</v>
      </c>
      <c r="Q323">
        <f t="shared" ca="1" si="223"/>
        <v>1.9383486972651392E-2</v>
      </c>
      <c r="R323">
        <f t="shared" ca="1" si="223"/>
        <v>1.6667311852809466E-2</v>
      </c>
      <c r="S323">
        <f t="shared" ca="1" si="223"/>
        <v>2.7998484401690976E-2</v>
      </c>
      <c r="T323">
        <f t="shared" ca="1" si="223"/>
        <v>6.3045017837288254E-3</v>
      </c>
      <c r="U323">
        <f t="shared" ca="1" si="223"/>
        <v>2.5059972496979756E-2</v>
      </c>
      <c r="V323">
        <f t="shared" ca="1" si="223"/>
        <v>6.9095396057217264E-3</v>
      </c>
      <c r="W323">
        <f t="shared" ca="1" si="223"/>
        <v>1.4494874585644911E-2</v>
      </c>
      <c r="X323">
        <f t="shared" ca="1" si="223"/>
        <v>1.7971805519057981E-2</v>
      </c>
      <c r="Y323">
        <f t="shared" ca="1" si="223"/>
        <v>8.0583255079177338E-3</v>
      </c>
      <c r="Z323">
        <f t="shared" ca="1" si="223"/>
        <v>-2.8452487433397768E-3</v>
      </c>
    </row>
    <row r="324" spans="1:26" hidden="1">
      <c r="B324" s="180">
        <f>'Inflation-Interest'!G71</f>
        <v>0</v>
      </c>
      <c r="C324" s="180">
        <f t="shared" ca="1" si="213"/>
        <v>7.9476538863730226E-2</v>
      </c>
      <c r="D324" s="180">
        <f t="shared" ca="1" si="214"/>
        <v>0.11932952799559153</v>
      </c>
      <c r="E324" s="180">
        <f t="shared" ca="1" si="215"/>
        <v>5.443060474741028E-2</v>
      </c>
      <c r="F324" s="180">
        <f t="shared" ca="1" si="216"/>
        <v>4.5857232736965028E-2</v>
      </c>
      <c r="G324" s="180">
        <f t="shared" ca="1" si="217"/>
        <v>1.3122857748441295E-2</v>
      </c>
      <c r="H324" s="180">
        <f t="shared" ca="1" si="218"/>
        <v>7.0063756826014942E-2</v>
      </c>
      <c r="I324" s="180">
        <f t="shared" ca="1" si="219"/>
        <v>3.3388810884474408E-2</v>
      </c>
      <c r="J324" s="180">
        <f t="shared" ca="1" si="220"/>
        <v>0.11828996976219958</v>
      </c>
      <c r="K324" s="180">
        <f t="shared" ca="1" si="221"/>
        <v>0.12917249113907883</v>
      </c>
      <c r="L324" s="180">
        <f t="shared" ca="1" si="222"/>
        <v>4.9418804735570823E-2</v>
      </c>
      <c r="P324">
        <f t="shared" ca="1" si="224"/>
        <v>1.3449950903314509E-2</v>
      </c>
      <c r="Q324">
        <f t="shared" ca="1" si="223"/>
        <v>1.3090352073411391E-2</v>
      </c>
      <c r="R324">
        <f t="shared" ca="1" si="223"/>
        <v>4.9815671549107987E-3</v>
      </c>
      <c r="S324">
        <f t="shared" ca="1" si="223"/>
        <v>9.256064698461422E-3</v>
      </c>
      <c r="T324">
        <f t="shared" ca="1" si="223"/>
        <v>3.2528089313936831E-2</v>
      </c>
      <c r="U324">
        <f t="shared" ca="1" si="223"/>
        <v>4.6782168376108164E-3</v>
      </c>
      <c r="V324">
        <f t="shared" ca="1" si="223"/>
        <v>-1.2129735065353158E-2</v>
      </c>
      <c r="W324">
        <f t="shared" ca="1" si="223"/>
        <v>-5.3241382312723372E-4</v>
      </c>
      <c r="X324">
        <f t="shared" ca="1" si="223"/>
        <v>1.2419399715507169E-2</v>
      </c>
      <c r="Y324">
        <f t="shared" ca="1" si="223"/>
        <v>4.01371539214936E-3</v>
      </c>
      <c r="Z324">
        <f t="shared" ca="1" si="223"/>
        <v>1.1013406429603632E-2</v>
      </c>
    </row>
    <row r="325" spans="1:26" hidden="1">
      <c r="B325" s="180">
        <f>'Inflation-Interest'!G72</f>
        <v>0</v>
      </c>
      <c r="C325" s="180">
        <f t="shared" ca="1" si="213"/>
        <v>9.6986890315278407E-2</v>
      </c>
      <c r="D325" s="180">
        <f t="shared" ca="1" si="214"/>
        <v>0.10303669199157714</v>
      </c>
      <c r="E325" s="180">
        <f t="shared" ca="1" si="215"/>
        <v>0.12098816466399868</v>
      </c>
      <c r="F325" s="180">
        <f t="shared" ca="1" si="216"/>
        <v>6.3119922606811874E-2</v>
      </c>
      <c r="G325" s="180">
        <f t="shared" ca="1" si="217"/>
        <v>6.4239451497429961E-2</v>
      </c>
      <c r="H325" s="180">
        <f t="shared" ca="1" si="218"/>
        <v>8.841138543335246E-2</v>
      </c>
      <c r="I325" s="180">
        <f t="shared" ca="1" si="219"/>
        <v>6.9873468183353007E-2</v>
      </c>
      <c r="J325" s="180">
        <f t="shared" ca="1" si="220"/>
        <v>4.6548217986235887E-2</v>
      </c>
      <c r="K325" s="180">
        <f t="shared" ca="1" si="221"/>
        <v>9.311918526711109E-2</v>
      </c>
      <c r="L325" s="180">
        <f t="shared" ca="1" si="222"/>
        <v>7.4285372397916286E-2</v>
      </c>
      <c r="P325">
        <f t="shared" ca="1" si="224"/>
        <v>-1.0967400898951518E-2</v>
      </c>
      <c r="Q325">
        <f t="shared" ca="1" si="223"/>
        <v>1.5238386888554716E-2</v>
      </c>
      <c r="R325">
        <f t="shared" ca="1" si="223"/>
        <v>1.6714826083144629E-2</v>
      </c>
      <c r="S325">
        <f t="shared" ca="1" si="223"/>
        <v>1.3417580650712149E-2</v>
      </c>
      <c r="T325">
        <f t="shared" ca="1" si="223"/>
        <v>-1.2599652738232436E-3</v>
      </c>
      <c r="U325">
        <f t="shared" ca="1" si="223"/>
        <v>-7.934414625986666E-4</v>
      </c>
      <c r="V325">
        <f t="shared" ca="1" si="223"/>
        <v>2.3593280123434923E-2</v>
      </c>
      <c r="W325">
        <f t="shared" ca="1" si="223"/>
        <v>-2.9701394178591797E-3</v>
      </c>
      <c r="X325">
        <f t="shared" ca="1" si="223"/>
        <v>4.6882995151251621E-3</v>
      </c>
      <c r="Y325">
        <f t="shared" ca="1" si="223"/>
        <v>2.3666815971114877E-2</v>
      </c>
      <c r="Z325">
        <f t="shared" ca="1" si="223"/>
        <v>1.2820469442866852E-2</v>
      </c>
    </row>
    <row r="326" spans="1:26" hidden="1">
      <c r="B326" s="180">
        <f>'Inflation-Interest'!G73</f>
        <v>0</v>
      </c>
      <c r="C326" s="180">
        <f t="shared" ca="1" si="213"/>
        <v>8.8821551140707444E-2</v>
      </c>
      <c r="D326" s="180">
        <f t="shared" ca="1" si="214"/>
        <v>0.14896564601349796</v>
      </c>
      <c r="E326" s="180">
        <f t="shared" ca="1" si="215"/>
        <v>0.13520911887719025</v>
      </c>
      <c r="F326" s="180">
        <f t="shared" ca="1" si="216"/>
        <v>0.18136610316724289</v>
      </c>
      <c r="G326" s="180">
        <f t="shared" ca="1" si="217"/>
        <v>0.14820125611007995</v>
      </c>
      <c r="H326" s="180">
        <f t="shared" ca="1" si="218"/>
        <v>0.1632698409001814</v>
      </c>
      <c r="I326" s="180">
        <f t="shared" ca="1" si="219"/>
        <v>7.5228113552722006E-2</v>
      </c>
      <c r="J326" s="180">
        <f t="shared" ca="1" si="220"/>
        <v>5.4981332961218946E-2</v>
      </c>
      <c r="K326" s="180">
        <f t="shared" ca="1" si="221"/>
        <v>0.1397789535361483</v>
      </c>
      <c r="L326" s="180">
        <f t="shared" ca="1" si="222"/>
        <v>0.13945224065290238</v>
      </c>
      <c r="P326">
        <f t="shared" ca="1" si="224"/>
        <v>2.5603041587683298E-2</v>
      </c>
      <c r="Q326">
        <f t="shared" ca="1" si="223"/>
        <v>2.2358763093626711E-2</v>
      </c>
      <c r="R326">
        <f t="shared" ca="1" si="223"/>
        <v>9.1572251731770575E-3</v>
      </c>
      <c r="S326">
        <f t="shared" ca="1" si="223"/>
        <v>-9.8426409815097916E-3</v>
      </c>
      <c r="T326">
        <f t="shared" ca="1" si="223"/>
        <v>2.9300230829433997E-2</v>
      </c>
      <c r="U326">
        <f t="shared" ca="1" si="223"/>
        <v>8.4305591001868577E-3</v>
      </c>
      <c r="V326">
        <f t="shared" ca="1" si="223"/>
        <v>9.0654552686422595E-3</v>
      </c>
      <c r="W326">
        <f t="shared" ca="1" si="223"/>
        <v>2.0397712100346563E-2</v>
      </c>
      <c r="X326">
        <f t="shared" ca="1" si="223"/>
        <v>-1.7655898400958242E-4</v>
      </c>
      <c r="Y326">
        <f t="shared" ca="1" si="223"/>
        <v>2.9919511649656179E-2</v>
      </c>
      <c r="Z326">
        <f t="shared" ca="1" si="223"/>
        <v>2.5845788671553079E-2</v>
      </c>
    </row>
    <row r="327" spans="1:26" hidden="1">
      <c r="B327" s="180">
        <f>'Inflation-Interest'!G74</f>
        <v>0</v>
      </c>
      <c r="C327" s="180">
        <f t="shared" ca="1" si="213"/>
        <v>5.9253962647278356E-2</v>
      </c>
      <c r="D327" s="180">
        <f t="shared" ca="1" si="214"/>
        <v>4.835506259397495E-2</v>
      </c>
      <c r="E327" s="180">
        <f t="shared" ca="1" si="215"/>
        <v>4.9759979060962314E-2</v>
      </c>
      <c r="F327" s="180">
        <f t="shared" ca="1" si="216"/>
        <v>6.7428259360781742E-2</v>
      </c>
      <c r="G327" s="180">
        <f t="shared" ca="1" si="217"/>
        <v>4.4878217101651414E-2</v>
      </c>
      <c r="H327" s="180">
        <f t="shared" ca="1" si="218"/>
        <v>6.7516158669546716E-2</v>
      </c>
      <c r="I327" s="180">
        <f t="shared" ca="1" si="219"/>
        <v>3.4211355983741573E-2</v>
      </c>
      <c r="J327" s="180">
        <f t="shared" ca="1" si="220"/>
        <v>6.0123025611767938E-2</v>
      </c>
      <c r="K327" s="180">
        <f t="shared" ca="1" si="221"/>
        <v>6.3928784202607114E-2</v>
      </c>
      <c r="L327" s="180">
        <f t="shared" ca="1" si="222"/>
        <v>0.1045359674712432</v>
      </c>
      <c r="P327">
        <f t="shared" ca="1" si="224"/>
        <v>9.5358373644943428E-3</v>
      </c>
      <c r="Q327">
        <f t="shared" ca="1" si="223"/>
        <v>1.7389516967109567E-2</v>
      </c>
      <c r="R327">
        <f t="shared" ca="1" si="223"/>
        <v>6.309076015101737E-3</v>
      </c>
      <c r="S327">
        <f t="shared" ca="1" si="223"/>
        <v>1.8718177784035579E-2</v>
      </c>
      <c r="T327">
        <f t="shared" ca="1" si="223"/>
        <v>1.0492724806034212E-2</v>
      </c>
      <c r="U327">
        <f t="shared" ca="1" si="223"/>
        <v>3.7180050996797054E-3</v>
      </c>
      <c r="V327">
        <f t="shared" ca="1" si="223"/>
        <v>5.4501572473203419E-3</v>
      </c>
      <c r="W327">
        <f t="shared" ca="1" si="223"/>
        <v>9.6384412740397017E-3</v>
      </c>
      <c r="X327">
        <f t="shared" ca="1" si="223"/>
        <v>1.8630667036828873E-2</v>
      </c>
      <c r="Y327">
        <f t="shared" ca="1" si="223"/>
        <v>1.6893216383084421E-2</v>
      </c>
      <c r="Z327">
        <f t="shared" ca="1" si="223"/>
        <v>1.9261649770932601E-2</v>
      </c>
    </row>
    <row r="328" spans="1:26" hidden="1">
      <c r="B328" s="180">
        <f>'Inflation-Interest'!G75</f>
        <v>0</v>
      </c>
      <c r="C328" s="180">
        <f t="shared" ca="1" si="213"/>
        <v>9.6063030032505645E-2</v>
      </c>
      <c r="D328" s="180">
        <f t="shared" ca="1" si="214"/>
        <v>4.8585304824092117E-2</v>
      </c>
      <c r="E328" s="180">
        <f t="shared" ca="1" si="215"/>
        <v>6.4333840011711996E-2</v>
      </c>
      <c r="F328" s="180">
        <f t="shared" ca="1" si="216"/>
        <v>-8.6343891136634113E-4</v>
      </c>
      <c r="G328" s="180">
        <f t="shared" ca="1" si="217"/>
        <v>-1.0560218875108553E-2</v>
      </c>
      <c r="H328" s="180">
        <f t="shared" ca="1" si="218"/>
        <v>4.6710776748168335E-2</v>
      </c>
      <c r="I328" s="180">
        <f t="shared" ca="1" si="219"/>
        <v>2.2486539844787677E-2</v>
      </c>
      <c r="J328" s="180">
        <f t="shared" ca="1" si="220"/>
        <v>3.6902673289263242E-3</v>
      </c>
      <c r="K328" s="180">
        <f t="shared" ca="1" si="221"/>
        <v>5.4009268895769416E-2</v>
      </c>
      <c r="L328" s="180">
        <f t="shared" ca="1" si="222"/>
        <v>3.262766221826835E-2</v>
      </c>
      <c r="P328">
        <f t="shared" ca="1" si="224"/>
        <v>9.3922754399648305E-3</v>
      </c>
      <c r="Q328">
        <f t="shared" ca="1" si="223"/>
        <v>1.5967389889955025E-2</v>
      </c>
      <c r="R328">
        <f t="shared" ca="1" si="223"/>
        <v>2.1512230698912879E-3</v>
      </c>
      <c r="S328">
        <f t="shared" ca="1" si="223"/>
        <v>1.2981586887546817E-2</v>
      </c>
      <c r="T328">
        <f t="shared" ca="1" si="223"/>
        <v>1.2495156295533095E-2</v>
      </c>
      <c r="U328">
        <f t="shared" ca="1" si="223"/>
        <v>7.6549232124268479E-4</v>
      </c>
      <c r="V328">
        <f t="shared" ca="1" si="223"/>
        <v>-1.2293664120712854E-2</v>
      </c>
      <c r="W328">
        <f t="shared" ca="1" si="223"/>
        <v>-4.7274538317851524E-3</v>
      </c>
      <c r="X328">
        <f t="shared" ca="1" si="223"/>
        <v>8.9662305706440272E-4</v>
      </c>
      <c r="Y328">
        <f t="shared" ca="1" si="223"/>
        <v>2.721854432145978E-2</v>
      </c>
      <c r="Z328">
        <f t="shared" ca="1" si="223"/>
        <v>1.0695114275055272E-2</v>
      </c>
    </row>
    <row r="329" spans="1:26" hidden="1">
      <c r="B329" s="180">
        <f>'Inflation-Interest'!G76</f>
        <v>0</v>
      </c>
      <c r="C329" s="180">
        <f t="shared" ca="1" si="213"/>
        <v>6.4455019552583537E-2</v>
      </c>
      <c r="D329" s="180">
        <f t="shared" ca="1" si="214"/>
        <v>4.0244233463136471E-2</v>
      </c>
      <c r="E329" s="180">
        <f t="shared" ca="1" si="215"/>
        <v>0.16576885855049972</v>
      </c>
      <c r="F329" s="180">
        <f t="shared" ca="1" si="216"/>
        <v>4.2873644364099281E-2</v>
      </c>
      <c r="G329" s="180">
        <f t="shared" ca="1" si="217"/>
        <v>3.1944533318777113E-2</v>
      </c>
      <c r="H329" s="180">
        <f t="shared" ca="1" si="218"/>
        <v>2.1804591986260374E-2</v>
      </c>
      <c r="I329" s="180">
        <f t="shared" ca="1" si="219"/>
        <v>2.462778740251759E-2</v>
      </c>
      <c r="J329" s="180">
        <f t="shared" ca="1" si="220"/>
        <v>9.2844124611273032E-2</v>
      </c>
      <c r="K329" s="180">
        <f t="shared" ca="1" si="221"/>
        <v>4.982074961787037E-2</v>
      </c>
      <c r="L329" s="180">
        <f t="shared" ca="1" si="222"/>
        <v>6.7447116107091393E-2</v>
      </c>
      <c r="P329">
        <f t="shared" ca="1" si="224"/>
        <v>1.7107193486500312E-2</v>
      </c>
      <c r="Q329">
        <f t="shared" ca="1" si="223"/>
        <v>3.466762609220634E-3</v>
      </c>
      <c r="R329">
        <f t="shared" ca="1" si="223"/>
        <v>-2.9263971853075506E-2</v>
      </c>
      <c r="S329">
        <f t="shared" ca="1" si="223"/>
        <v>1.870139951564569E-2</v>
      </c>
      <c r="T329">
        <f t="shared" ca="1" si="223"/>
        <v>-1.1497595007268902E-2</v>
      </c>
      <c r="U329">
        <f t="shared" ca="1" si="223"/>
        <v>4.7271994031018354E-3</v>
      </c>
      <c r="V329">
        <f t="shared" ca="1" si="223"/>
        <v>-2.0039462214823563E-3</v>
      </c>
      <c r="W329">
        <f t="shared" ca="1" si="223"/>
        <v>1.3039007712950731E-3</v>
      </c>
      <c r="X329">
        <f t="shared" ca="1" si="223"/>
        <v>1.2498048921745195E-2</v>
      </c>
      <c r="Y329">
        <f t="shared" ca="1" si="223"/>
        <v>1.0482107813136535E-2</v>
      </c>
      <c r="Z329">
        <f t="shared" ca="1" si="223"/>
        <v>2.8736198020113422E-2</v>
      </c>
    </row>
    <row r="330" spans="1:26" hidden="1">
      <c r="B330" s="180">
        <f>'Inflation-Interest'!G77</f>
        <v>0</v>
      </c>
      <c r="C330" s="180">
        <f t="shared" ca="1" si="213"/>
        <v>-8.7343640990476413E-3</v>
      </c>
      <c r="D330" s="180">
        <f t="shared" ca="1" si="214"/>
        <v>6.7573072357800273E-2</v>
      </c>
      <c r="E330" s="180">
        <f t="shared" ca="1" si="215"/>
        <v>-2.421051928695174E-2</v>
      </c>
      <c r="F330" s="180">
        <f t="shared" ca="1" si="216"/>
        <v>-1.6607676058611381E-2</v>
      </c>
      <c r="G330" s="180">
        <f t="shared" ca="1" si="217"/>
        <v>4.3167643244226034E-2</v>
      </c>
      <c r="H330" s="180">
        <f t="shared" ca="1" si="218"/>
        <v>6.3049598171539212E-2</v>
      </c>
      <c r="I330" s="180">
        <f t="shared" ca="1" si="219"/>
        <v>1.4596120037251538E-3</v>
      </c>
      <c r="J330" s="180">
        <f t="shared" ca="1" si="220"/>
        <v>2.7294668108525332E-2</v>
      </c>
      <c r="K330" s="180">
        <f t="shared" ca="1" si="221"/>
        <v>3.3180755935360746E-3</v>
      </c>
      <c r="L330" s="180">
        <f t="shared" ca="1" si="222"/>
        <v>4.807221534545842E-2</v>
      </c>
      <c r="P330">
        <f t="shared" ca="1" si="224"/>
        <v>1.9707398872943132E-2</v>
      </c>
      <c r="Q330">
        <f t="shared" ca="1" si="223"/>
        <v>6.8211439125990363E-3</v>
      </c>
      <c r="R330">
        <f t="shared" ca="1" si="223"/>
        <v>1.7412256755672019E-3</v>
      </c>
      <c r="S330">
        <f t="shared" ca="1" si="223"/>
        <v>1.2214650695258568E-2</v>
      </c>
      <c r="T330">
        <f t="shared" ca="1" si="223"/>
        <v>-9.9087214780088795E-3</v>
      </c>
      <c r="U330">
        <f t="shared" ca="1" si="223"/>
        <v>1.4712126696137624E-2</v>
      </c>
      <c r="V330">
        <f t="shared" ca="1" si="223"/>
        <v>1.1554603443597773E-2</v>
      </c>
      <c r="W330">
        <f t="shared" ca="1" si="223"/>
        <v>2.1708421611812273E-4</v>
      </c>
      <c r="X330">
        <f t="shared" ca="1" si="223"/>
        <v>2.3141044644046961E-2</v>
      </c>
      <c r="Y330">
        <f t="shared" ca="1" si="223"/>
        <v>1.4793281450557158E-2</v>
      </c>
      <c r="Z330">
        <f t="shared" ca="1" si="223"/>
        <v>-2.2310799538613132E-3</v>
      </c>
    </row>
    <row r="331" spans="1:26" hidden="1">
      <c r="B331" s="180">
        <f>'Inflation-Interest'!G78</f>
        <v>0</v>
      </c>
      <c r="C331" s="180">
        <f t="shared" ca="1" si="213"/>
        <v>3.9866934969861552E-2</v>
      </c>
      <c r="D331" s="180">
        <f t="shared" ca="1" si="214"/>
        <v>0.11746069533554954</v>
      </c>
      <c r="E331" s="180">
        <f t="shared" ca="1" si="215"/>
        <v>7.0473711260148883E-2</v>
      </c>
      <c r="F331" s="180">
        <f t="shared" ca="1" si="216"/>
        <v>8.1292021170699377E-2</v>
      </c>
      <c r="G331" s="180">
        <f t="shared" ca="1" si="217"/>
        <v>8.5571569854180435E-2</v>
      </c>
      <c r="H331" s="180">
        <f t="shared" ca="1" si="218"/>
        <v>0.10309669866707066</v>
      </c>
      <c r="I331" s="180">
        <f t="shared" ca="1" si="219"/>
        <v>0.15224416053610682</v>
      </c>
      <c r="J331" s="180">
        <f t="shared" ca="1" si="220"/>
        <v>7.3753809726192651E-2</v>
      </c>
      <c r="K331" s="180">
        <f t="shared" ca="1" si="221"/>
        <v>0.15676214592091059</v>
      </c>
      <c r="L331" s="180">
        <f t="shared" ca="1" si="222"/>
        <v>0.10849272542704086</v>
      </c>
      <c r="P331">
        <f t="shared" ca="1" si="224"/>
        <v>-2.0046383214281489E-2</v>
      </c>
      <c r="Q331">
        <f t="shared" ca="1" si="223"/>
        <v>-8.6588962521636833E-3</v>
      </c>
      <c r="R331">
        <f t="shared" ca="1" si="223"/>
        <v>3.3980001325095315E-2</v>
      </c>
      <c r="S331">
        <f t="shared" ca="1" si="223"/>
        <v>3.9646148851328038E-3</v>
      </c>
      <c r="T331">
        <f t="shared" ca="1" si="223"/>
        <v>2.3906451760311264E-2</v>
      </c>
      <c r="U331">
        <f t="shared" ca="1" si="223"/>
        <v>8.1197551034843645E-3</v>
      </c>
      <c r="V331">
        <f t="shared" ca="1" si="223"/>
        <v>4.146626390815489E-3</v>
      </c>
      <c r="W331">
        <f t="shared" ca="1" si="223"/>
        <v>1.3838697771845314E-2</v>
      </c>
      <c r="X331">
        <f t="shared" ca="1" si="223"/>
        <v>4.9901489319157657E-3</v>
      </c>
      <c r="Y331">
        <f t="shared" ca="1" si="223"/>
        <v>1.9644922248110819E-2</v>
      </c>
      <c r="Z331">
        <f t="shared" ca="1" si="223"/>
        <v>2.7525975270421221E-2</v>
      </c>
    </row>
    <row r="332" spans="1:26" hidden="1">
      <c r="B332" s="180">
        <f>'Inflation-Interest'!G79</f>
        <v>0</v>
      </c>
      <c r="C332" s="180">
        <f t="shared" ca="1" si="213"/>
        <v>4.3567469154060789E-2</v>
      </c>
      <c r="D332" s="180">
        <f t="shared" ca="1" si="214"/>
        <v>5.5018552954543588E-2</v>
      </c>
      <c r="E332" s="180">
        <f t="shared" ca="1" si="215"/>
        <v>2.8444709570424012E-2</v>
      </c>
      <c r="F332" s="180">
        <f t="shared" ca="1" si="216"/>
        <v>6.8257947913543088E-2</v>
      </c>
      <c r="G332" s="180">
        <f t="shared" ca="1" si="217"/>
        <v>8.0323870363349245E-2</v>
      </c>
      <c r="H332" s="180">
        <f t="shared" ca="1" si="218"/>
        <v>0.11022150708054093</v>
      </c>
      <c r="I332" s="180">
        <f t="shared" ca="1" si="219"/>
        <v>4.4421984351464862E-2</v>
      </c>
      <c r="J332" s="180">
        <f t="shared" ca="1" si="220"/>
        <v>9.8132891186887422E-2</v>
      </c>
      <c r="K332" s="180">
        <f t="shared" ca="1" si="221"/>
        <v>8.0613908622223396E-2</v>
      </c>
      <c r="L332" s="180">
        <f t="shared" ca="1" si="222"/>
        <v>9.8385939812535586E-2</v>
      </c>
      <c r="P332">
        <f t="shared" ca="1" si="224"/>
        <v>9.7491542956934553E-3</v>
      </c>
      <c r="Q332">
        <f t="shared" ca="1" si="223"/>
        <v>1.9031411989779538E-2</v>
      </c>
      <c r="R332">
        <f t="shared" ca="1" si="223"/>
        <v>1.6435685513751901E-2</v>
      </c>
      <c r="S332">
        <f t="shared" ca="1" si="223"/>
        <v>2.1446635081925628E-2</v>
      </c>
      <c r="T332">
        <f t="shared" ca="1" si="223"/>
        <v>2.1421851782937068E-2</v>
      </c>
      <c r="U332">
        <f t="shared" ca="1" si="223"/>
        <v>2.5017074365392359E-2</v>
      </c>
      <c r="V332">
        <f t="shared" ca="1" si="223"/>
        <v>3.4314187160605844E-2</v>
      </c>
      <c r="W332">
        <f t="shared" ca="1" si="223"/>
        <v>7.9499723229053843E-3</v>
      </c>
      <c r="X332">
        <f t="shared" ca="1" si="223"/>
        <v>1.8503806915781684E-2</v>
      </c>
      <c r="Y332">
        <f t="shared" ca="1" si="223"/>
        <v>1.1352773919082407E-3</v>
      </c>
      <c r="Z332">
        <f t="shared" ca="1" si="223"/>
        <v>2.5277184002093805E-2</v>
      </c>
    </row>
    <row r="333" spans="1:26" hidden="1">
      <c r="B333" s="180">
        <f>'Inflation-Interest'!G80</f>
        <v>0</v>
      </c>
      <c r="C333" s="180">
        <f t="shared" ca="1" si="213"/>
        <v>7.05793338552618E-2</v>
      </c>
      <c r="D333" s="180">
        <f t="shared" ca="1" si="214"/>
        <v>7.1124574067750607E-2</v>
      </c>
      <c r="E333" s="180">
        <f t="shared" ca="1" si="215"/>
        <v>8.5953962310897164E-2</v>
      </c>
      <c r="F333" s="180">
        <f t="shared" ca="1" si="216"/>
        <v>0.14386879517980158</v>
      </c>
      <c r="G333" s="180">
        <f t="shared" ca="1" si="217"/>
        <v>9.0040742623530082E-2</v>
      </c>
      <c r="H333" s="180">
        <f t="shared" ca="1" si="218"/>
        <v>8.2237843111359371E-2</v>
      </c>
      <c r="I333" s="180">
        <f t="shared" ca="1" si="219"/>
        <v>4.4120812217187284E-2</v>
      </c>
      <c r="J333" s="180">
        <f t="shared" ca="1" si="220"/>
        <v>8.4474548742633215E-2</v>
      </c>
      <c r="K333" s="180">
        <f t="shared" ca="1" si="221"/>
        <v>9.168149796019566E-2</v>
      </c>
      <c r="L333" s="180">
        <f t="shared" ca="1" si="222"/>
        <v>7.7457634093373695E-2</v>
      </c>
      <c r="P333">
        <f t="shared" ca="1" si="224"/>
        <v>1.5438780925065062E-2</v>
      </c>
      <c r="Q333">
        <f t="shared" ca="1" si="223"/>
        <v>1.5483097141188257E-2</v>
      </c>
      <c r="R333">
        <f t="shared" ca="1" si="223"/>
        <v>1.567748985444755E-2</v>
      </c>
      <c r="S333">
        <f t="shared" ca="1" si="223"/>
        <v>1.8462197265477993E-2</v>
      </c>
      <c r="T333">
        <f t="shared" ca="1" si="223"/>
        <v>2.9291075112180008E-2</v>
      </c>
      <c r="U333">
        <f t="shared" ca="1" si="223"/>
        <v>7.6625369379440134E-3</v>
      </c>
      <c r="V333">
        <f t="shared" ca="1" si="223"/>
        <v>2.281640533780855E-2</v>
      </c>
      <c r="W333">
        <f t="shared" ca="1" si="223"/>
        <v>2.5170134016181213E-2</v>
      </c>
      <c r="X333">
        <f t="shared" ca="1" si="223"/>
        <v>1.2177049436925148E-2</v>
      </c>
      <c r="Y333">
        <f t="shared" ca="1" si="223"/>
        <v>2.2712663197860375E-2</v>
      </c>
      <c r="Z333">
        <f t="shared" ca="1" si="223"/>
        <v>1.3858246206714914E-2</v>
      </c>
    </row>
    <row r="334" spans="1:26" hidden="1">
      <c r="B334" s="180">
        <f>'Inflation-Interest'!G81</f>
        <v>0</v>
      </c>
      <c r="C334" s="180">
        <f t="shared" ca="1" si="213"/>
        <v>6.3879791946868186E-2</v>
      </c>
      <c r="D334" s="180">
        <f t="shared" ca="1" si="214"/>
        <v>0.11560631469457855</v>
      </c>
      <c r="E334" s="180">
        <f t="shared" ca="1" si="215"/>
        <v>3.0882268394020036E-2</v>
      </c>
      <c r="F334" s="180">
        <f t="shared" ca="1" si="216"/>
        <v>8.368805240333578E-2</v>
      </c>
      <c r="G334" s="180">
        <f t="shared" ca="1" si="217"/>
        <v>7.8086705067075768E-2</v>
      </c>
      <c r="H334" s="180">
        <f t="shared" ca="1" si="218"/>
        <v>0.12787790561314064</v>
      </c>
      <c r="I334" s="180">
        <f t="shared" ca="1" si="219"/>
        <v>8.0835494599607649E-2</v>
      </c>
      <c r="J334" s="180">
        <f t="shared" ca="1" si="220"/>
        <v>9.6388080924880853E-2</v>
      </c>
      <c r="K334" s="180">
        <f t="shared" ca="1" si="221"/>
        <v>0.13063600128187508</v>
      </c>
      <c r="L334" s="180">
        <f t="shared" ca="1" si="222"/>
        <v>8.3842159148265649E-2</v>
      </c>
      <c r="P334">
        <f t="shared" ca="1" si="224"/>
        <v>1.0921724190775309E-2</v>
      </c>
      <c r="Q334">
        <f t="shared" ca="1" si="223"/>
        <v>1.6804122884414869E-3</v>
      </c>
      <c r="R334">
        <f t="shared" ca="1" si="223"/>
        <v>2.3344555254550765E-2</v>
      </c>
      <c r="S334">
        <f t="shared" ca="1" si="223"/>
        <v>1.7952080808224444E-2</v>
      </c>
      <c r="T334">
        <f t="shared" ca="1" si="223"/>
        <v>8.270023660855684E-4</v>
      </c>
      <c r="U334">
        <f t="shared" ca="1" si="223"/>
        <v>-3.2766906492813375E-3</v>
      </c>
      <c r="V334">
        <f t="shared" ca="1" si="223"/>
        <v>1.2527552505017496E-2</v>
      </c>
      <c r="W334">
        <f t="shared" ca="1" si="223"/>
        <v>3.6053008619855356E-3</v>
      </c>
      <c r="X334">
        <f t="shared" ca="1" si="223"/>
        <v>2.4248426964456178E-2</v>
      </c>
      <c r="Y334">
        <f t="shared" ca="1" si="223"/>
        <v>1.4405535047669256E-2</v>
      </c>
      <c r="Z334">
        <f t="shared" ca="1" si="223"/>
        <v>3.1208580903550262E-3</v>
      </c>
    </row>
    <row r="335" spans="1:26" hidden="1">
      <c r="B335" s="180">
        <f>'Inflation-Interest'!G82</f>
        <v>0</v>
      </c>
      <c r="C335" s="180">
        <f t="shared" ca="1" si="213"/>
        <v>6.0385377799715645E-2</v>
      </c>
      <c r="D335" s="180">
        <f t="shared" ca="1" si="214"/>
        <v>9.0148592028576779E-2</v>
      </c>
      <c r="E335" s="180">
        <f t="shared" ca="1" si="215"/>
        <v>6.571053784908723E-2</v>
      </c>
      <c r="F335" s="180">
        <f t="shared" ca="1" si="216"/>
        <v>3.5817728228625563E-2</v>
      </c>
      <c r="G335" s="180">
        <f t="shared" ca="1" si="217"/>
        <v>6.8211791563422539E-2</v>
      </c>
      <c r="H335" s="180">
        <f t="shared" ca="1" si="218"/>
        <v>1.7104382902222458E-2</v>
      </c>
      <c r="I335" s="180">
        <f t="shared" ca="1" si="219"/>
        <v>2.5651326075097455E-2</v>
      </c>
      <c r="J335" s="180">
        <f t="shared" ca="1" si="220"/>
        <v>2.1834558009378884E-2</v>
      </c>
      <c r="K335" s="180">
        <f t="shared" ca="1" si="221"/>
        <v>3.496070419849822E-2</v>
      </c>
      <c r="L335" s="180">
        <f t="shared" ca="1" si="222"/>
        <v>1.1845830892995568E-2</v>
      </c>
      <c r="P335">
        <f t="shared" ca="1" si="224"/>
        <v>1.2059188465802801E-3</v>
      </c>
      <c r="Q335">
        <f t="shared" ca="1" si="223"/>
        <v>2.4583425490326535E-2</v>
      </c>
      <c r="R335">
        <f t="shared" ca="1" si="223"/>
        <v>9.3288642909200026E-3</v>
      </c>
      <c r="S335">
        <f t="shared" ca="1" si="223"/>
        <v>7.0092995616197239E-3</v>
      </c>
      <c r="T335">
        <f t="shared" ca="1" si="223"/>
        <v>3.2398585076734692E-3</v>
      </c>
      <c r="U335">
        <f t="shared" ca="1" si="223"/>
        <v>2.2138323007864294E-2</v>
      </c>
      <c r="V335">
        <f t="shared" ca="1" si="223"/>
        <v>-5.7285339547875503E-3</v>
      </c>
      <c r="W335">
        <f t="shared" ca="1" si="223"/>
        <v>1.0138153518761336E-2</v>
      </c>
      <c r="X335">
        <f t="shared" ca="1" si="223"/>
        <v>-4.2026270824064172E-3</v>
      </c>
      <c r="Y335">
        <f t="shared" ca="1" si="223"/>
        <v>3.5382135489339682E-2</v>
      </c>
      <c r="Z335">
        <f t="shared" ca="1" si="223"/>
        <v>2.5572917089631293E-3</v>
      </c>
    </row>
    <row r="336" spans="1:26" hidden="1">
      <c r="B336" s="180">
        <f>'Inflation-Interest'!G83</f>
        <v>0</v>
      </c>
      <c r="C336" s="180">
        <f t="shared" ca="1" si="213"/>
        <v>5.1230901730523214E-2</v>
      </c>
      <c r="D336" s="180">
        <f t="shared" ca="1" si="214"/>
        <v>4.4783517361374633E-2</v>
      </c>
      <c r="E336" s="180">
        <f t="shared" ca="1" si="215"/>
        <v>-1.7454553164032827E-2</v>
      </c>
      <c r="F336" s="180">
        <f t="shared" ca="1" si="216"/>
        <v>2.1019122298435305E-2</v>
      </c>
      <c r="G336" s="180">
        <f t="shared" ca="1" si="217"/>
        <v>2.0931097930442604E-2</v>
      </c>
      <c r="H336" s="180">
        <f t="shared" ca="1" si="218"/>
        <v>-8.5810837100959957E-4</v>
      </c>
      <c r="I336" s="180">
        <f t="shared" ca="1" si="219"/>
        <v>-3.3171790181438655E-2</v>
      </c>
      <c r="J336" s="180">
        <f t="shared" ca="1" si="220"/>
        <v>-4.4170256219164587E-2</v>
      </c>
      <c r="K336" s="180">
        <f t="shared" ca="1" si="221"/>
        <v>1.929150917922744E-2</v>
      </c>
      <c r="L336" s="180">
        <f t="shared" ca="1" si="222"/>
        <v>7.597426289620221E-4</v>
      </c>
      <c r="P336">
        <f t="shared" ca="1" si="224"/>
        <v>1.3233365723507652E-2</v>
      </c>
      <c r="Q336">
        <f t="shared" ca="1" si="223"/>
        <v>-1.0642312533967207E-2</v>
      </c>
      <c r="R336">
        <f t="shared" ca="1" si="223"/>
        <v>3.1837752801218838E-3</v>
      </c>
      <c r="S336">
        <f t="shared" ca="1" si="223"/>
        <v>5.5754944736480395E-3</v>
      </c>
      <c r="T336">
        <f t="shared" ca="1" si="223"/>
        <v>3.3054262254154046E-2</v>
      </c>
      <c r="U336">
        <f t="shared" ca="1" si="223"/>
        <v>1.86852843516329E-2</v>
      </c>
      <c r="V336">
        <f t="shared" ca="1" si="223"/>
        <v>1.1018844316339831E-2</v>
      </c>
      <c r="W336">
        <f t="shared" ca="1" si="223"/>
        <v>1.158192993828959E-2</v>
      </c>
      <c r="X336">
        <f t="shared" ca="1" si="223"/>
        <v>3.7166070999835842E-2</v>
      </c>
      <c r="Y336">
        <f t="shared" ca="1" si="223"/>
        <v>2.4862134701103478E-2</v>
      </c>
      <c r="Z336">
        <f t="shared" ca="1" si="223"/>
        <v>-1.5647897668928115E-2</v>
      </c>
    </row>
    <row r="337" spans="2:26" hidden="1">
      <c r="B337" s="180">
        <f>'Inflation-Interest'!G84</f>
        <v>0</v>
      </c>
      <c r="C337" s="180">
        <f t="shared" ca="1" si="213"/>
        <v>1.3532294763548032E-2</v>
      </c>
      <c r="D337" s="180">
        <f t="shared" ca="1" si="214"/>
        <v>3.8310601452855905E-2</v>
      </c>
      <c r="E337" s="180">
        <f t="shared" ca="1" si="215"/>
        <v>2.8027635905784228E-2</v>
      </c>
      <c r="F337" s="180">
        <f t="shared" ca="1" si="216"/>
        <v>3.2471549914898146E-2</v>
      </c>
      <c r="G337" s="180">
        <f t="shared" ca="1" si="217"/>
        <v>7.5269454455245938E-2</v>
      </c>
      <c r="H337" s="180">
        <f t="shared" ca="1" si="218"/>
        <v>1.3616168660838436E-2</v>
      </c>
      <c r="I337" s="180">
        <f t="shared" ca="1" si="219"/>
        <v>8.368672153578928E-2</v>
      </c>
      <c r="J337" s="180">
        <f t="shared" ca="1" si="220"/>
        <v>6.0911464544691207E-2</v>
      </c>
      <c r="K337" s="180">
        <f t="shared" ca="1" si="221"/>
        <v>7.0930266902161768E-2</v>
      </c>
      <c r="L337" s="180">
        <f t="shared" ca="1" si="222"/>
        <v>9.6054183951008662E-2</v>
      </c>
      <c r="P337">
        <f t="shared" ca="1" si="224"/>
        <v>2.0934046387534672E-2</v>
      </c>
      <c r="Q337">
        <f t="shared" ca="1" si="224"/>
        <v>-6.5835974128431469E-3</v>
      </c>
      <c r="R337">
        <f t="shared" ca="1" si="224"/>
        <v>2.3131560507558376E-2</v>
      </c>
      <c r="S337">
        <f t="shared" ca="1" si="224"/>
        <v>-4.089155600065288E-3</v>
      </c>
      <c r="T337">
        <f t="shared" ca="1" si="224"/>
        <v>-1.3116228767444428E-3</v>
      </c>
      <c r="U337">
        <f t="shared" ca="1" si="224"/>
        <v>4.7591103468738781E-3</v>
      </c>
      <c r="V337">
        <f t="shared" ca="1" si="224"/>
        <v>1.3949596748011651E-2</v>
      </c>
      <c r="W337">
        <f t="shared" ca="1" si="224"/>
        <v>1.7099690049541431E-2</v>
      </c>
      <c r="X337">
        <f t="shared" ca="1" si="224"/>
        <v>7.6343085876703961E-3</v>
      </c>
      <c r="Y337">
        <f t="shared" ca="1" si="224"/>
        <v>-1.1454221249688616E-2</v>
      </c>
      <c r="Z337">
        <f t="shared" ca="1" si="224"/>
        <v>1.0683997995369583E-2</v>
      </c>
    </row>
    <row r="338" spans="2:26" hidden="1">
      <c r="B338" s="180">
        <f>'Inflation-Interest'!G85</f>
        <v>0</v>
      </c>
      <c r="C338" s="180">
        <f t="shared" ca="1" si="213"/>
        <v>8.0863906340949393E-2</v>
      </c>
      <c r="D338" s="180">
        <f t="shared" ca="1" si="214"/>
        <v>3.1091517246112865E-2</v>
      </c>
      <c r="E338" s="180">
        <f t="shared" ca="1" si="215"/>
        <v>4.5222423630599855E-2</v>
      </c>
      <c r="F338" s="180">
        <f t="shared" ca="1" si="216"/>
        <v>7.3471692227633834E-2</v>
      </c>
      <c r="G338" s="180">
        <f t="shared" ca="1" si="217"/>
        <v>4.9643559893375266E-2</v>
      </c>
      <c r="H338" s="180">
        <f t="shared" ca="1" si="218"/>
        <v>0.13681373677772132</v>
      </c>
      <c r="I338" s="180">
        <f t="shared" ca="1" si="219"/>
        <v>0.12459168823754083</v>
      </c>
      <c r="J338" s="180">
        <f t="shared" ca="1" si="220"/>
        <v>8.6346872745814124E-2</v>
      </c>
      <c r="K338" s="180">
        <f t="shared" ca="1" si="221"/>
        <v>5.3320845962776024E-2</v>
      </c>
      <c r="L338" s="180">
        <f t="shared" ca="1" si="222"/>
        <v>5.431474279141494E-2</v>
      </c>
      <c r="P338">
        <f t="shared" ca="1" si="224"/>
        <v>9.1715463426654664E-3</v>
      </c>
      <c r="Q338">
        <f t="shared" ca="1" si="224"/>
        <v>1.8655752362236447E-2</v>
      </c>
      <c r="R338">
        <f t="shared" ca="1" si="224"/>
        <v>-1.9939243119529021E-3</v>
      </c>
      <c r="S338">
        <f t="shared" ca="1" si="224"/>
        <v>7.2373178258836627E-3</v>
      </c>
      <c r="T338">
        <f t="shared" ca="1" si="224"/>
        <v>2.9191003364535492E-2</v>
      </c>
      <c r="U338">
        <f t="shared" ca="1" si="224"/>
        <v>-4.2705325488575068E-3</v>
      </c>
      <c r="V338">
        <f t="shared" ca="1" si="224"/>
        <v>9.355248439402393E-3</v>
      </c>
      <c r="W338">
        <f t="shared" ca="1" si="224"/>
        <v>2.2791661910339454E-2</v>
      </c>
      <c r="X338">
        <f t="shared" ca="1" si="224"/>
        <v>1.8916038915366324E-2</v>
      </c>
      <c r="Y338">
        <f t="shared" ca="1" si="224"/>
        <v>3.8549141640355196E-3</v>
      </c>
      <c r="Z338">
        <f t="shared" ca="1" si="224"/>
        <v>1.6175114454984742E-2</v>
      </c>
    </row>
    <row r="339" spans="2:26" hidden="1">
      <c r="B339" s="180">
        <f>'Inflation-Interest'!G86</f>
        <v>0</v>
      </c>
      <c r="C339" s="180">
        <f t="shared" ca="1" si="213"/>
        <v>0.10390846313663188</v>
      </c>
      <c r="D339" s="180">
        <f t="shared" ca="1" si="214"/>
        <v>0.11309468857484457</v>
      </c>
      <c r="E339" s="180">
        <f t="shared" ca="1" si="215"/>
        <v>7.906150204121544E-2</v>
      </c>
      <c r="F339" s="180">
        <f t="shared" ca="1" si="216"/>
        <v>9.6639251478338073E-2</v>
      </c>
      <c r="G339" s="180">
        <f t="shared" ca="1" si="217"/>
        <v>0.10286654322480518</v>
      </c>
      <c r="H339" s="180">
        <f t="shared" ca="1" si="218"/>
        <v>8.8346052801203667E-2</v>
      </c>
      <c r="I339" s="180">
        <f t="shared" ca="1" si="219"/>
        <v>7.3585636654446313E-2</v>
      </c>
      <c r="J339" s="180">
        <f t="shared" ca="1" si="220"/>
        <v>9.1604325547284815E-2</v>
      </c>
      <c r="K339" s="180">
        <f t="shared" ca="1" si="221"/>
        <v>5.2185130686132848E-2</v>
      </c>
      <c r="L339" s="180">
        <f t="shared" ca="1" si="222"/>
        <v>9.866693713746201E-2</v>
      </c>
      <c r="P339">
        <f t="shared" ca="1" si="224"/>
        <v>2.370138178455582E-2</v>
      </c>
      <c r="Q339">
        <f t="shared" ca="1" si="224"/>
        <v>8.4825445913895691E-3</v>
      </c>
      <c r="R339">
        <f t="shared" ca="1" si="224"/>
        <v>1.5847917789690486E-2</v>
      </c>
      <c r="S339">
        <f t="shared" ca="1" si="224"/>
        <v>-1.3077898308468153E-2</v>
      </c>
      <c r="T339">
        <f t="shared" ca="1" si="224"/>
        <v>7.5022677118551954E-3</v>
      </c>
      <c r="U339">
        <f t="shared" ca="1" si="224"/>
        <v>1.6802138338590754E-2</v>
      </c>
      <c r="V339">
        <f t="shared" ca="1" si="224"/>
        <v>1.8918160866762162E-2</v>
      </c>
      <c r="W339">
        <f t="shared" ca="1" si="224"/>
        <v>3.3192945315682121E-2</v>
      </c>
      <c r="X339">
        <f t="shared" ca="1" si="224"/>
        <v>1.389163813506622E-3</v>
      </c>
      <c r="Y339">
        <f t="shared" ca="1" si="224"/>
        <v>2.5233047706463396E-2</v>
      </c>
      <c r="Z339">
        <f t="shared" ca="1" si="224"/>
        <v>4.4877924035393285E-2</v>
      </c>
    </row>
    <row r="340" spans="2:26" hidden="1">
      <c r="B340" s="180">
        <f>'Inflation-Interest'!G87</f>
        <v>0</v>
      </c>
      <c r="C340" s="180">
        <f t="shared" ca="1" si="213"/>
        <v>2.6532291501760581E-2</v>
      </c>
      <c r="D340" s="180">
        <f t="shared" ca="1" si="214"/>
        <v>2.0331931022599874E-2</v>
      </c>
      <c r="E340" s="180">
        <f t="shared" ca="1" si="215"/>
        <v>-2.3624527284561582E-2</v>
      </c>
      <c r="F340" s="180">
        <f t="shared" ca="1" si="216"/>
        <v>6.0632050046795671E-2</v>
      </c>
      <c r="G340" s="180">
        <f t="shared" ca="1" si="217"/>
        <v>2.6168818413814993E-2</v>
      </c>
      <c r="H340" s="180">
        <f t="shared" ca="1" si="218"/>
        <v>3.0491892973310487E-2</v>
      </c>
      <c r="I340" s="180">
        <f t="shared" ca="1" si="219"/>
        <v>8.1227096023985222E-3</v>
      </c>
      <c r="J340" s="180">
        <f t="shared" ca="1" si="220"/>
        <v>-2.0476483744601631E-2</v>
      </c>
      <c r="K340" s="180">
        <f t="shared" ca="1" si="221"/>
        <v>-2.6036627496691233E-3</v>
      </c>
      <c r="L340" s="180">
        <f t="shared" ca="1" si="222"/>
        <v>1.5300106580978162E-2</v>
      </c>
      <c r="P340">
        <f t="shared" ca="1" si="224"/>
        <v>5.1113855513371846E-3</v>
      </c>
      <c r="Q340">
        <f t="shared" ca="1" si="224"/>
        <v>-6.5584836369128943E-4</v>
      </c>
      <c r="R340">
        <f t="shared" ca="1" si="224"/>
        <v>7.2918683451196368E-3</v>
      </c>
      <c r="S340">
        <f t="shared" ca="1" si="224"/>
        <v>2.4321327802127989E-3</v>
      </c>
      <c r="T340">
        <f t="shared" ca="1" si="224"/>
        <v>1.3657963621558434E-2</v>
      </c>
      <c r="U340">
        <f t="shared" ca="1" si="224"/>
        <v>1.001026789599968E-2</v>
      </c>
      <c r="V340">
        <f t="shared" ca="1" si="224"/>
        <v>1.7972110018533251E-2</v>
      </c>
      <c r="W340">
        <f t="shared" ca="1" si="224"/>
        <v>2.5811576458482467E-2</v>
      </c>
      <c r="X340">
        <f t="shared" ca="1" si="224"/>
        <v>4.7984473045503294E-3</v>
      </c>
      <c r="Y340">
        <f t="shared" ca="1" si="224"/>
        <v>-1.7048769687014534E-3</v>
      </c>
      <c r="Z340">
        <f t="shared" ca="1" si="224"/>
        <v>6.7399200088157085E-3</v>
      </c>
    </row>
    <row r="341" spans="2:26" hidden="1">
      <c r="B341" s="180">
        <f>'Inflation-Interest'!G88</f>
        <v>0</v>
      </c>
      <c r="C341" s="180">
        <f t="shared" ca="1" si="213"/>
        <v>3.7929566357427349E-2</v>
      </c>
      <c r="D341" s="180">
        <f t="shared" ca="1" si="214"/>
        <v>4.2325983555791862E-2</v>
      </c>
      <c r="E341" s="180">
        <f t="shared" ca="1" si="215"/>
        <v>4.1678429424703255E-2</v>
      </c>
      <c r="F341" s="180">
        <f t="shared" ca="1" si="216"/>
        <v>2.3110760157692908E-2</v>
      </c>
      <c r="G341" s="180">
        <f t="shared" ca="1" si="217"/>
        <v>2.619784161343721E-2</v>
      </c>
      <c r="H341" s="180">
        <f t="shared" ca="1" si="218"/>
        <v>5.849372633985897E-2</v>
      </c>
      <c r="I341" s="180">
        <f t="shared" ca="1" si="219"/>
        <v>7.0584494148821855E-2</v>
      </c>
      <c r="J341" s="180">
        <f t="shared" ca="1" si="220"/>
        <v>6.5894746756366036E-3</v>
      </c>
      <c r="K341" s="180">
        <f t="shared" ca="1" si="221"/>
        <v>5.9365625235892269E-2</v>
      </c>
      <c r="L341" s="180">
        <f t="shared" ca="1" si="222"/>
        <v>3.4928357775341146E-2</v>
      </c>
      <c r="P341">
        <f t="shared" ca="1" si="224"/>
        <v>7.2529804381958538E-3</v>
      </c>
      <c r="Q341">
        <f t="shared" ca="1" si="224"/>
        <v>5.9199312134161734E-3</v>
      </c>
      <c r="R341">
        <f t="shared" ca="1" si="224"/>
        <v>2.4743521277927408E-2</v>
      </c>
      <c r="S341">
        <f t="shared" ca="1" si="224"/>
        <v>9.8434774853757134E-3</v>
      </c>
      <c r="T341">
        <f t="shared" ca="1" si="224"/>
        <v>1.7023969465706716E-2</v>
      </c>
      <c r="U341">
        <f t="shared" ca="1" si="224"/>
        <v>1.0724301077707898E-3</v>
      </c>
      <c r="V341">
        <f t="shared" ca="1" si="224"/>
        <v>-8.5363843016587598E-3</v>
      </c>
      <c r="W341">
        <f t="shared" ca="1" si="224"/>
        <v>7.9348399562667454E-3</v>
      </c>
      <c r="X341">
        <f t="shared" ca="1" si="224"/>
        <v>1.6778826234136519E-2</v>
      </c>
      <c r="Y341">
        <f t="shared" ca="1" si="224"/>
        <v>9.1719173117933428E-3</v>
      </c>
      <c r="Z341">
        <f t="shared" ca="1" si="224"/>
        <v>9.9013431768775022E-3</v>
      </c>
    </row>
    <row r="342" spans="2:26" hidden="1">
      <c r="B342" s="180">
        <f>'Inflation-Interest'!G89</f>
        <v>0</v>
      </c>
      <c r="C342" s="180">
        <f t="shared" ca="1" si="213"/>
        <v>4.6444928673964242E-2</v>
      </c>
      <c r="D342" s="180">
        <f t="shared" ca="1" si="214"/>
        <v>8.0726995466600462E-2</v>
      </c>
      <c r="E342" s="180">
        <f t="shared" ca="1" si="215"/>
        <v>1.9955133027477909E-2</v>
      </c>
      <c r="F342" s="180">
        <f t="shared" ca="1" si="216"/>
        <v>0.1075185472816283</v>
      </c>
      <c r="G342" s="180">
        <f t="shared" ca="1" si="217"/>
        <v>0.11474375939954021</v>
      </c>
      <c r="H342" s="180">
        <f t="shared" ca="1" si="218"/>
        <v>7.49640461073105E-2</v>
      </c>
      <c r="I342" s="180">
        <f t="shared" ca="1" si="219"/>
        <v>0.10500939778993801</v>
      </c>
      <c r="J342" s="180">
        <f t="shared" ca="1" si="220"/>
        <v>3.7117190009047035E-2</v>
      </c>
      <c r="K342" s="180">
        <f t="shared" ca="1" si="221"/>
        <v>9.81880657058566E-2</v>
      </c>
      <c r="L342" s="180">
        <f t="shared" ca="1" si="222"/>
        <v>0.10552066821394845</v>
      </c>
      <c r="P342">
        <f t="shared" ca="1" si="224"/>
        <v>2.28685312372627E-2</v>
      </c>
      <c r="Q342">
        <f t="shared" ca="1" si="224"/>
        <v>1.2839234422417774E-2</v>
      </c>
      <c r="R342">
        <f t="shared" ca="1" si="224"/>
        <v>1.0480964606860745E-4</v>
      </c>
      <c r="S342">
        <f t="shared" ca="1" si="224"/>
        <v>2.4826927700839097E-3</v>
      </c>
      <c r="T342">
        <f t="shared" ca="1" si="224"/>
        <v>2.3179065299617642E-2</v>
      </c>
      <c r="U342">
        <f t="shared" ca="1" si="224"/>
        <v>2.8038641229450482E-2</v>
      </c>
      <c r="V342">
        <f t="shared" ca="1" si="224"/>
        <v>-9.5948836465952012E-3</v>
      </c>
      <c r="W342">
        <f t="shared" ca="1" si="224"/>
        <v>9.4061830696609873E-3</v>
      </c>
      <c r="X342">
        <f t="shared" ca="1" si="224"/>
        <v>-7.8917130174067669E-3</v>
      </c>
      <c r="Y342">
        <f t="shared" ca="1" si="224"/>
        <v>1.3869806197475588E-2</v>
      </c>
      <c r="Z342">
        <f t="shared" ca="1" si="224"/>
        <v>3.1778324669063114E-2</v>
      </c>
    </row>
    <row r="343" spans="2:26" hidden="1">
      <c r="B343" s="180">
        <f>'Inflation-Interest'!G90</f>
        <v>0</v>
      </c>
      <c r="C343" s="180">
        <f t="shared" ca="1" si="213"/>
        <v>4.3553968116390687E-2</v>
      </c>
      <c r="D343" s="180">
        <f t="shared" ca="1" si="214"/>
        <v>7.1030107490228492E-2</v>
      </c>
      <c r="E343" s="180">
        <f t="shared" ca="1" si="215"/>
        <v>5.2569965648204153E-2</v>
      </c>
      <c r="F343" s="180">
        <f t="shared" ca="1" si="216"/>
        <v>9.8538207081894605E-2</v>
      </c>
      <c r="G343" s="180">
        <f t="shared" ca="1" si="217"/>
        <v>6.268913295000858E-2</v>
      </c>
      <c r="H343" s="180">
        <f t="shared" ca="1" si="218"/>
        <v>-1.7260547022251091E-3</v>
      </c>
      <c r="I343" s="180">
        <f t="shared" ca="1" si="219"/>
        <v>8.4968784062949849E-3</v>
      </c>
      <c r="J343" s="180">
        <f t="shared" ca="1" si="220"/>
        <v>-4.5914749097764607E-3</v>
      </c>
      <c r="K343" s="180">
        <f t="shared" ca="1" si="221"/>
        <v>-7.1849634730433182E-2</v>
      </c>
      <c r="L343" s="180">
        <f t="shared" ca="1" si="222"/>
        <v>3.9876482100115532E-4</v>
      </c>
      <c r="P343">
        <f t="shared" ca="1" si="224"/>
        <v>7.387075954029005E-4</v>
      </c>
      <c r="Q343">
        <f t="shared" ca="1" si="224"/>
        <v>6.8702830302297228E-3</v>
      </c>
      <c r="R343">
        <f t="shared" ca="1" si="224"/>
        <v>9.7490505594806792E-3</v>
      </c>
      <c r="S343">
        <f t="shared" ca="1" si="224"/>
        <v>1.9676674475530887E-2</v>
      </c>
      <c r="T343">
        <f t="shared" ca="1" si="224"/>
        <v>1.6438663395036256E-2</v>
      </c>
      <c r="U343">
        <f t="shared" ca="1" si="224"/>
        <v>2.3945268640272986E-2</v>
      </c>
      <c r="V343">
        <f t="shared" ca="1" si="224"/>
        <v>3.0294370388921361E-2</v>
      </c>
      <c r="W343">
        <f t="shared" ca="1" si="224"/>
        <v>1.1549065218276745E-2</v>
      </c>
      <c r="X343">
        <f t="shared" ca="1" si="224"/>
        <v>1.6121924606571462E-2</v>
      </c>
      <c r="Y343">
        <f t="shared" ca="1" si="224"/>
        <v>8.9908690951992099E-3</v>
      </c>
      <c r="Z343">
        <f t="shared" ca="1" si="224"/>
        <v>1.6394849846766223E-2</v>
      </c>
    </row>
    <row r="344" spans="2:26" hidden="1">
      <c r="B344" s="180">
        <f>'Inflation-Interest'!G91</f>
        <v>0</v>
      </c>
      <c r="C344" s="180">
        <f t="shared" ca="1" si="213"/>
        <v>7.7005580201296525E-2</v>
      </c>
      <c r="D344" s="180">
        <f t="shared" ca="1" si="214"/>
        <v>0.10100529476273554</v>
      </c>
      <c r="E344" s="180">
        <f t="shared" ca="1" si="215"/>
        <v>8.465419083515055E-2</v>
      </c>
      <c r="F344" s="180">
        <f t="shared" ca="1" si="216"/>
        <v>9.2863298441161202E-2</v>
      </c>
      <c r="G344" s="180">
        <f t="shared" ca="1" si="217"/>
        <v>0.12368772971553761</v>
      </c>
      <c r="H344" s="180">
        <f t="shared" ca="1" si="218"/>
        <v>8.4858598414552802E-2</v>
      </c>
      <c r="I344" s="180">
        <f t="shared" ca="1" si="219"/>
        <v>8.5524595579069884E-2</v>
      </c>
      <c r="J344" s="180">
        <f t="shared" ca="1" si="220"/>
        <v>1.6579102594078673E-2</v>
      </c>
      <c r="K344" s="180">
        <f t="shared" ca="1" si="221"/>
        <v>0.13031496791947128</v>
      </c>
      <c r="L344" s="180">
        <f t="shared" ca="1" si="222"/>
        <v>5.3221427680208364E-2</v>
      </c>
      <c r="P344">
        <f t="shared" ca="1" si="224"/>
        <v>-2.0068179655515859E-3</v>
      </c>
      <c r="Q344">
        <f t="shared" ca="1" si="224"/>
        <v>5.1129844028459737E-3</v>
      </c>
      <c r="R344">
        <f t="shared" ca="1" si="224"/>
        <v>7.7286783917638081E-3</v>
      </c>
      <c r="S344">
        <f t="shared" ca="1" si="224"/>
        <v>3.9274420822309093E-3</v>
      </c>
      <c r="T344">
        <f t="shared" ca="1" si="224"/>
        <v>1.9995568302585254E-2</v>
      </c>
      <c r="U344">
        <f t="shared" ca="1" si="224"/>
        <v>1.869369681538097E-2</v>
      </c>
      <c r="V344">
        <f t="shared" ca="1" si="224"/>
        <v>1.0154992675982664E-2</v>
      </c>
      <c r="W344">
        <f t="shared" ca="1" si="224"/>
        <v>8.4973732338897226E-3</v>
      </c>
      <c r="X344">
        <f t="shared" ca="1" si="224"/>
        <v>-6.9965637039677651E-3</v>
      </c>
      <c r="Y344">
        <f t="shared" ca="1" si="224"/>
        <v>1.4787932412700903E-2</v>
      </c>
      <c r="Z344">
        <f t="shared" ca="1" si="224"/>
        <v>8.1484243551048548E-3</v>
      </c>
    </row>
    <row r="345" spans="2:26" hidden="1">
      <c r="B345" s="180">
        <f>'Inflation-Interest'!G92</f>
        <v>0</v>
      </c>
      <c r="C345" s="180">
        <f t="shared" ca="1" si="213"/>
        <v>4.2568922295568044E-2</v>
      </c>
      <c r="D345" s="180">
        <f t="shared" ca="1" si="214"/>
        <v>4.2800104292920207E-2</v>
      </c>
      <c r="E345" s="180">
        <f t="shared" ca="1" si="215"/>
        <v>5.7572552532972991E-2</v>
      </c>
      <c r="F345" s="180">
        <f t="shared" ca="1" si="216"/>
        <v>5.0909257955134929E-2</v>
      </c>
      <c r="G345" s="180">
        <f t="shared" ca="1" si="217"/>
        <v>5.3171802168845844E-2</v>
      </c>
      <c r="H345" s="180">
        <f t="shared" ca="1" si="218"/>
        <v>4.8286487746470805E-2</v>
      </c>
      <c r="I345" s="180">
        <f t="shared" ca="1" si="219"/>
        <v>8.9798244948282091E-2</v>
      </c>
      <c r="J345" s="180">
        <f t="shared" ca="1" si="220"/>
        <v>9.0730819359667786E-2</v>
      </c>
      <c r="K345" s="180">
        <f t="shared" ca="1" si="221"/>
        <v>5.3249181766931615E-2</v>
      </c>
      <c r="L345" s="180">
        <f t="shared" ca="1" si="222"/>
        <v>0.11996990694766331</v>
      </c>
      <c r="P345">
        <f t="shared" ca="1" si="224"/>
        <v>1.1101136434685523E-2</v>
      </c>
      <c r="Q345">
        <f t="shared" ca="1" si="224"/>
        <v>1.0622571415461151E-2</v>
      </c>
      <c r="R345">
        <f t="shared" ca="1" si="224"/>
        <v>-6.5428078826644861E-3</v>
      </c>
      <c r="S345">
        <f t="shared" ca="1" si="224"/>
        <v>1.1755971899799119E-2</v>
      </c>
      <c r="T345">
        <f t="shared" ca="1" si="224"/>
        <v>1.4082195020564816E-2</v>
      </c>
      <c r="U345">
        <f t="shared" ca="1" si="224"/>
        <v>1.9720910272807608E-2</v>
      </c>
      <c r="V345">
        <f t="shared" ca="1" si="224"/>
        <v>-4.5433840984553716E-3</v>
      </c>
      <c r="W345">
        <f t="shared" ca="1" si="224"/>
        <v>8.3648300729584346E-3</v>
      </c>
      <c r="X345">
        <f t="shared" ca="1" si="224"/>
        <v>2.336690986999012E-2</v>
      </c>
      <c r="Y345">
        <f t="shared" ca="1" si="224"/>
        <v>1.1461683058993491E-2</v>
      </c>
      <c r="Z345">
        <f t="shared" ca="1" si="224"/>
        <v>2.2748191041932053E-2</v>
      </c>
    </row>
    <row r="346" spans="2:26" hidden="1">
      <c r="B346" s="180">
        <f>'Inflation-Interest'!G93</f>
        <v>0</v>
      </c>
      <c r="C346" s="180">
        <f t="shared" ca="1" si="213"/>
        <v>4.907846756444674E-2</v>
      </c>
      <c r="D346" s="180">
        <f t="shared" ca="1" si="214"/>
        <v>4.3749350155345826E-2</v>
      </c>
      <c r="E346" s="180">
        <f t="shared" ca="1" si="215"/>
        <v>8.8167167142712208E-2</v>
      </c>
      <c r="F346" s="180">
        <f t="shared" ca="1" si="216"/>
        <v>6.7835662354767096E-2</v>
      </c>
      <c r="G346" s="180">
        <f t="shared" ca="1" si="217"/>
        <v>4.3904912838102148E-2</v>
      </c>
      <c r="H346" s="180">
        <f t="shared" ca="1" si="218"/>
        <v>4.6768404961144046E-2</v>
      </c>
      <c r="I346" s="180">
        <f t="shared" ca="1" si="219"/>
        <v>4.4983512248311132E-2</v>
      </c>
      <c r="J346" s="180">
        <f t="shared" ca="1" si="220"/>
        <v>0.12362631713982697</v>
      </c>
      <c r="K346" s="180">
        <f t="shared" ca="1" si="221"/>
        <v>9.4046191012228553E-2</v>
      </c>
      <c r="L346" s="180">
        <f t="shared" ca="1" si="222"/>
        <v>3.6013945851995244E-2</v>
      </c>
      <c r="P346">
        <f t="shared" ca="1" si="224"/>
        <v>2.5619702652133015E-2</v>
      </c>
      <c r="Q346">
        <f t="shared" ca="1" si="224"/>
        <v>2.194146111111904E-2</v>
      </c>
      <c r="R346">
        <f t="shared" ca="1" si="224"/>
        <v>2.4689923782614871E-2</v>
      </c>
      <c r="S346">
        <f t="shared" ca="1" si="224"/>
        <v>3.1687073359029656E-2</v>
      </c>
      <c r="T346">
        <f t="shared" ca="1" si="224"/>
        <v>1.9183776518917589E-2</v>
      </c>
      <c r="U346">
        <f t="shared" ca="1" si="224"/>
        <v>1.0927236291228203E-2</v>
      </c>
      <c r="V346">
        <f t="shared" ca="1" si="224"/>
        <v>1.1428171955851362E-2</v>
      </c>
      <c r="W346">
        <f t="shared" ca="1" si="224"/>
        <v>-1.0816724114332281E-2</v>
      </c>
      <c r="X346">
        <f t="shared" ca="1" si="224"/>
        <v>3.278023547513547E-2</v>
      </c>
      <c r="Y346">
        <f t="shared" ca="1" si="224"/>
        <v>2.6524330513948265E-2</v>
      </c>
      <c r="Z346">
        <f t="shared" ca="1" si="224"/>
        <v>1.2680647213634138E-2</v>
      </c>
    </row>
    <row r="347" spans="2:26" hidden="1">
      <c r="B347" s="180">
        <f>'Inflation-Interest'!G94</f>
        <v>0</v>
      </c>
      <c r="C347" s="180">
        <f t="shared" ca="1" si="213"/>
        <v>6.8762818958148314E-2</v>
      </c>
      <c r="D347" s="180">
        <f t="shared" ca="1" si="214"/>
        <v>6.7042297199706724E-2</v>
      </c>
      <c r="E347" s="180">
        <f t="shared" ca="1" si="215"/>
        <v>6.598134817865578E-2</v>
      </c>
      <c r="F347" s="180">
        <f t="shared" ca="1" si="216"/>
        <v>7.8054718498960729E-2</v>
      </c>
      <c r="G347" s="180">
        <f t="shared" ca="1" si="217"/>
        <v>4.3693939716540217E-2</v>
      </c>
      <c r="H347" s="180">
        <f t="shared" ca="1" si="218"/>
        <v>9.8797461415006671E-2</v>
      </c>
      <c r="I347" s="180">
        <f t="shared" ca="1" si="219"/>
        <v>0.18998561296531402</v>
      </c>
      <c r="J347" s="180">
        <f t="shared" ca="1" si="220"/>
        <v>9.9516228642875237E-2</v>
      </c>
      <c r="K347" s="180">
        <f t="shared" ca="1" si="221"/>
        <v>0.12786489637983878</v>
      </c>
      <c r="L347" s="180">
        <f t="shared" ca="1" si="222"/>
        <v>3.7866927947599556E-2</v>
      </c>
      <c r="P347">
        <f t="shared" ca="1" si="224"/>
        <v>1.1506932369317061E-2</v>
      </c>
      <c r="Q347">
        <f t="shared" ca="1" si="224"/>
        <v>1.1262992492006952E-2</v>
      </c>
      <c r="R347">
        <f t="shared" ca="1" si="224"/>
        <v>1.3093948627260989E-2</v>
      </c>
      <c r="S347">
        <f t="shared" ca="1" si="224"/>
        <v>1.2718954090803734E-2</v>
      </c>
      <c r="T347">
        <f t="shared" ca="1" si="224"/>
        <v>1.031276396748303E-2</v>
      </c>
      <c r="U347">
        <f t="shared" ca="1" si="224"/>
        <v>7.954004608229575E-3</v>
      </c>
      <c r="V347">
        <f t="shared" ca="1" si="224"/>
        <v>1.507699651552888E-2</v>
      </c>
      <c r="W347">
        <f t="shared" ca="1" si="224"/>
        <v>4.0659664918751628E-2</v>
      </c>
      <c r="X347">
        <f t="shared" ca="1" si="224"/>
        <v>1.2302582869168285E-3</v>
      </c>
      <c r="Y347">
        <f t="shared" ca="1" si="224"/>
        <v>4.3391262900905527E-3</v>
      </c>
      <c r="Z347">
        <f t="shared" ca="1" si="224"/>
        <v>6.9893181759091878E-3</v>
      </c>
    </row>
    <row r="348" spans="2:26" hidden="1">
      <c r="B348" s="180">
        <f>'Inflation-Interest'!G95</f>
        <v>0</v>
      </c>
      <c r="C348" s="180">
        <f t="shared" ca="1" si="213"/>
        <v>5.9638164471961894E-2</v>
      </c>
      <c r="D348" s="180">
        <f t="shared" ca="1" si="214"/>
        <v>8.0493697249062593E-2</v>
      </c>
      <c r="E348" s="180">
        <f t="shared" ca="1" si="215"/>
        <v>8.2496018686139067E-2</v>
      </c>
      <c r="F348" s="180">
        <f t="shared" ca="1" si="216"/>
        <v>0.15302389554076945</v>
      </c>
      <c r="G348" s="180">
        <f t="shared" ca="1" si="217"/>
        <v>0.18301902433486311</v>
      </c>
      <c r="H348" s="180">
        <f t="shared" ca="1" si="218"/>
        <v>0.13153284508410815</v>
      </c>
      <c r="I348" s="180">
        <f t="shared" ca="1" si="219"/>
        <v>0.18496518384110777</v>
      </c>
      <c r="J348" s="180">
        <f t="shared" ca="1" si="220"/>
        <v>0.19271591846623307</v>
      </c>
      <c r="K348" s="180">
        <f t="shared" ca="1" si="221"/>
        <v>6.9090106309701735E-2</v>
      </c>
      <c r="L348" s="180">
        <f t="shared" ca="1" si="222"/>
        <v>0.16975175422350655</v>
      </c>
      <c r="P348">
        <f t="shared" ca="1" si="224"/>
        <v>1.2372479045657706E-2</v>
      </c>
      <c r="Q348">
        <f t="shared" ca="1" si="224"/>
        <v>9.3953707533280632E-3</v>
      </c>
      <c r="R348">
        <f t="shared" ca="1" si="224"/>
        <v>1.2558069245703558E-2</v>
      </c>
      <c r="S348">
        <f t="shared" ca="1" si="224"/>
        <v>-8.1896917823822118E-3</v>
      </c>
      <c r="T348">
        <f t="shared" ca="1" si="224"/>
        <v>-9.0646568204079056E-4</v>
      </c>
      <c r="U348">
        <f t="shared" ca="1" si="224"/>
        <v>2.9577482301490189E-2</v>
      </c>
      <c r="V348">
        <f t="shared" ca="1" si="224"/>
        <v>2.2901816490096365E-3</v>
      </c>
      <c r="W348">
        <f t="shared" ca="1" si="224"/>
        <v>8.2805400905550733E-3</v>
      </c>
      <c r="X348">
        <f t="shared" ca="1" si="224"/>
        <v>1.9057503635891739E-2</v>
      </c>
      <c r="Y348">
        <f t="shared" ca="1" si="224"/>
        <v>7.6352300662200154E-3</v>
      </c>
      <c r="Z348">
        <f t="shared" ca="1" si="224"/>
        <v>1.4892260065217839E-2</v>
      </c>
    </row>
    <row r="349" spans="2:26" hidden="1">
      <c r="B349" s="180">
        <f>'Inflation-Interest'!G96</f>
        <v>0</v>
      </c>
      <c r="C349" s="180">
        <f t="shared" ref="C349:C380" ca="1" si="225">C249+Q349</f>
        <v>8.3699958633463467E-2</v>
      </c>
      <c r="D349" s="180">
        <f t="shared" ref="D349:D380" ca="1" si="226">D249+R349</f>
        <v>9.9692229160326967E-2</v>
      </c>
      <c r="E349" s="180">
        <f t="shared" ref="E349:E380" ca="1" si="227">E249+S349</f>
        <v>0.14202476234835223</v>
      </c>
      <c r="F349" s="180">
        <f t="shared" ref="F349:F380" ca="1" si="228">F249+T349</f>
        <v>0.1338917228785417</v>
      </c>
      <c r="G349" s="180">
        <f t="shared" ref="G349:G380" ca="1" si="229">G249+U349</f>
        <v>8.789736773916984E-2</v>
      </c>
      <c r="H349" s="180">
        <f t="shared" ref="H349:H380" ca="1" si="230">H249+V349</f>
        <v>0.10139445096979625</v>
      </c>
      <c r="I349" s="180">
        <f t="shared" ref="I349:I380" ca="1" si="231">I249+W349</f>
        <v>0.13116760952487899</v>
      </c>
      <c r="J349" s="180">
        <f t="shared" ref="J349:J380" ca="1" si="232">J249+X349</f>
        <v>7.3740798985335781E-2</v>
      </c>
      <c r="K349" s="180">
        <f t="shared" ref="K349:K380" ca="1" si="233">K249+Y349</f>
        <v>0.10346470990157601</v>
      </c>
      <c r="L349" s="180">
        <f t="shared" ref="L349:L380" ca="1" si="234">L249+Z349</f>
        <v>0.17788033490942626</v>
      </c>
      <c r="P349">
        <f t="shared" ca="1" si="224"/>
        <v>1.9028463185922315E-2</v>
      </c>
      <c r="Q349">
        <f t="shared" ca="1" si="224"/>
        <v>1.9366723822939975E-2</v>
      </c>
      <c r="R349">
        <f t="shared" ca="1" si="224"/>
        <v>1.9317502812284428E-2</v>
      </c>
      <c r="S349">
        <f t="shared" ca="1" si="224"/>
        <v>3.3338636000279205E-2</v>
      </c>
      <c r="T349">
        <f t="shared" ca="1" si="224"/>
        <v>7.1965525422349932E-3</v>
      </c>
      <c r="U349">
        <f t="shared" ca="1" si="224"/>
        <v>-7.4197278278909911E-3</v>
      </c>
      <c r="V349">
        <f t="shared" ca="1" si="224"/>
        <v>3.5734054174513096E-3</v>
      </c>
      <c r="W349">
        <f t="shared" ca="1" si="224"/>
        <v>1.5659232648810743E-2</v>
      </c>
      <c r="X349">
        <f t="shared" ca="1" si="224"/>
        <v>9.2242471621315544E-3</v>
      </c>
      <c r="Y349">
        <f t="shared" ca="1" si="224"/>
        <v>-5.0766275086483684E-3</v>
      </c>
      <c r="Z349">
        <f t="shared" ca="1" si="224"/>
        <v>2.5559232428419017E-2</v>
      </c>
    </row>
    <row r="350" spans="2:26" hidden="1">
      <c r="B350" s="180">
        <f>'Inflation-Interest'!G97</f>
        <v>0</v>
      </c>
      <c r="C350" s="180">
        <f t="shared" ca="1" si="225"/>
        <v>7.0576534244718464E-2</v>
      </c>
      <c r="D350" s="180">
        <f t="shared" ca="1" si="226"/>
        <v>0.11636910976728354</v>
      </c>
      <c r="E350" s="180">
        <f t="shared" ca="1" si="227"/>
        <v>5.1284826043538304E-2</v>
      </c>
      <c r="F350" s="180">
        <f t="shared" ca="1" si="228"/>
        <v>6.2963545630353682E-2</v>
      </c>
      <c r="G350" s="180">
        <f t="shared" ca="1" si="229"/>
        <v>8.1975040694395401E-2</v>
      </c>
      <c r="H350" s="180">
        <f t="shared" ca="1" si="230"/>
        <v>2.9876500152134E-2</v>
      </c>
      <c r="I350" s="180">
        <f t="shared" ca="1" si="231"/>
        <v>2.5687810956837205E-2</v>
      </c>
      <c r="J350" s="180">
        <f t="shared" ca="1" si="232"/>
        <v>5.322475437049444E-2</v>
      </c>
      <c r="K350" s="180">
        <f t="shared" ca="1" si="233"/>
        <v>6.8532157533769296E-3</v>
      </c>
      <c r="L350" s="180">
        <f t="shared" ca="1" si="234"/>
        <v>3.2109120449460807E-2</v>
      </c>
      <c r="P350">
        <f t="shared" ca="1" si="224"/>
        <v>1.6952199513742452E-2</v>
      </c>
      <c r="Q350">
        <f t="shared" ca="1" si="224"/>
        <v>1.9947457685267005E-2</v>
      </c>
      <c r="R350">
        <f t="shared" ca="1" si="224"/>
        <v>6.3888608862180656E-3</v>
      </c>
      <c r="S350">
        <f t="shared" ca="1" si="224"/>
        <v>-4.2605408839912866E-4</v>
      </c>
      <c r="T350">
        <f t="shared" ca="1" si="224"/>
        <v>1.2233387813254771E-2</v>
      </c>
      <c r="U350">
        <f t="shared" ca="1" si="224"/>
        <v>2.843009909972722E-2</v>
      </c>
      <c r="V350">
        <f t="shared" ca="1" si="224"/>
        <v>2.0017288413294081E-2</v>
      </c>
      <c r="W350">
        <f t="shared" ca="1" si="224"/>
        <v>-1.5049119421247769E-3</v>
      </c>
      <c r="X350">
        <f t="shared" ca="1" si="224"/>
        <v>3.3151363117689681E-2</v>
      </c>
      <c r="Y350">
        <f t="shared" ca="1" si="224"/>
        <v>7.6927874363618897E-3</v>
      </c>
      <c r="Z350">
        <f t="shared" ca="1" si="224"/>
        <v>1.0271178272190653E-2</v>
      </c>
    </row>
    <row r="351" spans="2:26" hidden="1">
      <c r="B351" s="180">
        <f>'Inflation-Interest'!G98</f>
        <v>0</v>
      </c>
      <c r="C351" s="180">
        <f t="shared" ca="1" si="225"/>
        <v>8.6441376086776919E-2</v>
      </c>
      <c r="D351" s="180">
        <f t="shared" ca="1" si="226"/>
        <v>9.9356298271256985E-2</v>
      </c>
      <c r="E351" s="180">
        <f t="shared" ca="1" si="227"/>
        <v>8.7575574131864578E-2</v>
      </c>
      <c r="F351" s="180">
        <f t="shared" ca="1" si="228"/>
        <v>3.8212821706639269E-2</v>
      </c>
      <c r="G351" s="180">
        <f t="shared" ca="1" si="229"/>
        <v>0.12448768622190146</v>
      </c>
      <c r="H351" s="180">
        <f t="shared" ca="1" si="230"/>
        <v>4.0167594230249001E-2</v>
      </c>
      <c r="I351" s="180">
        <f t="shared" ca="1" si="231"/>
        <v>9.6354110523165531E-2</v>
      </c>
      <c r="J351" s="180">
        <f t="shared" ca="1" si="232"/>
        <v>-8.8412310744590758E-3</v>
      </c>
      <c r="K351" s="180">
        <f t="shared" ca="1" si="233"/>
        <v>7.4589507122076029E-2</v>
      </c>
      <c r="L351" s="180">
        <f t="shared" ca="1" si="234"/>
        <v>6.9735796542579054E-2</v>
      </c>
      <c r="P351">
        <f t="shared" ca="1" si="224"/>
        <v>2.7079095739039275E-3</v>
      </c>
      <c r="Q351">
        <f t="shared" ca="1" si="224"/>
        <v>2.5471150242563193E-2</v>
      </c>
      <c r="R351">
        <f t="shared" ca="1" si="224"/>
        <v>1.2088694960336915E-2</v>
      </c>
      <c r="S351">
        <f t="shared" ca="1" si="224"/>
        <v>2.6301858284317099E-2</v>
      </c>
      <c r="T351">
        <f t="shared" ca="1" si="224"/>
        <v>5.1544589750434841E-5</v>
      </c>
      <c r="U351">
        <f t="shared" ca="1" si="224"/>
        <v>6.6551246534939145E-3</v>
      </c>
      <c r="V351">
        <f t="shared" ca="1" si="224"/>
        <v>-6.1621514789898541E-3</v>
      </c>
      <c r="W351">
        <f t="shared" ca="1" si="224"/>
        <v>2.6624065994169187E-2</v>
      </c>
      <c r="X351">
        <f t="shared" ca="1" si="224"/>
        <v>1.3311558028743571E-2</v>
      </c>
      <c r="Y351">
        <f t="shared" ca="1" si="224"/>
        <v>2.9382690040130152E-2</v>
      </c>
      <c r="Z351">
        <f t="shared" ca="1" si="224"/>
        <v>1.6338680749709029E-3</v>
      </c>
    </row>
    <row r="352" spans="2:26" hidden="1">
      <c r="B352" s="180">
        <f>'Inflation-Interest'!G99</f>
        <v>0</v>
      </c>
      <c r="C352" s="180">
        <f t="shared" ca="1" si="225"/>
        <v>4.4080627634689534E-2</v>
      </c>
      <c r="D352" s="180">
        <f t="shared" ca="1" si="226"/>
        <v>4.1852350308550522E-2</v>
      </c>
      <c r="E352" s="180">
        <f t="shared" ca="1" si="227"/>
        <v>1.6932319685493472E-2</v>
      </c>
      <c r="F352" s="180">
        <f t="shared" ca="1" si="228"/>
        <v>5.1210372737093654E-2</v>
      </c>
      <c r="G352" s="180">
        <f t="shared" ca="1" si="229"/>
        <v>1.1021250612112201E-2</v>
      </c>
      <c r="H352" s="180">
        <f t="shared" ca="1" si="230"/>
        <v>2.6640572631282229E-2</v>
      </c>
      <c r="I352" s="180">
        <f t="shared" ca="1" si="231"/>
        <v>-3.5446689713999391E-2</v>
      </c>
      <c r="J352" s="180">
        <f t="shared" ca="1" si="232"/>
        <v>1.2794774250918628E-2</v>
      </c>
      <c r="K352" s="180">
        <f t="shared" ca="1" si="233"/>
        <v>4.3762232047452811E-2</v>
      </c>
      <c r="L352" s="180">
        <f t="shared" ca="1" si="234"/>
        <v>-1.2885884019593919E-2</v>
      </c>
      <c r="P352">
        <f t="shared" ca="1" si="224"/>
        <v>-2.9693591880475823E-3</v>
      </c>
      <c r="Q352">
        <f t="shared" ca="1" si="224"/>
        <v>5.595048514435738E-3</v>
      </c>
      <c r="R352">
        <f t="shared" ca="1" si="224"/>
        <v>1.8244065273427569E-2</v>
      </c>
      <c r="S352">
        <f t="shared" ca="1" si="224"/>
        <v>2.6465363128195557E-2</v>
      </c>
      <c r="T352">
        <f t="shared" ca="1" si="224"/>
        <v>1.7413986961773716E-2</v>
      </c>
      <c r="U352">
        <f t="shared" ca="1" si="224"/>
        <v>1.2159581127771834E-2</v>
      </c>
      <c r="V352">
        <f t="shared" ca="1" si="224"/>
        <v>1.2182205854084643E-2</v>
      </c>
      <c r="W352">
        <f t="shared" ca="1" si="224"/>
        <v>1.0683130336742754E-2</v>
      </c>
      <c r="X352">
        <f t="shared" ca="1" si="224"/>
        <v>1.8811521745045412E-2</v>
      </c>
      <c r="Y352">
        <f t="shared" ca="1" si="224"/>
        <v>1.4506745181527817E-2</v>
      </c>
      <c r="Z352">
        <f t="shared" ca="1" si="224"/>
        <v>9.3637493138619531E-3</v>
      </c>
    </row>
    <row r="353" spans="2:26" hidden="1">
      <c r="B353" s="180">
        <f>'Inflation-Interest'!G100</f>
        <v>0</v>
      </c>
      <c r="C353" s="180">
        <f t="shared" ca="1" si="225"/>
        <v>7.3783835691304603E-2</v>
      </c>
      <c r="D353" s="180">
        <f t="shared" ca="1" si="226"/>
        <v>4.9348519334650565E-2</v>
      </c>
      <c r="E353" s="180">
        <f t="shared" ca="1" si="227"/>
        <v>0.10513871586497925</v>
      </c>
      <c r="F353" s="180">
        <f t="shared" ca="1" si="228"/>
        <v>6.7208693219870705E-2</v>
      </c>
      <c r="G353" s="180">
        <f t="shared" ca="1" si="229"/>
        <v>6.3129356505300743E-2</v>
      </c>
      <c r="H353" s="180">
        <f t="shared" ca="1" si="230"/>
        <v>0.12531553315568267</v>
      </c>
      <c r="I353" s="180">
        <f t="shared" ca="1" si="231"/>
        <v>8.5436075836476416E-2</v>
      </c>
      <c r="J353" s="180">
        <f t="shared" ca="1" si="232"/>
        <v>8.1836197437318153E-2</v>
      </c>
      <c r="K353" s="180">
        <f t="shared" ca="1" si="233"/>
        <v>7.0620552604229697E-2</v>
      </c>
      <c r="L353" s="180">
        <f t="shared" ca="1" si="234"/>
        <v>2.310917470224437E-2</v>
      </c>
      <c r="P353">
        <f t="shared" ca="1" si="224"/>
        <v>2.6533955859917996E-3</v>
      </c>
      <c r="Q353">
        <f t="shared" ca="1" si="224"/>
        <v>2.1906523100605202E-2</v>
      </c>
      <c r="R353">
        <f t="shared" ca="1" si="224"/>
        <v>-6.6612682763330811E-3</v>
      </c>
      <c r="S353">
        <f t="shared" ca="1" si="224"/>
        <v>3.0096014446833866E-2</v>
      </c>
      <c r="T353">
        <f t="shared" ca="1" si="224"/>
        <v>2.2881989387644946E-2</v>
      </c>
      <c r="U353">
        <f t="shared" ca="1" si="224"/>
        <v>-5.2298955079759218E-3</v>
      </c>
      <c r="V353">
        <f t="shared" ca="1" si="224"/>
        <v>2.4259227002624471E-2</v>
      </c>
      <c r="W353">
        <f t="shared" ca="1" si="224"/>
        <v>8.7462888875830206E-3</v>
      </c>
      <c r="X353">
        <f t="shared" ca="1" si="224"/>
        <v>1.4953508436258232E-3</v>
      </c>
      <c r="Y353">
        <f t="shared" ca="1" si="224"/>
        <v>1.2226608650302418E-2</v>
      </c>
      <c r="Z353">
        <f t="shared" ca="1" si="224"/>
        <v>2.0274399420923909E-2</v>
      </c>
    </row>
    <row r="354" spans="2:26" hidden="1">
      <c r="B354" s="180">
        <f>'Inflation-Interest'!G101</f>
        <v>0</v>
      </c>
      <c r="C354" s="180">
        <f t="shared" ca="1" si="225"/>
        <v>0.10829983441718755</v>
      </c>
      <c r="D354" s="180">
        <f t="shared" ca="1" si="226"/>
        <v>0.13330678719682459</v>
      </c>
      <c r="E354" s="180">
        <f t="shared" ca="1" si="227"/>
        <v>8.0646358980739213E-2</v>
      </c>
      <c r="F354" s="180">
        <f t="shared" ca="1" si="228"/>
        <v>8.4853116276796606E-2</v>
      </c>
      <c r="G354" s="180">
        <f t="shared" ca="1" si="229"/>
        <v>4.9935243761107376E-2</v>
      </c>
      <c r="H354" s="180">
        <f t="shared" ca="1" si="230"/>
        <v>0.12047330483366797</v>
      </c>
      <c r="I354" s="180">
        <f t="shared" ca="1" si="231"/>
        <v>7.164135336453932E-2</v>
      </c>
      <c r="J354" s="180">
        <f t="shared" ca="1" si="232"/>
        <v>0.13153858061594792</v>
      </c>
      <c r="K354" s="180">
        <f t="shared" ca="1" si="233"/>
        <v>7.5121780502468039E-2</v>
      </c>
      <c r="L354" s="180">
        <f t="shared" ca="1" si="234"/>
        <v>7.4174151393826493E-2</v>
      </c>
      <c r="P354">
        <f t="shared" ref="P354:Z377" ca="1" si="235">_xlfn.NORM.INV(RAND(), $B$12, $B$13)</f>
        <v>-7.6840317012932119E-4</v>
      </c>
      <c r="Q354">
        <f t="shared" ca="1" si="235"/>
        <v>1.7239293540225117E-2</v>
      </c>
      <c r="R354">
        <f t="shared" ca="1" si="235"/>
        <v>2.3741531269155087E-2</v>
      </c>
      <c r="S354">
        <f t="shared" ca="1" si="235"/>
        <v>6.4753698223429246E-3</v>
      </c>
      <c r="T354">
        <f t="shared" ca="1" si="235"/>
        <v>1.4689571618537997E-2</v>
      </c>
      <c r="U354">
        <f t="shared" ca="1" si="235"/>
        <v>8.5252871467479015E-3</v>
      </c>
      <c r="V354">
        <f t="shared" ca="1" si="235"/>
        <v>-1.2006199880571743E-3</v>
      </c>
      <c r="W354">
        <f t="shared" ca="1" si="235"/>
        <v>1.1596118981560684E-2</v>
      </c>
      <c r="X354">
        <f t="shared" ca="1" si="235"/>
        <v>1.7010146769427928E-2</v>
      </c>
      <c r="Y354">
        <f t="shared" ca="1" si="235"/>
        <v>1.0617177099847813E-3</v>
      </c>
      <c r="Z354">
        <f t="shared" ca="1" si="235"/>
        <v>2.0629217928771294E-2</v>
      </c>
    </row>
    <row r="355" spans="2:26" hidden="1">
      <c r="B355" s="180">
        <f>'Inflation-Interest'!G102</f>
        <v>0</v>
      </c>
      <c r="C355" s="180">
        <f t="shared" ca="1" si="225"/>
        <v>6.7563270650046581E-2</v>
      </c>
      <c r="D355" s="180">
        <f t="shared" ca="1" si="226"/>
        <v>5.4312599452777666E-2</v>
      </c>
      <c r="E355" s="180">
        <f t="shared" ca="1" si="227"/>
        <v>9.7902084002652476E-2</v>
      </c>
      <c r="F355" s="180">
        <f t="shared" ca="1" si="228"/>
        <v>0.10234482006932288</v>
      </c>
      <c r="G355" s="180">
        <f t="shared" ca="1" si="229"/>
        <v>5.1478786824381742E-2</v>
      </c>
      <c r="H355" s="180">
        <f t="shared" ca="1" si="230"/>
        <v>8.1640558295396043E-2</v>
      </c>
      <c r="I355" s="180">
        <f t="shared" ca="1" si="231"/>
        <v>6.1040588309405834E-2</v>
      </c>
      <c r="J355" s="180">
        <f t="shared" ca="1" si="232"/>
        <v>4.4644426696100255E-2</v>
      </c>
      <c r="K355" s="180">
        <f t="shared" ca="1" si="233"/>
        <v>0.14902490608145025</v>
      </c>
      <c r="L355" s="180">
        <f t="shared" ca="1" si="234"/>
        <v>9.6933113368506851E-2</v>
      </c>
      <c r="P355">
        <f t="shared" ca="1" si="235"/>
        <v>2.1048339825556421E-2</v>
      </c>
      <c r="Q355">
        <f t="shared" ca="1" si="235"/>
        <v>-4.098985099121653E-3</v>
      </c>
      <c r="R355">
        <f t="shared" ca="1" si="235"/>
        <v>1.0939700629607184E-2</v>
      </c>
      <c r="S355">
        <f t="shared" ca="1" si="235"/>
        <v>3.3384059782783724E-3</v>
      </c>
      <c r="T355">
        <f t="shared" ca="1" si="235"/>
        <v>3.9853643121643439E-2</v>
      </c>
      <c r="U355">
        <f t="shared" ca="1" si="235"/>
        <v>1.9171791318268155E-2</v>
      </c>
      <c r="V355">
        <f t="shared" ca="1" si="235"/>
        <v>1.7612622640918736E-2</v>
      </c>
      <c r="W355">
        <f t="shared" ca="1" si="235"/>
        <v>1.0024639484571671E-2</v>
      </c>
      <c r="X355">
        <f t="shared" ca="1" si="235"/>
        <v>-1.5204685288647471E-2</v>
      </c>
      <c r="Y355">
        <f t="shared" ca="1" si="235"/>
        <v>1.3251974232189616E-2</v>
      </c>
      <c r="Z355">
        <f t="shared" ca="1" si="235"/>
        <v>-5.3777296855709537E-3</v>
      </c>
    </row>
    <row r="356" spans="2:26" hidden="1">
      <c r="B356" s="180">
        <f>'Inflation-Interest'!G103</f>
        <v>0</v>
      </c>
      <c r="C356" s="180">
        <f t="shared" ca="1" si="225"/>
        <v>4.7283470989522985E-2</v>
      </c>
      <c r="D356" s="180">
        <f t="shared" ca="1" si="226"/>
        <v>4.831822437540172E-3</v>
      </c>
      <c r="E356" s="180">
        <f t="shared" ca="1" si="227"/>
        <v>0.10204853446493234</v>
      </c>
      <c r="F356" s="180">
        <f t="shared" ca="1" si="228"/>
        <v>8.816745023400735E-2</v>
      </c>
      <c r="G356" s="180">
        <f t="shared" ca="1" si="229"/>
        <v>0.14180731889370368</v>
      </c>
      <c r="H356" s="180">
        <f t="shared" ca="1" si="230"/>
        <v>0.10304428820772747</v>
      </c>
      <c r="I356" s="180">
        <f t="shared" ca="1" si="231"/>
        <v>0.11392566944351293</v>
      </c>
      <c r="J356" s="180">
        <f t="shared" ca="1" si="232"/>
        <v>0.12295604957755525</v>
      </c>
      <c r="K356" s="180">
        <f t="shared" ca="1" si="233"/>
        <v>0.13087946156658001</v>
      </c>
      <c r="L356" s="180">
        <f t="shared" ca="1" si="234"/>
        <v>5.6516233757113774E-2</v>
      </c>
      <c r="P356">
        <f t="shared" ca="1" si="235"/>
        <v>3.4484819996965753E-2</v>
      </c>
      <c r="Q356">
        <f t="shared" ca="1" si="235"/>
        <v>1.1756400823177606E-3</v>
      </c>
      <c r="R356">
        <f t="shared" ca="1" si="235"/>
        <v>4.6022413705950477E-4</v>
      </c>
      <c r="S356">
        <f t="shared" ca="1" si="235"/>
        <v>1.2576749042544315E-2</v>
      </c>
      <c r="T356">
        <f t="shared" ca="1" si="235"/>
        <v>1.9685424164752614E-2</v>
      </c>
      <c r="U356">
        <f t="shared" ca="1" si="235"/>
        <v>2.0075821347262199E-2</v>
      </c>
      <c r="V356">
        <f t="shared" ca="1" si="235"/>
        <v>-9.3675490804951533E-3</v>
      </c>
      <c r="W356">
        <f t="shared" ca="1" si="235"/>
        <v>2.7195302194343567E-2</v>
      </c>
      <c r="X356">
        <f t="shared" ca="1" si="235"/>
        <v>9.8494011676607592E-3</v>
      </c>
      <c r="Y356">
        <f t="shared" ca="1" si="235"/>
        <v>1.6967900742894663E-2</v>
      </c>
      <c r="Z356">
        <f t="shared" ca="1" si="235"/>
        <v>1.917465790998895E-3</v>
      </c>
    </row>
    <row r="357" spans="2:26" hidden="1">
      <c r="B357" s="180">
        <f>'Inflation-Interest'!G104</f>
        <v>0</v>
      </c>
      <c r="C357" s="180">
        <f t="shared" ca="1" si="225"/>
        <v>9.8213342327734182E-2</v>
      </c>
      <c r="D357" s="180">
        <f t="shared" ca="1" si="226"/>
        <v>5.3070857691143732E-2</v>
      </c>
      <c r="E357" s="180">
        <f t="shared" ca="1" si="227"/>
        <v>0.12284977086703247</v>
      </c>
      <c r="F357" s="180">
        <f t="shared" ca="1" si="228"/>
        <v>9.7229195027694851E-2</v>
      </c>
      <c r="G357" s="180">
        <f t="shared" ca="1" si="229"/>
        <v>8.2677173922581157E-2</v>
      </c>
      <c r="H357" s="180">
        <f t="shared" ca="1" si="230"/>
        <v>9.0447676152809867E-2</v>
      </c>
      <c r="I357" s="180">
        <f t="shared" ca="1" si="231"/>
        <v>0.10692614130734676</v>
      </c>
      <c r="J357" s="180">
        <f t="shared" ca="1" si="232"/>
        <v>0.1132227167366157</v>
      </c>
      <c r="K357" s="180">
        <f t="shared" ca="1" si="233"/>
        <v>9.1221777204721577E-2</v>
      </c>
      <c r="L357" s="180">
        <f t="shared" ca="1" si="234"/>
        <v>9.6414049815469027E-2</v>
      </c>
      <c r="P357">
        <f t="shared" ca="1" si="235"/>
        <v>2.1707653684304162E-2</v>
      </c>
      <c r="Q357">
        <f t="shared" ca="1" si="235"/>
        <v>1.4118802033695095E-2</v>
      </c>
      <c r="R357">
        <f t="shared" ca="1" si="235"/>
        <v>1.8261664221295729E-2</v>
      </c>
      <c r="S357">
        <f t="shared" ca="1" si="235"/>
        <v>2.520920124197577E-3</v>
      </c>
      <c r="T357">
        <f t="shared" ca="1" si="235"/>
        <v>1.9049284241197836E-2</v>
      </c>
      <c r="U357">
        <f t="shared" ca="1" si="235"/>
        <v>9.9215025984633748E-3</v>
      </c>
      <c r="V357">
        <f t="shared" ca="1" si="235"/>
        <v>2.0242838246064418E-2</v>
      </c>
      <c r="W357">
        <f t="shared" ca="1" si="235"/>
        <v>1.5149311595415195E-3</v>
      </c>
      <c r="X357">
        <f t="shared" ca="1" si="235"/>
        <v>7.3930412375281468E-3</v>
      </c>
      <c r="Y357">
        <f t="shared" ca="1" si="235"/>
        <v>1.5398234768372165E-2</v>
      </c>
      <c r="Z357">
        <f t="shared" ca="1" si="235"/>
        <v>1.1304753994129996E-2</v>
      </c>
    </row>
    <row r="358" spans="2:26" hidden="1">
      <c r="B358" s="180">
        <f>'Inflation-Interest'!G105</f>
        <v>0</v>
      </c>
      <c r="C358" s="180">
        <f t="shared" ca="1" si="225"/>
        <v>9.4282106984098182E-2</v>
      </c>
      <c r="D358" s="180">
        <f t="shared" ca="1" si="226"/>
        <v>0.10824263887128471</v>
      </c>
      <c r="E358" s="180">
        <f t="shared" ca="1" si="227"/>
        <v>0.10949780982247656</v>
      </c>
      <c r="F358" s="180">
        <f t="shared" ca="1" si="228"/>
        <v>8.2563551145278871E-2</v>
      </c>
      <c r="G358" s="180">
        <f t="shared" ca="1" si="229"/>
        <v>9.7296235510721071E-2</v>
      </c>
      <c r="H358" s="180">
        <f t="shared" ca="1" si="230"/>
        <v>0.12499677653019374</v>
      </c>
      <c r="I358" s="180">
        <f t="shared" ca="1" si="231"/>
        <v>4.8095168157587492E-2</v>
      </c>
      <c r="J358" s="180">
        <f t="shared" ca="1" si="232"/>
        <v>0.13594080079029236</v>
      </c>
      <c r="K358" s="180">
        <f t="shared" ca="1" si="233"/>
        <v>5.6296595491807579E-2</v>
      </c>
      <c r="L358" s="180">
        <f t="shared" ca="1" si="234"/>
        <v>9.1343741901737663E-2</v>
      </c>
      <c r="P358">
        <f t="shared" ca="1" si="235"/>
        <v>1.6792411666048494E-4</v>
      </c>
      <c r="Q358">
        <f t="shared" ca="1" si="235"/>
        <v>6.0604034574432593E-4</v>
      </c>
      <c r="R358">
        <f t="shared" ca="1" si="235"/>
        <v>2.6441725393219664E-2</v>
      </c>
      <c r="S358">
        <f t="shared" ca="1" si="235"/>
        <v>1.0229031686013879E-2</v>
      </c>
      <c r="T358">
        <f t="shared" ca="1" si="235"/>
        <v>9.7280535477572306E-3</v>
      </c>
      <c r="U358">
        <f t="shared" ca="1" si="235"/>
        <v>2.3491686055092508E-3</v>
      </c>
      <c r="V358">
        <f t="shared" ca="1" si="235"/>
        <v>2.0790020792522384E-3</v>
      </c>
      <c r="W358">
        <f t="shared" ca="1" si="235"/>
        <v>7.2117064822409599E-3</v>
      </c>
      <c r="X358">
        <f t="shared" ca="1" si="235"/>
        <v>2.4213058429440208E-2</v>
      </c>
      <c r="Y358">
        <f t="shared" ca="1" si="235"/>
        <v>1.3592026990673292E-2</v>
      </c>
      <c r="Z358">
        <f t="shared" ca="1" si="235"/>
        <v>2.0834606873304927E-2</v>
      </c>
    </row>
    <row r="359" spans="2:26" hidden="1">
      <c r="B359" s="180">
        <f>'Inflation-Interest'!G106</f>
        <v>0</v>
      </c>
      <c r="C359" s="180">
        <f t="shared" ca="1" si="225"/>
        <v>2.4631755522395125E-2</v>
      </c>
      <c r="D359" s="180">
        <f t="shared" ca="1" si="226"/>
        <v>6.6638321949340357E-2</v>
      </c>
      <c r="E359" s="180">
        <f t="shared" ca="1" si="227"/>
        <v>8.2961532670306176E-2</v>
      </c>
      <c r="F359" s="180">
        <f t="shared" ca="1" si="228"/>
        <v>1.3109242561305478E-2</v>
      </c>
      <c r="G359" s="180">
        <f t="shared" ca="1" si="229"/>
        <v>2.0968636021044918E-2</v>
      </c>
      <c r="H359" s="180">
        <f t="shared" ca="1" si="230"/>
        <v>1.6101056129439635E-2</v>
      </c>
      <c r="I359" s="180">
        <f t="shared" ca="1" si="231"/>
        <v>4.9572274997335269E-3</v>
      </c>
      <c r="J359" s="180">
        <f t="shared" ca="1" si="232"/>
        <v>5.7991182792146483E-2</v>
      </c>
      <c r="K359" s="180">
        <f t="shared" ca="1" si="233"/>
        <v>4.8715856645778488E-2</v>
      </c>
      <c r="L359" s="180">
        <f t="shared" ca="1" si="234"/>
        <v>-2.5999061838328522E-2</v>
      </c>
      <c r="P359">
        <f t="shared" ca="1" si="235"/>
        <v>3.4384698643041528E-2</v>
      </c>
      <c r="Q359">
        <f t="shared" ca="1" si="235"/>
        <v>8.4980493687683793E-3</v>
      </c>
      <c r="R359">
        <f t="shared" ca="1" si="235"/>
        <v>7.6117119783734449E-3</v>
      </c>
      <c r="S359">
        <f t="shared" ca="1" si="235"/>
        <v>2.3601804147531671E-2</v>
      </c>
      <c r="T359">
        <f t="shared" ca="1" si="235"/>
        <v>4.8016766696422387E-3</v>
      </c>
      <c r="U359">
        <f t="shared" ca="1" si="235"/>
        <v>2.6314536046121814E-2</v>
      </c>
      <c r="V359">
        <f t="shared" ca="1" si="235"/>
        <v>1.4371240427217293E-2</v>
      </c>
      <c r="W359">
        <f t="shared" ca="1" si="235"/>
        <v>1.0609534244555706E-2</v>
      </c>
      <c r="X359">
        <f t="shared" ca="1" si="235"/>
        <v>6.4626113991590505E-3</v>
      </c>
      <c r="Y359">
        <f t="shared" ca="1" si="235"/>
        <v>2.8488468302625553E-3</v>
      </c>
      <c r="Z359">
        <f t="shared" ca="1" si="235"/>
        <v>3.292529529692138E-3</v>
      </c>
    </row>
    <row r="360" spans="2:26" hidden="1">
      <c r="B360" s="180">
        <f>'Inflation-Interest'!G107</f>
        <v>0</v>
      </c>
      <c r="C360" s="180">
        <f t="shared" ca="1" si="225"/>
        <v>8.0848796377673476E-2</v>
      </c>
      <c r="D360" s="180">
        <f t="shared" ca="1" si="226"/>
        <v>7.8352914953752073E-2</v>
      </c>
      <c r="E360" s="180">
        <f t="shared" ca="1" si="227"/>
        <v>0.11076778393658554</v>
      </c>
      <c r="F360" s="180">
        <f t="shared" ca="1" si="228"/>
        <v>0.1226754861497399</v>
      </c>
      <c r="G360" s="180">
        <f t="shared" ca="1" si="229"/>
        <v>5.2638464295831251E-2</v>
      </c>
      <c r="H360" s="180">
        <f t="shared" ca="1" si="230"/>
        <v>2.7617218822921147E-2</v>
      </c>
      <c r="I360" s="180">
        <f t="shared" ca="1" si="231"/>
        <v>0.10274415492922404</v>
      </c>
      <c r="J360" s="180">
        <f t="shared" ca="1" si="232"/>
        <v>0.12403572743735843</v>
      </c>
      <c r="K360" s="180">
        <f t="shared" ca="1" si="233"/>
        <v>9.9544483341850648E-2</v>
      </c>
      <c r="L360" s="180">
        <f t="shared" ca="1" si="234"/>
        <v>7.7862358002712156E-2</v>
      </c>
      <c r="P360">
        <f t="shared" ca="1" si="235"/>
        <v>8.5870819355709505E-3</v>
      </c>
      <c r="Q360">
        <f t="shared" ca="1" si="235"/>
        <v>8.4994436044091033E-3</v>
      </c>
      <c r="R360">
        <f t="shared" ca="1" si="235"/>
        <v>1.7960114957178641E-2</v>
      </c>
      <c r="S360">
        <f t="shared" ca="1" si="235"/>
        <v>9.7234212699218656E-3</v>
      </c>
      <c r="T360">
        <f t="shared" ca="1" si="235"/>
        <v>1.8010412453014268E-2</v>
      </c>
      <c r="U360">
        <f t="shared" ca="1" si="235"/>
        <v>-8.8398786406317497E-3</v>
      </c>
      <c r="V360">
        <f t="shared" ca="1" si="235"/>
        <v>-8.6218314764362949E-3</v>
      </c>
      <c r="W360">
        <f t="shared" ca="1" si="235"/>
        <v>-1.1870796733974859E-3</v>
      </c>
      <c r="X360">
        <f t="shared" ca="1" si="235"/>
        <v>1.3688716496369064E-2</v>
      </c>
      <c r="Y360">
        <f t="shared" ca="1" si="235"/>
        <v>2.1263392508262854E-2</v>
      </c>
      <c r="Z360">
        <f t="shared" ca="1" si="235"/>
        <v>-1.8762112026105802E-3</v>
      </c>
    </row>
    <row r="361" spans="2:26" hidden="1">
      <c r="B361" s="180">
        <f>'Inflation-Interest'!G108</f>
        <v>0</v>
      </c>
      <c r="C361" s="180">
        <f t="shared" ca="1" si="225"/>
        <v>2.6082367350315022E-2</v>
      </c>
      <c r="D361" s="180">
        <f t="shared" ca="1" si="226"/>
        <v>6.6165185386305753E-2</v>
      </c>
      <c r="E361" s="180">
        <f t="shared" ca="1" si="227"/>
        <v>2.3641547695562384E-2</v>
      </c>
      <c r="F361" s="180">
        <f t="shared" ca="1" si="228"/>
        <v>-1.8575129309248074E-2</v>
      </c>
      <c r="G361" s="180">
        <f t="shared" ca="1" si="229"/>
        <v>8.7516608588320707E-2</v>
      </c>
      <c r="H361" s="180">
        <f t="shared" ca="1" si="230"/>
        <v>2.4842875451661965E-2</v>
      </c>
      <c r="I361" s="180">
        <f t="shared" ca="1" si="231"/>
        <v>5.2358976193635873E-2</v>
      </c>
      <c r="J361" s="180">
        <f t="shared" ca="1" si="232"/>
        <v>7.3803192284367269E-2</v>
      </c>
      <c r="K361" s="180">
        <f t="shared" ca="1" si="233"/>
        <v>5.9283104203820033E-2</v>
      </c>
      <c r="L361" s="180">
        <f t="shared" ca="1" si="234"/>
        <v>2.7342973267251821E-2</v>
      </c>
      <c r="P361">
        <f t="shared" ca="1" si="235"/>
        <v>1.5396233566165523E-2</v>
      </c>
      <c r="Q361">
        <f t="shared" ca="1" si="235"/>
        <v>-4.0812467108780164E-3</v>
      </c>
      <c r="R361">
        <f t="shared" ca="1" si="235"/>
        <v>1.5231585631350308E-2</v>
      </c>
      <c r="S361">
        <f t="shared" ca="1" si="235"/>
        <v>5.1895064964877008E-3</v>
      </c>
      <c r="T361">
        <f t="shared" ca="1" si="235"/>
        <v>-2.3005994015535679E-2</v>
      </c>
      <c r="U361">
        <f t="shared" ca="1" si="235"/>
        <v>1.1540050712401431E-2</v>
      </c>
      <c r="V361">
        <f t="shared" ca="1" si="235"/>
        <v>-9.3446560304792248E-3</v>
      </c>
      <c r="W361">
        <f t="shared" ca="1" si="235"/>
        <v>2.2089848074000017E-2</v>
      </c>
      <c r="X361">
        <f t="shared" ca="1" si="235"/>
        <v>2.1415634050758227E-2</v>
      </c>
      <c r="Y361">
        <f t="shared" ca="1" si="235"/>
        <v>1.3982608073162366E-2</v>
      </c>
      <c r="Z361">
        <f t="shared" ca="1" si="235"/>
        <v>2.704742318484691E-2</v>
      </c>
    </row>
    <row r="362" spans="2:26" hidden="1">
      <c r="B362" s="180">
        <f>'Inflation-Interest'!G109</f>
        <v>0</v>
      </c>
      <c r="C362" s="180">
        <f t="shared" ca="1" si="225"/>
        <v>1.1605259667148352E-2</v>
      </c>
      <c r="D362" s="180">
        <f t="shared" ca="1" si="226"/>
        <v>0.12818821945787601</v>
      </c>
      <c r="E362" s="180">
        <f t="shared" ca="1" si="227"/>
        <v>6.885906544120067E-2</v>
      </c>
      <c r="F362" s="180">
        <f t="shared" ca="1" si="228"/>
        <v>5.0946969578633351E-2</v>
      </c>
      <c r="G362" s="180">
        <f t="shared" ca="1" si="229"/>
        <v>8.6471104725935694E-2</v>
      </c>
      <c r="H362" s="180">
        <f t="shared" ca="1" si="230"/>
        <v>7.5907889206031809E-2</v>
      </c>
      <c r="I362" s="180">
        <f t="shared" ca="1" si="231"/>
        <v>0.10508870268832066</v>
      </c>
      <c r="J362" s="180">
        <f t="shared" ca="1" si="232"/>
        <v>0.12921209124904764</v>
      </c>
      <c r="K362" s="180">
        <f t="shared" ca="1" si="233"/>
        <v>0.15955190229076446</v>
      </c>
      <c r="L362" s="180">
        <f t="shared" ca="1" si="234"/>
        <v>0.10084498909824305</v>
      </c>
      <c r="P362">
        <f t="shared" ca="1" si="235"/>
        <v>3.3347143667326058E-2</v>
      </c>
      <c r="Q362">
        <f t="shared" ca="1" si="235"/>
        <v>-1.8354016477557279E-4</v>
      </c>
      <c r="R362">
        <f t="shared" ca="1" si="235"/>
        <v>3.3752269372954537E-2</v>
      </c>
      <c r="S362">
        <f t="shared" ca="1" si="235"/>
        <v>6.7951402109042037E-3</v>
      </c>
      <c r="T362">
        <f t="shared" ca="1" si="235"/>
        <v>6.3452323566652608E-3</v>
      </c>
      <c r="U362">
        <f t="shared" ca="1" si="235"/>
        <v>3.0509192877933005E-3</v>
      </c>
      <c r="V362">
        <f t="shared" ca="1" si="235"/>
        <v>1.2833829335880063E-2</v>
      </c>
      <c r="W362">
        <f t="shared" ca="1" si="235"/>
        <v>1.3910744656352142E-2</v>
      </c>
      <c r="X362">
        <f t="shared" ca="1" si="235"/>
        <v>1.1268611283203472E-2</v>
      </c>
      <c r="Y362">
        <f t="shared" ca="1" si="235"/>
        <v>1.3760151542095773E-2</v>
      </c>
      <c r="Z362">
        <f t="shared" ca="1" si="235"/>
        <v>3.4781827723913659E-3</v>
      </c>
    </row>
    <row r="363" spans="2:26" hidden="1">
      <c r="B363" s="180">
        <f>'Inflation-Interest'!G110</f>
        <v>0</v>
      </c>
      <c r="C363" s="180">
        <f t="shared" ca="1" si="225"/>
        <v>0.11309067528060497</v>
      </c>
      <c r="D363" s="180">
        <f t="shared" ca="1" si="226"/>
        <v>-4.1124439525046935E-2</v>
      </c>
      <c r="E363" s="180">
        <f t="shared" ca="1" si="227"/>
        <v>0.12386435323610337</v>
      </c>
      <c r="F363" s="180">
        <f t="shared" ca="1" si="228"/>
        <v>5.8224470589349694E-2</v>
      </c>
      <c r="G363" s="180">
        <f t="shared" ca="1" si="229"/>
        <v>9.1398657589007753E-2</v>
      </c>
      <c r="H363" s="180">
        <f t="shared" ca="1" si="230"/>
        <v>8.8572323964758934E-2</v>
      </c>
      <c r="I363" s="180">
        <f t="shared" ca="1" si="231"/>
        <v>7.5058816199471065E-2</v>
      </c>
      <c r="J363" s="180">
        <f t="shared" ca="1" si="232"/>
        <v>5.2459828151124939E-2</v>
      </c>
      <c r="K363" s="180">
        <f t="shared" ca="1" si="233"/>
        <v>0.10320525987227913</v>
      </c>
      <c r="L363" s="180">
        <f t="shared" ca="1" si="234"/>
        <v>6.5856165720468762E-2</v>
      </c>
      <c r="P363">
        <f t="shared" ca="1" si="235"/>
        <v>-1.7668208872760882E-3</v>
      </c>
      <c r="Q363">
        <f t="shared" ca="1" si="235"/>
        <v>1.9261782106523826E-2</v>
      </c>
      <c r="R363">
        <f t="shared" ca="1" si="235"/>
        <v>3.1770143928904447E-3</v>
      </c>
      <c r="S363">
        <f t="shared" ca="1" si="235"/>
        <v>1.9944070957840045E-2</v>
      </c>
      <c r="T363">
        <f t="shared" ca="1" si="235"/>
        <v>2.4584559349163509E-2</v>
      </c>
      <c r="U363">
        <f t="shared" ca="1" si="235"/>
        <v>1.8310264630443503E-2</v>
      </c>
      <c r="V363">
        <f t="shared" ca="1" si="235"/>
        <v>1.7780910726710484E-2</v>
      </c>
      <c r="W363">
        <f t="shared" ca="1" si="235"/>
        <v>1.9196634190900824E-3</v>
      </c>
      <c r="X363">
        <f t="shared" ca="1" si="235"/>
        <v>-1.8799888890024038E-3</v>
      </c>
      <c r="Y363">
        <f t="shared" ca="1" si="235"/>
        <v>1.8242535504638998E-2</v>
      </c>
      <c r="Z363">
        <f t="shared" ca="1" si="235"/>
        <v>1.716646437618239E-2</v>
      </c>
    </row>
    <row r="364" spans="2:26" hidden="1">
      <c r="B364" s="180">
        <f>'Inflation-Interest'!G111</f>
        <v>0</v>
      </c>
      <c r="C364" s="180">
        <f t="shared" ca="1" si="225"/>
        <v>6.3719575037659335E-2</v>
      </c>
      <c r="D364" s="180">
        <f t="shared" ca="1" si="226"/>
        <v>0.12038167839865128</v>
      </c>
      <c r="E364" s="180">
        <f t="shared" ca="1" si="227"/>
        <v>9.1916171037123129E-2</v>
      </c>
      <c r="F364" s="180">
        <f t="shared" ca="1" si="228"/>
        <v>3.1904056723853588E-2</v>
      </c>
      <c r="G364" s="180">
        <f t="shared" ca="1" si="229"/>
        <v>2.1894777382634852E-2</v>
      </c>
      <c r="H364" s="180">
        <f t="shared" ca="1" si="230"/>
        <v>8.8788600517001465E-3</v>
      </c>
      <c r="I364" s="180">
        <f t="shared" ca="1" si="231"/>
        <v>6.1860936345845954E-2</v>
      </c>
      <c r="J364" s="180">
        <f t="shared" ca="1" si="232"/>
        <v>-8.655556471980401E-3</v>
      </c>
      <c r="K364" s="180">
        <f t="shared" ca="1" si="233"/>
        <v>4.761166795939592E-2</v>
      </c>
      <c r="L364" s="180">
        <f t="shared" ca="1" si="234"/>
        <v>7.0455420213336423E-2</v>
      </c>
      <c r="P364">
        <f t="shared" ca="1" si="235"/>
        <v>6.6323355382483301E-3</v>
      </c>
      <c r="Q364">
        <f t="shared" ca="1" si="235"/>
        <v>3.7029283894424577E-3</v>
      </c>
      <c r="R364">
        <f t="shared" ca="1" si="235"/>
        <v>1.430623370177599E-2</v>
      </c>
      <c r="S364">
        <f t="shared" ca="1" si="235"/>
        <v>8.8490861218682437E-3</v>
      </c>
      <c r="T364">
        <f t="shared" ca="1" si="235"/>
        <v>7.2454342915886771E-3</v>
      </c>
      <c r="U364">
        <f t="shared" ca="1" si="235"/>
        <v>4.701749361157124E-3</v>
      </c>
      <c r="V364">
        <f t="shared" ca="1" si="235"/>
        <v>8.0613804356365754E-3</v>
      </c>
      <c r="W364">
        <f t="shared" ca="1" si="235"/>
        <v>9.621723514403744E-3</v>
      </c>
      <c r="X364">
        <f t="shared" ca="1" si="235"/>
        <v>2.8128820497886398E-2</v>
      </c>
      <c r="Y364">
        <f t="shared" ca="1" si="235"/>
        <v>6.6649346877028677E-3</v>
      </c>
      <c r="Z364">
        <f t="shared" ca="1" si="235"/>
        <v>1.6633887566738441E-2</v>
      </c>
    </row>
    <row r="365" spans="2:26" hidden="1">
      <c r="B365" s="180">
        <f>'Inflation-Interest'!G112</f>
        <v>0</v>
      </c>
      <c r="C365" s="180">
        <f t="shared" ca="1" si="225"/>
        <v>6.0797018654389676E-2</v>
      </c>
      <c r="D365" s="180">
        <f t="shared" ca="1" si="226"/>
        <v>1.5670131144806615E-2</v>
      </c>
      <c r="E365" s="180">
        <f t="shared" ca="1" si="227"/>
        <v>0.11134365639433952</v>
      </c>
      <c r="F365" s="180">
        <f t="shared" ca="1" si="228"/>
        <v>7.0594771845742754E-2</v>
      </c>
      <c r="G365" s="180">
        <f t="shared" ca="1" si="229"/>
        <v>5.4025441164285225E-2</v>
      </c>
      <c r="H365" s="180">
        <f t="shared" ca="1" si="230"/>
        <v>6.7166174515438909E-2</v>
      </c>
      <c r="I365" s="180">
        <f t="shared" ca="1" si="231"/>
        <v>1.6833819027847552E-3</v>
      </c>
      <c r="J365" s="180">
        <f t="shared" ca="1" si="232"/>
        <v>0.11899075758311943</v>
      </c>
      <c r="K365" s="180">
        <f t="shared" ca="1" si="233"/>
        <v>2.8921396311146069E-2</v>
      </c>
      <c r="L365" s="180">
        <f t="shared" ca="1" si="234"/>
        <v>1.312293420304521E-2</v>
      </c>
      <c r="P365">
        <f t="shared" ca="1" si="235"/>
        <v>1.0686033168914037E-2</v>
      </c>
      <c r="Q365">
        <f t="shared" ca="1" si="235"/>
        <v>1.9212122420146624E-2</v>
      </c>
      <c r="R365">
        <f t="shared" ca="1" si="235"/>
        <v>1.1444915905979007E-2</v>
      </c>
      <c r="S365">
        <f t="shared" ca="1" si="235"/>
        <v>2.7807672688711808E-2</v>
      </c>
      <c r="T365">
        <f t="shared" ca="1" si="235"/>
        <v>1.9947965594295014E-2</v>
      </c>
      <c r="U365">
        <f t="shared" ca="1" si="235"/>
        <v>2.0229894915203599E-2</v>
      </c>
      <c r="V365">
        <f t="shared" ca="1" si="235"/>
        <v>2.4330751593513347E-2</v>
      </c>
      <c r="W365">
        <f t="shared" ca="1" si="235"/>
        <v>-4.6439455637417703E-3</v>
      </c>
      <c r="X365">
        <f t="shared" ca="1" si="235"/>
        <v>1.6839482686724892E-2</v>
      </c>
      <c r="Y365">
        <f t="shared" ca="1" si="235"/>
        <v>1.4141607798264996E-2</v>
      </c>
      <c r="Z365">
        <f t="shared" ca="1" si="235"/>
        <v>4.394839893812879E-4</v>
      </c>
    </row>
    <row r="366" spans="2:26" hidden="1">
      <c r="B366" s="180">
        <f>'Inflation-Interest'!G113</f>
        <v>0</v>
      </c>
      <c r="C366" s="180">
        <f t="shared" ca="1" si="225"/>
        <v>0.13928456339976639</v>
      </c>
      <c r="D366" s="180">
        <f t="shared" ca="1" si="226"/>
        <v>8.3932803442880219E-2</v>
      </c>
      <c r="E366" s="180">
        <f t="shared" ca="1" si="227"/>
        <v>9.8954689192550238E-2</v>
      </c>
      <c r="F366" s="180">
        <f t="shared" ca="1" si="228"/>
        <v>0.15023748877019244</v>
      </c>
      <c r="G366" s="180">
        <f t="shared" ca="1" si="229"/>
        <v>5.6532511743091797E-2</v>
      </c>
      <c r="H366" s="180">
        <f t="shared" ca="1" si="230"/>
        <v>0.12208594928005705</v>
      </c>
      <c r="I366" s="180">
        <f t="shared" ca="1" si="231"/>
        <v>0.10769318979439366</v>
      </c>
      <c r="J366" s="180">
        <f t="shared" ca="1" si="232"/>
        <v>6.1347350328443004E-2</v>
      </c>
      <c r="K366" s="180">
        <f t="shared" ca="1" si="233"/>
        <v>9.8648591263887045E-2</v>
      </c>
      <c r="L366" s="180">
        <f t="shared" ca="1" si="234"/>
        <v>8.6597651790722041E-2</v>
      </c>
      <c r="P366">
        <f t="shared" ca="1" si="235"/>
        <v>1.5835933268793619E-2</v>
      </c>
      <c r="Q366">
        <f t="shared" ca="1" si="235"/>
        <v>2.2388305525478956E-2</v>
      </c>
      <c r="R366">
        <f t="shared" ca="1" si="235"/>
        <v>1.4106138936580068E-2</v>
      </c>
      <c r="S366">
        <f t="shared" ca="1" si="235"/>
        <v>3.4398084467851094E-2</v>
      </c>
      <c r="T366">
        <f t="shared" ca="1" si="235"/>
        <v>2.8082833810372597E-2</v>
      </c>
      <c r="U366">
        <f t="shared" ca="1" si="235"/>
        <v>3.3964672761735218E-2</v>
      </c>
      <c r="V366">
        <f t="shared" ca="1" si="235"/>
        <v>-3.6664632532045667E-3</v>
      </c>
      <c r="W366">
        <f t="shared" ca="1" si="235"/>
        <v>-7.659094716988054E-4</v>
      </c>
      <c r="X366">
        <f t="shared" ca="1" si="235"/>
        <v>-1.990672242062173E-3</v>
      </c>
      <c r="Y366">
        <f t="shared" ca="1" si="235"/>
        <v>-2.4447407098611984E-3</v>
      </c>
      <c r="Z366">
        <f t="shared" ca="1" si="235"/>
        <v>7.366196270671979E-3</v>
      </c>
    </row>
    <row r="367" spans="2:26" hidden="1">
      <c r="B367" s="180">
        <f>'Inflation-Interest'!G114</f>
        <v>0</v>
      </c>
      <c r="C367" s="180">
        <f t="shared" ca="1" si="225"/>
        <v>5.4583383587868066E-2</v>
      </c>
      <c r="D367" s="180">
        <f t="shared" ca="1" si="226"/>
        <v>5.3174385331813047E-2</v>
      </c>
      <c r="E367" s="180">
        <f t="shared" ca="1" si="227"/>
        <v>4.6966864036226137E-2</v>
      </c>
      <c r="F367" s="180">
        <f t="shared" ca="1" si="228"/>
        <v>9.4571959429041619E-2</v>
      </c>
      <c r="G367" s="180">
        <f t="shared" ca="1" si="229"/>
        <v>5.0688046524620056E-2</v>
      </c>
      <c r="H367" s="180">
        <f t="shared" ca="1" si="230"/>
        <v>2.1710210352359531E-2</v>
      </c>
      <c r="I367" s="180">
        <f t="shared" ca="1" si="231"/>
        <v>6.5554610967401269E-2</v>
      </c>
      <c r="J367" s="180">
        <f t="shared" ca="1" si="232"/>
        <v>4.7366583886882085E-2</v>
      </c>
      <c r="K367" s="180">
        <f t="shared" ca="1" si="233"/>
        <v>6.3750085633806922E-2</v>
      </c>
      <c r="L367" s="180">
        <f t="shared" ca="1" si="234"/>
        <v>6.1207397057703956E-2</v>
      </c>
      <c r="P367">
        <f t="shared" ca="1" si="235"/>
        <v>1.9702914838465244E-3</v>
      </c>
      <c r="Q367">
        <f t="shared" ca="1" si="235"/>
        <v>1.5079524740571858E-2</v>
      </c>
      <c r="R367">
        <f t="shared" ca="1" si="235"/>
        <v>5.0749235437705124E-3</v>
      </c>
      <c r="S367">
        <f t="shared" ca="1" si="235"/>
        <v>-6.8326602598090033E-3</v>
      </c>
      <c r="T367">
        <f t="shared" ca="1" si="235"/>
        <v>2.9773999067758287E-2</v>
      </c>
      <c r="U367">
        <f t="shared" ca="1" si="235"/>
        <v>7.5828981661770194E-3</v>
      </c>
      <c r="V367">
        <f t="shared" ca="1" si="235"/>
        <v>1.131878625187515E-2</v>
      </c>
      <c r="W367">
        <f t="shared" ca="1" si="235"/>
        <v>1.4843324245702737E-2</v>
      </c>
      <c r="X367">
        <f t="shared" ca="1" si="235"/>
        <v>1.5440127699882355E-2</v>
      </c>
      <c r="Y367">
        <f t="shared" ca="1" si="235"/>
        <v>2.0463841881682533E-2</v>
      </c>
      <c r="Z367">
        <f t="shared" ca="1" si="235"/>
        <v>5.8743888473756839E-3</v>
      </c>
    </row>
    <row r="368" spans="2:26" hidden="1">
      <c r="B368" s="180">
        <f>'Inflation-Interest'!G115</f>
        <v>0</v>
      </c>
      <c r="C368" s="180">
        <f t="shared" ca="1" si="225"/>
        <v>7.62257511227344E-2</v>
      </c>
      <c r="D368" s="180">
        <f t="shared" ca="1" si="226"/>
        <v>8.7336077892023245E-2</v>
      </c>
      <c r="E368" s="180">
        <f t="shared" ca="1" si="227"/>
        <v>0.10544992080806832</v>
      </c>
      <c r="F368" s="180">
        <f t="shared" ca="1" si="228"/>
        <v>0.10999519591708522</v>
      </c>
      <c r="G368" s="180">
        <f t="shared" ca="1" si="229"/>
        <v>0.11009327890676721</v>
      </c>
      <c r="H368" s="180">
        <f t="shared" ca="1" si="230"/>
        <v>6.3369057827587699E-2</v>
      </c>
      <c r="I368" s="180">
        <f t="shared" ca="1" si="231"/>
        <v>0.15649468425592844</v>
      </c>
      <c r="J368" s="180">
        <f t="shared" ca="1" si="232"/>
        <v>0.13376023043048513</v>
      </c>
      <c r="K368" s="180">
        <f t="shared" ca="1" si="233"/>
        <v>5.4519772450401842E-2</v>
      </c>
      <c r="L368" s="180">
        <f t="shared" ca="1" si="234"/>
        <v>0.12670202730592425</v>
      </c>
      <c r="P368">
        <f t="shared" ca="1" si="235"/>
        <v>2.2198388486328754E-2</v>
      </c>
      <c r="Q368">
        <f t="shared" ca="1" si="235"/>
        <v>1.7577770641300616E-2</v>
      </c>
      <c r="R368">
        <f t="shared" ca="1" si="235"/>
        <v>8.6431472434848212E-3</v>
      </c>
      <c r="S368">
        <f t="shared" ca="1" si="235"/>
        <v>1.8718856440497159E-2</v>
      </c>
      <c r="T368">
        <f t="shared" ca="1" si="235"/>
        <v>1.7490363985729115E-2</v>
      </c>
      <c r="U368">
        <f t="shared" ca="1" si="235"/>
        <v>4.2263858132583952E-2</v>
      </c>
      <c r="V368">
        <f t="shared" ca="1" si="235"/>
        <v>4.1740038505352645E-3</v>
      </c>
      <c r="W368">
        <f t="shared" ca="1" si="235"/>
        <v>2.019139056014508E-2</v>
      </c>
      <c r="X368">
        <f t="shared" ca="1" si="235"/>
        <v>2.2206678200980587E-2</v>
      </c>
      <c r="Y368">
        <f t="shared" ca="1" si="235"/>
        <v>-1.0800029087710638E-2</v>
      </c>
      <c r="Z368">
        <f t="shared" ca="1" si="235"/>
        <v>2.0198584848514098E-2</v>
      </c>
    </row>
    <row r="369" spans="2:26" hidden="1">
      <c r="B369" s="180">
        <f>'Inflation-Interest'!G116</f>
        <v>0</v>
      </c>
      <c r="C369" s="180">
        <f t="shared" ca="1" si="225"/>
        <v>6.4723603645566563E-2</v>
      </c>
      <c r="D369" s="180">
        <f t="shared" ca="1" si="226"/>
        <v>9.7381072007358294E-2</v>
      </c>
      <c r="E369" s="180">
        <f t="shared" ca="1" si="227"/>
        <v>5.9136422976881903E-2</v>
      </c>
      <c r="F369" s="180">
        <f t="shared" ca="1" si="228"/>
        <v>-4.1192720823575155E-2</v>
      </c>
      <c r="G369" s="180">
        <f t="shared" ca="1" si="229"/>
        <v>3.4158040287183694E-3</v>
      </c>
      <c r="H369" s="180">
        <f t="shared" ca="1" si="230"/>
        <v>3.7189276731493651E-2</v>
      </c>
      <c r="I369" s="180">
        <f t="shared" ca="1" si="231"/>
        <v>2.6997836219095593E-2</v>
      </c>
      <c r="J369" s="180">
        <f t="shared" ca="1" si="232"/>
        <v>4.6005059031161817E-2</v>
      </c>
      <c r="K369" s="180">
        <f t="shared" ca="1" si="233"/>
        <v>4.4188885562283654E-2</v>
      </c>
      <c r="L369" s="180">
        <f t="shared" ca="1" si="234"/>
        <v>4.6962576613103948E-2</v>
      </c>
      <c r="P369">
        <f t="shared" ca="1" si="235"/>
        <v>1.8720901963517236E-2</v>
      </c>
      <c r="Q369">
        <f t="shared" ca="1" si="235"/>
        <v>-1.9273874872689667E-2</v>
      </c>
      <c r="R369">
        <f t="shared" ca="1" si="235"/>
        <v>-1.0542562431343667E-3</v>
      </c>
      <c r="S369">
        <f t="shared" ca="1" si="235"/>
        <v>1.6071975931931354E-2</v>
      </c>
      <c r="T369">
        <f t="shared" ca="1" si="235"/>
        <v>3.9088355917229244E-3</v>
      </c>
      <c r="U369">
        <f t="shared" ca="1" si="235"/>
        <v>1.3303046192262087E-2</v>
      </c>
      <c r="V369">
        <f t="shared" ca="1" si="235"/>
        <v>-4.4170063442691195E-3</v>
      </c>
      <c r="W369">
        <f t="shared" ca="1" si="235"/>
        <v>2.1481697594316999E-2</v>
      </c>
      <c r="X369">
        <f t="shared" ca="1" si="235"/>
        <v>2.8291773013828188E-2</v>
      </c>
      <c r="Y369">
        <f t="shared" ca="1" si="235"/>
        <v>1.3432393990495237E-2</v>
      </c>
      <c r="Z369">
        <f t="shared" ca="1" si="235"/>
        <v>1.3652262814161303E-2</v>
      </c>
    </row>
    <row r="370" spans="2:26" hidden="1">
      <c r="B370" s="180">
        <f>'Inflation-Interest'!G117</f>
        <v>0</v>
      </c>
      <c r="C370" s="180">
        <f t="shared" ca="1" si="225"/>
        <v>3.2123663766603756E-2</v>
      </c>
      <c r="D370" s="180">
        <f t="shared" ca="1" si="226"/>
        <v>7.0824758431887028E-2</v>
      </c>
      <c r="E370" s="180">
        <f t="shared" ca="1" si="227"/>
        <v>7.2800368799212839E-2</v>
      </c>
      <c r="F370" s="180">
        <f t="shared" ca="1" si="228"/>
        <v>9.3826864632107182E-2</v>
      </c>
      <c r="G370" s="180">
        <f t="shared" ca="1" si="229"/>
        <v>8.3598066537644872E-2</v>
      </c>
      <c r="H370" s="180">
        <f t="shared" ca="1" si="230"/>
        <v>0.1219763252763181</v>
      </c>
      <c r="I370" s="180">
        <f t="shared" ca="1" si="231"/>
        <v>8.2781368268775399E-2</v>
      </c>
      <c r="J370" s="180">
        <f t="shared" ca="1" si="232"/>
        <v>8.2224434286799986E-2</v>
      </c>
      <c r="K370" s="180">
        <f t="shared" ca="1" si="233"/>
        <v>8.9333627372055899E-2</v>
      </c>
      <c r="L370" s="180">
        <f t="shared" ca="1" si="234"/>
        <v>8.3823564018168303E-2</v>
      </c>
      <c r="P370">
        <f t="shared" ca="1" si="235"/>
        <v>1.7663437363678657E-2</v>
      </c>
      <c r="Q370">
        <f t="shared" ca="1" si="235"/>
        <v>1.0070799891026577E-2</v>
      </c>
      <c r="R370">
        <f t="shared" ca="1" si="235"/>
        <v>1.5552726780181662E-2</v>
      </c>
      <c r="S370">
        <f t="shared" ca="1" si="235"/>
        <v>6.7332231331974418E-3</v>
      </c>
      <c r="T370">
        <f t="shared" ca="1" si="235"/>
        <v>2.7326552182596414E-2</v>
      </c>
      <c r="U370">
        <f t="shared" ca="1" si="235"/>
        <v>2.2314182666058249E-3</v>
      </c>
      <c r="V370">
        <f t="shared" ca="1" si="235"/>
        <v>1.8820377481480209E-2</v>
      </c>
      <c r="W370">
        <f t="shared" ca="1" si="235"/>
        <v>5.3134822278114256E-3</v>
      </c>
      <c r="X370">
        <f t="shared" ca="1" si="235"/>
        <v>1.0877550941659028E-2</v>
      </c>
      <c r="Y370">
        <f t="shared" ca="1" si="235"/>
        <v>-8.6861048364537865E-3</v>
      </c>
      <c r="Z370">
        <f t="shared" ca="1" si="235"/>
        <v>9.5871786808842153E-3</v>
      </c>
    </row>
    <row r="371" spans="2:26" hidden="1">
      <c r="B371" s="180">
        <f>'Inflation-Interest'!G118</f>
        <v>0</v>
      </c>
      <c r="C371" s="180">
        <f t="shared" ca="1" si="225"/>
        <v>7.7257914972819641E-2</v>
      </c>
      <c r="D371" s="180">
        <f t="shared" ca="1" si="226"/>
        <v>0.12713588922718949</v>
      </c>
      <c r="E371" s="180">
        <f t="shared" ca="1" si="227"/>
        <v>6.4739270371609467E-2</v>
      </c>
      <c r="F371" s="180">
        <f t="shared" ca="1" si="228"/>
        <v>9.8035998944237715E-2</v>
      </c>
      <c r="G371" s="180">
        <f t="shared" ca="1" si="229"/>
        <v>0.13585692775627378</v>
      </c>
      <c r="H371" s="180">
        <f t="shared" ca="1" si="230"/>
        <v>9.2278342176666889E-2</v>
      </c>
      <c r="I371" s="180">
        <f t="shared" ca="1" si="231"/>
        <v>0.16272621090495043</v>
      </c>
      <c r="J371" s="180">
        <f t="shared" ca="1" si="232"/>
        <v>7.280896437419776E-2</v>
      </c>
      <c r="K371" s="180">
        <f t="shared" ca="1" si="233"/>
        <v>0.13811736854560752</v>
      </c>
      <c r="L371" s="180">
        <f t="shared" ca="1" si="234"/>
        <v>0.11152867915638991</v>
      </c>
      <c r="P371">
        <f t="shared" ca="1" si="235"/>
        <v>6.1968412558099624E-3</v>
      </c>
      <c r="Q371">
        <f t="shared" ca="1" si="235"/>
        <v>4.5554955643056678E-3</v>
      </c>
      <c r="R371">
        <f t="shared" ca="1" si="235"/>
        <v>2.2816040055387773E-2</v>
      </c>
      <c r="S371">
        <f t="shared" ca="1" si="235"/>
        <v>2.3307359466915051E-3</v>
      </c>
      <c r="T371">
        <f t="shared" ca="1" si="235"/>
        <v>1.2160509272017572E-2</v>
      </c>
      <c r="U371">
        <f t="shared" ca="1" si="235"/>
        <v>2.261195461859716E-3</v>
      </c>
      <c r="V371">
        <f t="shared" ca="1" si="235"/>
        <v>-3.0497917170258862E-3</v>
      </c>
      <c r="W371">
        <f t="shared" ca="1" si="235"/>
        <v>2.5111158147522912E-2</v>
      </c>
      <c r="X371">
        <f t="shared" ca="1" si="235"/>
        <v>8.9493702011845325E-3</v>
      </c>
      <c r="Y371">
        <f t="shared" ca="1" si="235"/>
        <v>1.6882024113486369E-2</v>
      </c>
      <c r="Z371">
        <f t="shared" ca="1" si="235"/>
        <v>-5.7905238484436423E-3</v>
      </c>
    </row>
    <row r="372" spans="2:26" hidden="1">
      <c r="B372" s="180">
        <f>'Inflation-Interest'!G119</f>
        <v>0</v>
      </c>
      <c r="C372" s="180">
        <f t="shared" ca="1" si="225"/>
        <v>5.2822624453763234E-2</v>
      </c>
      <c r="D372" s="180">
        <f t="shared" ca="1" si="226"/>
        <v>4.4625806884902836E-2</v>
      </c>
      <c r="E372" s="180">
        <f t="shared" ca="1" si="227"/>
        <v>6.7959932903440781E-2</v>
      </c>
      <c r="F372" s="180">
        <f t="shared" ca="1" si="228"/>
        <v>0.12576346234043273</v>
      </c>
      <c r="G372" s="180">
        <f t="shared" ca="1" si="229"/>
        <v>5.802903649171072E-2</v>
      </c>
      <c r="H372" s="180">
        <f t="shared" ca="1" si="230"/>
        <v>0.16137189983290698</v>
      </c>
      <c r="I372" s="180">
        <f t="shared" ca="1" si="231"/>
        <v>9.1605184538955553E-2</v>
      </c>
      <c r="J372" s="180">
        <f t="shared" ca="1" si="232"/>
        <v>9.2819133580279128E-2</v>
      </c>
      <c r="K372" s="180">
        <f t="shared" ca="1" si="233"/>
        <v>0.12773999190902632</v>
      </c>
      <c r="L372" s="180">
        <f t="shared" ca="1" si="234"/>
        <v>0.13455349639946229</v>
      </c>
      <c r="P372">
        <f t="shared" ca="1" si="235"/>
        <v>-2.6902791193222416E-3</v>
      </c>
      <c r="Q372">
        <f t="shared" ca="1" si="235"/>
        <v>2.5448167459227598E-2</v>
      </c>
      <c r="R372">
        <f t="shared" ca="1" si="235"/>
        <v>1.4172213148665933E-2</v>
      </c>
      <c r="S372">
        <f t="shared" ca="1" si="235"/>
        <v>1.9131222521649439E-2</v>
      </c>
      <c r="T372">
        <f t="shared" ca="1" si="235"/>
        <v>1.3467743990280031E-2</v>
      </c>
      <c r="U372">
        <f t="shared" ca="1" si="235"/>
        <v>1.1338170397496267E-2</v>
      </c>
      <c r="V372">
        <f t="shared" ca="1" si="235"/>
        <v>1.5829797197165145E-2</v>
      </c>
      <c r="W372">
        <f t="shared" ca="1" si="235"/>
        <v>2.4122649898010849E-2</v>
      </c>
      <c r="X372">
        <f t="shared" ca="1" si="235"/>
        <v>3.5234579257587391E-2</v>
      </c>
      <c r="Y372">
        <f t="shared" ca="1" si="235"/>
        <v>1.4868402827896915E-2</v>
      </c>
      <c r="Z372">
        <f t="shared" ca="1" si="235"/>
        <v>2.9637823132563045E-4</v>
      </c>
    </row>
    <row r="373" spans="2:26" hidden="1">
      <c r="B373" s="180">
        <f>'Inflation-Interest'!G120</f>
        <v>0</v>
      </c>
      <c r="C373" s="180">
        <f t="shared" ca="1" si="225"/>
        <v>5.7209339844461915E-2</v>
      </c>
      <c r="D373" s="180">
        <f t="shared" ca="1" si="226"/>
        <v>3.8340542714074874E-2</v>
      </c>
      <c r="E373" s="180">
        <f t="shared" ca="1" si="227"/>
        <v>4.7461652315796236E-2</v>
      </c>
      <c r="F373" s="180">
        <f t="shared" ca="1" si="228"/>
        <v>6.3191419590806416E-2</v>
      </c>
      <c r="G373" s="180">
        <f t="shared" ca="1" si="229"/>
        <v>-2.3963550220929039E-2</v>
      </c>
      <c r="H373" s="180">
        <f t="shared" ca="1" si="230"/>
        <v>4.1124789347626159E-2</v>
      </c>
      <c r="I373" s="180">
        <f t="shared" ca="1" si="231"/>
        <v>2.3070324931235876E-2</v>
      </c>
      <c r="J373" s="180">
        <f t="shared" ca="1" si="232"/>
        <v>-9.3985260639766165E-3</v>
      </c>
      <c r="K373" s="180">
        <f t="shared" ca="1" si="233"/>
        <v>3.9001990496294235E-2</v>
      </c>
      <c r="L373" s="180">
        <f t="shared" ca="1" si="234"/>
        <v>4.2875449531017067E-2</v>
      </c>
      <c r="P373">
        <f t="shared" ca="1" si="235"/>
        <v>1.6825946327933463E-3</v>
      </c>
      <c r="Q373">
        <f t="shared" ca="1" si="235"/>
        <v>2.074325070161552E-3</v>
      </c>
      <c r="R373">
        <f t="shared" ca="1" si="235"/>
        <v>-1.7501831964599601E-3</v>
      </c>
      <c r="S373">
        <f t="shared" ca="1" si="235"/>
        <v>1.0576498454574567E-2</v>
      </c>
      <c r="T373">
        <f t="shared" ca="1" si="235"/>
        <v>1.7682932578893796E-2</v>
      </c>
      <c r="U373">
        <f t="shared" ca="1" si="235"/>
        <v>-2.3716368212439286E-3</v>
      </c>
      <c r="V373">
        <f t="shared" ca="1" si="235"/>
        <v>3.7174992814921776E-3</v>
      </c>
      <c r="W373">
        <f t="shared" ca="1" si="235"/>
        <v>-4.3372148599186405E-3</v>
      </c>
      <c r="X373">
        <f t="shared" ca="1" si="235"/>
        <v>1.8301526968741447E-2</v>
      </c>
      <c r="Y373">
        <f t="shared" ca="1" si="235"/>
        <v>2.3346880168378908E-2</v>
      </c>
      <c r="Z373">
        <f t="shared" ca="1" si="235"/>
        <v>1.8124780120123883E-2</v>
      </c>
    </row>
    <row r="374" spans="2:26" hidden="1">
      <c r="B374" s="180">
        <f>'Inflation-Interest'!G121</f>
        <v>0</v>
      </c>
      <c r="C374" s="180">
        <f t="shared" ca="1" si="225"/>
        <v>8.7327694861847716E-2</v>
      </c>
      <c r="D374" s="180">
        <f t="shared" ca="1" si="226"/>
        <v>4.414953398523349E-2</v>
      </c>
      <c r="E374" s="180">
        <f t="shared" ca="1" si="227"/>
        <v>8.3007433046316137E-2</v>
      </c>
      <c r="F374" s="180">
        <f t="shared" ca="1" si="228"/>
        <v>0.10441594631656415</v>
      </c>
      <c r="G374" s="180">
        <f t="shared" ca="1" si="229"/>
        <v>5.859284345301783E-2</v>
      </c>
      <c r="H374" s="180">
        <f t="shared" ca="1" si="230"/>
        <v>5.4548379862305152E-2</v>
      </c>
      <c r="I374" s="180">
        <f t="shared" ca="1" si="231"/>
        <v>8.4208222259633175E-2</v>
      </c>
      <c r="J374" s="180">
        <f t="shared" ca="1" si="232"/>
        <v>9.4159321868715104E-2</v>
      </c>
      <c r="K374" s="180">
        <f t="shared" ca="1" si="233"/>
        <v>0.13449563460797503</v>
      </c>
      <c r="L374" s="180">
        <f t="shared" ca="1" si="234"/>
        <v>0.10025785056888878</v>
      </c>
      <c r="P374">
        <f t="shared" ca="1" si="235"/>
        <v>2.2432828794327862E-2</v>
      </c>
      <c r="Q374">
        <f t="shared" ca="1" si="235"/>
        <v>2.2802847304612975E-2</v>
      </c>
      <c r="R374">
        <f t="shared" ca="1" si="235"/>
        <v>1.4192550971008E-2</v>
      </c>
      <c r="S374">
        <f t="shared" ca="1" si="235"/>
        <v>7.9134409348638989E-4</v>
      </c>
      <c r="T374">
        <f t="shared" ca="1" si="235"/>
        <v>1.9076266247291775E-2</v>
      </c>
      <c r="U374">
        <f t="shared" ca="1" si="235"/>
        <v>1.3628787433499072E-2</v>
      </c>
      <c r="V374">
        <f t="shared" ca="1" si="235"/>
        <v>1.1550662054256092E-2</v>
      </c>
      <c r="W374">
        <f t="shared" ca="1" si="235"/>
        <v>1.7756040664728003E-2</v>
      </c>
      <c r="X374">
        <f t="shared" ca="1" si="235"/>
        <v>6.2743212350544926E-3</v>
      </c>
      <c r="Y374">
        <f t="shared" ca="1" si="235"/>
        <v>3.0648116540766112E-3</v>
      </c>
      <c r="Z374">
        <f t="shared" ca="1" si="235"/>
        <v>1.076284892888728E-2</v>
      </c>
    </row>
    <row r="375" spans="2:26" hidden="1">
      <c r="B375" s="180">
        <f>'Inflation-Interest'!G122</f>
        <v>0</v>
      </c>
      <c r="C375" s="180">
        <f t="shared" ca="1" si="225"/>
        <v>0.11210515119660593</v>
      </c>
      <c r="D375" s="180">
        <f t="shared" ca="1" si="226"/>
        <v>2.8083985912642294E-2</v>
      </c>
      <c r="E375" s="180">
        <f t="shared" ca="1" si="227"/>
        <v>1.0626805963205001E-2</v>
      </c>
      <c r="F375" s="180">
        <f t="shared" ca="1" si="228"/>
        <v>7.012343196248319E-2</v>
      </c>
      <c r="G375" s="180">
        <f t="shared" ca="1" si="229"/>
        <v>2.2931409657705487E-2</v>
      </c>
      <c r="H375" s="180">
        <f t="shared" ca="1" si="230"/>
        <v>2.2736793786919618E-2</v>
      </c>
      <c r="I375" s="180">
        <f t="shared" ca="1" si="231"/>
        <v>6.7163446313489139E-2</v>
      </c>
      <c r="J375" s="180">
        <f t="shared" ca="1" si="232"/>
        <v>7.4451525251717013E-2</v>
      </c>
      <c r="K375" s="180">
        <f t="shared" ca="1" si="233"/>
        <v>4.873896230316075E-2</v>
      </c>
      <c r="L375" s="180">
        <f t="shared" ca="1" si="234"/>
        <v>2.7956462600219431E-2</v>
      </c>
      <c r="P375">
        <f t="shared" ca="1" si="235"/>
        <v>2.6688212072117721E-3</v>
      </c>
      <c r="Q375">
        <f t="shared" ca="1" si="235"/>
        <v>7.110646563927913E-3</v>
      </c>
      <c r="R375">
        <f t="shared" ca="1" si="235"/>
        <v>1.6428162945459492E-2</v>
      </c>
      <c r="S375">
        <f t="shared" ca="1" si="235"/>
        <v>1.5106291652309145E-2</v>
      </c>
      <c r="T375">
        <f t="shared" ca="1" si="235"/>
        <v>2.1617805518560834E-2</v>
      </c>
      <c r="U375">
        <f t="shared" ca="1" si="235"/>
        <v>7.9633125628021158E-3</v>
      </c>
      <c r="V375">
        <f t="shared" ca="1" si="235"/>
        <v>2.4053465190955206E-2</v>
      </c>
      <c r="W375">
        <f t="shared" ca="1" si="235"/>
        <v>-5.3452487196973923E-4</v>
      </c>
      <c r="X375">
        <f t="shared" ca="1" si="235"/>
        <v>1.4347516148658051E-2</v>
      </c>
      <c r="Y375">
        <f t="shared" ca="1" si="235"/>
        <v>1.8858851455024819E-3</v>
      </c>
      <c r="Z375">
        <f t="shared" ca="1" si="235"/>
        <v>-3.2460228688661504E-3</v>
      </c>
    </row>
    <row r="376" spans="2:26" hidden="1">
      <c r="B376" s="180">
        <f>'Inflation-Interest'!G123</f>
        <v>0</v>
      </c>
      <c r="C376" s="180">
        <f t="shared" ca="1" si="225"/>
        <v>8.8434882304356713E-2</v>
      </c>
      <c r="D376" s="180">
        <f t="shared" ca="1" si="226"/>
        <v>4.4258943125405029E-2</v>
      </c>
      <c r="E376" s="180">
        <f t="shared" ca="1" si="227"/>
        <v>9.9836237381690035E-2</v>
      </c>
      <c r="F376" s="180">
        <f t="shared" ca="1" si="228"/>
        <v>3.680613414638232E-2</v>
      </c>
      <c r="G376" s="180">
        <f t="shared" ca="1" si="229"/>
        <v>8.1898180811422888E-2</v>
      </c>
      <c r="H376" s="180">
        <f t="shared" ca="1" si="230"/>
        <v>0.12978007064570224</v>
      </c>
      <c r="I376" s="180">
        <f t="shared" ca="1" si="231"/>
        <v>0.12429193216199561</v>
      </c>
      <c r="J376" s="180">
        <f t="shared" ca="1" si="232"/>
        <v>0.10974137047128427</v>
      </c>
      <c r="K376" s="180">
        <f t="shared" ca="1" si="233"/>
        <v>0.15171124606957748</v>
      </c>
      <c r="L376" s="180">
        <f t="shared" ca="1" si="234"/>
        <v>0.11458067234493935</v>
      </c>
      <c r="P376">
        <f t="shared" ca="1" si="235"/>
        <v>1.2965705041877218E-2</v>
      </c>
      <c r="Q376">
        <f t="shared" ca="1" si="235"/>
        <v>3.5294204587862157E-2</v>
      </c>
      <c r="R376">
        <f t="shared" ca="1" si="235"/>
        <v>9.5895240104415143E-3</v>
      </c>
      <c r="S376">
        <f t="shared" ca="1" si="235"/>
        <v>2.7426529299382892E-2</v>
      </c>
      <c r="T376">
        <f t="shared" ca="1" si="235"/>
        <v>-5.590401006709822E-4</v>
      </c>
      <c r="U376">
        <f t="shared" ca="1" si="235"/>
        <v>2.1019900743280227E-3</v>
      </c>
      <c r="V376">
        <f t="shared" ca="1" si="235"/>
        <v>1.5981884326340567E-2</v>
      </c>
      <c r="W376">
        <f t="shared" ca="1" si="235"/>
        <v>1.503323691090646E-2</v>
      </c>
      <c r="X376">
        <f t="shared" ca="1" si="235"/>
        <v>3.1805937068134095E-2</v>
      </c>
      <c r="Y376">
        <f t="shared" ca="1" si="235"/>
        <v>1.3007118208063596E-2</v>
      </c>
      <c r="Z376">
        <f t="shared" ca="1" si="235"/>
        <v>2.1667456415175958E-2</v>
      </c>
    </row>
    <row r="377" spans="2:26" hidden="1">
      <c r="B377" s="180">
        <f>'Inflation-Interest'!G124</f>
        <v>0</v>
      </c>
      <c r="C377" s="180">
        <f t="shared" ca="1" si="225"/>
        <v>6.9490898634246762E-2</v>
      </c>
      <c r="D377" s="180">
        <f t="shared" ca="1" si="226"/>
        <v>5.3956196559477684E-2</v>
      </c>
      <c r="E377" s="180">
        <f t="shared" ca="1" si="227"/>
        <v>1.9211960655508245E-2</v>
      </c>
      <c r="F377" s="180">
        <f t="shared" ca="1" si="228"/>
        <v>6.0202677414239861E-2</v>
      </c>
      <c r="G377" s="180">
        <f t="shared" ca="1" si="229"/>
        <v>8.4289268784385293E-2</v>
      </c>
      <c r="H377" s="180">
        <f t="shared" ca="1" si="230"/>
        <v>2.8322711254880908E-2</v>
      </c>
      <c r="I377" s="180">
        <f t="shared" ca="1" si="231"/>
        <v>9.4227554019061965E-2</v>
      </c>
      <c r="J377" s="180">
        <f t="shared" ca="1" si="232"/>
        <v>7.4943612274251323E-2</v>
      </c>
      <c r="K377" s="180">
        <f t="shared" ca="1" si="233"/>
        <v>0.13271703588856507</v>
      </c>
      <c r="L377" s="180">
        <f t="shared" ca="1" si="234"/>
        <v>0.13770053148068742</v>
      </c>
      <c r="P377">
        <f t="shared" ca="1" si="235"/>
        <v>3.7084242315805283E-3</v>
      </c>
      <c r="Q377">
        <f t="shared" ca="1" si="235"/>
        <v>1.2243121906989049E-2</v>
      </c>
      <c r="R377">
        <f t="shared" ref="Q377:Z402" ca="1" si="236">_xlfn.NORM.INV(RAND(), $B$12, $B$13)</f>
        <v>3.0427525518552739E-2</v>
      </c>
      <c r="S377">
        <f t="shared" ca="1" si="236"/>
        <v>5.1734455927721296E-3</v>
      </c>
      <c r="T377">
        <f t="shared" ca="1" si="236"/>
        <v>9.1478367295333273E-3</v>
      </c>
      <c r="U377">
        <f t="shared" ca="1" si="236"/>
        <v>-5.3312443948867038E-3</v>
      </c>
      <c r="V377">
        <f t="shared" ca="1" si="236"/>
        <v>1.147994148802035E-2</v>
      </c>
      <c r="W377">
        <f t="shared" ca="1" si="236"/>
        <v>3.2793926843709E-2</v>
      </c>
      <c r="X377">
        <f t="shared" ca="1" si="236"/>
        <v>-1.0711332607637666E-4</v>
      </c>
      <c r="Y377">
        <f t="shared" ca="1" si="236"/>
        <v>2.4118676312475551E-2</v>
      </c>
      <c r="Z377">
        <f t="shared" ca="1" si="236"/>
        <v>-8.3421136200790679E-3</v>
      </c>
    </row>
    <row r="378" spans="2:26" hidden="1">
      <c r="B378" s="180">
        <f>'Inflation-Interest'!G125</f>
        <v>0</v>
      </c>
      <c r="C378" s="180">
        <f t="shared" ca="1" si="225"/>
        <v>5.0352292219444143E-2</v>
      </c>
      <c r="D378" s="180">
        <f t="shared" ca="1" si="226"/>
        <v>6.0653060917570042E-2</v>
      </c>
      <c r="E378" s="180">
        <f t="shared" ca="1" si="227"/>
        <v>6.5851146676987826E-2</v>
      </c>
      <c r="F378" s="180">
        <f t="shared" ca="1" si="228"/>
        <v>6.3333251788018519E-2</v>
      </c>
      <c r="G378" s="180">
        <f t="shared" ca="1" si="229"/>
        <v>0.12270428721680604</v>
      </c>
      <c r="H378" s="180">
        <f t="shared" ca="1" si="230"/>
        <v>0.10614467471197866</v>
      </c>
      <c r="I378" s="180">
        <f t="shared" ca="1" si="231"/>
        <v>0.10177094348431633</v>
      </c>
      <c r="J378" s="180">
        <f t="shared" ca="1" si="232"/>
        <v>3.3182069116847346E-2</v>
      </c>
      <c r="K378" s="180">
        <f t="shared" ca="1" si="233"/>
        <v>0.11255142422509663</v>
      </c>
      <c r="L378" s="180">
        <f t="shared" ca="1" si="234"/>
        <v>0.10141973976944452</v>
      </c>
      <c r="P378">
        <f t="shared" ref="P378:P420" ca="1" si="237">_xlfn.NORM.INV(RAND(), $B$12, $B$13)</f>
        <v>6.164588841901234E-3</v>
      </c>
      <c r="Q378">
        <f t="shared" ca="1" si="236"/>
        <v>8.8354120403584587E-3</v>
      </c>
      <c r="R378">
        <f t="shared" ca="1" si="236"/>
        <v>1.2863341440699869E-2</v>
      </c>
      <c r="S378">
        <f t="shared" ca="1" si="236"/>
        <v>-7.2033037238117392E-3</v>
      </c>
      <c r="T378">
        <f t="shared" ca="1" si="236"/>
        <v>1.8753263397252511E-2</v>
      </c>
      <c r="U378">
        <f t="shared" ca="1" si="236"/>
        <v>2.4554769349192609E-2</v>
      </c>
      <c r="V378">
        <f t="shared" ca="1" si="236"/>
        <v>4.0900634867944007E-2</v>
      </c>
      <c r="W378">
        <f t="shared" ca="1" si="236"/>
        <v>4.1881897484612003E-3</v>
      </c>
      <c r="X378">
        <f t="shared" ca="1" si="236"/>
        <v>-1.0030250316700635E-4</v>
      </c>
      <c r="Y378">
        <f t="shared" ca="1" si="236"/>
        <v>1.002173986998125E-2</v>
      </c>
      <c r="Z378">
        <f t="shared" ca="1" si="236"/>
        <v>2.7551556235498827E-2</v>
      </c>
    </row>
    <row r="379" spans="2:26" hidden="1">
      <c r="B379" s="180">
        <f>'Inflation-Interest'!G126</f>
        <v>0</v>
      </c>
      <c r="C379" s="180">
        <f t="shared" ca="1" si="225"/>
        <v>0.12515517425954314</v>
      </c>
      <c r="D379" s="180">
        <f t="shared" ca="1" si="226"/>
        <v>0.11162638747071485</v>
      </c>
      <c r="E379" s="180">
        <f t="shared" ca="1" si="227"/>
        <v>0.12648806854246297</v>
      </c>
      <c r="F379" s="180">
        <f t="shared" ca="1" si="228"/>
        <v>0.14144799333265332</v>
      </c>
      <c r="G379" s="180">
        <f t="shared" ca="1" si="229"/>
        <v>0.11360846447550199</v>
      </c>
      <c r="H379" s="180">
        <f t="shared" ca="1" si="230"/>
        <v>9.8511662803832528E-2</v>
      </c>
      <c r="I379" s="180">
        <f t="shared" ca="1" si="231"/>
        <v>0.12138636571194039</v>
      </c>
      <c r="J379" s="180">
        <f t="shared" ca="1" si="232"/>
        <v>0.17960670194417347</v>
      </c>
      <c r="K379" s="180">
        <f t="shared" ca="1" si="233"/>
        <v>7.9852923669386552E-2</v>
      </c>
      <c r="L379" s="180">
        <f t="shared" ca="1" si="234"/>
        <v>0.15237669669182752</v>
      </c>
      <c r="P379">
        <f t="shared" ca="1" si="237"/>
        <v>2.1100396005936054E-3</v>
      </c>
      <c r="Q379">
        <f t="shared" ca="1" si="236"/>
        <v>1.7105534662436278E-2</v>
      </c>
      <c r="R379">
        <f t="shared" ca="1" si="236"/>
        <v>3.4158818195141979E-2</v>
      </c>
      <c r="S379">
        <f t="shared" ca="1" si="236"/>
        <v>3.235350009658719E-2</v>
      </c>
      <c r="T379">
        <f t="shared" ca="1" si="236"/>
        <v>1.9939220796475234E-2</v>
      </c>
      <c r="U379">
        <f t="shared" ca="1" si="236"/>
        <v>7.357739348771793E-3</v>
      </c>
      <c r="V379">
        <f t="shared" ca="1" si="236"/>
        <v>-3.5068037822386985E-3</v>
      </c>
      <c r="W379">
        <f t="shared" ca="1" si="236"/>
        <v>1.173436892397643E-2</v>
      </c>
      <c r="X379">
        <f t="shared" ca="1" si="236"/>
        <v>1.0836345015921522E-2</v>
      </c>
      <c r="Y379">
        <f t="shared" ca="1" si="236"/>
        <v>-8.6005128649725478E-3</v>
      </c>
      <c r="Z379">
        <f t="shared" ca="1" si="236"/>
        <v>2.5214435566911293E-2</v>
      </c>
    </row>
    <row r="380" spans="2:26" hidden="1">
      <c r="B380" s="180">
        <f>'Inflation-Interest'!G127</f>
        <v>0</v>
      </c>
      <c r="C380" s="180">
        <f t="shared" ca="1" si="225"/>
        <v>8.5910581329813801E-2</v>
      </c>
      <c r="D380" s="180">
        <f t="shared" ca="1" si="226"/>
        <v>9.8874425531295801E-2</v>
      </c>
      <c r="E380" s="180">
        <f t="shared" ca="1" si="227"/>
        <v>8.97462035699092E-2</v>
      </c>
      <c r="F380" s="180">
        <f t="shared" ca="1" si="228"/>
        <v>8.5158698312210818E-2</v>
      </c>
      <c r="G380" s="180">
        <f t="shared" ca="1" si="229"/>
        <v>9.8807576180033579E-2</v>
      </c>
      <c r="H380" s="180">
        <f t="shared" ca="1" si="230"/>
        <v>0.10299308103496413</v>
      </c>
      <c r="I380" s="180">
        <f t="shared" ca="1" si="231"/>
        <v>5.1221279569845353E-2</v>
      </c>
      <c r="J380" s="180">
        <f t="shared" ca="1" si="232"/>
        <v>0.11815009801112172</v>
      </c>
      <c r="K380" s="180">
        <f t="shared" ca="1" si="233"/>
        <v>3.3760648102808648E-2</v>
      </c>
      <c r="L380" s="180">
        <f t="shared" ca="1" si="234"/>
        <v>7.5562963576099554E-2</v>
      </c>
      <c r="P380">
        <f t="shared" ca="1" si="237"/>
        <v>1.8550571006942879E-2</v>
      </c>
      <c r="Q380">
        <f t="shared" ca="1" si="236"/>
        <v>2.4505666881812129E-2</v>
      </c>
      <c r="R380">
        <f t="shared" ca="1" si="236"/>
        <v>2.682489672605131E-2</v>
      </c>
      <c r="S380">
        <f t="shared" ca="1" si="236"/>
        <v>4.0446381040202747E-2</v>
      </c>
      <c r="T380">
        <f t="shared" ca="1" si="236"/>
        <v>2.4774902057339995E-2</v>
      </c>
      <c r="U380">
        <f t="shared" ca="1" si="236"/>
        <v>9.6929421606021787E-3</v>
      </c>
      <c r="V380">
        <f t="shared" ca="1" si="236"/>
        <v>1.7509323610435924E-2</v>
      </c>
      <c r="W380">
        <f t="shared" ca="1" si="236"/>
        <v>8.998590385588397E-3</v>
      </c>
      <c r="X380">
        <f t="shared" ca="1" si="236"/>
        <v>2.071852369978389E-3</v>
      </c>
      <c r="Y380">
        <f t="shared" ca="1" si="236"/>
        <v>1.7929373728116774E-2</v>
      </c>
      <c r="Z380">
        <f t="shared" ca="1" si="236"/>
        <v>5.9008250754798821E-3</v>
      </c>
    </row>
    <row r="381" spans="2:26" hidden="1">
      <c r="B381" s="180">
        <f>'Inflation-Interest'!G128</f>
        <v>0</v>
      </c>
      <c r="C381" s="180">
        <f t="shared" ref="C381:C412" ca="1" si="238">C281+Q381</f>
        <v>5.1972027403856293E-2</v>
      </c>
      <c r="D381" s="180">
        <f t="shared" ref="D381:D412" ca="1" si="239">D281+R381</f>
        <v>4.982388235149833E-2</v>
      </c>
      <c r="E381" s="180">
        <f t="shared" ref="E381:E412" ca="1" si="240">E281+S381</f>
        <v>5.3581011410827314E-2</v>
      </c>
      <c r="F381" s="180">
        <f t="shared" ref="F381:F412" ca="1" si="241">F281+T381</f>
        <v>0.14766702548075056</v>
      </c>
      <c r="G381" s="180">
        <f t="shared" ref="G381:G412" ca="1" si="242">G281+U381</f>
        <v>0.14615977752980772</v>
      </c>
      <c r="H381" s="180">
        <f t="shared" ref="H381:H412" ca="1" si="243">H281+V381</f>
        <v>7.5664132128871492E-2</v>
      </c>
      <c r="I381" s="180">
        <f t="shared" ref="I381:I412" ca="1" si="244">I281+W381</f>
        <v>0.10651116881222317</v>
      </c>
      <c r="J381" s="180">
        <f t="shared" ref="J381:J412" ca="1" si="245">J281+X381</f>
        <v>3.3177306254886532E-2</v>
      </c>
      <c r="K381" s="180">
        <f t="shared" ref="K381:K412" ca="1" si="246">K281+Y381</f>
        <v>3.6740194446317861E-2</v>
      </c>
      <c r="L381" s="180">
        <f t="shared" ref="L381:L412" ca="1" si="247">L281+Z381</f>
        <v>3.7052206981328779E-2</v>
      </c>
      <c r="P381">
        <f t="shared" ca="1" si="237"/>
        <v>2.2595937329351758E-2</v>
      </c>
      <c r="Q381">
        <f t="shared" ca="1" si="236"/>
        <v>-8.3577897336281782E-3</v>
      </c>
      <c r="R381">
        <f t="shared" ca="1" si="236"/>
        <v>5.28417394452977E-4</v>
      </c>
      <c r="S381">
        <f t="shared" ca="1" si="236"/>
        <v>1.3516560487161534E-2</v>
      </c>
      <c r="T381">
        <f t="shared" ca="1" si="236"/>
        <v>1.8135129485705684E-2</v>
      </c>
      <c r="U381">
        <f t="shared" ca="1" si="236"/>
        <v>1.1528899566887671E-3</v>
      </c>
      <c r="V381">
        <f t="shared" ca="1" si="236"/>
        <v>2.3389689893689485E-2</v>
      </c>
      <c r="W381">
        <f t="shared" ca="1" si="236"/>
        <v>1.0606777279068681E-2</v>
      </c>
      <c r="X381">
        <f t="shared" ca="1" si="236"/>
        <v>-4.1288535634670682E-3</v>
      </c>
      <c r="Y381">
        <f t="shared" ca="1" si="236"/>
        <v>1.149798817806217E-2</v>
      </c>
      <c r="Z381">
        <f t="shared" ca="1" si="236"/>
        <v>3.6317560648092641E-2</v>
      </c>
    </row>
    <row r="382" spans="2:26" hidden="1">
      <c r="B382" s="180">
        <f>'Inflation-Interest'!G129</f>
        <v>0</v>
      </c>
      <c r="C382" s="180">
        <f t="shared" ca="1" si="238"/>
        <v>0.12865502175781016</v>
      </c>
      <c r="D382" s="180">
        <f t="shared" ca="1" si="239"/>
        <v>4.6159304588621386E-2</v>
      </c>
      <c r="E382" s="180">
        <f t="shared" ca="1" si="240"/>
        <v>4.3437929286366472E-2</v>
      </c>
      <c r="F382" s="180">
        <f t="shared" ca="1" si="241"/>
        <v>1.6485136687209131E-2</v>
      </c>
      <c r="G382" s="180">
        <f t="shared" ca="1" si="242"/>
        <v>9.2842503669936256E-3</v>
      </c>
      <c r="H382" s="180">
        <f t="shared" ca="1" si="243"/>
        <v>2.6873551839253412E-2</v>
      </c>
      <c r="I382" s="180">
        <f t="shared" ca="1" si="244"/>
        <v>-3.9779299917459994E-3</v>
      </c>
      <c r="J382" s="180">
        <f t="shared" ca="1" si="245"/>
        <v>-6.6264073336050455E-3</v>
      </c>
      <c r="K382" s="180">
        <f t="shared" ca="1" si="246"/>
        <v>4.2373889376099063E-3</v>
      </c>
      <c r="L382" s="180">
        <f t="shared" ca="1" si="247"/>
        <v>2.4384973336528584E-2</v>
      </c>
      <c r="P382">
        <f t="shared" ca="1" si="237"/>
        <v>1.6713418767640795E-3</v>
      </c>
      <c r="Q382">
        <f t="shared" ca="1" si="236"/>
        <v>7.642674223656329E-3</v>
      </c>
      <c r="R382">
        <f t="shared" ca="1" si="236"/>
        <v>2.5732381338116735E-2</v>
      </c>
      <c r="S382">
        <f t="shared" ca="1" si="236"/>
        <v>2.8324208629566652E-2</v>
      </c>
      <c r="T382">
        <f t="shared" ca="1" si="236"/>
        <v>1.6528063497340519E-2</v>
      </c>
      <c r="U382">
        <f t="shared" ca="1" si="236"/>
        <v>9.1436683357844495E-3</v>
      </c>
      <c r="V382">
        <f t="shared" ca="1" si="236"/>
        <v>1.9898038243611887E-2</v>
      </c>
      <c r="W382">
        <f t="shared" ca="1" si="236"/>
        <v>2.5377249330468029E-3</v>
      </c>
      <c r="X382">
        <f t="shared" ca="1" si="236"/>
        <v>1.3577916914652698E-2</v>
      </c>
      <c r="Y382">
        <f t="shared" ca="1" si="236"/>
        <v>-2.0331050992607076E-3</v>
      </c>
      <c r="Z382">
        <f t="shared" ca="1" si="236"/>
        <v>1.053637567886832E-2</v>
      </c>
    </row>
    <row r="383" spans="2:26" hidden="1">
      <c r="B383" s="180">
        <f>'Inflation-Interest'!G130</f>
        <v>0</v>
      </c>
      <c r="C383" s="180">
        <f t="shared" ca="1" si="238"/>
        <v>4.3322640648965557E-2</v>
      </c>
      <c r="D383" s="180">
        <f t="shared" ca="1" si="239"/>
        <v>6.366997851848559E-2</v>
      </c>
      <c r="E383" s="180">
        <f t="shared" ca="1" si="240"/>
        <v>7.7821434551819044E-2</v>
      </c>
      <c r="F383" s="180">
        <f t="shared" ca="1" si="241"/>
        <v>7.3095369838572566E-2</v>
      </c>
      <c r="G383" s="180">
        <f t="shared" ca="1" si="242"/>
        <v>1.8858888467707793E-2</v>
      </c>
      <c r="H383" s="180">
        <f t="shared" ca="1" si="243"/>
        <v>5.0105724321732666E-2</v>
      </c>
      <c r="I383" s="180">
        <f t="shared" ca="1" si="244"/>
        <v>7.1945264595801958E-2</v>
      </c>
      <c r="J383" s="180">
        <f t="shared" ca="1" si="245"/>
        <v>0.10699050066203718</v>
      </c>
      <c r="K383" s="180">
        <f t="shared" ca="1" si="246"/>
        <v>0.1004192169552954</v>
      </c>
      <c r="L383" s="180">
        <f t="shared" ca="1" si="247"/>
        <v>9.1457658705422884E-2</v>
      </c>
      <c r="P383">
        <f t="shared" ca="1" si="237"/>
        <v>2.2463728045444165E-2</v>
      </c>
      <c r="Q383">
        <f t="shared" ca="1" si="236"/>
        <v>2.5278896679190109E-2</v>
      </c>
      <c r="R383">
        <f t="shared" ca="1" si="236"/>
        <v>-1.3418663111733065E-3</v>
      </c>
      <c r="S383">
        <f t="shared" ca="1" si="236"/>
        <v>2.0741713495652254E-2</v>
      </c>
      <c r="T383">
        <f t="shared" ca="1" si="236"/>
        <v>1.415471798729429E-2</v>
      </c>
      <c r="U383">
        <f t="shared" ca="1" si="236"/>
        <v>3.0684663492449808E-3</v>
      </c>
      <c r="V383">
        <f t="shared" ca="1" si="236"/>
        <v>9.592274243200305E-5</v>
      </c>
      <c r="W383">
        <f t="shared" ca="1" si="236"/>
        <v>7.877207363614502E-3</v>
      </c>
      <c r="X383">
        <f t="shared" ca="1" si="236"/>
        <v>1.3224126470788243E-2</v>
      </c>
      <c r="Y383">
        <f t="shared" ca="1" si="236"/>
        <v>2.7637501263160134E-2</v>
      </c>
      <c r="Z383">
        <f t="shared" ca="1" si="236"/>
        <v>2.3895459436920966E-2</v>
      </c>
    </row>
    <row r="384" spans="2:26" hidden="1">
      <c r="B384" s="180">
        <f>'Inflation-Interest'!G131</f>
        <v>0</v>
      </c>
      <c r="C384" s="180">
        <f t="shared" ca="1" si="238"/>
        <v>5.7053616213583347E-2</v>
      </c>
      <c r="D384" s="180">
        <f t="shared" ca="1" si="239"/>
        <v>4.2838767478409374E-3</v>
      </c>
      <c r="E384" s="180">
        <f t="shared" ca="1" si="240"/>
        <v>8.1998071370973272E-2</v>
      </c>
      <c r="F384" s="180">
        <f t="shared" ca="1" si="241"/>
        <v>2.1351333272082065E-2</v>
      </c>
      <c r="G384" s="180">
        <f t="shared" ca="1" si="242"/>
        <v>3.3451411196223725E-2</v>
      </c>
      <c r="H384" s="180">
        <f t="shared" ca="1" si="243"/>
        <v>9.3944860004699537E-2</v>
      </c>
      <c r="I384" s="180">
        <f t="shared" ca="1" si="244"/>
        <v>4.2624332348464154E-2</v>
      </c>
      <c r="J384" s="180">
        <f t="shared" ca="1" si="245"/>
        <v>3.9599801671432434E-2</v>
      </c>
      <c r="K384" s="180">
        <f t="shared" ca="1" si="246"/>
        <v>1.0293940224092522E-2</v>
      </c>
      <c r="L384" s="180">
        <f t="shared" ca="1" si="247"/>
        <v>-1.8757637025538263E-2</v>
      </c>
      <c r="P384">
        <f t="shared" ca="1" si="237"/>
        <v>-5.115298100863001E-3</v>
      </c>
      <c r="Q384">
        <f t="shared" ca="1" si="236"/>
        <v>8.0255978877083241E-3</v>
      </c>
      <c r="R384">
        <f t="shared" ca="1" si="236"/>
        <v>-1.7204866085926938E-2</v>
      </c>
      <c r="S384">
        <f t="shared" ca="1" si="236"/>
        <v>1.4939255415297444E-2</v>
      </c>
      <c r="T384">
        <f t="shared" ca="1" si="236"/>
        <v>3.0527674936034876E-3</v>
      </c>
      <c r="U384">
        <f t="shared" ca="1" si="236"/>
        <v>6.3561605014866695E-3</v>
      </c>
      <c r="V384">
        <f t="shared" ca="1" si="236"/>
        <v>1.1038530512389205E-2</v>
      </c>
      <c r="W384">
        <f t="shared" ca="1" si="236"/>
        <v>9.9391560742970661E-3</v>
      </c>
      <c r="X384">
        <f t="shared" ca="1" si="236"/>
        <v>-3.5267259687232939E-4</v>
      </c>
      <c r="Y384">
        <f t="shared" ca="1" si="236"/>
        <v>1.1052223253309268E-2</v>
      </c>
      <c r="Z384">
        <f t="shared" ca="1" si="236"/>
        <v>7.0381584703942471E-4</v>
      </c>
    </row>
    <row r="385" spans="2:26" hidden="1">
      <c r="B385" s="180">
        <f>'Inflation-Interest'!G132</f>
        <v>0</v>
      </c>
      <c r="C385" s="180">
        <f t="shared" ca="1" si="238"/>
        <v>8.0234180090565127E-2</v>
      </c>
      <c r="D385" s="180">
        <f t="shared" ca="1" si="239"/>
        <v>0.13809321134860142</v>
      </c>
      <c r="E385" s="180">
        <f t="shared" ca="1" si="240"/>
        <v>8.728748853248236E-2</v>
      </c>
      <c r="F385" s="180">
        <f t="shared" ca="1" si="241"/>
        <v>0.1002373565639338</v>
      </c>
      <c r="G385" s="180">
        <f t="shared" ca="1" si="242"/>
        <v>0.11721259287282311</v>
      </c>
      <c r="H385" s="180">
        <f t="shared" ca="1" si="243"/>
        <v>9.5634220062103578E-2</v>
      </c>
      <c r="I385" s="180">
        <f t="shared" ca="1" si="244"/>
        <v>9.7924733934959901E-2</v>
      </c>
      <c r="J385" s="180">
        <f t="shared" ca="1" si="245"/>
        <v>6.3689327617474839E-2</v>
      </c>
      <c r="K385" s="180">
        <f t="shared" ca="1" si="246"/>
        <v>0.11287318450947588</v>
      </c>
      <c r="L385" s="180">
        <f t="shared" ca="1" si="247"/>
        <v>0.13171751066495338</v>
      </c>
      <c r="P385">
        <f t="shared" ca="1" si="237"/>
        <v>1.9023398553193467E-2</v>
      </c>
      <c r="Q385">
        <f t="shared" ca="1" si="236"/>
        <v>5.1377927718610286E-3</v>
      </c>
      <c r="R385">
        <f t="shared" ca="1" si="236"/>
        <v>3.5261649018328331E-2</v>
      </c>
      <c r="S385">
        <f t="shared" ca="1" si="236"/>
        <v>1.1885621452095952E-2</v>
      </c>
      <c r="T385">
        <f t="shared" ca="1" si="236"/>
        <v>4.8942374010881393E-3</v>
      </c>
      <c r="U385">
        <f t="shared" ca="1" si="236"/>
        <v>2.0682699696388977E-2</v>
      </c>
      <c r="V385">
        <f t="shared" ca="1" si="236"/>
        <v>1.4771993473307822E-2</v>
      </c>
      <c r="W385">
        <f t="shared" ca="1" si="236"/>
        <v>4.2411617481853325E-3</v>
      </c>
      <c r="X385">
        <f t="shared" ca="1" si="236"/>
        <v>6.9054310645450595E-3</v>
      </c>
      <c r="Y385">
        <f t="shared" ca="1" si="236"/>
        <v>9.3956931202850702E-3</v>
      </c>
      <c r="Z385">
        <f t="shared" ca="1" si="236"/>
        <v>4.0789522823188748E-2</v>
      </c>
    </row>
    <row r="386" spans="2:26" hidden="1">
      <c r="B386" s="180">
        <f>'Inflation-Interest'!G133</f>
        <v>0</v>
      </c>
      <c r="C386" s="180">
        <f t="shared" ca="1" si="238"/>
        <v>6.1773855935512559E-2</v>
      </c>
      <c r="D386" s="180">
        <f t="shared" ca="1" si="239"/>
        <v>7.3858805190489582E-2</v>
      </c>
      <c r="E386" s="180">
        <f t="shared" ca="1" si="240"/>
        <v>5.288601098239995E-2</v>
      </c>
      <c r="F386" s="180">
        <f t="shared" ca="1" si="241"/>
        <v>4.3806699958271973E-2</v>
      </c>
      <c r="G386" s="180">
        <f t="shared" ca="1" si="242"/>
        <v>9.6540839890416952E-2</v>
      </c>
      <c r="H386" s="180">
        <f t="shared" ca="1" si="243"/>
        <v>-6.0591944905699226E-2</v>
      </c>
      <c r="I386" s="180">
        <f t="shared" ca="1" si="244"/>
        <v>2.6281562525597921E-2</v>
      </c>
      <c r="J386" s="180">
        <f t="shared" ca="1" si="245"/>
        <v>5.8174836237802688E-2</v>
      </c>
      <c r="K386" s="180">
        <f t="shared" ca="1" si="246"/>
        <v>1.96668529397695E-2</v>
      </c>
      <c r="L386" s="180">
        <f t="shared" ca="1" si="247"/>
        <v>3.37605596333692E-2</v>
      </c>
      <c r="P386">
        <f t="shared" ca="1" si="237"/>
        <v>5.8776872186202091E-3</v>
      </c>
      <c r="Q386">
        <f t="shared" ca="1" si="236"/>
        <v>1.8929117147726368E-2</v>
      </c>
      <c r="R386">
        <f t="shared" ca="1" si="236"/>
        <v>1.139336694350037E-3</v>
      </c>
      <c r="S386">
        <f t="shared" ca="1" si="236"/>
        <v>8.7432249733931273E-3</v>
      </c>
      <c r="T386">
        <f t="shared" ca="1" si="236"/>
        <v>1.5959576340344381E-2</v>
      </c>
      <c r="U386">
        <f t="shared" ca="1" si="236"/>
        <v>1.9228841536269664E-2</v>
      </c>
      <c r="V386">
        <f t="shared" ca="1" si="236"/>
        <v>4.0364990520850384E-3</v>
      </c>
      <c r="W386">
        <f t="shared" ca="1" si="236"/>
        <v>2.2241385541987534E-2</v>
      </c>
      <c r="X386">
        <f t="shared" ca="1" si="236"/>
        <v>-8.8320023534551716E-3</v>
      </c>
      <c r="Y386">
        <f t="shared" ca="1" si="236"/>
        <v>4.5214263529646829E-3</v>
      </c>
      <c r="Z386">
        <f t="shared" ca="1" si="236"/>
        <v>1.057517285987063E-2</v>
      </c>
    </row>
    <row r="387" spans="2:26" hidden="1">
      <c r="B387" s="180">
        <f>'Inflation-Interest'!G134</f>
        <v>0</v>
      </c>
      <c r="C387" s="180">
        <f t="shared" ca="1" si="238"/>
        <v>4.6400373595355954E-2</v>
      </c>
      <c r="D387" s="180">
        <f t="shared" ca="1" si="239"/>
        <v>0.11772340791723529</v>
      </c>
      <c r="E387" s="180">
        <f t="shared" ca="1" si="240"/>
        <v>5.3030064239274755E-2</v>
      </c>
      <c r="F387" s="180">
        <f t="shared" ca="1" si="241"/>
        <v>3.9380571204762217E-2</v>
      </c>
      <c r="G387" s="180">
        <f t="shared" ca="1" si="242"/>
        <v>5.0163658060089072E-2</v>
      </c>
      <c r="H387" s="180">
        <f t="shared" ca="1" si="243"/>
        <v>7.7183986824787207E-2</v>
      </c>
      <c r="I387" s="180">
        <f t="shared" ca="1" si="244"/>
        <v>6.4454569002486792E-2</v>
      </c>
      <c r="J387" s="180">
        <f t="shared" ca="1" si="245"/>
        <v>6.5572172903324316E-2</v>
      </c>
      <c r="K387" s="180">
        <f t="shared" ca="1" si="246"/>
        <v>8.4326998403500025E-2</v>
      </c>
      <c r="L387" s="180">
        <f t="shared" ca="1" si="247"/>
        <v>0.11760021701004607</v>
      </c>
      <c r="P387">
        <f t="shared" ca="1" si="237"/>
        <v>2.5200515360804969E-2</v>
      </c>
      <c r="Q387">
        <f t="shared" ca="1" si="236"/>
        <v>-1.8288704261928121E-2</v>
      </c>
      <c r="R387">
        <f t="shared" ca="1" si="236"/>
        <v>1.5041647205463471E-2</v>
      </c>
      <c r="S387">
        <f t="shared" ca="1" si="236"/>
        <v>1.6820389615371842E-2</v>
      </c>
      <c r="T387">
        <f t="shared" ca="1" si="236"/>
        <v>1.7557292818261374E-2</v>
      </c>
      <c r="U387">
        <f t="shared" ca="1" si="236"/>
        <v>-2.9897019997718668E-3</v>
      </c>
      <c r="V387">
        <f t="shared" ca="1" si="236"/>
        <v>1.0803172556612279E-2</v>
      </c>
      <c r="W387">
        <f t="shared" ca="1" si="236"/>
        <v>-1.5649515282979518E-2</v>
      </c>
      <c r="X387">
        <f t="shared" ca="1" si="236"/>
        <v>-2.6424627842093415E-3</v>
      </c>
      <c r="Y387">
        <f t="shared" ca="1" si="236"/>
        <v>1.909504117421262E-2</v>
      </c>
      <c r="Z387">
        <f t="shared" ca="1" si="236"/>
        <v>3.1652656446112138E-3</v>
      </c>
    </row>
    <row r="388" spans="2:26" hidden="1">
      <c r="B388" s="180">
        <f>'Inflation-Interest'!G135</f>
        <v>0</v>
      </c>
      <c r="C388" s="180">
        <f t="shared" ca="1" si="238"/>
        <v>0.10121512239766929</v>
      </c>
      <c r="D388" s="180">
        <f t="shared" ca="1" si="239"/>
        <v>2.9409038038444128E-2</v>
      </c>
      <c r="E388" s="180">
        <f t="shared" ca="1" si="240"/>
        <v>4.7110570094531734E-2</v>
      </c>
      <c r="F388" s="180">
        <f t="shared" ca="1" si="241"/>
        <v>5.3310643530738007E-2</v>
      </c>
      <c r="G388" s="180">
        <f t="shared" ca="1" si="242"/>
        <v>5.0924860631848159E-2</v>
      </c>
      <c r="H388" s="180">
        <f t="shared" ca="1" si="243"/>
        <v>-4.8836238488690342E-3</v>
      </c>
      <c r="I388" s="180">
        <f t="shared" ca="1" si="244"/>
        <v>8.2542160455238586E-2</v>
      </c>
      <c r="J388" s="180">
        <f t="shared" ca="1" si="245"/>
        <v>5.1915108372428666E-2</v>
      </c>
      <c r="K388" s="180">
        <f t="shared" ca="1" si="246"/>
        <v>3.3357793074421702E-2</v>
      </c>
      <c r="L388" s="180">
        <f t="shared" ca="1" si="247"/>
        <v>9.586670847676745E-3</v>
      </c>
      <c r="P388">
        <f t="shared" ca="1" si="237"/>
        <v>-5.1262275935439802E-3</v>
      </c>
      <c r="Q388">
        <f t="shared" ca="1" si="236"/>
        <v>-5.3128297369515864E-3</v>
      </c>
      <c r="R388">
        <f t="shared" ca="1" si="236"/>
        <v>-7.2357159979696325E-3</v>
      </c>
      <c r="S388">
        <f t="shared" ca="1" si="236"/>
        <v>-6.4717904269225943E-3</v>
      </c>
      <c r="T388">
        <f t="shared" ca="1" si="236"/>
        <v>1.23497125027254E-2</v>
      </c>
      <c r="U388">
        <f t="shared" ca="1" si="236"/>
        <v>1.3610441957145225E-2</v>
      </c>
      <c r="V388">
        <f t="shared" ca="1" si="236"/>
        <v>8.7683337655558823E-3</v>
      </c>
      <c r="W388">
        <f t="shared" ca="1" si="236"/>
        <v>5.5926406096979426E-3</v>
      </c>
      <c r="X388">
        <f t="shared" ca="1" si="236"/>
        <v>2.4614167551111159E-2</v>
      </c>
      <c r="Y388">
        <f t="shared" ca="1" si="236"/>
        <v>3.3880743241985103E-2</v>
      </c>
      <c r="Z388">
        <f t="shared" ca="1" si="236"/>
        <v>7.7236892059296645E-3</v>
      </c>
    </row>
    <row r="389" spans="2:26" hidden="1">
      <c r="B389" s="180">
        <f>'Inflation-Interest'!G136</f>
        <v>0</v>
      </c>
      <c r="C389" s="180">
        <f t="shared" ca="1" si="238"/>
        <v>5.9831007613947301E-2</v>
      </c>
      <c r="D389" s="180">
        <f t="shared" ca="1" si="239"/>
        <v>6.2915552323496604E-2</v>
      </c>
      <c r="E389" s="180">
        <f t="shared" ca="1" si="240"/>
        <v>6.0269330585348085E-2</v>
      </c>
      <c r="F389" s="180">
        <f t="shared" ca="1" si="241"/>
        <v>3.4351534314919191E-2</v>
      </c>
      <c r="G389" s="180">
        <f t="shared" ca="1" si="242"/>
        <v>4.7085381559511155E-2</v>
      </c>
      <c r="H389" s="180">
        <f t="shared" ca="1" si="243"/>
        <v>9.8873308282867944E-2</v>
      </c>
      <c r="I389" s="180">
        <f t="shared" ca="1" si="244"/>
        <v>4.9112117482304533E-2</v>
      </c>
      <c r="J389" s="180">
        <f t="shared" ca="1" si="245"/>
        <v>2.310014792062124E-2</v>
      </c>
      <c r="K389" s="180">
        <f t="shared" ca="1" si="246"/>
        <v>3.867947454325333E-2</v>
      </c>
      <c r="L389" s="180">
        <f t="shared" ca="1" si="247"/>
        <v>5.7788211119645078E-2</v>
      </c>
      <c r="P389">
        <f t="shared" ca="1" si="237"/>
        <v>9.4341709261860883E-3</v>
      </c>
      <c r="Q389">
        <f t="shared" ca="1" si="236"/>
        <v>7.2292833916667533E-3</v>
      </c>
      <c r="R389">
        <f t="shared" ca="1" si="236"/>
        <v>4.3131438254504946E-2</v>
      </c>
      <c r="S389">
        <f t="shared" ca="1" si="236"/>
        <v>2.4382722658100649E-3</v>
      </c>
      <c r="T389">
        <f t="shared" ca="1" si="236"/>
        <v>1.5151747274374679E-2</v>
      </c>
      <c r="U389">
        <f t="shared" ca="1" si="236"/>
        <v>5.2207056461429343E-3</v>
      </c>
      <c r="V389">
        <f t="shared" ca="1" si="236"/>
        <v>3.0005269145546305E-2</v>
      </c>
      <c r="W389">
        <f t="shared" ca="1" si="236"/>
        <v>-2.2671315517688514E-5</v>
      </c>
      <c r="X389">
        <f t="shared" ca="1" si="236"/>
        <v>1.1781723650517256E-2</v>
      </c>
      <c r="Y389">
        <f t="shared" ca="1" si="236"/>
        <v>1.1771526268824909E-2</v>
      </c>
      <c r="Z389">
        <f t="shared" ca="1" si="236"/>
        <v>1.9987361675876277E-2</v>
      </c>
    </row>
    <row r="390" spans="2:26" hidden="1">
      <c r="B390" s="180">
        <f>'Inflation-Interest'!G137</f>
        <v>0</v>
      </c>
      <c r="C390" s="180">
        <f t="shared" ca="1" si="238"/>
        <v>5.7785949065948763E-2</v>
      </c>
      <c r="D390" s="180">
        <f t="shared" ca="1" si="239"/>
        <v>-7.650425310097575E-5</v>
      </c>
      <c r="E390" s="180">
        <f t="shared" ca="1" si="240"/>
        <v>5.6498265710371247E-2</v>
      </c>
      <c r="F390" s="180">
        <f t="shared" ca="1" si="241"/>
        <v>6.9565999556203906E-2</v>
      </c>
      <c r="G390" s="180">
        <f t="shared" ca="1" si="242"/>
        <v>4.6537092721554811E-2</v>
      </c>
      <c r="H390" s="180">
        <f t="shared" ca="1" si="243"/>
        <v>5.3672934286601921E-2</v>
      </c>
      <c r="I390" s="180">
        <f t="shared" ca="1" si="244"/>
        <v>6.9247194630930098E-2</v>
      </c>
      <c r="J390" s="180">
        <f t="shared" ca="1" si="245"/>
        <v>8.8622770435514781E-2</v>
      </c>
      <c r="K390" s="180">
        <f t="shared" ca="1" si="246"/>
        <v>9.1225858639654794E-2</v>
      </c>
      <c r="L390" s="180">
        <f t="shared" ca="1" si="247"/>
        <v>0.10671476328910745</v>
      </c>
      <c r="P390">
        <f t="shared" ca="1" si="237"/>
        <v>-1.0179050219510689E-3</v>
      </c>
      <c r="Q390">
        <f t="shared" ca="1" si="236"/>
        <v>2.0406414216345627E-2</v>
      </c>
      <c r="R390">
        <f t="shared" ca="1" si="236"/>
        <v>-3.4409219716003813E-3</v>
      </c>
      <c r="S390">
        <f t="shared" ca="1" si="236"/>
        <v>1.6712642958120062E-2</v>
      </c>
      <c r="T390">
        <f t="shared" ca="1" si="236"/>
        <v>1.3536544084109904E-2</v>
      </c>
      <c r="U390">
        <f t="shared" ca="1" si="236"/>
        <v>-2.5360933230991201E-3</v>
      </c>
      <c r="V390">
        <f t="shared" ca="1" si="236"/>
        <v>2.9652227122833053E-3</v>
      </c>
      <c r="W390">
        <f t="shared" ca="1" si="236"/>
        <v>-8.4519454269891946E-3</v>
      </c>
      <c r="X390">
        <f t="shared" ca="1" si="236"/>
        <v>2.4945329234343613E-2</v>
      </c>
      <c r="Y390">
        <f t="shared" ca="1" si="236"/>
        <v>8.8787847833025207E-4</v>
      </c>
      <c r="Z390">
        <f t="shared" ca="1" si="236"/>
        <v>9.0285291740187859E-3</v>
      </c>
    </row>
    <row r="391" spans="2:26" hidden="1">
      <c r="B391" s="180">
        <f>'Inflation-Interest'!G138</f>
        <v>0</v>
      </c>
      <c r="C391" s="180">
        <f t="shared" ca="1" si="238"/>
        <v>5.8042717348534625E-2</v>
      </c>
      <c r="D391" s="180">
        <f t="shared" ca="1" si="239"/>
        <v>7.3124291243257811E-2</v>
      </c>
      <c r="E391" s="180">
        <f t="shared" ca="1" si="240"/>
        <v>3.0793867442678216E-2</v>
      </c>
      <c r="F391" s="180">
        <f t="shared" ca="1" si="241"/>
        <v>8.5861184600928245E-2</v>
      </c>
      <c r="G391" s="180">
        <f t="shared" ca="1" si="242"/>
        <v>6.5561607798475016E-2</v>
      </c>
      <c r="H391" s="180">
        <f t="shared" ca="1" si="243"/>
        <v>0.1116028407401761</v>
      </c>
      <c r="I391" s="180">
        <f t="shared" ca="1" si="244"/>
        <v>7.2807517840240019E-2</v>
      </c>
      <c r="J391" s="180">
        <f t="shared" ca="1" si="245"/>
        <v>4.2045050904602381E-3</v>
      </c>
      <c r="K391" s="180">
        <f t="shared" ca="1" si="246"/>
        <v>-4.5673203736116882E-3</v>
      </c>
      <c r="L391" s="180">
        <f t="shared" ca="1" si="247"/>
        <v>4.0411439179320302E-2</v>
      </c>
      <c r="P391">
        <f t="shared" ca="1" si="237"/>
        <v>1.7749936956346104E-2</v>
      </c>
      <c r="Q391">
        <f t="shared" ca="1" si="236"/>
        <v>1.3436037739542731E-2</v>
      </c>
      <c r="R391">
        <f t="shared" ca="1" si="236"/>
        <v>5.3186556124222659E-3</v>
      </c>
      <c r="S391">
        <f t="shared" ca="1" si="236"/>
        <v>-1.1178486024899353E-2</v>
      </c>
      <c r="T391">
        <f t="shared" ca="1" si="236"/>
        <v>1.2319369702607514E-3</v>
      </c>
      <c r="U391">
        <f t="shared" ca="1" si="236"/>
        <v>1.7006875146513927E-2</v>
      </c>
      <c r="V391">
        <f t="shared" ca="1" si="236"/>
        <v>2.656198871982534E-2</v>
      </c>
      <c r="W391">
        <f t="shared" ca="1" si="236"/>
        <v>8.3924483434372511E-3</v>
      </c>
      <c r="X391">
        <f t="shared" ca="1" si="236"/>
        <v>-3.049741144636707E-4</v>
      </c>
      <c r="Y391">
        <f t="shared" ca="1" si="236"/>
        <v>1.1674522286603603E-2</v>
      </c>
      <c r="Z391">
        <f t="shared" ca="1" si="236"/>
        <v>5.6154913270723842E-3</v>
      </c>
    </row>
    <row r="392" spans="2:26" hidden="1">
      <c r="B392" s="180">
        <f>'Inflation-Interest'!G139</f>
        <v>0</v>
      </c>
      <c r="C392" s="180">
        <f t="shared" ca="1" si="238"/>
        <v>8.5931959089666776E-2</v>
      </c>
      <c r="D392" s="180">
        <f t="shared" ca="1" si="239"/>
        <v>0.10834608581902785</v>
      </c>
      <c r="E392" s="180">
        <f t="shared" ca="1" si="240"/>
        <v>8.7712380082444613E-2</v>
      </c>
      <c r="F392" s="180">
        <f t="shared" ca="1" si="241"/>
        <v>7.0993019396138932E-2</v>
      </c>
      <c r="G392" s="180">
        <f t="shared" ca="1" si="242"/>
        <v>6.4892494815409082E-2</v>
      </c>
      <c r="H392" s="180">
        <f t="shared" ca="1" si="243"/>
        <v>6.8948019017475839E-2</v>
      </c>
      <c r="I392" s="180">
        <f t="shared" ca="1" si="244"/>
        <v>0.10155835002663986</v>
      </c>
      <c r="J392" s="180">
        <f t="shared" ca="1" si="245"/>
        <v>6.7872365924784905E-2</v>
      </c>
      <c r="K392" s="180">
        <f t="shared" ca="1" si="246"/>
        <v>7.9068497965867013E-2</v>
      </c>
      <c r="L392" s="180">
        <f t="shared" ca="1" si="247"/>
        <v>6.582158664390915E-2</v>
      </c>
      <c r="P392">
        <f t="shared" ca="1" si="237"/>
        <v>1.9615905486826766E-3</v>
      </c>
      <c r="Q392">
        <f t="shared" ca="1" si="236"/>
        <v>3.7603834519307142E-3</v>
      </c>
      <c r="R392">
        <f t="shared" ca="1" si="236"/>
        <v>4.9259384714112314E-2</v>
      </c>
      <c r="S392">
        <f t="shared" ca="1" si="236"/>
        <v>1.9528054968683688E-2</v>
      </c>
      <c r="T392">
        <f t="shared" ca="1" si="236"/>
        <v>1.4345692836866663E-3</v>
      </c>
      <c r="U392">
        <f t="shared" ca="1" si="236"/>
        <v>-1.0839997221257775E-2</v>
      </c>
      <c r="V392">
        <f t="shared" ca="1" si="236"/>
        <v>1.0716111307379447E-2</v>
      </c>
      <c r="W392">
        <f t="shared" ca="1" si="236"/>
        <v>2.2064718069153791E-2</v>
      </c>
      <c r="X392">
        <f t="shared" ca="1" si="236"/>
        <v>-5.0971067490425282E-3</v>
      </c>
      <c r="Y392">
        <f t="shared" ca="1" si="236"/>
        <v>1.8499754073960685E-3</v>
      </c>
      <c r="Z392">
        <f t="shared" ca="1" si="236"/>
        <v>1.1528437244965987E-3</v>
      </c>
    </row>
    <row r="393" spans="2:26" hidden="1">
      <c r="B393" s="180">
        <f>'Inflation-Interest'!G140</f>
        <v>0</v>
      </c>
      <c r="C393" s="180">
        <f t="shared" ca="1" si="238"/>
        <v>0.11251009447181569</v>
      </c>
      <c r="D393" s="180">
        <f t="shared" ca="1" si="239"/>
        <v>0.10859938986721675</v>
      </c>
      <c r="E393" s="180">
        <f t="shared" ca="1" si="240"/>
        <v>9.1348752193035551E-2</v>
      </c>
      <c r="F393" s="180">
        <f t="shared" ca="1" si="241"/>
        <v>0.12601145990380419</v>
      </c>
      <c r="G393" s="180">
        <f t="shared" ca="1" si="242"/>
        <v>0.13784047883927369</v>
      </c>
      <c r="H393" s="180">
        <f t="shared" ca="1" si="243"/>
        <v>0.11684495351110709</v>
      </c>
      <c r="I393" s="180">
        <f t="shared" ca="1" si="244"/>
        <v>9.6144576644286009E-2</v>
      </c>
      <c r="J393" s="180">
        <f t="shared" ca="1" si="245"/>
        <v>0.12881066534846056</v>
      </c>
      <c r="K393" s="180">
        <f t="shared" ca="1" si="246"/>
        <v>0.1011283132514718</v>
      </c>
      <c r="L393" s="180">
        <f t="shared" ca="1" si="247"/>
        <v>0.12637272655604334</v>
      </c>
      <c r="P393">
        <f t="shared" ca="1" si="237"/>
        <v>1.5290391164839547E-2</v>
      </c>
      <c r="Q393">
        <f t="shared" ca="1" si="236"/>
        <v>1.2645361956889489E-2</v>
      </c>
      <c r="R393">
        <f t="shared" ca="1" si="236"/>
        <v>4.3499768199112571E-3</v>
      </c>
      <c r="S393">
        <f t="shared" ca="1" si="236"/>
        <v>-5.725146768427768E-3</v>
      </c>
      <c r="T393">
        <f t="shared" ca="1" si="236"/>
        <v>2.0865316578189397E-2</v>
      </c>
      <c r="U393">
        <f t="shared" ca="1" si="236"/>
        <v>1.0626025524460537E-2</v>
      </c>
      <c r="V393">
        <f t="shared" ca="1" si="236"/>
        <v>2.7877595229406693E-2</v>
      </c>
      <c r="W393">
        <f t="shared" ca="1" si="236"/>
        <v>1.9486073803027526E-2</v>
      </c>
      <c r="X393">
        <f t="shared" ca="1" si="236"/>
        <v>1.1912559826428637E-2</v>
      </c>
      <c r="Y393">
        <f t="shared" ca="1" si="236"/>
        <v>-1.1473062455176227E-2</v>
      </c>
      <c r="Z393">
        <f t="shared" ca="1" si="236"/>
        <v>1.7806655436646932E-2</v>
      </c>
    </row>
    <row r="394" spans="2:26" hidden="1">
      <c r="B394" s="180">
        <f>'Inflation-Interest'!G141</f>
        <v>0</v>
      </c>
      <c r="C394" s="180">
        <f t="shared" ca="1" si="238"/>
        <v>7.6800367445571727E-2</v>
      </c>
      <c r="D394" s="180">
        <f t="shared" ca="1" si="239"/>
        <v>7.2221903143878316E-2</v>
      </c>
      <c r="E394" s="180">
        <f t="shared" ca="1" si="240"/>
        <v>7.490081229925985E-2</v>
      </c>
      <c r="F394" s="180">
        <f t="shared" ca="1" si="241"/>
        <v>0.10250702043473492</v>
      </c>
      <c r="G394" s="180">
        <f t="shared" ca="1" si="242"/>
        <v>0.11165915785332231</v>
      </c>
      <c r="H394" s="180">
        <f t="shared" ca="1" si="243"/>
        <v>0.13123952739619185</v>
      </c>
      <c r="I394" s="180">
        <f t="shared" ca="1" si="244"/>
        <v>7.0714880205343444E-2</v>
      </c>
      <c r="J394" s="180">
        <f t="shared" ca="1" si="245"/>
        <v>8.8695128150201585E-2</v>
      </c>
      <c r="K394" s="180">
        <f t="shared" ca="1" si="246"/>
        <v>6.8788015293189411E-2</v>
      </c>
      <c r="L394" s="180">
        <f t="shared" ca="1" si="247"/>
        <v>5.0476285683599943E-2</v>
      </c>
      <c r="P394">
        <f t="shared" ca="1" si="237"/>
        <v>-3.8627354794050148E-3</v>
      </c>
      <c r="Q394">
        <f t="shared" ca="1" si="236"/>
        <v>2.3009580879756349E-2</v>
      </c>
      <c r="R394">
        <f t="shared" ca="1" si="236"/>
        <v>1.7382865477448339E-2</v>
      </c>
      <c r="S394">
        <f t="shared" ca="1" si="236"/>
        <v>-1.7552085367664491E-2</v>
      </c>
      <c r="T394">
        <f t="shared" ca="1" si="236"/>
        <v>1.2067273871995117E-2</v>
      </c>
      <c r="U394">
        <f t="shared" ca="1" si="236"/>
        <v>2.4267211801156475E-2</v>
      </c>
      <c r="V394">
        <f t="shared" ca="1" si="236"/>
        <v>1.584918810634629E-2</v>
      </c>
      <c r="W394">
        <f t="shared" ca="1" si="236"/>
        <v>-5.9173133902619083E-3</v>
      </c>
      <c r="X394">
        <f t="shared" ca="1" si="236"/>
        <v>1.4193103991717363E-2</v>
      </c>
      <c r="Y394">
        <f t="shared" ca="1" si="236"/>
        <v>1.3872402258516917E-2</v>
      </c>
      <c r="Z394">
        <f t="shared" ca="1" si="236"/>
        <v>-2.4665456623972019E-3</v>
      </c>
    </row>
    <row r="395" spans="2:26" hidden="1">
      <c r="B395" s="180">
        <f>'Inflation-Interest'!G142</f>
        <v>0</v>
      </c>
      <c r="C395" s="180">
        <f t="shared" ca="1" si="238"/>
        <v>0.10807083293291379</v>
      </c>
      <c r="D395" s="180">
        <f t="shared" ca="1" si="239"/>
        <v>7.3458462869088359E-2</v>
      </c>
      <c r="E395" s="180">
        <f t="shared" ca="1" si="240"/>
        <v>0.14290236881347601</v>
      </c>
      <c r="F395" s="180">
        <f t="shared" ca="1" si="241"/>
        <v>0.14319743229001125</v>
      </c>
      <c r="G395" s="180">
        <f t="shared" ca="1" si="242"/>
        <v>0.13321366940075435</v>
      </c>
      <c r="H395" s="180">
        <f t="shared" ca="1" si="243"/>
        <v>0.22433666698673504</v>
      </c>
      <c r="I395" s="180">
        <f t="shared" ca="1" si="244"/>
        <v>0.18387343200698922</v>
      </c>
      <c r="J395" s="180">
        <f t="shared" ca="1" si="245"/>
        <v>0.15138878299236935</v>
      </c>
      <c r="K395" s="180">
        <f t="shared" ca="1" si="246"/>
        <v>0.16797665091428002</v>
      </c>
      <c r="L395" s="180">
        <f t="shared" ca="1" si="247"/>
        <v>0.14149965063093847</v>
      </c>
      <c r="P395">
        <f t="shared" ca="1" si="237"/>
        <v>2.744366420756722E-2</v>
      </c>
      <c r="Q395">
        <f t="shared" ca="1" si="236"/>
        <v>2.0891719806620773E-2</v>
      </c>
      <c r="R395">
        <f t="shared" ca="1" si="236"/>
        <v>-1.7644083569679891E-2</v>
      </c>
      <c r="S395">
        <f t="shared" ca="1" si="236"/>
        <v>8.1833367801466272E-4</v>
      </c>
      <c r="T395">
        <f t="shared" ca="1" si="236"/>
        <v>9.0958345157103604E-4</v>
      </c>
      <c r="U395">
        <f t="shared" ca="1" si="236"/>
        <v>-2.3908424037958322E-2</v>
      </c>
      <c r="V395">
        <f t="shared" ca="1" si="236"/>
        <v>1.9471663600328544E-2</v>
      </c>
      <c r="W395">
        <f t="shared" ca="1" si="236"/>
        <v>1.8886526068462882E-2</v>
      </c>
      <c r="X395">
        <f t="shared" ca="1" si="236"/>
        <v>-2.9076177343932575E-3</v>
      </c>
      <c r="Y395">
        <f t="shared" ca="1" si="236"/>
        <v>8.8916036321655123E-3</v>
      </c>
      <c r="Z395">
        <f t="shared" ca="1" si="236"/>
        <v>1.8158537299417712E-3</v>
      </c>
    </row>
    <row r="396" spans="2:26" hidden="1">
      <c r="B396" s="180">
        <f>'Inflation-Interest'!G143</f>
        <v>0</v>
      </c>
      <c r="C396" s="180">
        <f t="shared" ca="1" si="238"/>
        <v>5.8358625243904692E-3</v>
      </c>
      <c r="D396" s="180">
        <f t="shared" ca="1" si="239"/>
        <v>2.2073737355980304E-2</v>
      </c>
      <c r="E396" s="180">
        <f t="shared" ca="1" si="240"/>
        <v>-4.2142421183020071E-3</v>
      </c>
      <c r="F396" s="180">
        <f t="shared" ca="1" si="241"/>
        <v>3.4155512454769138E-2</v>
      </c>
      <c r="G396" s="180">
        <f t="shared" ca="1" si="242"/>
        <v>1.0065124261520533E-2</v>
      </c>
      <c r="H396" s="180">
        <f t="shared" ca="1" si="243"/>
        <v>1.1698515490119871E-2</v>
      </c>
      <c r="I396" s="180">
        <f t="shared" ca="1" si="244"/>
        <v>-2.2458663905089153E-2</v>
      </c>
      <c r="J396" s="180">
        <f t="shared" ca="1" si="245"/>
        <v>-1.1464965197375446E-2</v>
      </c>
      <c r="K396" s="180">
        <f t="shared" ca="1" si="246"/>
        <v>-2.9713818254509063E-2</v>
      </c>
      <c r="L396" s="180">
        <f t="shared" ca="1" si="247"/>
        <v>-2.6418438366078122E-3</v>
      </c>
      <c r="P396">
        <f t="shared" ca="1" si="237"/>
        <v>-3.5276882359696303E-4</v>
      </c>
      <c r="Q396">
        <f t="shared" ca="1" si="236"/>
        <v>-6.0365839072693515E-4</v>
      </c>
      <c r="R396">
        <f t="shared" ca="1" si="236"/>
        <v>1.3132971578712127E-2</v>
      </c>
      <c r="S396">
        <f t="shared" ca="1" si="236"/>
        <v>-3.606790451859257E-3</v>
      </c>
      <c r="T396">
        <f t="shared" ca="1" si="236"/>
        <v>2.6735064680816371E-2</v>
      </c>
      <c r="U396">
        <f t="shared" ca="1" si="236"/>
        <v>1.1300156719830525E-2</v>
      </c>
      <c r="V396">
        <f t="shared" ca="1" si="236"/>
        <v>1.4821163279011996E-2</v>
      </c>
      <c r="W396">
        <f t="shared" ca="1" si="236"/>
        <v>1.6162879918493848E-2</v>
      </c>
      <c r="X396">
        <f t="shared" ca="1" si="236"/>
        <v>1.729857947546503E-2</v>
      </c>
      <c r="Y396">
        <f t="shared" ca="1" si="236"/>
        <v>1.5600115706967059E-2</v>
      </c>
      <c r="Z396">
        <f t="shared" ca="1" si="236"/>
        <v>1.4578174406749078E-2</v>
      </c>
    </row>
    <row r="397" spans="2:26" hidden="1">
      <c r="B397" s="180">
        <f>'Inflation-Interest'!G144</f>
        <v>0</v>
      </c>
      <c r="C397" s="180">
        <f t="shared" ca="1" si="238"/>
        <v>8.600038419984854E-2</v>
      </c>
      <c r="D397" s="180">
        <f t="shared" ca="1" si="239"/>
        <v>0.11971500597236467</v>
      </c>
      <c r="E397" s="180">
        <f t="shared" ca="1" si="240"/>
        <v>5.9439977738710514E-2</v>
      </c>
      <c r="F397" s="180">
        <f t="shared" ca="1" si="241"/>
        <v>9.4507235084658858E-2</v>
      </c>
      <c r="G397" s="180">
        <f t="shared" ca="1" si="242"/>
        <v>0.13797577947285608</v>
      </c>
      <c r="H397" s="180">
        <f t="shared" ca="1" si="243"/>
        <v>8.6307957069742924E-2</v>
      </c>
      <c r="I397" s="180">
        <f t="shared" ca="1" si="244"/>
        <v>7.6898226229765054E-2</v>
      </c>
      <c r="J397" s="180">
        <f t="shared" ca="1" si="245"/>
        <v>3.6603999725486926E-2</v>
      </c>
      <c r="K397" s="180">
        <f t="shared" ca="1" si="246"/>
        <v>3.6949663749555137E-3</v>
      </c>
      <c r="L397" s="180">
        <f t="shared" ca="1" si="247"/>
        <v>8.1015719844167E-2</v>
      </c>
      <c r="P397">
        <f t="shared" ca="1" si="237"/>
        <v>2.4270174744234457E-2</v>
      </c>
      <c r="Q397">
        <f t="shared" ca="1" si="236"/>
        <v>9.8004448265248366E-3</v>
      </c>
      <c r="R397">
        <f t="shared" ca="1" si="236"/>
        <v>1.65254251476947E-2</v>
      </c>
      <c r="S397">
        <f t="shared" ca="1" si="236"/>
        <v>1.1787233629428195E-2</v>
      </c>
      <c r="T397">
        <f t="shared" ca="1" si="236"/>
        <v>2.3102439518569461E-2</v>
      </c>
      <c r="U397">
        <f t="shared" ca="1" si="236"/>
        <v>1.2312705372049954E-2</v>
      </c>
      <c r="V397">
        <f t="shared" ca="1" si="236"/>
        <v>1.714179442733204E-2</v>
      </c>
      <c r="W397">
        <f t="shared" ca="1" si="236"/>
        <v>3.4965516447527302E-2</v>
      </c>
      <c r="X397">
        <f t="shared" ca="1" si="236"/>
        <v>1.4514659337489549E-2</v>
      </c>
      <c r="Y397">
        <f t="shared" ca="1" si="236"/>
        <v>1.0624116663653373E-2</v>
      </c>
      <c r="Z397">
        <f t="shared" ca="1" si="236"/>
        <v>1.4212908107227841E-2</v>
      </c>
    </row>
    <row r="398" spans="2:26" hidden="1">
      <c r="B398" s="180">
        <f>'Inflation-Interest'!G145</f>
        <v>0</v>
      </c>
      <c r="C398" s="180">
        <f t="shared" ca="1" si="238"/>
        <v>-3.2733673659694339E-2</v>
      </c>
      <c r="D398" s="180">
        <f t="shared" ca="1" si="239"/>
        <v>7.8223193166628846E-2</v>
      </c>
      <c r="E398" s="180">
        <f t="shared" ca="1" si="240"/>
        <v>1.7754154656972779E-2</v>
      </c>
      <c r="F398" s="180">
        <f t="shared" ca="1" si="241"/>
        <v>1.4685275755232909E-2</v>
      </c>
      <c r="G398" s="180">
        <f t="shared" ca="1" si="242"/>
        <v>1.4001292917974577E-2</v>
      </c>
      <c r="H398" s="180">
        <f t="shared" ca="1" si="243"/>
        <v>1.3141653709971399E-2</v>
      </c>
      <c r="I398" s="180">
        <f t="shared" ca="1" si="244"/>
        <v>4.703712861219158E-2</v>
      </c>
      <c r="J398" s="180">
        <f t="shared" ca="1" si="245"/>
        <v>4.5251720576032203E-2</v>
      </c>
      <c r="K398" s="180">
        <f t="shared" ca="1" si="246"/>
        <v>4.2719766915802967E-2</v>
      </c>
      <c r="L398" s="180">
        <f t="shared" ca="1" si="247"/>
        <v>6.9686020651946335E-3</v>
      </c>
      <c r="P398">
        <f t="shared" ca="1" si="237"/>
        <v>1.7403294233024662E-2</v>
      </c>
      <c r="Q398">
        <f t="shared" ca="1" si="236"/>
        <v>-3.7108226189818978E-3</v>
      </c>
      <c r="R398">
        <f t="shared" ca="1" si="236"/>
        <v>6.9113498810991561E-3</v>
      </c>
      <c r="S398">
        <f t="shared" ca="1" si="236"/>
        <v>1.3435190590442582E-2</v>
      </c>
      <c r="T398">
        <f t="shared" ca="1" si="236"/>
        <v>-1.1812039221135023E-3</v>
      </c>
      <c r="U398">
        <f t="shared" ca="1" si="236"/>
        <v>-8.9961907594657102E-4</v>
      </c>
      <c r="V398">
        <f t="shared" ca="1" si="236"/>
        <v>1.6076287733414477E-2</v>
      </c>
      <c r="W398">
        <f t="shared" ca="1" si="236"/>
        <v>2.6426400506096934E-2</v>
      </c>
      <c r="X398">
        <f t="shared" ca="1" si="236"/>
        <v>-1.3051004210885165E-3</v>
      </c>
      <c r="Y398">
        <f t="shared" ca="1" si="236"/>
        <v>-1.1101316447551315E-4</v>
      </c>
      <c r="Z398">
        <f t="shared" ca="1" si="236"/>
        <v>1.8825980018980497E-2</v>
      </c>
    </row>
    <row r="399" spans="2:26" hidden="1">
      <c r="B399" s="180">
        <f>'Inflation-Interest'!G146</f>
        <v>0</v>
      </c>
      <c r="C399" s="180">
        <f t="shared" ca="1" si="238"/>
        <v>8.4454143480924809E-2</v>
      </c>
      <c r="D399" s="180">
        <f t="shared" ca="1" si="239"/>
        <v>0.12211142055434482</v>
      </c>
      <c r="E399" s="180">
        <f t="shared" ca="1" si="240"/>
        <v>8.412640299887339E-2</v>
      </c>
      <c r="F399" s="180">
        <f t="shared" ca="1" si="241"/>
        <v>6.2839946206132702E-2</v>
      </c>
      <c r="G399" s="180">
        <f t="shared" ca="1" si="242"/>
        <v>0.12122823946831193</v>
      </c>
      <c r="H399" s="180">
        <f t="shared" ca="1" si="243"/>
        <v>0.13978390307762856</v>
      </c>
      <c r="I399" s="180">
        <f t="shared" ca="1" si="244"/>
        <v>9.934877728292843E-2</v>
      </c>
      <c r="J399" s="180">
        <f t="shared" ca="1" si="245"/>
        <v>9.7499352686197679E-2</v>
      </c>
      <c r="K399" s="180">
        <f t="shared" ca="1" si="246"/>
        <v>0.17884681044361031</v>
      </c>
      <c r="L399" s="180">
        <f t="shared" ca="1" si="247"/>
        <v>9.0945365093511435E-2</v>
      </c>
      <c r="P399">
        <f t="shared" ca="1" si="237"/>
        <v>-9.6161837455717002E-3</v>
      </c>
      <c r="Q399">
        <f t="shared" ca="1" si="236"/>
        <v>-2.6547354929686365E-3</v>
      </c>
      <c r="R399">
        <f t="shared" ca="1" si="236"/>
        <v>1.1503463548072536E-2</v>
      </c>
      <c r="S399">
        <f t="shared" ca="1" si="236"/>
        <v>1.8777265429340308E-2</v>
      </c>
      <c r="T399">
        <f t="shared" ca="1" si="236"/>
        <v>2.3559315872359154E-2</v>
      </c>
      <c r="U399">
        <f t="shared" ca="1" si="236"/>
        <v>1.3266904690151524E-2</v>
      </c>
      <c r="V399">
        <f t="shared" ca="1" si="236"/>
        <v>2.0122771360180574E-2</v>
      </c>
      <c r="W399">
        <f t="shared" ca="1" si="236"/>
        <v>3.1451092717508761E-2</v>
      </c>
      <c r="X399">
        <f t="shared" ca="1" si="236"/>
        <v>1.0703284972464443E-3</v>
      </c>
      <c r="Y399">
        <f t="shared" ca="1" si="236"/>
        <v>1.7282522843774434E-2</v>
      </c>
      <c r="Z399">
        <f t="shared" ca="1" si="236"/>
        <v>1.5045049275937278E-3</v>
      </c>
    </row>
    <row r="400" spans="2:26" hidden="1">
      <c r="B400" s="180">
        <f>'Inflation-Interest'!G147</f>
        <v>0</v>
      </c>
      <c r="C400" s="180">
        <f t="shared" ca="1" si="238"/>
        <v>5.5028553591380484E-3</v>
      </c>
      <c r="D400" s="180">
        <f t="shared" ca="1" si="239"/>
        <v>9.2224877052049112E-2</v>
      </c>
      <c r="E400" s="180">
        <f t="shared" ca="1" si="240"/>
        <v>2.8418272923852777E-2</v>
      </c>
      <c r="F400" s="180">
        <f t="shared" ca="1" si="241"/>
        <v>-8.4610833783883618E-3</v>
      </c>
      <c r="G400" s="180">
        <f t="shared" ca="1" si="242"/>
        <v>-1.1779193701607713E-3</v>
      </c>
      <c r="H400" s="180">
        <f t="shared" ca="1" si="243"/>
        <v>2.6987267191423296E-2</v>
      </c>
      <c r="I400" s="180">
        <f t="shared" ca="1" si="244"/>
        <v>-5.1689036738689249E-2</v>
      </c>
      <c r="J400" s="180">
        <f t="shared" ca="1" si="245"/>
        <v>7.9842474144998926E-3</v>
      </c>
      <c r="K400" s="180">
        <f t="shared" ca="1" si="246"/>
        <v>-4.639528200877046E-2</v>
      </c>
      <c r="L400" s="180">
        <f t="shared" ca="1" si="247"/>
        <v>-2.7657172163110789E-2</v>
      </c>
      <c r="P400">
        <f t="shared" ca="1" si="237"/>
        <v>6.131708863892883E-3</v>
      </c>
      <c r="Q400">
        <f t="shared" ca="1" si="236"/>
        <v>3.0082163568346393E-4</v>
      </c>
      <c r="R400">
        <f t="shared" ca="1" si="236"/>
        <v>6.7667973703661325E-3</v>
      </c>
      <c r="S400">
        <f t="shared" ca="1" si="236"/>
        <v>6.8621600059058522E-3</v>
      </c>
      <c r="T400">
        <f t="shared" ca="1" si="236"/>
        <v>-2.8623773338462642E-3</v>
      </c>
      <c r="U400">
        <f t="shared" ca="1" si="236"/>
        <v>-5.7975248652291454E-3</v>
      </c>
      <c r="V400">
        <f t="shared" ca="1" si="236"/>
        <v>1.2524288390609872E-3</v>
      </c>
      <c r="W400">
        <f t="shared" ca="1" si="236"/>
        <v>-1.8126391685375377E-3</v>
      </c>
      <c r="X400">
        <f t="shared" ca="1" si="236"/>
        <v>2.6391572201842274E-2</v>
      </c>
      <c r="Y400">
        <f t="shared" ca="1" si="236"/>
        <v>-4.8514813698901909E-3</v>
      </c>
      <c r="Z400">
        <f t="shared" ca="1" si="236"/>
        <v>1.6616974652787206E-2</v>
      </c>
    </row>
    <row r="401" spans="2:26" hidden="1">
      <c r="B401" s="180">
        <f>'Inflation-Interest'!G148</f>
        <v>0</v>
      </c>
      <c r="C401" s="180">
        <f t="shared" ca="1" si="238"/>
        <v>6.4703221006110423E-2</v>
      </c>
      <c r="D401" s="180">
        <f t="shared" ca="1" si="239"/>
        <v>9.9501233380289544E-2</v>
      </c>
      <c r="E401" s="180">
        <f t="shared" ca="1" si="240"/>
        <v>5.7132237568472313E-2</v>
      </c>
      <c r="F401" s="180">
        <f t="shared" ca="1" si="241"/>
        <v>-4.8796917825902168E-4</v>
      </c>
      <c r="G401" s="180">
        <f t="shared" ca="1" si="242"/>
        <v>6.1223229298253704E-2</v>
      </c>
      <c r="H401" s="180">
        <f t="shared" ca="1" si="243"/>
        <v>8.1347741350972891E-2</v>
      </c>
      <c r="I401" s="180">
        <f t="shared" ca="1" si="244"/>
        <v>2.8967396060145638E-2</v>
      </c>
      <c r="J401" s="180">
        <f t="shared" ca="1" si="245"/>
        <v>1.9252593408726676E-2</v>
      </c>
      <c r="K401" s="180">
        <f t="shared" ca="1" si="246"/>
        <v>2.2806230586272791E-3</v>
      </c>
      <c r="L401" s="180">
        <f t="shared" ca="1" si="247"/>
        <v>7.8879454181440684E-2</v>
      </c>
      <c r="P401">
        <f t="shared" ca="1" si="237"/>
        <v>1.3599171559586811E-2</v>
      </c>
      <c r="Q401">
        <f t="shared" ca="1" si="236"/>
        <v>2.2994248607660063E-2</v>
      </c>
      <c r="R401">
        <f t="shared" ca="1" si="236"/>
        <v>2.1956790362758008E-2</v>
      </c>
      <c r="S401">
        <f t="shared" ca="1" si="236"/>
        <v>1.7861007222096995E-2</v>
      </c>
      <c r="T401">
        <f t="shared" ca="1" si="236"/>
        <v>9.0305919471638154E-3</v>
      </c>
      <c r="U401">
        <f t="shared" ca="1" si="236"/>
        <v>1.869767321123815E-2</v>
      </c>
      <c r="V401">
        <f t="shared" ca="1" si="236"/>
        <v>1.1336726537506874E-2</v>
      </c>
      <c r="W401">
        <f t="shared" ca="1" si="236"/>
        <v>2.3283533087258858E-2</v>
      </c>
      <c r="X401">
        <f t="shared" ca="1" si="236"/>
        <v>2.7000823512195946E-3</v>
      </c>
      <c r="Y401">
        <f t="shared" ca="1" si="236"/>
        <v>1.363396319626509E-2</v>
      </c>
      <c r="Z401">
        <f t="shared" ca="1" si="236"/>
        <v>1.9228072020840072E-2</v>
      </c>
    </row>
    <row r="402" spans="2:26" hidden="1">
      <c r="B402" s="180">
        <f>'Inflation-Interest'!G149</f>
        <v>0</v>
      </c>
      <c r="C402" s="180">
        <f t="shared" ca="1" si="238"/>
        <v>0.10357038901205405</v>
      </c>
      <c r="D402" s="180">
        <f t="shared" ca="1" si="239"/>
        <v>0.14756313911285746</v>
      </c>
      <c r="E402" s="180">
        <f t="shared" ca="1" si="240"/>
        <v>0.1036432150643609</v>
      </c>
      <c r="F402" s="180">
        <f t="shared" ca="1" si="241"/>
        <v>0.10342993128764552</v>
      </c>
      <c r="G402" s="180">
        <f t="shared" ca="1" si="242"/>
        <v>0.1379829846999745</v>
      </c>
      <c r="H402" s="180">
        <f t="shared" ca="1" si="243"/>
        <v>0.13107637095921046</v>
      </c>
      <c r="I402" s="180">
        <f t="shared" ca="1" si="244"/>
        <v>0.1005125745305902</v>
      </c>
      <c r="J402" s="180">
        <f t="shared" ca="1" si="245"/>
        <v>0.17576894359931067</v>
      </c>
      <c r="K402" s="180">
        <f t="shared" ca="1" si="246"/>
        <v>0.17343963403614845</v>
      </c>
      <c r="L402" s="180">
        <f t="shared" ca="1" si="247"/>
        <v>0.15729317088281758</v>
      </c>
      <c r="P402">
        <f t="shared" ca="1" si="237"/>
        <v>3.7405588612912571E-2</v>
      </c>
      <c r="Q402">
        <f t="shared" ca="1" si="236"/>
        <v>4.5242685113119239E-3</v>
      </c>
      <c r="R402">
        <f t="shared" ca="1" si="236"/>
        <v>2.4604028623671361E-2</v>
      </c>
      <c r="S402">
        <f t="shared" ca="1" si="236"/>
        <v>1.9809300902658308E-2</v>
      </c>
      <c r="T402">
        <f t="shared" ca="1" si="236"/>
        <v>3.3120367450209909E-2</v>
      </c>
      <c r="U402">
        <f t="shared" ca="1" si="236"/>
        <v>1.2017369922517521E-2</v>
      </c>
      <c r="V402">
        <f t="shared" ca="1" si="236"/>
        <v>1.1741718765809895E-2</v>
      </c>
      <c r="W402">
        <f t="shared" ref="Q402:Z420" ca="1" si="248">_xlfn.NORM.INV(RAND(), $B$12, $B$13)</f>
        <v>9.4352736017235886E-3</v>
      </c>
      <c r="X402">
        <f t="shared" ca="1" si="248"/>
        <v>9.8756125532725881E-3</v>
      </c>
      <c r="Y402">
        <f t="shared" ca="1" si="248"/>
        <v>4.121575623829918E-3</v>
      </c>
      <c r="Z402">
        <f t="shared" ca="1" si="248"/>
        <v>2.3492798725750729E-2</v>
      </c>
    </row>
    <row r="403" spans="2:26" hidden="1">
      <c r="B403" s="180">
        <f>'Inflation-Interest'!G150</f>
        <v>0</v>
      </c>
      <c r="C403" s="180">
        <f t="shared" ca="1" si="238"/>
        <v>4.3309649067176194E-2</v>
      </c>
      <c r="D403" s="180">
        <f t="shared" ca="1" si="239"/>
        <v>5.9232215612371839E-2</v>
      </c>
      <c r="E403" s="180">
        <f t="shared" ca="1" si="240"/>
        <v>4.8383335825896379E-2</v>
      </c>
      <c r="F403" s="180">
        <f t="shared" ca="1" si="241"/>
        <v>0.1020002994141867</v>
      </c>
      <c r="G403" s="180">
        <f t="shared" ca="1" si="242"/>
        <v>0.12381464390961458</v>
      </c>
      <c r="H403" s="180">
        <f t="shared" ca="1" si="243"/>
        <v>9.6579946352335619E-2</v>
      </c>
      <c r="I403" s="180">
        <f t="shared" ca="1" si="244"/>
        <v>0.11603417435308336</v>
      </c>
      <c r="J403" s="180">
        <f t="shared" ca="1" si="245"/>
        <v>0.14093725615718594</v>
      </c>
      <c r="K403" s="180">
        <f t="shared" ca="1" si="246"/>
        <v>9.1735994916494853E-2</v>
      </c>
      <c r="L403" s="180">
        <f t="shared" ca="1" si="247"/>
        <v>0.10834893409071758</v>
      </c>
      <c r="P403">
        <f t="shared" ca="1" si="237"/>
        <v>1.2060703041823773E-3</v>
      </c>
      <c r="Q403">
        <f t="shared" ca="1" si="248"/>
        <v>8.4572531644170213E-3</v>
      </c>
      <c r="R403">
        <f t="shared" ca="1" si="248"/>
        <v>1.6269651799162052E-2</v>
      </c>
      <c r="S403">
        <f t="shared" ca="1" si="248"/>
        <v>-1.0624992421006656E-3</v>
      </c>
      <c r="T403">
        <f t="shared" ca="1" si="248"/>
        <v>2.9104119298337026E-2</v>
      </c>
      <c r="U403">
        <f t="shared" ca="1" si="248"/>
        <v>1.6448482499799525E-2</v>
      </c>
      <c r="V403">
        <f t="shared" ca="1" si="248"/>
        <v>6.4082031602016318E-3</v>
      </c>
      <c r="W403">
        <f t="shared" ca="1" si="248"/>
        <v>3.5737790650188339E-2</v>
      </c>
      <c r="X403">
        <f t="shared" ca="1" si="248"/>
        <v>1.4935506042369083E-2</v>
      </c>
      <c r="Y403">
        <f t="shared" ca="1" si="248"/>
        <v>2.7015162176310309E-2</v>
      </c>
      <c r="Z403">
        <f t="shared" ca="1" si="248"/>
        <v>2.6779701456841588E-2</v>
      </c>
    </row>
    <row r="404" spans="2:26" hidden="1">
      <c r="B404" s="180">
        <f>'Inflation-Interest'!G151</f>
        <v>0</v>
      </c>
      <c r="C404" s="180">
        <f t="shared" ca="1" si="238"/>
        <v>6.0297045631242233E-2</v>
      </c>
      <c r="D404" s="180">
        <f t="shared" ca="1" si="239"/>
        <v>3.1002517606535857E-2</v>
      </c>
      <c r="E404" s="180">
        <f t="shared" ca="1" si="240"/>
        <v>7.806192490618101E-2</v>
      </c>
      <c r="F404" s="180">
        <f t="shared" ca="1" si="241"/>
        <v>5.7696341383386633E-2</v>
      </c>
      <c r="G404" s="180">
        <f t="shared" ca="1" si="242"/>
        <v>0.12489755521027116</v>
      </c>
      <c r="H404" s="180">
        <f t="shared" ca="1" si="243"/>
        <v>0.10672038035938161</v>
      </c>
      <c r="I404" s="180">
        <f t="shared" ca="1" si="244"/>
        <v>0.14372859846668751</v>
      </c>
      <c r="J404" s="180">
        <f t="shared" ca="1" si="245"/>
        <v>4.8650479668919652E-2</v>
      </c>
      <c r="K404" s="180">
        <f t="shared" ca="1" si="246"/>
        <v>8.3829778520444459E-2</v>
      </c>
      <c r="L404" s="180">
        <f t="shared" ca="1" si="247"/>
        <v>0.10264455231943109</v>
      </c>
      <c r="P404">
        <f t="shared" ca="1" si="237"/>
        <v>1.3536497115992136E-2</v>
      </c>
      <c r="Q404">
        <f t="shared" ca="1" si="248"/>
        <v>2.4431267694184838E-2</v>
      </c>
      <c r="R404">
        <f t="shared" ca="1" si="248"/>
        <v>-1.7131000363441156E-3</v>
      </c>
      <c r="S404">
        <f t="shared" ca="1" si="248"/>
        <v>7.0588774767304813E-3</v>
      </c>
      <c r="T404">
        <f t="shared" ca="1" si="248"/>
        <v>1.042838518538112E-2</v>
      </c>
      <c r="U404">
        <f t="shared" ca="1" si="248"/>
        <v>1.9924932448049562E-2</v>
      </c>
      <c r="V404">
        <f t="shared" ca="1" si="248"/>
        <v>2.017332755116831E-2</v>
      </c>
      <c r="W404">
        <f t="shared" ca="1" si="248"/>
        <v>1.0588391262243054E-2</v>
      </c>
      <c r="X404">
        <f t="shared" ca="1" si="248"/>
        <v>2.1293150331664203E-2</v>
      </c>
      <c r="Y404">
        <f t="shared" ca="1" si="248"/>
        <v>4.3589321171000452E-3</v>
      </c>
      <c r="Z404">
        <f t="shared" ca="1" si="248"/>
        <v>-3.4316848261096503E-3</v>
      </c>
    </row>
    <row r="405" spans="2:26" hidden="1">
      <c r="B405" s="180">
        <f>'Inflation-Interest'!G152</f>
        <v>0</v>
      </c>
      <c r="C405" s="180">
        <f t="shared" ca="1" si="238"/>
        <v>2.938681080640073E-2</v>
      </c>
      <c r="D405" s="180">
        <f t="shared" ca="1" si="239"/>
        <v>5.1539662190315506E-2</v>
      </c>
      <c r="E405" s="180">
        <f t="shared" ca="1" si="240"/>
        <v>3.6922494099733416E-2</v>
      </c>
      <c r="F405" s="180">
        <f t="shared" ca="1" si="241"/>
        <v>0.10175099782593466</v>
      </c>
      <c r="G405" s="180">
        <f t="shared" ca="1" si="242"/>
        <v>6.7345898914230831E-2</v>
      </c>
      <c r="H405" s="180">
        <f t="shared" ca="1" si="243"/>
        <v>9.9546845882476725E-2</v>
      </c>
      <c r="I405" s="180">
        <f t="shared" ca="1" si="244"/>
        <v>0.11579215690472315</v>
      </c>
      <c r="J405" s="180">
        <f t="shared" ca="1" si="245"/>
        <v>6.1053139258479314E-2</v>
      </c>
      <c r="K405" s="180">
        <f t="shared" ca="1" si="246"/>
        <v>6.0330553962977096E-2</v>
      </c>
      <c r="L405" s="180">
        <f t="shared" ca="1" si="247"/>
        <v>0.11181950987745014</v>
      </c>
      <c r="P405">
        <f t="shared" ca="1" si="237"/>
        <v>9.7589147843242727E-3</v>
      </c>
      <c r="Q405">
        <f t="shared" ca="1" si="248"/>
        <v>1.0366455308575809E-2</v>
      </c>
      <c r="R405">
        <f t="shared" ca="1" si="248"/>
        <v>8.4374980037052981E-4</v>
      </c>
      <c r="S405">
        <f t="shared" ca="1" si="248"/>
        <v>1.1341702313937628E-2</v>
      </c>
      <c r="T405">
        <f t="shared" ca="1" si="248"/>
        <v>3.5797726922450465E-2</v>
      </c>
      <c r="U405">
        <f t="shared" ca="1" si="248"/>
        <v>2.176263588040005E-2</v>
      </c>
      <c r="V405">
        <f t="shared" ca="1" si="248"/>
        <v>3.981495779885524E-3</v>
      </c>
      <c r="W405">
        <f t="shared" ca="1" si="248"/>
        <v>2.2791909267035126E-2</v>
      </c>
      <c r="X405">
        <f t="shared" ca="1" si="248"/>
        <v>1.4211126244539015E-2</v>
      </c>
      <c r="Y405">
        <f t="shared" ca="1" si="248"/>
        <v>-3.2096747144093885E-3</v>
      </c>
      <c r="Z405">
        <f t="shared" ca="1" si="248"/>
        <v>2.9127363595680619E-2</v>
      </c>
    </row>
    <row r="406" spans="2:26" hidden="1">
      <c r="B406" s="180">
        <f>'Inflation-Interest'!G153</f>
        <v>0</v>
      </c>
      <c r="C406" s="180">
        <f t="shared" ca="1" si="238"/>
        <v>-8.071159821566927E-3</v>
      </c>
      <c r="D406" s="180">
        <f t="shared" ca="1" si="239"/>
        <v>4.4275737816363042E-2</v>
      </c>
      <c r="E406" s="180">
        <f t="shared" ca="1" si="240"/>
        <v>7.5515129447482759E-2</v>
      </c>
      <c r="F406" s="180">
        <f t="shared" ca="1" si="241"/>
        <v>5.94858979113181E-2</v>
      </c>
      <c r="G406" s="180">
        <f t="shared" ca="1" si="242"/>
        <v>7.2157917938850333E-2</v>
      </c>
      <c r="H406" s="180">
        <f t="shared" ca="1" si="243"/>
        <v>0.10274495440731371</v>
      </c>
      <c r="I406" s="180">
        <f t="shared" ca="1" si="244"/>
        <v>7.6843744928068045E-2</v>
      </c>
      <c r="J406" s="180">
        <f t="shared" ca="1" si="245"/>
        <v>1.7089454198563104E-2</v>
      </c>
      <c r="K406" s="180">
        <f t="shared" ca="1" si="246"/>
        <v>9.1908941641234872E-3</v>
      </c>
      <c r="L406" s="180">
        <f t="shared" ca="1" si="247"/>
        <v>8.0740698707828532E-2</v>
      </c>
      <c r="P406">
        <f t="shared" ca="1" si="237"/>
        <v>1.9632460685023358E-2</v>
      </c>
      <c r="Q406">
        <f t="shared" ca="1" si="248"/>
        <v>-9.5009870891808752E-3</v>
      </c>
      <c r="R406">
        <f t="shared" ca="1" si="248"/>
        <v>-1.8912531927020318E-2</v>
      </c>
      <c r="S406">
        <f t="shared" ca="1" si="248"/>
        <v>8.7182266838849304E-3</v>
      </c>
      <c r="T406">
        <f t="shared" ca="1" si="248"/>
        <v>3.3433460786687699E-3</v>
      </c>
      <c r="U406">
        <f t="shared" ca="1" si="248"/>
        <v>-8.2135840602539072E-3</v>
      </c>
      <c r="V406">
        <f t="shared" ca="1" si="248"/>
        <v>2.2635058157759153E-2</v>
      </c>
      <c r="W406">
        <f t="shared" ca="1" si="248"/>
        <v>2.6786901541807288E-2</v>
      </c>
      <c r="X406">
        <f t="shared" ca="1" si="248"/>
        <v>8.6275017839457131E-3</v>
      </c>
      <c r="Y406">
        <f t="shared" ca="1" si="248"/>
        <v>2.9405076920303024E-2</v>
      </c>
      <c r="Z406">
        <f t="shared" ca="1" si="248"/>
        <v>1.5177399767476176E-2</v>
      </c>
    </row>
    <row r="407" spans="2:26" hidden="1">
      <c r="B407" s="180">
        <f>'Inflation-Interest'!G154</f>
        <v>0</v>
      </c>
      <c r="C407" s="180">
        <f t="shared" ca="1" si="238"/>
        <v>8.6402199268100263E-2</v>
      </c>
      <c r="D407" s="180">
        <f t="shared" ca="1" si="239"/>
        <v>1.4250618616934489E-2</v>
      </c>
      <c r="E407" s="180">
        <f t="shared" ca="1" si="240"/>
        <v>9.2528528296860809E-3</v>
      </c>
      <c r="F407" s="180">
        <f t="shared" ca="1" si="241"/>
        <v>6.9011816854018526E-2</v>
      </c>
      <c r="G407" s="180">
        <f t="shared" ca="1" si="242"/>
        <v>1.8356842326295975E-2</v>
      </c>
      <c r="H407" s="180">
        <f t="shared" ca="1" si="243"/>
        <v>8.0542713796898355E-2</v>
      </c>
      <c r="I407" s="180">
        <f t="shared" ca="1" si="244"/>
        <v>4.1728078053824176E-2</v>
      </c>
      <c r="J407" s="180">
        <f t="shared" ca="1" si="245"/>
        <v>0.1021273196362875</v>
      </c>
      <c r="K407" s="180">
        <f t="shared" ca="1" si="246"/>
        <v>0.10142207702798453</v>
      </c>
      <c r="L407" s="180">
        <f t="shared" ca="1" si="247"/>
        <v>8.4399084880654507E-2</v>
      </c>
      <c r="P407">
        <f t="shared" ca="1" si="237"/>
        <v>3.284571892392104E-2</v>
      </c>
      <c r="Q407">
        <f t="shared" ca="1" si="248"/>
        <v>1.5416837047853595E-2</v>
      </c>
      <c r="R407">
        <f t="shared" ca="1" si="248"/>
        <v>2.1555766702156563E-2</v>
      </c>
      <c r="S407">
        <f t="shared" ca="1" si="248"/>
        <v>2.4808637674344818E-2</v>
      </c>
      <c r="T407">
        <f t="shared" ca="1" si="248"/>
        <v>-6.5699787559538193E-3</v>
      </c>
      <c r="U407">
        <f t="shared" ca="1" si="248"/>
        <v>-5.98548639972688E-3</v>
      </c>
      <c r="V407">
        <f t="shared" ca="1" si="248"/>
        <v>1.3718358692831176E-2</v>
      </c>
      <c r="W407">
        <f t="shared" ca="1" si="248"/>
        <v>1.1281800250149123E-2</v>
      </c>
      <c r="X407">
        <f t="shared" ca="1" si="248"/>
        <v>4.281257905136665E-2</v>
      </c>
      <c r="Y407">
        <f t="shared" ca="1" si="248"/>
        <v>1.4560092210125821E-2</v>
      </c>
      <c r="Z407">
        <f t="shared" ca="1" si="248"/>
        <v>-7.3170860360064049E-3</v>
      </c>
    </row>
    <row r="408" spans="2:26" hidden="1">
      <c r="B408" s="180">
        <f>'Inflation-Interest'!G155</f>
        <v>0</v>
      </c>
      <c r="C408" s="180">
        <f t="shared" ca="1" si="238"/>
        <v>3.7555604616618679E-2</v>
      </c>
      <c r="D408" s="180">
        <f t="shared" ca="1" si="239"/>
        <v>4.2381726413504087E-2</v>
      </c>
      <c r="E408" s="180">
        <f t="shared" ca="1" si="240"/>
        <v>9.1662889882310944E-2</v>
      </c>
      <c r="F408" s="180">
        <f t="shared" ca="1" si="241"/>
        <v>6.1369279995808122E-2</v>
      </c>
      <c r="G408" s="180">
        <f t="shared" ca="1" si="242"/>
        <v>0.10217124495026961</v>
      </c>
      <c r="H408" s="180">
        <f t="shared" ca="1" si="243"/>
        <v>9.0131138471800168E-2</v>
      </c>
      <c r="I408" s="180">
        <f t="shared" ca="1" si="244"/>
        <v>0.14796249254415791</v>
      </c>
      <c r="J408" s="180">
        <f t="shared" ca="1" si="245"/>
        <v>0.11499286157380922</v>
      </c>
      <c r="K408" s="180">
        <f t="shared" ca="1" si="246"/>
        <v>9.6926661918524296E-2</v>
      </c>
      <c r="L408" s="180">
        <f t="shared" ca="1" si="247"/>
        <v>0.18083499612911666</v>
      </c>
      <c r="P408">
        <f t="shared" ca="1" si="237"/>
        <v>2.1183914128958911E-2</v>
      </c>
      <c r="Q408">
        <f t="shared" ca="1" si="248"/>
        <v>5.6578317304688168E-3</v>
      </c>
      <c r="R408">
        <f t="shared" ca="1" si="248"/>
        <v>3.2529432077719016E-2</v>
      </c>
      <c r="S408">
        <f t="shared" ca="1" si="248"/>
        <v>1.595758316305939E-2</v>
      </c>
      <c r="T408">
        <f t="shared" ca="1" si="248"/>
        <v>-7.1184491269527892E-3</v>
      </c>
      <c r="U408">
        <f t="shared" ca="1" si="248"/>
        <v>9.5640765407212294E-3</v>
      </c>
      <c r="V408">
        <f t="shared" ca="1" si="248"/>
        <v>-2.1372545804468318E-2</v>
      </c>
      <c r="W408">
        <f t="shared" ca="1" si="248"/>
        <v>1.5603210371077612E-2</v>
      </c>
      <c r="X408">
        <f t="shared" ca="1" si="248"/>
        <v>1.2836918147022676E-2</v>
      </c>
      <c r="Y408">
        <f t="shared" ca="1" si="248"/>
        <v>7.7729217861384169E-3</v>
      </c>
      <c r="Z408">
        <f t="shared" ca="1" si="248"/>
        <v>4.202924338667352E-2</v>
      </c>
    </row>
    <row r="409" spans="2:26" hidden="1">
      <c r="B409" s="180">
        <f>'Inflation-Interest'!G156</f>
        <v>0</v>
      </c>
      <c r="C409" s="180">
        <f t="shared" ca="1" si="238"/>
        <v>0.14763302474364351</v>
      </c>
      <c r="D409" s="180">
        <f t="shared" ca="1" si="239"/>
        <v>7.4485502068563116E-3</v>
      </c>
      <c r="E409" s="180">
        <f t="shared" ca="1" si="240"/>
        <v>-3.9340909202823737E-2</v>
      </c>
      <c r="F409" s="180">
        <f t="shared" ca="1" si="241"/>
        <v>2.6930052399268541E-2</v>
      </c>
      <c r="G409" s="180">
        <f t="shared" ca="1" si="242"/>
        <v>7.3051647177248252E-3</v>
      </c>
      <c r="H409" s="180">
        <f t="shared" ca="1" si="243"/>
        <v>5.4317651049079756E-2</v>
      </c>
      <c r="I409" s="180">
        <f t="shared" ca="1" si="244"/>
        <v>5.3739161587451199E-2</v>
      </c>
      <c r="J409" s="180">
        <f t="shared" ca="1" si="245"/>
        <v>3.9009594387639027E-2</v>
      </c>
      <c r="K409" s="180">
        <f t="shared" ca="1" si="246"/>
        <v>9.0164758430577391E-2</v>
      </c>
      <c r="L409" s="180">
        <f t="shared" ca="1" si="247"/>
        <v>2.3327171724965207E-2</v>
      </c>
      <c r="P409">
        <f t="shared" ca="1" si="237"/>
        <v>1.6457000319026426E-2</v>
      </c>
      <c r="Q409">
        <f t="shared" ca="1" si="248"/>
        <v>1.6681334416657697E-2</v>
      </c>
      <c r="R409">
        <f t="shared" ca="1" si="248"/>
        <v>2.0373239366227237E-2</v>
      </c>
      <c r="S409">
        <f t="shared" ca="1" si="248"/>
        <v>-2.2816312648649736E-2</v>
      </c>
      <c r="T409">
        <f t="shared" ca="1" si="248"/>
        <v>1.630545596886784E-2</v>
      </c>
      <c r="U409">
        <f t="shared" ca="1" si="248"/>
        <v>8.1670668375228746E-3</v>
      </c>
      <c r="V409">
        <f t="shared" ca="1" si="248"/>
        <v>5.717563827904326E-3</v>
      </c>
      <c r="W409">
        <f t="shared" ca="1" si="248"/>
        <v>9.9983077580811982E-3</v>
      </c>
      <c r="X409">
        <f t="shared" ca="1" si="248"/>
        <v>7.2310707419388784E-3</v>
      </c>
      <c r="Y409">
        <f t="shared" ca="1" si="248"/>
        <v>1.721839570130947E-2</v>
      </c>
      <c r="Z409">
        <f t="shared" ca="1" si="248"/>
        <v>9.5090750870605312E-3</v>
      </c>
    </row>
    <row r="410" spans="2:26" hidden="1">
      <c r="B410" s="180">
        <f>'Inflation-Interest'!G157</f>
        <v>0</v>
      </c>
      <c r="C410" s="180">
        <f t="shared" ca="1" si="238"/>
        <v>0.11197613583241867</v>
      </c>
      <c r="D410" s="180">
        <f t="shared" ca="1" si="239"/>
        <v>0.10121545497644541</v>
      </c>
      <c r="E410" s="180">
        <f t="shared" ca="1" si="240"/>
        <v>9.3780642678876355E-2</v>
      </c>
      <c r="F410" s="180">
        <f t="shared" ca="1" si="241"/>
        <v>8.0545491747101239E-2</v>
      </c>
      <c r="G410" s="180">
        <f t="shared" ca="1" si="242"/>
        <v>0.12409443318567726</v>
      </c>
      <c r="H410" s="180">
        <f t="shared" ca="1" si="243"/>
        <v>0.16817127135143445</v>
      </c>
      <c r="I410" s="180">
        <f t="shared" ca="1" si="244"/>
        <v>9.9235752916523895E-2</v>
      </c>
      <c r="J410" s="180">
        <f t="shared" ca="1" si="245"/>
        <v>0.13375961165320674</v>
      </c>
      <c r="K410" s="180">
        <f t="shared" ca="1" si="246"/>
        <v>0.10930261441261377</v>
      </c>
      <c r="L410" s="180">
        <f t="shared" ca="1" si="247"/>
        <v>0.10470788948765315</v>
      </c>
      <c r="P410">
        <f t="shared" ca="1" si="237"/>
        <v>3.9306533848470189E-3</v>
      </c>
      <c r="Q410">
        <f t="shared" ca="1" si="248"/>
        <v>2.2131386082482607E-2</v>
      </c>
      <c r="R410">
        <f t="shared" ca="1" si="248"/>
        <v>4.9700708953126622E-2</v>
      </c>
      <c r="S410">
        <f t="shared" ca="1" si="248"/>
        <v>1.03718000904578E-2</v>
      </c>
      <c r="T410">
        <f t="shared" ca="1" si="248"/>
        <v>8.743050462000572E-3</v>
      </c>
      <c r="U410">
        <f t="shared" ca="1" si="248"/>
        <v>1.881061699472563E-2</v>
      </c>
      <c r="V410">
        <f t="shared" ca="1" si="248"/>
        <v>-9.2284786430042506E-3</v>
      </c>
      <c r="W410">
        <f t="shared" ca="1" si="248"/>
        <v>-2.3984628735370966E-2</v>
      </c>
      <c r="X410">
        <f t="shared" ca="1" si="248"/>
        <v>1.5040216538517831E-2</v>
      </c>
      <c r="Y410">
        <f t="shared" ca="1" si="248"/>
        <v>1.1130832709715422E-2</v>
      </c>
      <c r="Z410">
        <f t="shared" ca="1" si="248"/>
        <v>3.1698244697365256E-3</v>
      </c>
    </row>
    <row r="411" spans="2:26" hidden="1">
      <c r="B411" s="180">
        <f>'Inflation-Interest'!G158</f>
        <v>0</v>
      </c>
      <c r="C411" s="180">
        <f t="shared" ca="1" si="238"/>
        <v>4.0968185469706805E-2</v>
      </c>
      <c r="D411" s="180">
        <f t="shared" ca="1" si="239"/>
        <v>7.3009192346543544E-2</v>
      </c>
      <c r="E411" s="180">
        <f t="shared" ca="1" si="240"/>
        <v>0.11001588501456849</v>
      </c>
      <c r="F411" s="180">
        <f t="shared" ca="1" si="241"/>
        <v>7.7809432476443896E-2</v>
      </c>
      <c r="G411" s="180">
        <f t="shared" ca="1" si="242"/>
        <v>0.10650813308932991</v>
      </c>
      <c r="H411" s="180">
        <f t="shared" ca="1" si="243"/>
        <v>6.6390239474842877E-2</v>
      </c>
      <c r="I411" s="180">
        <f t="shared" ca="1" si="244"/>
        <v>5.0667809059780945E-2</v>
      </c>
      <c r="J411" s="180">
        <f t="shared" ca="1" si="245"/>
        <v>2.8794669245624446E-2</v>
      </c>
      <c r="K411" s="180">
        <f t="shared" ca="1" si="246"/>
        <v>6.8104943808623933E-2</v>
      </c>
      <c r="L411" s="180">
        <f t="shared" ca="1" si="247"/>
        <v>3.8402149851289008E-2</v>
      </c>
      <c r="P411">
        <f t="shared" ca="1" si="237"/>
        <v>1.7737347323274425E-3</v>
      </c>
      <c r="Q411">
        <f t="shared" ca="1" si="248"/>
        <v>9.5375084692445496E-3</v>
      </c>
      <c r="R411">
        <f t="shared" ca="1" si="248"/>
        <v>2.5567314319080429E-2</v>
      </c>
      <c r="S411">
        <f t="shared" ca="1" si="248"/>
        <v>2.0006245676276742E-2</v>
      </c>
      <c r="T411">
        <f t="shared" ca="1" si="248"/>
        <v>1.1097673383540183E-2</v>
      </c>
      <c r="U411">
        <f t="shared" ca="1" si="248"/>
        <v>3.4823486442727904E-2</v>
      </c>
      <c r="V411">
        <f t="shared" ca="1" si="248"/>
        <v>2.440724493406337E-2</v>
      </c>
      <c r="W411">
        <f t="shared" ca="1" si="248"/>
        <v>1.2194440603406119E-2</v>
      </c>
      <c r="X411">
        <f t="shared" ca="1" si="248"/>
        <v>-7.0707504157896377E-3</v>
      </c>
      <c r="Y411">
        <f t="shared" ca="1" si="248"/>
        <v>8.9766608681840325E-3</v>
      </c>
      <c r="Z411">
        <f t="shared" ca="1" si="248"/>
        <v>1.5654472718641569E-2</v>
      </c>
    </row>
    <row r="412" spans="2:26" hidden="1">
      <c r="B412" s="180">
        <f>'Inflation-Interest'!G159</f>
        <v>0</v>
      </c>
      <c r="C412" s="180">
        <f t="shared" ca="1" si="238"/>
        <v>4.8057294945909032E-2</v>
      </c>
      <c r="D412" s="180">
        <f t="shared" ca="1" si="239"/>
        <v>-6.0943420377660644E-2</v>
      </c>
      <c r="E412" s="180">
        <f t="shared" ca="1" si="240"/>
        <v>4.0968401530174108E-2</v>
      </c>
      <c r="F412" s="180">
        <f t="shared" ca="1" si="241"/>
        <v>4.3781842059691392E-2</v>
      </c>
      <c r="G412" s="180">
        <f t="shared" ca="1" si="242"/>
        <v>4.7347841020032359E-2</v>
      </c>
      <c r="H412" s="180">
        <f t="shared" ca="1" si="243"/>
        <v>3.3100998896146629E-2</v>
      </c>
      <c r="I412" s="180">
        <f t="shared" ca="1" si="244"/>
        <v>8.4160083750029799E-2</v>
      </c>
      <c r="J412" s="180">
        <f t="shared" ca="1" si="245"/>
        <v>6.1045474988031936E-2</v>
      </c>
      <c r="K412" s="180">
        <f t="shared" ca="1" si="246"/>
        <v>4.8349282943724613E-2</v>
      </c>
      <c r="L412" s="180">
        <f t="shared" ca="1" si="247"/>
        <v>3.4766907723054186E-2</v>
      </c>
      <c r="P412">
        <f t="shared" ca="1" si="237"/>
        <v>4.7252375059445937E-3</v>
      </c>
      <c r="Q412">
        <f t="shared" ca="1" si="248"/>
        <v>1.8928331371554419E-2</v>
      </c>
      <c r="R412">
        <f t="shared" ca="1" si="248"/>
        <v>-5.737680217748618E-3</v>
      </c>
      <c r="S412">
        <f t="shared" ca="1" si="248"/>
        <v>3.4496756640781025E-3</v>
      </c>
      <c r="T412">
        <f t="shared" ca="1" si="248"/>
        <v>-1.9972217217175139E-2</v>
      </c>
      <c r="U412">
        <f t="shared" ca="1" si="248"/>
        <v>1.5560126896994214E-2</v>
      </c>
      <c r="V412">
        <f t="shared" ca="1" si="248"/>
        <v>8.8804576265053073E-3</v>
      </c>
      <c r="W412">
        <f t="shared" ca="1" si="248"/>
        <v>1.7808423325088904E-2</v>
      </c>
      <c r="X412">
        <f t="shared" ca="1" si="248"/>
        <v>3.3453881739019538E-2</v>
      </c>
      <c r="Y412">
        <f t="shared" ca="1" si="248"/>
        <v>1.9108283579885709E-3</v>
      </c>
      <c r="Z412">
        <f t="shared" ca="1" si="248"/>
        <v>5.6167763537008008E-3</v>
      </c>
    </row>
    <row r="413" spans="2:26" hidden="1">
      <c r="B413" s="180">
        <f>'Inflation-Interest'!G160</f>
        <v>0</v>
      </c>
      <c r="C413" s="180">
        <f t="shared" ref="C413:C420" ca="1" si="249">C313+Q413</f>
        <v>9.6823470376374787E-2</v>
      </c>
      <c r="D413" s="180">
        <f t="shared" ref="D413:D420" ca="1" si="250">D313+R413</f>
        <v>6.0367386173616297E-2</v>
      </c>
      <c r="E413" s="180">
        <f t="shared" ref="E413:E420" ca="1" si="251">E313+S413</f>
        <v>0.12028491479214892</v>
      </c>
      <c r="F413" s="180">
        <f t="shared" ref="F413:F420" ca="1" si="252">F313+T413</f>
        <v>9.6653797068588204E-2</v>
      </c>
      <c r="G413" s="180">
        <f t="shared" ref="G413:G420" ca="1" si="253">G313+U413</f>
        <v>1.0876669022387878E-2</v>
      </c>
      <c r="H413" s="180">
        <f t="shared" ref="H413:H420" ca="1" si="254">H313+V413</f>
        <v>4.107680092920199E-2</v>
      </c>
      <c r="I413" s="180">
        <f t="shared" ref="I413:I420" ca="1" si="255">I313+W413</f>
        <v>4.4658951451061246E-2</v>
      </c>
      <c r="J413" s="180">
        <f t="shared" ref="J413:J420" ca="1" si="256">J313+X413</f>
        <v>3.3750368802842712E-2</v>
      </c>
      <c r="K413" s="180">
        <f t="shared" ref="K413:K420" ca="1" si="257">K313+Y413</f>
        <v>8.1489140947074313E-3</v>
      </c>
      <c r="L413" s="180">
        <f t="shared" ref="L413:L420" ca="1" si="258">L313+Z413</f>
        <v>9.6522367658127758E-2</v>
      </c>
      <c r="P413">
        <f t="shared" ca="1" si="237"/>
        <v>6.2314395072500129E-3</v>
      </c>
      <c r="Q413">
        <f t="shared" ca="1" si="248"/>
        <v>-1.3173103892878997E-2</v>
      </c>
      <c r="R413">
        <f t="shared" ca="1" si="248"/>
        <v>1.5811960020919835E-2</v>
      </c>
      <c r="S413">
        <f t="shared" ca="1" si="248"/>
        <v>3.3556791889478015E-2</v>
      </c>
      <c r="T413">
        <f t="shared" ca="1" si="248"/>
        <v>4.3137232492002485E-2</v>
      </c>
      <c r="U413">
        <f t="shared" ca="1" si="248"/>
        <v>3.0134526250769698E-2</v>
      </c>
      <c r="V413">
        <f t="shared" ca="1" si="248"/>
        <v>9.1271700451112433E-3</v>
      </c>
      <c r="W413">
        <f t="shared" ca="1" si="248"/>
        <v>2.4679218510863649E-2</v>
      </c>
      <c r="X413">
        <f t="shared" ca="1" si="248"/>
        <v>-4.8978822726659359E-3</v>
      </c>
      <c r="Y413">
        <f t="shared" ca="1" si="248"/>
        <v>2.4981570077026328E-3</v>
      </c>
      <c r="Z413">
        <f t="shared" ca="1" si="248"/>
        <v>1.3880360685269018E-2</v>
      </c>
    </row>
    <row r="414" spans="2:26" hidden="1">
      <c r="B414" s="180">
        <f>'Inflation-Interest'!G161</f>
        <v>0</v>
      </c>
      <c r="C414" s="180">
        <f t="shared" ca="1" si="249"/>
        <v>5.2102900719792594E-2</v>
      </c>
      <c r="D414" s="180">
        <f t="shared" ca="1" si="250"/>
        <v>3.1372278040854948E-2</v>
      </c>
      <c r="E414" s="180">
        <f t="shared" ca="1" si="251"/>
        <v>3.5085680014336769E-2</v>
      </c>
      <c r="F414" s="180">
        <f t="shared" ca="1" si="252"/>
        <v>8.28277248262317E-2</v>
      </c>
      <c r="G414" s="180">
        <f t="shared" ca="1" si="253"/>
        <v>9.8891164542502866E-2</v>
      </c>
      <c r="H414" s="180">
        <f t="shared" ca="1" si="254"/>
        <v>5.2146415211885344E-2</v>
      </c>
      <c r="I414" s="180">
        <f t="shared" ca="1" si="255"/>
        <v>0.13761418681705107</v>
      </c>
      <c r="J414" s="180">
        <f t="shared" ca="1" si="256"/>
        <v>8.6536934768035187E-2</v>
      </c>
      <c r="K414" s="180">
        <f t="shared" ca="1" si="257"/>
        <v>7.1701741119890749E-2</v>
      </c>
      <c r="L414" s="180">
        <f t="shared" ca="1" si="258"/>
        <v>9.3585284193501261E-2</v>
      </c>
      <c r="P414">
        <f t="shared" ca="1" si="237"/>
        <v>-4.4488804984716881E-3</v>
      </c>
      <c r="Q414">
        <f t="shared" ca="1" si="248"/>
        <v>2.4723374071989348E-2</v>
      </c>
      <c r="R414">
        <f t="shared" ca="1" si="248"/>
        <v>6.7576716473404502E-3</v>
      </c>
      <c r="S414">
        <f t="shared" ca="1" si="248"/>
        <v>-6.6716860386221901E-3</v>
      </c>
      <c r="T414">
        <f t="shared" ca="1" si="248"/>
        <v>7.3770411112821276E-3</v>
      </c>
      <c r="U414">
        <f t="shared" ca="1" si="248"/>
        <v>1.035053453854432E-2</v>
      </c>
      <c r="V414">
        <f t="shared" ca="1" si="248"/>
        <v>-9.2783609906178285E-3</v>
      </c>
      <c r="W414">
        <f t="shared" ca="1" si="248"/>
        <v>1.9311949159158903E-2</v>
      </c>
      <c r="X414">
        <f t="shared" ca="1" si="248"/>
        <v>-1.0738066835892611E-2</v>
      </c>
      <c r="Y414">
        <f t="shared" ca="1" si="248"/>
        <v>-2.8500512069612339E-3</v>
      </c>
      <c r="Z414">
        <f t="shared" ca="1" si="248"/>
        <v>1.1028439854833254E-2</v>
      </c>
    </row>
    <row r="415" spans="2:26" hidden="1">
      <c r="B415" s="180">
        <f>'Inflation-Interest'!G162</f>
        <v>0</v>
      </c>
      <c r="C415" s="180">
        <f t="shared" ca="1" si="249"/>
        <v>4.9470603010128358E-2</v>
      </c>
      <c r="D415" s="180">
        <f t="shared" ca="1" si="250"/>
        <v>9.6215304198687873E-2</v>
      </c>
      <c r="E415" s="180">
        <f t="shared" ca="1" si="251"/>
        <v>5.6360050585642966E-2</v>
      </c>
      <c r="F415" s="180">
        <f t="shared" ca="1" si="252"/>
        <v>-1.1488664991233836E-3</v>
      </c>
      <c r="G415" s="180">
        <f t="shared" ca="1" si="253"/>
        <v>5.8923842510332898E-2</v>
      </c>
      <c r="H415" s="180">
        <f t="shared" ca="1" si="254"/>
        <v>4.9078203118864024E-2</v>
      </c>
      <c r="I415" s="180">
        <f t="shared" ca="1" si="255"/>
        <v>6.1342038386801294E-2</v>
      </c>
      <c r="J415" s="180">
        <f t="shared" ca="1" si="256"/>
        <v>-4.0994785869664443E-3</v>
      </c>
      <c r="K415" s="180">
        <f t="shared" ca="1" si="257"/>
        <v>8.6918215587524689E-2</v>
      </c>
      <c r="L415" s="180">
        <f t="shared" ca="1" si="258"/>
        <v>5.6752821426915248E-2</v>
      </c>
      <c r="P415">
        <f t="shared" ca="1" si="237"/>
        <v>7.3790957926504449E-3</v>
      </c>
      <c r="Q415">
        <f t="shared" ca="1" si="248"/>
        <v>1.3141742172773606E-2</v>
      </c>
      <c r="R415">
        <f t="shared" ca="1" si="248"/>
        <v>2.0500442123493435E-2</v>
      </c>
      <c r="S415">
        <f t="shared" ca="1" si="248"/>
        <v>7.6447418725137436E-3</v>
      </c>
      <c r="T415">
        <f t="shared" ca="1" si="248"/>
        <v>-3.3154591469844105E-4</v>
      </c>
      <c r="U415">
        <f t="shared" ca="1" si="248"/>
        <v>3.8597447020106467E-3</v>
      </c>
      <c r="V415">
        <f t="shared" ca="1" si="248"/>
        <v>1.4142762417563379E-3</v>
      </c>
      <c r="W415">
        <f t="shared" ca="1" si="248"/>
        <v>2.1825059269017309E-2</v>
      </c>
      <c r="X415">
        <f t="shared" ca="1" si="248"/>
        <v>2.5057087017449964E-2</v>
      </c>
      <c r="Y415">
        <f t="shared" ca="1" si="248"/>
        <v>5.8920827884731313E-3</v>
      </c>
      <c r="Z415">
        <f t="shared" ca="1" si="248"/>
        <v>1.3025842971372329E-2</v>
      </c>
    </row>
    <row r="416" spans="2:26" hidden="1">
      <c r="B416" s="180">
        <f>'Inflation-Interest'!G163</f>
        <v>0</v>
      </c>
      <c r="C416" s="180">
        <f t="shared" ca="1" si="249"/>
        <v>3.2236670975637871E-2</v>
      </c>
      <c r="D416" s="180">
        <f t="shared" ca="1" si="250"/>
        <v>6.3762625425079739E-2</v>
      </c>
      <c r="E416" s="180">
        <f t="shared" ca="1" si="251"/>
        <v>3.3961596379136816E-2</v>
      </c>
      <c r="F416" s="180">
        <f t="shared" ca="1" si="252"/>
        <v>6.5526357961979545E-2</v>
      </c>
      <c r="G416" s="180">
        <f t="shared" ca="1" si="253"/>
        <v>4.078025862303726E-2</v>
      </c>
      <c r="H416" s="180">
        <f t="shared" ca="1" si="254"/>
        <v>0.12205460479296174</v>
      </c>
      <c r="I416" s="180">
        <f t="shared" ca="1" si="255"/>
        <v>0.14661699576442877</v>
      </c>
      <c r="J416" s="180">
        <f t="shared" ca="1" si="256"/>
        <v>9.1945092438224268E-2</v>
      </c>
      <c r="K416" s="180">
        <f t="shared" ca="1" si="257"/>
        <v>0.13006371934317945</v>
      </c>
      <c r="L416" s="180">
        <f t="shared" ca="1" si="258"/>
        <v>0.11403049011197741</v>
      </c>
      <c r="P416">
        <f t="shared" ca="1" si="237"/>
        <v>1.4907459168887501E-2</v>
      </c>
      <c r="Q416">
        <f t="shared" ca="1" si="248"/>
        <v>-2.4383797422095378E-3</v>
      </c>
      <c r="R416">
        <f t="shared" ca="1" si="248"/>
        <v>-5.0418547480868877E-3</v>
      </c>
      <c r="S416">
        <f t="shared" ca="1" si="248"/>
        <v>2.3548221081219171E-3</v>
      </c>
      <c r="T416">
        <f t="shared" ca="1" si="248"/>
        <v>8.0824769255210243E-3</v>
      </c>
      <c r="U416">
        <f t="shared" ca="1" si="248"/>
        <v>-1.4920615623215411E-3</v>
      </c>
      <c r="V416">
        <f t="shared" ca="1" si="248"/>
        <v>-1.4809840351373733E-4</v>
      </c>
      <c r="W416">
        <f t="shared" ca="1" si="248"/>
        <v>1.9772916124505033E-2</v>
      </c>
      <c r="X416">
        <f t="shared" ca="1" si="248"/>
        <v>-1.73468429461145E-4</v>
      </c>
      <c r="Y416">
        <f t="shared" ca="1" si="248"/>
        <v>1.7441194030429902E-2</v>
      </c>
      <c r="Z416">
        <f t="shared" ca="1" si="248"/>
        <v>1.4363249354298857E-2</v>
      </c>
    </row>
    <row r="417" spans="2:26" hidden="1">
      <c r="B417" s="180">
        <f>'Inflation-Interest'!G164</f>
        <v>0</v>
      </c>
      <c r="C417" s="180">
        <f t="shared" ca="1" si="249"/>
        <v>9.5074452075430832E-2</v>
      </c>
      <c r="D417" s="180">
        <f t="shared" ca="1" si="250"/>
        <v>8.8363501810078002E-2</v>
      </c>
      <c r="E417" s="180">
        <f t="shared" ca="1" si="251"/>
        <v>6.4475150746612558E-2</v>
      </c>
      <c r="F417" s="180">
        <f t="shared" ca="1" si="252"/>
        <v>0.11812850264994175</v>
      </c>
      <c r="G417" s="180">
        <f t="shared" ca="1" si="253"/>
        <v>0.1211909468966316</v>
      </c>
      <c r="H417" s="180">
        <f t="shared" ca="1" si="254"/>
        <v>6.0376284809078459E-2</v>
      </c>
      <c r="I417" s="180">
        <f t="shared" ca="1" si="255"/>
        <v>0.11992587219088188</v>
      </c>
      <c r="J417" s="180">
        <f t="shared" ca="1" si="256"/>
        <v>7.3282904417485889E-2</v>
      </c>
      <c r="K417" s="180">
        <f t="shared" ca="1" si="257"/>
        <v>0.1149891850022884</v>
      </c>
      <c r="L417" s="180">
        <f t="shared" ca="1" si="258"/>
        <v>8.6281362868352474E-2</v>
      </c>
      <c r="P417">
        <f t="shared" ca="1" si="237"/>
        <v>3.5122726699193581E-3</v>
      </c>
      <c r="Q417">
        <f t="shared" ca="1" si="248"/>
        <v>4.3991193783887717E-3</v>
      </c>
      <c r="R417">
        <f t="shared" ca="1" si="248"/>
        <v>1.3107308106600475E-2</v>
      </c>
      <c r="S417">
        <f t="shared" ca="1" si="248"/>
        <v>1.433613136400393E-2</v>
      </c>
      <c r="T417">
        <f t="shared" ca="1" si="248"/>
        <v>2.3199405342861495E-2</v>
      </c>
      <c r="U417">
        <f t="shared" ca="1" si="248"/>
        <v>2.5727275494163947E-2</v>
      </c>
      <c r="V417">
        <f t="shared" ca="1" si="248"/>
        <v>1.4046694295527669E-2</v>
      </c>
      <c r="W417">
        <f t="shared" ca="1" si="248"/>
        <v>2.7841706009383509E-2</v>
      </c>
      <c r="X417">
        <f t="shared" ca="1" si="248"/>
        <v>2.9617667624785959E-2</v>
      </c>
      <c r="Y417">
        <f t="shared" ca="1" si="248"/>
        <v>1.2212736176023508E-2</v>
      </c>
      <c r="Z417">
        <f t="shared" ca="1" si="248"/>
        <v>-2.8181479619639252E-3</v>
      </c>
    </row>
    <row r="418" spans="2:26" hidden="1">
      <c r="B418" s="180">
        <f>'Inflation-Interest'!G165</f>
        <v>0</v>
      </c>
      <c r="C418" s="180">
        <f t="shared" ca="1" si="249"/>
        <v>6.2570865635817527E-2</v>
      </c>
      <c r="D418" s="180">
        <f t="shared" ca="1" si="250"/>
        <v>5.9579037674677385E-2</v>
      </c>
      <c r="E418" s="180">
        <f t="shared" ca="1" si="251"/>
        <v>5.662354969361201E-2</v>
      </c>
      <c r="F418" s="180">
        <f t="shared" ca="1" si="252"/>
        <v>7.5848213773262799E-2</v>
      </c>
      <c r="G418" s="180">
        <f t="shared" ca="1" si="253"/>
        <v>5.0127204249906611E-2</v>
      </c>
      <c r="H418" s="180">
        <f t="shared" ca="1" si="254"/>
        <v>6.1980283847213158E-2</v>
      </c>
      <c r="I418" s="180">
        <f t="shared" ca="1" si="255"/>
        <v>6.0524363840215076E-2</v>
      </c>
      <c r="J418" s="180">
        <f t="shared" ca="1" si="256"/>
        <v>-2.1266606919481124E-3</v>
      </c>
      <c r="K418" s="180">
        <f t="shared" ca="1" si="257"/>
        <v>-1.7514624484288675E-3</v>
      </c>
      <c r="L418" s="180">
        <f t="shared" ca="1" si="258"/>
        <v>4.9737005678516924E-2</v>
      </c>
      <c r="P418">
        <f t="shared" ca="1" si="237"/>
        <v>2.0232767767121504E-2</v>
      </c>
      <c r="Q418">
        <f t="shared" ca="1" si="248"/>
        <v>1.3354319334219697E-2</v>
      </c>
      <c r="R418">
        <f t="shared" ca="1" si="248"/>
        <v>1.9529311369862055E-2</v>
      </c>
      <c r="S418">
        <f t="shared" ca="1" si="248"/>
        <v>2.4989623335262678E-3</v>
      </c>
      <c r="T418">
        <f t="shared" ca="1" si="248"/>
        <v>2.0324359234599826E-2</v>
      </c>
      <c r="U418">
        <f t="shared" ca="1" si="248"/>
        <v>1.1256245495949715E-2</v>
      </c>
      <c r="V418">
        <f t="shared" ca="1" si="248"/>
        <v>6.5422098215470277E-3</v>
      </c>
      <c r="W418">
        <f t="shared" ca="1" si="248"/>
        <v>-1.3971720263454083E-2</v>
      </c>
      <c r="X418">
        <f t="shared" ca="1" si="248"/>
        <v>4.1060189000700457E-3</v>
      </c>
      <c r="Y418">
        <f t="shared" ca="1" si="248"/>
        <v>4.9549403268578773E-3</v>
      </c>
      <c r="Z418">
        <f t="shared" ca="1" si="248"/>
        <v>-1.4527094127536654E-2</v>
      </c>
    </row>
    <row r="419" spans="2:26" hidden="1">
      <c r="B419" s="180">
        <f>'Inflation-Interest'!G166</f>
        <v>0</v>
      </c>
      <c r="C419" s="180">
        <f t="shared" ca="1" si="249"/>
        <v>6.3386539954145782E-2</v>
      </c>
      <c r="D419" s="180">
        <f t="shared" ca="1" si="250"/>
        <v>5.1405036036209072E-2</v>
      </c>
      <c r="E419" s="180">
        <f t="shared" ca="1" si="251"/>
        <v>9.6708492987655371E-3</v>
      </c>
      <c r="F419" s="180">
        <f t="shared" ca="1" si="252"/>
        <v>9.3853860625118385E-2</v>
      </c>
      <c r="G419" s="180">
        <f t="shared" ca="1" si="253"/>
        <v>-3.1274149478764841E-5</v>
      </c>
      <c r="H419" s="180">
        <f t="shared" ca="1" si="254"/>
        <v>3.5160959051163461E-2</v>
      </c>
      <c r="I419" s="180">
        <f t="shared" ca="1" si="255"/>
        <v>-5.8941188347323824E-3</v>
      </c>
      <c r="J419" s="180">
        <f t="shared" ca="1" si="256"/>
        <v>1.0760238178769706E-2</v>
      </c>
      <c r="K419" s="180">
        <f t="shared" ca="1" si="257"/>
        <v>7.7374247785251871E-2</v>
      </c>
      <c r="L419" s="180">
        <f t="shared" ca="1" si="258"/>
        <v>8.8546602200144736E-2</v>
      </c>
      <c r="P419">
        <f t="shared" ca="1" si="237"/>
        <v>1.1829956095627646E-2</v>
      </c>
      <c r="Q419">
        <f t="shared" ca="1" si="248"/>
        <v>1.5682058071723837E-2</v>
      </c>
      <c r="R419">
        <f t="shared" ca="1" si="248"/>
        <v>-1.9507291637805967E-3</v>
      </c>
      <c r="S419">
        <f t="shared" ca="1" si="248"/>
        <v>2.4930394890745826E-2</v>
      </c>
      <c r="T419">
        <f t="shared" ca="1" si="248"/>
        <v>1.8715603396827978E-2</v>
      </c>
      <c r="U419">
        <f t="shared" ca="1" si="248"/>
        <v>-5.1050709345766086E-3</v>
      </c>
      <c r="V419">
        <f t="shared" ca="1" si="248"/>
        <v>3.0652037955092797E-2</v>
      </c>
      <c r="W419">
        <f t="shared" ca="1" si="248"/>
        <v>-2.0159906068769738E-2</v>
      </c>
      <c r="X419">
        <f t="shared" ca="1" si="248"/>
        <v>1.4902644209030553E-3</v>
      </c>
      <c r="Y419">
        <f t="shared" ca="1" si="248"/>
        <v>1.4867135755582336E-2</v>
      </c>
      <c r="Z419">
        <f t="shared" ca="1" si="248"/>
        <v>1.509729842195839E-2</v>
      </c>
    </row>
    <row r="420" spans="2:26" hidden="1">
      <c r="B420" s="180">
        <f>'Inflation-Interest'!G167</f>
        <v>0</v>
      </c>
      <c r="C420" s="180">
        <f t="shared" ca="1" si="249"/>
        <v>5.5347897708953729E-2</v>
      </c>
      <c r="D420" s="180">
        <f t="shared" ca="1" si="250"/>
        <v>5.754455698093433E-2</v>
      </c>
      <c r="E420" s="180">
        <f t="shared" ca="1" si="251"/>
        <v>-1.308229878445847E-2</v>
      </c>
      <c r="F420" s="180">
        <f t="shared" ca="1" si="252"/>
        <v>8.9076520172477192E-2</v>
      </c>
      <c r="G420" s="180">
        <f t="shared" ca="1" si="253"/>
        <v>4.0590588640732242E-2</v>
      </c>
      <c r="H420" s="180">
        <f t="shared" ca="1" si="254"/>
        <v>4.0098136985971908E-2</v>
      </c>
      <c r="I420" s="180">
        <f t="shared" ca="1" si="255"/>
        <v>8.2593257238235518E-2</v>
      </c>
      <c r="J420" s="180">
        <f t="shared" ca="1" si="256"/>
        <v>4.3874156719963427E-2</v>
      </c>
      <c r="K420" s="180">
        <f t="shared" ca="1" si="257"/>
        <v>6.1630118408817033E-2</v>
      </c>
      <c r="L420" s="180">
        <f t="shared" ca="1" si="258"/>
        <v>1.1971730944441856E-2</v>
      </c>
      <c r="P420">
        <f t="shared" ca="1" si="237"/>
        <v>5.580296274410622E-3</v>
      </c>
      <c r="Q420">
        <f t="shared" ca="1" si="248"/>
        <v>2.5326214988298391E-2</v>
      </c>
      <c r="R420">
        <f t="shared" ca="1" si="248"/>
        <v>1.3612277585694233E-2</v>
      </c>
      <c r="S420">
        <f t="shared" ca="1" si="248"/>
        <v>-1.0330565343189936E-2</v>
      </c>
      <c r="T420">
        <f t="shared" ca="1" si="248"/>
        <v>1.9012863482461985E-2</v>
      </c>
      <c r="U420">
        <f t="shared" ca="1" si="248"/>
        <v>1.7976398137058938E-2</v>
      </c>
      <c r="V420">
        <f t="shared" ca="1" si="248"/>
        <v>8.1729551960593033E-3</v>
      </c>
      <c r="W420">
        <f t="shared" ca="1" si="248"/>
        <v>1.7005402911519842E-2</v>
      </c>
      <c r="X420">
        <f t="shared" ca="1" si="248"/>
        <v>6.9187732445946271E-3</v>
      </c>
      <c r="Y420">
        <f t="shared" ca="1" si="248"/>
        <v>2.3153326800954891E-2</v>
      </c>
      <c r="Z420">
        <f t="shared" ca="1" si="248"/>
        <v>6.361498972228187E-3</v>
      </c>
    </row>
  </sheetData>
  <pageMargins left="0.7" right="0.7" top="0.75" bottom="0.75" header="0.3" footer="0.3"/>
  <legacy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9C8B8D-9602-4D03-95E8-82356E858570}">
  <dimension ref="B1:P46"/>
  <sheetViews>
    <sheetView topLeftCell="A19" workbookViewId="0">
      <selection activeCell="J13" sqref="J13"/>
    </sheetView>
  </sheetViews>
  <sheetFormatPr defaultColWidth="8.7109375" defaultRowHeight="15"/>
  <cols>
    <col min="1" max="1" width="2.28515625" customWidth="1"/>
    <col min="2" max="2" width="28.28515625" bestFit="1" customWidth="1"/>
    <col min="3" max="3" width="12.7109375" bestFit="1" customWidth="1"/>
    <col min="4" max="5" width="24.140625" bestFit="1" customWidth="1"/>
    <col min="8" max="8" width="18.28515625" bestFit="1" customWidth="1"/>
    <col min="9" max="9" width="11.42578125" bestFit="1" customWidth="1"/>
    <col min="10" max="11" width="22.42578125" bestFit="1" customWidth="1"/>
  </cols>
  <sheetData>
    <row r="1" spans="2:16" s="77" customFormat="1"/>
    <row r="2" spans="2:16" s="77" customFormat="1" ht="26.25">
      <c r="B2" s="79" t="s">
        <v>487</v>
      </c>
    </row>
    <row r="3" spans="2:16" s="77" customFormat="1" ht="19.5">
      <c r="B3" s="85" t="s">
        <v>488</v>
      </c>
    </row>
    <row r="4" spans="2:16" s="77" customFormat="1"/>
    <row r="5" spans="2:16" ht="15.75" thickBot="1"/>
    <row r="6" spans="2:16" ht="15.75" thickBot="1">
      <c r="B6" s="89" t="s">
        <v>489</v>
      </c>
      <c r="C6" s="86" t="s">
        <v>389</v>
      </c>
      <c r="D6" s="86" t="s">
        <v>390</v>
      </c>
      <c r="E6" s="87" t="s">
        <v>391</v>
      </c>
      <c r="F6" s="65"/>
      <c r="G6" s="65"/>
      <c r="H6" s="89" t="s">
        <v>490</v>
      </c>
      <c r="I6" s="86" t="s">
        <v>389</v>
      </c>
      <c r="J6" s="86" t="s">
        <v>390</v>
      </c>
      <c r="K6" s="87" t="s">
        <v>391</v>
      </c>
      <c r="L6" s="65"/>
      <c r="M6" s="65"/>
      <c r="N6" s="65"/>
      <c r="O6" s="65"/>
      <c r="P6" s="65"/>
    </row>
    <row r="7" spans="2:16">
      <c r="B7" s="82">
        <v>2019</v>
      </c>
      <c r="C7" s="106">
        <v>1110012</v>
      </c>
      <c r="D7" s="106"/>
      <c r="E7" s="107"/>
      <c r="F7" s="65"/>
      <c r="G7" s="65"/>
      <c r="H7" s="82">
        <v>2019</v>
      </c>
      <c r="I7" s="332">
        <v>5414700</v>
      </c>
      <c r="J7" s="332"/>
      <c r="K7" s="333"/>
      <c r="L7" s="65"/>
      <c r="M7" s="65"/>
      <c r="N7" s="65"/>
      <c r="O7" s="65"/>
      <c r="P7" s="65"/>
    </row>
    <row r="8" spans="2:16">
      <c r="B8" s="83">
        <v>2020</v>
      </c>
      <c r="C8" s="108">
        <v>1010676</v>
      </c>
      <c r="D8" s="108"/>
      <c r="E8" s="109"/>
      <c r="F8" s="65"/>
      <c r="G8" s="65"/>
      <c r="H8" s="83">
        <v>2020</v>
      </c>
      <c r="I8" s="334">
        <v>6306408</v>
      </c>
      <c r="J8" s="334"/>
      <c r="K8" s="335"/>
      <c r="L8" s="65"/>
      <c r="M8" s="65"/>
      <c r="N8" s="65"/>
      <c r="O8" s="65"/>
      <c r="P8" s="65"/>
    </row>
    <row r="9" spans="2:16">
      <c r="B9" s="83">
        <v>2021</v>
      </c>
      <c r="C9" s="175">
        <v>995544</v>
      </c>
      <c r="D9" s="108">
        <v>995544</v>
      </c>
      <c r="E9" s="109">
        <v>995544</v>
      </c>
      <c r="F9" s="65"/>
      <c r="G9" s="65"/>
      <c r="H9" s="83">
        <v>2021</v>
      </c>
      <c r="I9" s="175">
        <v>6406008</v>
      </c>
      <c r="J9" s="334">
        <v>6406008</v>
      </c>
      <c r="K9" s="335">
        <v>6406008</v>
      </c>
      <c r="L9" s="65"/>
      <c r="M9" s="65"/>
      <c r="N9" s="65"/>
      <c r="O9" s="65"/>
      <c r="P9" s="65"/>
    </row>
    <row r="10" spans="2:16" ht="15.75" thickBot="1">
      <c r="B10" s="83">
        <v>2022</v>
      </c>
      <c r="C10" s="175">
        <v>927430.89</v>
      </c>
      <c r="D10" s="108">
        <v>878854.69</v>
      </c>
      <c r="E10" s="109">
        <v>976007.08</v>
      </c>
      <c r="F10" s="65"/>
      <c r="G10" s="65"/>
      <c r="H10" s="83">
        <v>2022</v>
      </c>
      <c r="I10" s="175">
        <v>7004002</v>
      </c>
      <c r="J10" s="334">
        <v>6547045</v>
      </c>
      <c r="K10" s="335">
        <v>7460959</v>
      </c>
      <c r="L10" s="65"/>
      <c r="M10" s="65"/>
      <c r="O10" s="65"/>
      <c r="P10" s="65"/>
    </row>
    <row r="11" spans="2:16">
      <c r="B11" s="83">
        <v>2023</v>
      </c>
      <c r="C11" s="175">
        <v>866858.24</v>
      </c>
      <c r="D11" s="108">
        <v>817329.54</v>
      </c>
      <c r="E11" s="109">
        <v>916386.93</v>
      </c>
      <c r="F11" s="65"/>
      <c r="G11" s="65"/>
      <c r="H11" s="83">
        <v>2023</v>
      </c>
      <c r="I11" s="175">
        <v>7531063</v>
      </c>
      <c r="J11" s="334">
        <v>7065146</v>
      </c>
      <c r="K11" s="335">
        <v>7996980</v>
      </c>
      <c r="L11" s="65"/>
      <c r="M11" s="65"/>
      <c r="N11" s="331" t="s">
        <v>93</v>
      </c>
      <c r="O11" s="65"/>
      <c r="P11" s="65"/>
    </row>
    <row r="12" spans="2:16" ht="15.75" thickBot="1">
      <c r="B12" s="83">
        <v>2024</v>
      </c>
      <c r="C12" s="175">
        <v>806285.59</v>
      </c>
      <c r="D12" s="108">
        <v>754684.84</v>
      </c>
      <c r="E12" s="109">
        <v>857886.34</v>
      </c>
      <c r="F12" s="65"/>
      <c r="G12" s="65"/>
      <c r="H12" s="83">
        <v>2024</v>
      </c>
      <c r="I12" s="175">
        <v>8058123</v>
      </c>
      <c r="J12" s="334">
        <v>7572714</v>
      </c>
      <c r="K12" s="335">
        <v>8543532</v>
      </c>
      <c r="L12" s="65"/>
      <c r="M12" s="65"/>
      <c r="N12" s="178" t="s">
        <v>392</v>
      </c>
      <c r="O12" s="65"/>
      <c r="P12" s="65"/>
    </row>
    <row r="13" spans="2:16">
      <c r="B13" s="83">
        <v>2025</v>
      </c>
      <c r="C13" s="175">
        <v>745712.95</v>
      </c>
      <c r="D13" s="108">
        <v>690626.29</v>
      </c>
      <c r="E13" s="109">
        <v>800799.6</v>
      </c>
      <c r="F13" s="65"/>
      <c r="G13" s="65"/>
      <c r="H13" s="83">
        <v>2025</v>
      </c>
      <c r="I13" s="175">
        <v>8585184</v>
      </c>
      <c r="J13" s="334">
        <v>8066983</v>
      </c>
      <c r="K13" s="335">
        <v>9103385</v>
      </c>
      <c r="L13" s="65"/>
      <c r="M13" s="65"/>
      <c r="N13" s="65"/>
      <c r="O13" s="65"/>
      <c r="P13" s="65"/>
    </row>
    <row r="14" spans="2:16">
      <c r="B14" s="83">
        <v>2026</v>
      </c>
      <c r="C14" s="175">
        <v>685140.3</v>
      </c>
      <c r="D14" s="108">
        <v>625015.01</v>
      </c>
      <c r="E14" s="109">
        <v>745265.59</v>
      </c>
      <c r="F14" s="65"/>
      <c r="G14" s="65"/>
      <c r="H14" s="83">
        <v>2026</v>
      </c>
      <c r="I14" s="175">
        <v>9112245</v>
      </c>
      <c r="J14" s="334">
        <v>8546645</v>
      </c>
      <c r="K14" s="335">
        <v>9677844</v>
      </c>
      <c r="L14" s="65"/>
      <c r="M14" s="65"/>
      <c r="N14" s="65"/>
      <c r="O14" s="65"/>
      <c r="P14" s="65"/>
    </row>
    <row r="15" spans="2:16">
      <c r="B15" s="83">
        <v>2027</v>
      </c>
      <c r="C15" s="175">
        <v>624567.65</v>
      </c>
      <c r="D15" s="108">
        <v>557856.15</v>
      </c>
      <c r="E15" s="109">
        <v>691279.15</v>
      </c>
      <c r="F15" s="65"/>
      <c r="G15" s="65"/>
      <c r="H15" s="83">
        <v>2027</v>
      </c>
      <c r="I15" s="175">
        <v>9639305</v>
      </c>
      <c r="J15" s="334">
        <v>9011750</v>
      </c>
      <c r="K15" s="335">
        <v>10266861</v>
      </c>
      <c r="L15" s="65"/>
      <c r="M15" s="65"/>
      <c r="N15" s="65"/>
      <c r="O15" s="65"/>
      <c r="P15" s="65"/>
    </row>
    <row r="16" spans="2:16">
      <c r="B16" s="83">
        <v>2028</v>
      </c>
      <c r="C16" s="175">
        <v>563995.01</v>
      </c>
      <c r="D16" s="108">
        <v>489249.34</v>
      </c>
      <c r="E16" s="109">
        <v>638740.68000000005</v>
      </c>
      <c r="F16" s="65"/>
      <c r="G16" s="65"/>
      <c r="H16" s="83">
        <v>2028</v>
      </c>
      <c r="I16" s="175">
        <v>10166366</v>
      </c>
      <c r="J16" s="334">
        <v>9463233</v>
      </c>
      <c r="K16" s="335">
        <v>10869499</v>
      </c>
      <c r="L16" s="65"/>
      <c r="M16" s="65"/>
      <c r="N16" s="65"/>
      <c r="O16" s="65"/>
      <c r="P16" s="65"/>
    </row>
    <row r="17" spans="2:16">
      <c r="B17" s="83">
        <v>2029</v>
      </c>
      <c r="C17" s="175">
        <v>503422.36</v>
      </c>
      <c r="D17" s="108">
        <v>419334.45</v>
      </c>
      <c r="E17" s="109">
        <v>587510.27</v>
      </c>
      <c r="F17" s="65"/>
      <c r="G17" s="65"/>
      <c r="H17" s="83">
        <v>2029</v>
      </c>
      <c r="I17" s="175">
        <v>10693427</v>
      </c>
      <c r="J17" s="334">
        <v>9902411</v>
      </c>
      <c r="K17" s="335">
        <v>11484443</v>
      </c>
      <c r="L17" s="65"/>
      <c r="M17" s="65"/>
      <c r="N17" s="65"/>
      <c r="O17" s="65"/>
      <c r="P17" s="65"/>
    </row>
    <row r="18" spans="2:16" ht="15.75" thickBot="1">
      <c r="B18" s="84">
        <v>2030</v>
      </c>
      <c r="C18" s="176">
        <v>442849.71</v>
      </c>
      <c r="D18" s="110">
        <v>348254.45</v>
      </c>
      <c r="E18" s="111">
        <v>537444.97</v>
      </c>
      <c r="F18" s="65"/>
      <c r="G18" s="65"/>
      <c r="H18" s="84">
        <v>2030</v>
      </c>
      <c r="I18" s="176">
        <v>11220487</v>
      </c>
      <c r="J18" s="336">
        <v>10330629</v>
      </c>
      <c r="K18" s="337">
        <v>12110346</v>
      </c>
      <c r="L18" s="65"/>
      <c r="M18" s="65"/>
      <c r="N18" s="65"/>
      <c r="O18" s="65"/>
      <c r="P18" s="65"/>
    </row>
    <row r="19" spans="2:16" ht="15.75" thickBot="1">
      <c r="B19" s="65"/>
      <c r="C19" s="65"/>
      <c r="D19" s="65"/>
      <c r="E19" s="65"/>
      <c r="F19" s="65"/>
      <c r="G19" s="65"/>
      <c r="H19" s="65"/>
      <c r="I19" s="65"/>
      <c r="J19" s="65"/>
      <c r="K19" s="65"/>
      <c r="L19" s="65"/>
      <c r="M19" s="65"/>
      <c r="N19" s="65"/>
      <c r="O19" s="65"/>
      <c r="P19" s="65"/>
    </row>
    <row r="20" spans="2:16" ht="15.75" thickBot="1">
      <c r="B20" s="89" t="s">
        <v>491</v>
      </c>
      <c r="C20" s="86" t="s">
        <v>389</v>
      </c>
      <c r="D20" s="86" t="s">
        <v>390</v>
      </c>
      <c r="E20" s="87" t="s">
        <v>391</v>
      </c>
      <c r="F20" s="65"/>
      <c r="G20" s="65"/>
      <c r="H20" s="89" t="s">
        <v>492</v>
      </c>
      <c r="I20" s="86" t="s">
        <v>389</v>
      </c>
      <c r="J20" s="86" t="s">
        <v>390</v>
      </c>
      <c r="K20" s="87" t="s">
        <v>391</v>
      </c>
      <c r="L20" s="65"/>
      <c r="M20" s="65"/>
      <c r="N20" s="65"/>
      <c r="O20" s="65"/>
      <c r="P20" s="65"/>
    </row>
    <row r="21" spans="2:16">
      <c r="B21" s="82">
        <v>2019</v>
      </c>
      <c r="C21" s="106">
        <v>1289472</v>
      </c>
      <c r="D21" s="106"/>
      <c r="E21" s="107"/>
      <c r="F21" s="65"/>
      <c r="G21" s="65"/>
      <c r="H21" s="82">
        <v>2019</v>
      </c>
      <c r="I21" s="332">
        <v>3231492</v>
      </c>
      <c r="J21" s="332"/>
      <c r="K21" s="333"/>
      <c r="L21" s="65"/>
      <c r="M21" s="65"/>
      <c r="N21" s="65"/>
      <c r="O21" s="65"/>
      <c r="P21" s="65"/>
    </row>
    <row r="22" spans="2:16">
      <c r="B22" s="83">
        <v>2020</v>
      </c>
      <c r="C22" s="108">
        <v>1266672</v>
      </c>
      <c r="D22" s="108"/>
      <c r="E22" s="109"/>
      <c r="F22" s="65"/>
      <c r="G22" s="65"/>
      <c r="H22" s="83">
        <v>2020</v>
      </c>
      <c r="I22" s="334">
        <v>4212348</v>
      </c>
      <c r="J22" s="334"/>
      <c r="K22" s="335"/>
      <c r="L22" s="65"/>
      <c r="M22" s="65"/>
      <c r="N22" s="65"/>
      <c r="O22" s="65"/>
      <c r="P22" s="65"/>
    </row>
    <row r="23" spans="2:16">
      <c r="B23" s="83">
        <v>2021</v>
      </c>
      <c r="C23" s="175">
        <v>1257096</v>
      </c>
      <c r="D23" s="108">
        <v>1257096</v>
      </c>
      <c r="E23" s="109">
        <v>1257096</v>
      </c>
      <c r="F23" s="65"/>
      <c r="G23" s="65"/>
      <c r="H23" s="83">
        <v>2021</v>
      </c>
      <c r="I23" s="175">
        <v>4386948</v>
      </c>
      <c r="J23" s="334">
        <v>4386948</v>
      </c>
      <c r="K23" s="335">
        <v>4386948</v>
      </c>
      <c r="L23" s="65"/>
      <c r="M23" s="65"/>
      <c r="N23" s="65"/>
      <c r="O23" s="65"/>
      <c r="P23" s="65"/>
    </row>
    <row r="24" spans="2:16">
      <c r="B24" s="83">
        <v>2022</v>
      </c>
      <c r="C24" s="175">
        <v>1239199.5</v>
      </c>
      <c r="D24" s="108">
        <v>1231570.71</v>
      </c>
      <c r="E24" s="109">
        <v>1246828.22</v>
      </c>
      <c r="F24" s="65"/>
      <c r="G24" s="65"/>
      <c r="H24" s="83">
        <v>2022</v>
      </c>
      <c r="I24" s="175">
        <v>5068844</v>
      </c>
      <c r="J24" s="334">
        <v>4603725</v>
      </c>
      <c r="K24" s="335">
        <v>5533963</v>
      </c>
      <c r="L24" s="65"/>
      <c r="M24" s="65"/>
      <c r="N24" s="65"/>
      <c r="O24" s="65"/>
      <c r="P24" s="65"/>
    </row>
    <row r="25" spans="2:16">
      <c r="B25" s="83">
        <v>2023</v>
      </c>
      <c r="C25" s="175">
        <v>1222487.1000000001</v>
      </c>
      <c r="D25" s="108">
        <v>1214708.8</v>
      </c>
      <c r="E25" s="109">
        <v>1230265.48</v>
      </c>
      <c r="F25" s="65"/>
      <c r="G25" s="65"/>
      <c r="H25" s="83">
        <v>2023</v>
      </c>
      <c r="I25" s="175">
        <v>5678540</v>
      </c>
      <c r="J25" s="334">
        <v>5204301</v>
      </c>
      <c r="K25" s="335">
        <v>6152778</v>
      </c>
      <c r="L25" s="65"/>
      <c r="M25" s="65"/>
      <c r="N25" s="65"/>
      <c r="O25" s="65"/>
      <c r="P25" s="65"/>
    </row>
    <row r="26" spans="2:16">
      <c r="B26" s="83">
        <v>2024</v>
      </c>
      <c r="C26" s="175">
        <v>1205774.8</v>
      </c>
      <c r="D26" s="108">
        <v>1197671.06</v>
      </c>
      <c r="E26" s="109">
        <v>1213878.57</v>
      </c>
      <c r="F26" s="65"/>
      <c r="G26" s="65"/>
      <c r="H26" s="83">
        <v>2024</v>
      </c>
      <c r="I26" s="175">
        <v>6288235</v>
      </c>
      <c r="J26" s="334">
        <v>5794156</v>
      </c>
      <c r="K26" s="335">
        <v>6782314</v>
      </c>
      <c r="L26" s="65"/>
      <c r="M26" s="65"/>
      <c r="N26" s="65"/>
      <c r="O26" s="65"/>
      <c r="P26" s="65"/>
    </row>
    <row r="27" spans="2:16">
      <c r="B27" s="83">
        <v>2025</v>
      </c>
      <c r="C27" s="175">
        <v>1189062.5</v>
      </c>
      <c r="D27" s="108">
        <v>1180411.29</v>
      </c>
      <c r="E27" s="109">
        <v>1197713.69</v>
      </c>
      <c r="F27" s="65"/>
      <c r="G27" s="65"/>
      <c r="H27" s="83">
        <v>2025</v>
      </c>
      <c r="I27" s="175">
        <v>6897931</v>
      </c>
      <c r="J27" s="334">
        <v>6370474</v>
      </c>
      <c r="K27" s="335">
        <v>7425387</v>
      </c>
      <c r="L27" s="65"/>
      <c r="M27" s="65"/>
      <c r="N27" s="65"/>
      <c r="O27" s="65"/>
      <c r="P27" s="65"/>
    </row>
    <row r="28" spans="2:16">
      <c r="B28" s="83">
        <v>2026</v>
      </c>
      <c r="C28" s="175">
        <v>1172350.2</v>
      </c>
      <c r="D28" s="108">
        <v>1162907.6599999999</v>
      </c>
      <c r="E28" s="109">
        <v>1181792.67</v>
      </c>
      <c r="F28" s="65"/>
      <c r="G28" s="65"/>
      <c r="H28" s="83">
        <v>2026</v>
      </c>
      <c r="I28" s="175">
        <v>7507626</v>
      </c>
      <c r="J28" s="334">
        <v>6931925</v>
      </c>
      <c r="K28" s="335">
        <v>8083328</v>
      </c>
      <c r="L28" s="65"/>
      <c r="M28" s="65"/>
      <c r="N28" s="65"/>
      <c r="O28" s="65"/>
      <c r="P28" s="65"/>
    </row>
    <row r="29" spans="2:16">
      <c r="B29" s="83">
        <v>2027</v>
      </c>
      <c r="C29" s="175">
        <v>1155637.8</v>
      </c>
      <c r="D29" s="108">
        <v>1145160.99</v>
      </c>
      <c r="E29" s="109">
        <v>1166114.69</v>
      </c>
      <c r="F29" s="65"/>
      <c r="G29" s="65"/>
      <c r="H29" s="83">
        <v>2027</v>
      </c>
      <c r="I29" s="175">
        <v>8117322</v>
      </c>
      <c r="J29" s="334">
        <v>7478557</v>
      </c>
      <c r="K29" s="335">
        <v>8756087</v>
      </c>
      <c r="L29" s="65"/>
      <c r="M29" s="65"/>
      <c r="N29" s="65"/>
      <c r="O29" s="65"/>
      <c r="P29" s="65"/>
    </row>
    <row r="30" spans="2:16">
      <c r="B30" s="83">
        <v>2028</v>
      </c>
      <c r="C30" s="175">
        <v>1138925.5</v>
      </c>
      <c r="D30" s="108">
        <v>1127186.92</v>
      </c>
      <c r="E30" s="109">
        <v>1150664.1100000001</v>
      </c>
      <c r="F30" s="65"/>
      <c r="G30" s="65"/>
      <c r="H30" s="83">
        <v>2028</v>
      </c>
      <c r="I30" s="175">
        <v>8727018</v>
      </c>
      <c r="J30" s="334">
        <v>8011326</v>
      </c>
      <c r="K30" s="335">
        <v>9442710</v>
      </c>
      <c r="L30" s="65"/>
      <c r="M30" s="65"/>
      <c r="N30" s="65"/>
      <c r="O30" s="65"/>
      <c r="P30" s="65"/>
    </row>
    <row r="31" spans="2:16">
      <c r="B31" s="83">
        <v>2029</v>
      </c>
      <c r="C31" s="175">
        <v>1122213.2</v>
      </c>
      <c r="D31" s="108">
        <v>1109007.42</v>
      </c>
      <c r="E31" s="109">
        <v>1135418.96</v>
      </c>
      <c r="F31" s="65"/>
      <c r="G31" s="65"/>
      <c r="H31" s="83">
        <v>2029</v>
      </c>
      <c r="I31" s="175">
        <v>9336713</v>
      </c>
      <c r="J31" s="334">
        <v>8531569</v>
      </c>
      <c r="K31" s="335">
        <v>10141858</v>
      </c>
      <c r="L31" s="65"/>
      <c r="M31" s="65"/>
      <c r="N31" s="65"/>
      <c r="O31" s="65"/>
      <c r="P31" s="65"/>
    </row>
    <row r="32" spans="2:16" ht="15.75" thickBot="1">
      <c r="B32" s="84">
        <v>2030</v>
      </c>
      <c r="C32" s="176">
        <v>1105500.8999999999</v>
      </c>
      <c r="D32" s="110">
        <v>1090644.95</v>
      </c>
      <c r="E32" s="111">
        <v>1120356.78</v>
      </c>
      <c r="H32" s="84">
        <v>2030</v>
      </c>
      <c r="I32" s="176">
        <v>9946409</v>
      </c>
      <c r="J32" s="336">
        <v>9040656</v>
      </c>
      <c r="K32" s="337">
        <v>10852162</v>
      </c>
    </row>
    <row r="33" spans="2:11" ht="15.75" thickBot="1"/>
    <row r="34" spans="2:11" ht="15.75" thickBot="1">
      <c r="B34" s="103" t="s">
        <v>493</v>
      </c>
      <c r="C34" s="104" t="s">
        <v>389</v>
      </c>
      <c r="D34" s="104" t="s">
        <v>390</v>
      </c>
      <c r="E34" s="105" t="s">
        <v>391</v>
      </c>
      <c r="H34" s="89" t="s">
        <v>494</v>
      </c>
      <c r="I34" s="86" t="s">
        <v>389</v>
      </c>
      <c r="J34" s="86" t="s">
        <v>390</v>
      </c>
      <c r="K34" s="87" t="s">
        <v>391</v>
      </c>
    </row>
    <row r="35" spans="2:11">
      <c r="B35" s="99">
        <v>2019</v>
      </c>
      <c r="C35" s="112">
        <v>323820</v>
      </c>
      <c r="D35" s="112"/>
      <c r="E35" s="113"/>
      <c r="H35" s="82">
        <v>2019</v>
      </c>
      <c r="I35" s="332">
        <v>4614048</v>
      </c>
      <c r="J35" s="332"/>
      <c r="K35" s="333"/>
    </row>
    <row r="36" spans="2:11">
      <c r="B36" s="100">
        <v>2020</v>
      </c>
      <c r="C36" s="114">
        <v>307884</v>
      </c>
      <c r="D36" s="114"/>
      <c r="E36" s="115"/>
      <c r="H36" s="83">
        <v>2020</v>
      </c>
      <c r="I36" s="334">
        <v>4993764</v>
      </c>
      <c r="J36" s="334"/>
      <c r="K36" s="335"/>
    </row>
    <row r="37" spans="2:11">
      <c r="B37" s="101">
        <v>2021</v>
      </c>
      <c r="C37" s="177">
        <v>313836</v>
      </c>
      <c r="D37" s="116">
        <v>313836</v>
      </c>
      <c r="E37" s="117">
        <v>313836</v>
      </c>
      <c r="H37" s="83">
        <v>2021</v>
      </c>
      <c r="I37" s="175">
        <v>5019684</v>
      </c>
      <c r="J37" s="334">
        <v>5019684</v>
      </c>
      <c r="K37" s="335">
        <v>5019684</v>
      </c>
    </row>
    <row r="38" spans="2:11">
      <c r="B38" s="100">
        <v>2022</v>
      </c>
      <c r="C38" s="175">
        <v>306016.08</v>
      </c>
      <c r="D38" s="114">
        <v>293389.18</v>
      </c>
      <c r="E38" s="115">
        <v>318642.99</v>
      </c>
      <c r="H38" s="83">
        <v>2022</v>
      </c>
      <c r="I38" s="175">
        <v>5268212</v>
      </c>
      <c r="J38" s="334">
        <v>5064112</v>
      </c>
      <c r="K38" s="335">
        <v>5472313</v>
      </c>
    </row>
    <row r="39" spans="2:11">
      <c r="B39" s="101">
        <v>2023</v>
      </c>
      <c r="C39" s="177">
        <v>300156.23</v>
      </c>
      <c r="D39" s="116">
        <v>287281.74</v>
      </c>
      <c r="E39" s="117">
        <v>313030.73</v>
      </c>
      <c r="H39" s="83">
        <v>2023</v>
      </c>
      <c r="I39" s="175">
        <v>5485058</v>
      </c>
      <c r="J39" s="334">
        <v>5276956</v>
      </c>
      <c r="K39" s="335">
        <v>5693160</v>
      </c>
    </row>
    <row r="40" spans="2:11">
      <c r="B40" s="100">
        <v>2024</v>
      </c>
      <c r="C40" s="175">
        <v>294296.38</v>
      </c>
      <c r="D40" s="114">
        <v>280883.28000000003</v>
      </c>
      <c r="E40" s="115">
        <v>307709.49</v>
      </c>
      <c r="H40" s="83">
        <v>2024</v>
      </c>
      <c r="I40" s="175">
        <v>5701904</v>
      </c>
      <c r="J40" s="334">
        <v>5485095</v>
      </c>
      <c r="K40" s="335">
        <v>5918712</v>
      </c>
    </row>
    <row r="41" spans="2:11">
      <c r="B41" s="101">
        <v>2025</v>
      </c>
      <c r="C41" s="177">
        <v>288436.53999999998</v>
      </c>
      <c r="D41" s="116">
        <v>274117.3</v>
      </c>
      <c r="E41" s="117">
        <v>302755.77</v>
      </c>
      <c r="H41" s="83">
        <v>2025</v>
      </c>
      <c r="I41" s="175">
        <v>5918750</v>
      </c>
      <c r="J41" s="334">
        <v>5687295</v>
      </c>
      <c r="K41" s="335">
        <v>6150205</v>
      </c>
    </row>
    <row r="42" spans="2:11">
      <c r="B42" s="100">
        <v>2026</v>
      </c>
      <c r="C42" s="175">
        <v>282576.69</v>
      </c>
      <c r="D42" s="114">
        <v>266947.71000000002</v>
      </c>
      <c r="E42" s="115">
        <v>298205.65999999997</v>
      </c>
      <c r="H42" s="83">
        <v>2026</v>
      </c>
      <c r="I42" s="175">
        <v>6135596</v>
      </c>
      <c r="J42" s="334">
        <v>5882970</v>
      </c>
      <c r="K42" s="335">
        <v>6388221</v>
      </c>
    </row>
    <row r="43" spans="2:11">
      <c r="B43" s="101">
        <v>2027</v>
      </c>
      <c r="C43" s="177">
        <v>276716.84000000003</v>
      </c>
      <c r="D43" s="116">
        <v>259375.84</v>
      </c>
      <c r="E43" s="117">
        <v>294057.84000000003</v>
      </c>
      <c r="H43" s="83">
        <v>2027</v>
      </c>
      <c r="I43" s="175">
        <v>6352441</v>
      </c>
      <c r="J43" s="334">
        <v>6072143</v>
      </c>
      <c r="K43" s="335">
        <v>6632740</v>
      </c>
    </row>
    <row r="44" spans="2:11">
      <c r="B44" s="100">
        <v>2028</v>
      </c>
      <c r="C44" s="175">
        <v>270856.99</v>
      </c>
      <c r="D44" s="114">
        <v>251427.59</v>
      </c>
      <c r="E44" s="115">
        <v>290286.39</v>
      </c>
      <c r="H44" s="83">
        <v>2028</v>
      </c>
      <c r="I44" s="175">
        <v>6569287</v>
      </c>
      <c r="J44" s="334">
        <v>6255232</v>
      </c>
      <c r="K44" s="335">
        <v>6883343</v>
      </c>
    </row>
    <row r="45" spans="2:11">
      <c r="B45" s="101">
        <v>2029</v>
      </c>
      <c r="C45" s="177">
        <v>264997.14</v>
      </c>
      <c r="D45" s="116">
        <v>243139.32</v>
      </c>
      <c r="E45" s="117">
        <v>286854.96999999997</v>
      </c>
      <c r="H45" s="83">
        <v>2029</v>
      </c>
      <c r="I45" s="175">
        <v>6786133</v>
      </c>
      <c r="J45" s="334">
        <v>6432825</v>
      </c>
      <c r="K45" s="335">
        <v>7139441</v>
      </c>
    </row>
    <row r="46" spans="2:11" ht="15.75" thickBot="1">
      <c r="B46" s="102">
        <v>2030</v>
      </c>
      <c r="C46" s="176">
        <v>259137.3</v>
      </c>
      <c r="D46" s="118">
        <v>234548.19</v>
      </c>
      <c r="E46" s="119">
        <v>283726.40000000002</v>
      </c>
      <c r="H46" s="84">
        <v>2030</v>
      </c>
      <c r="I46" s="176">
        <v>7002979</v>
      </c>
      <c r="J46" s="336">
        <v>6605522</v>
      </c>
      <c r="K46" s="337">
        <v>7400435</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F012A-E713-44C7-A535-40A4E94941C4}">
  <dimension ref="B1:H88"/>
  <sheetViews>
    <sheetView topLeftCell="A4" zoomScale="90" zoomScaleNormal="90" workbookViewId="0">
      <selection activeCell="F88" sqref="F88"/>
    </sheetView>
  </sheetViews>
  <sheetFormatPr defaultColWidth="8.7109375" defaultRowHeight="15"/>
  <cols>
    <col min="1" max="1" width="2.140625" customWidth="1"/>
    <col min="2" max="2" width="30.7109375" bestFit="1" customWidth="1"/>
    <col min="3" max="4" width="9.140625" bestFit="1" customWidth="1"/>
    <col min="5" max="5" width="20.7109375" bestFit="1" customWidth="1"/>
    <col min="6" max="6" width="23.7109375" bestFit="1" customWidth="1"/>
    <col min="7" max="8" width="9.140625" bestFit="1" customWidth="1"/>
  </cols>
  <sheetData>
    <row r="1" spans="2:8" s="77" customFormat="1"/>
    <row r="2" spans="2:8" s="77" customFormat="1" ht="26.25">
      <c r="B2" s="79" t="s">
        <v>495</v>
      </c>
    </row>
    <row r="3" spans="2:8" s="77" customFormat="1" ht="19.5">
      <c r="B3" s="85" t="s">
        <v>496</v>
      </c>
    </row>
    <row r="4" spans="2:8" s="77" customFormat="1"/>
    <row r="5" spans="2:8" ht="15.75" thickBot="1">
      <c r="B5" s="65"/>
      <c r="C5" s="65"/>
      <c r="D5" s="65"/>
      <c r="E5" s="65"/>
      <c r="F5" s="65"/>
      <c r="G5" s="65"/>
      <c r="H5" s="65"/>
    </row>
    <row r="6" spans="2:8" ht="15.75" thickBot="1">
      <c r="B6" s="123" t="s">
        <v>497</v>
      </c>
      <c r="C6" s="124" t="s">
        <v>230</v>
      </c>
      <c r="D6" s="124" t="s">
        <v>3</v>
      </c>
      <c r="E6" s="124" t="s">
        <v>231</v>
      </c>
      <c r="F6" s="124" t="s">
        <v>5</v>
      </c>
      <c r="G6" s="124" t="s">
        <v>232</v>
      </c>
      <c r="H6" s="125" t="s">
        <v>233</v>
      </c>
    </row>
    <row r="7" spans="2:8">
      <c r="B7" s="120">
        <v>2020</v>
      </c>
      <c r="C7" s="126">
        <v>1920</v>
      </c>
      <c r="D7" s="126">
        <v>1829</v>
      </c>
      <c r="E7" s="126">
        <v>1925</v>
      </c>
      <c r="F7" s="126">
        <v>1639</v>
      </c>
      <c r="G7" s="126">
        <v>1599</v>
      </c>
      <c r="H7" s="127">
        <v>1653</v>
      </c>
    </row>
    <row r="8" spans="2:8">
      <c r="B8" s="121">
        <v>2021</v>
      </c>
      <c r="C8" s="128">
        <f>C7*(1+$D79)</f>
        <v>1993.7280000000001</v>
      </c>
      <c r="D8" s="128">
        <f t="shared" ref="D8:H8" si="0">D7*(1+$D79)</f>
        <v>1899.2336</v>
      </c>
      <c r="E8" s="128">
        <f t="shared" si="0"/>
        <v>1998.92</v>
      </c>
      <c r="F8" s="128">
        <f t="shared" si="0"/>
        <v>1701.9376</v>
      </c>
      <c r="G8" s="128">
        <f t="shared" si="0"/>
        <v>1660.4015999999999</v>
      </c>
      <c r="H8" s="129">
        <f t="shared" si="0"/>
        <v>1716.4752000000001</v>
      </c>
    </row>
    <row r="9" spans="2:8">
      <c r="B9" s="121">
        <v>2022</v>
      </c>
      <c r="C9" s="128">
        <f>C8*(1+$D80)</f>
        <v>2054.9354496000001</v>
      </c>
      <c r="D9" s="128">
        <f t="shared" ref="D9:D17" si="1">D8*(1+$D80)</f>
        <v>1957.5400715199999</v>
      </c>
      <c r="E9" s="128">
        <f t="shared" ref="E9:E17" si="2">E8*(1+$D80)</f>
        <v>2060.2868440000002</v>
      </c>
      <c r="F9" s="128">
        <f t="shared" ref="F9:F17" si="3">F8*(1+$D80)</f>
        <v>1754.1870843199999</v>
      </c>
      <c r="G9" s="128">
        <f t="shared" ref="G9:G17" si="4">G8*(1+$D80)</f>
        <v>1711.3759291199999</v>
      </c>
      <c r="H9" s="129">
        <f t="shared" ref="H9:H17" si="5">H8*(1+$D80)</f>
        <v>1769.1709886399999</v>
      </c>
    </row>
    <row r="10" spans="2:8">
      <c r="B10" s="121">
        <v>2023</v>
      </c>
      <c r="C10" s="128">
        <f t="shared" ref="C10:C17" si="6">C9*(1+$D81)</f>
        <v>2116.583513088</v>
      </c>
      <c r="D10" s="128">
        <f t="shared" si="1"/>
        <v>2016.2662736656</v>
      </c>
      <c r="E10" s="128">
        <f t="shared" si="2"/>
        <v>2122.0954493200002</v>
      </c>
      <c r="F10" s="128">
        <f t="shared" si="3"/>
        <v>1806.8126968495999</v>
      </c>
      <c r="G10" s="128">
        <f t="shared" si="4"/>
        <v>1762.7172069936</v>
      </c>
      <c r="H10" s="129">
        <f t="shared" si="5"/>
        <v>1822.2461182991999</v>
      </c>
    </row>
    <row r="11" spans="2:8">
      <c r="B11" s="121">
        <v>2024</v>
      </c>
      <c r="C11" s="128">
        <f t="shared" si="6"/>
        <v>2178.8110683727873</v>
      </c>
      <c r="D11" s="128">
        <f t="shared" si="1"/>
        <v>2075.5445021113687</v>
      </c>
      <c r="E11" s="128">
        <f t="shared" si="2"/>
        <v>2184.4850555300086</v>
      </c>
      <c r="F11" s="128">
        <f t="shared" si="3"/>
        <v>1859.9329901369783</v>
      </c>
      <c r="G11" s="128">
        <f t="shared" si="4"/>
        <v>1814.5410928792121</v>
      </c>
      <c r="H11" s="129">
        <f t="shared" si="5"/>
        <v>1875.8201541771966</v>
      </c>
    </row>
    <row r="12" spans="2:8">
      <c r="B12" s="121">
        <v>2025</v>
      </c>
      <c r="C12" s="128">
        <f t="shared" si="6"/>
        <v>2241.3429460350862</v>
      </c>
      <c r="D12" s="128">
        <f t="shared" si="1"/>
        <v>2135.112629321965</v>
      </c>
      <c r="E12" s="128">
        <f t="shared" si="2"/>
        <v>2247.1797766237196</v>
      </c>
      <c r="F12" s="128">
        <f t="shared" si="3"/>
        <v>1913.3130669539096</v>
      </c>
      <c r="G12" s="128">
        <f t="shared" si="4"/>
        <v>1866.6184222448453</v>
      </c>
      <c r="H12" s="129">
        <f t="shared" si="5"/>
        <v>1929.656192602082</v>
      </c>
    </row>
    <row r="13" spans="2:8">
      <c r="B13" s="121">
        <v>2026</v>
      </c>
      <c r="C13" s="128">
        <f t="shared" si="6"/>
        <v>2304.324682818672</v>
      </c>
      <c r="D13" s="128">
        <f t="shared" si="1"/>
        <v>2195.1092942059122</v>
      </c>
      <c r="E13" s="128">
        <f t="shared" si="2"/>
        <v>2310.3255283468461</v>
      </c>
      <c r="F13" s="128">
        <f t="shared" si="3"/>
        <v>1967.0771641353144</v>
      </c>
      <c r="G13" s="128">
        <f t="shared" si="4"/>
        <v>1919.0703999099255</v>
      </c>
      <c r="H13" s="129">
        <f t="shared" si="5"/>
        <v>1983.8795316142005</v>
      </c>
    </row>
    <row r="14" spans="2:8">
      <c r="B14" s="121">
        <v>2027</v>
      </c>
      <c r="C14" s="128">
        <f t="shared" si="6"/>
        <v>2367.4631791279039</v>
      </c>
      <c r="D14" s="128">
        <f t="shared" si="1"/>
        <v>2255.2552888671544</v>
      </c>
      <c r="E14" s="128">
        <f t="shared" si="2"/>
        <v>2373.6284478235498</v>
      </c>
      <c r="F14" s="128">
        <f t="shared" si="3"/>
        <v>2020.9750784326222</v>
      </c>
      <c r="G14" s="128">
        <f t="shared" si="4"/>
        <v>1971.6529288674576</v>
      </c>
      <c r="H14" s="129">
        <f t="shared" si="5"/>
        <v>2038.2378307804297</v>
      </c>
    </row>
    <row r="15" spans="2:8">
      <c r="B15" s="121">
        <v>2028</v>
      </c>
      <c r="C15" s="128">
        <f t="shared" si="6"/>
        <v>2430.6744460106188</v>
      </c>
      <c r="D15" s="128">
        <f t="shared" si="1"/>
        <v>2315.4706050799073</v>
      </c>
      <c r="E15" s="128">
        <f t="shared" si="2"/>
        <v>2437.0043273804386</v>
      </c>
      <c r="F15" s="128">
        <f>F14*(1+$D86)</f>
        <v>2074.9351130267733</v>
      </c>
      <c r="G15" s="128">
        <f t="shared" si="4"/>
        <v>2024.2960620682186</v>
      </c>
      <c r="H15" s="129">
        <f t="shared" si="5"/>
        <v>2092.6587808622671</v>
      </c>
    </row>
    <row r="16" spans="2:8">
      <c r="B16" s="121">
        <v>2029</v>
      </c>
      <c r="C16" s="128">
        <f t="shared" si="6"/>
        <v>2494.115049051496</v>
      </c>
      <c r="D16" s="128">
        <f t="shared" si="1"/>
        <v>2375.9043878724929</v>
      </c>
      <c r="E16" s="128">
        <f t="shared" si="2"/>
        <v>2500.6101403250682</v>
      </c>
      <c r="F16" s="128">
        <f t="shared" si="3"/>
        <v>2129.0909194767719</v>
      </c>
      <c r="G16" s="128">
        <f t="shared" si="4"/>
        <v>2077.1301892881993</v>
      </c>
      <c r="H16" s="129">
        <f t="shared" si="5"/>
        <v>2147.2771750427723</v>
      </c>
    </row>
    <row r="17" spans="2:8" ht="15.75" thickBot="1">
      <c r="B17" s="122">
        <v>2030</v>
      </c>
      <c r="C17" s="130">
        <f t="shared" si="6"/>
        <v>2557.465571297404</v>
      </c>
      <c r="D17" s="130">
        <f t="shared" si="1"/>
        <v>2436.2523593244546</v>
      </c>
      <c r="E17" s="130">
        <f t="shared" si="2"/>
        <v>2564.1256378893249</v>
      </c>
      <c r="F17" s="130">
        <f t="shared" si="3"/>
        <v>2183.1698288314819</v>
      </c>
      <c r="G17" s="130">
        <f t="shared" si="4"/>
        <v>2129.8892960961198</v>
      </c>
      <c r="H17" s="131">
        <f t="shared" si="5"/>
        <v>2201.818015288859</v>
      </c>
    </row>
    <row r="18" spans="2:8" ht="15.75" thickBot="1"/>
    <row r="19" spans="2:8" ht="15.75" thickBot="1">
      <c r="B19" s="141" t="s">
        <v>498</v>
      </c>
      <c r="C19" s="104" t="s">
        <v>389</v>
      </c>
      <c r="D19" s="104" t="s">
        <v>499</v>
      </c>
      <c r="E19" s="104" t="s">
        <v>390</v>
      </c>
      <c r="F19" s="105" t="s">
        <v>391</v>
      </c>
    </row>
    <row r="20" spans="2:8">
      <c r="B20" s="96">
        <v>1962</v>
      </c>
      <c r="C20" s="139">
        <v>2.1299999999999999E-2</v>
      </c>
      <c r="D20" s="94"/>
      <c r="E20" s="94"/>
      <c r="F20" s="95"/>
    </row>
    <row r="21" spans="2:8">
      <c r="B21" s="97">
        <v>1963</v>
      </c>
      <c r="C21" s="133">
        <v>2.01E-2</v>
      </c>
      <c r="D21" s="91"/>
      <c r="E21" s="91"/>
      <c r="F21" s="93"/>
    </row>
    <row r="22" spans="2:8">
      <c r="B22" s="98">
        <v>1964</v>
      </c>
      <c r="C22" s="132">
        <v>2.0500000000000001E-2</v>
      </c>
      <c r="D22" s="90"/>
      <c r="E22" s="90"/>
      <c r="F22" s="92"/>
    </row>
    <row r="23" spans="2:8">
      <c r="B23" s="97">
        <v>1965</v>
      </c>
      <c r="C23" s="133">
        <v>2.5399999999999999E-2</v>
      </c>
      <c r="D23" s="91"/>
      <c r="E23" s="91"/>
      <c r="F23" s="93"/>
    </row>
    <row r="24" spans="2:8">
      <c r="B24" s="98">
        <v>1966</v>
      </c>
      <c r="C24" s="132">
        <v>3.3000000000000002E-2</v>
      </c>
      <c r="D24" s="90"/>
      <c r="E24" s="90"/>
      <c r="F24" s="92"/>
    </row>
    <row r="25" spans="2:8">
      <c r="B25" s="97">
        <v>1967</v>
      </c>
      <c r="C25" s="133">
        <v>2.7400000000000001E-2</v>
      </c>
      <c r="D25" s="91"/>
      <c r="E25" s="91"/>
      <c r="F25" s="93"/>
    </row>
    <row r="26" spans="2:8">
      <c r="B26" s="98">
        <v>1968</v>
      </c>
      <c r="C26" s="132">
        <v>3.4799999999999998E-2</v>
      </c>
      <c r="D26" s="90"/>
      <c r="E26" s="90"/>
      <c r="F26" s="92"/>
    </row>
    <row r="27" spans="2:8">
      <c r="B27" s="97">
        <v>1969</v>
      </c>
      <c r="C27" s="133">
        <v>4.0599999999999997E-2</v>
      </c>
      <c r="D27" s="91"/>
      <c r="E27" s="91"/>
      <c r="F27" s="93"/>
    </row>
    <row r="28" spans="2:8">
      <c r="B28" s="98">
        <v>1970</v>
      </c>
      <c r="C28" s="132">
        <v>5.04E-2</v>
      </c>
      <c r="D28" s="90"/>
      <c r="E28" s="90"/>
      <c r="F28" s="92"/>
    </row>
    <row r="29" spans="2:8">
      <c r="B29" s="97">
        <v>1971</v>
      </c>
      <c r="C29" s="133">
        <v>4.7199999999999999E-2</v>
      </c>
      <c r="D29" s="91"/>
      <c r="E29" s="91"/>
      <c r="F29" s="93"/>
    </row>
    <row r="30" spans="2:8">
      <c r="B30" s="98">
        <v>1972</v>
      </c>
      <c r="C30" s="132">
        <v>4.41E-2</v>
      </c>
      <c r="D30" s="90"/>
      <c r="E30" s="90"/>
      <c r="F30" s="92"/>
    </row>
    <row r="31" spans="2:8">
      <c r="B31" s="97">
        <v>1973</v>
      </c>
      <c r="C31" s="133">
        <v>6.7599999999999993E-2</v>
      </c>
      <c r="D31" s="91"/>
      <c r="E31" s="91"/>
      <c r="F31" s="93"/>
    </row>
    <row r="32" spans="2:8">
      <c r="B32" s="98">
        <v>1974</v>
      </c>
      <c r="C32" s="132">
        <v>0.1086</v>
      </c>
      <c r="D32" s="90"/>
      <c r="E32" s="90"/>
      <c r="F32" s="92"/>
    </row>
    <row r="33" spans="2:6">
      <c r="B33" s="97">
        <v>1975</v>
      </c>
      <c r="C33" s="133">
        <v>8.8999999999999996E-2</v>
      </c>
      <c r="D33" s="91"/>
      <c r="E33" s="91"/>
      <c r="F33" s="93"/>
    </row>
    <row r="34" spans="2:6">
      <c r="B34" s="98">
        <v>1976</v>
      </c>
      <c r="C34" s="132">
        <v>6.4299999999999996E-2</v>
      </c>
      <c r="D34" s="90"/>
      <c r="E34" s="90"/>
      <c r="F34" s="92"/>
    </row>
    <row r="35" spans="2:6">
      <c r="B35" s="97">
        <v>1977</v>
      </c>
      <c r="C35" s="133">
        <v>6.8599999999999994E-2</v>
      </c>
      <c r="D35" s="91"/>
      <c r="E35" s="91"/>
      <c r="F35" s="93"/>
    </row>
    <row r="36" spans="2:6">
      <c r="B36" s="98">
        <v>1978</v>
      </c>
      <c r="C36" s="132">
        <v>6.7599999999999993E-2</v>
      </c>
      <c r="D36" s="90"/>
      <c r="E36" s="90"/>
      <c r="F36" s="92"/>
    </row>
    <row r="37" spans="2:6">
      <c r="B37" s="97">
        <v>1979</v>
      </c>
      <c r="C37" s="133">
        <v>9.11E-2</v>
      </c>
      <c r="D37" s="91"/>
      <c r="E37" s="91"/>
      <c r="F37" s="93"/>
    </row>
    <row r="38" spans="2:6">
      <c r="B38" s="98">
        <v>1980</v>
      </c>
      <c r="C38" s="132">
        <v>0.1188</v>
      </c>
      <c r="D38" s="90"/>
      <c r="E38" s="90"/>
      <c r="F38" s="92"/>
    </row>
    <row r="39" spans="2:6">
      <c r="B39" s="97">
        <v>1981</v>
      </c>
      <c r="C39" s="133">
        <v>9.98E-2</v>
      </c>
      <c r="D39" s="91"/>
      <c r="E39" s="91"/>
      <c r="F39" s="93"/>
    </row>
    <row r="40" spans="2:6">
      <c r="B40" s="98">
        <v>1982</v>
      </c>
      <c r="C40" s="132">
        <v>6.8900000000000003E-2</v>
      </c>
      <c r="D40" s="90"/>
      <c r="E40" s="90"/>
      <c r="F40" s="92"/>
    </row>
    <row r="41" spans="2:6">
      <c r="B41" s="97">
        <v>1983</v>
      </c>
      <c r="C41" s="133">
        <v>4.6899999999999997E-2</v>
      </c>
      <c r="D41" s="91"/>
      <c r="E41" s="91"/>
      <c r="F41" s="93"/>
    </row>
    <row r="42" spans="2:6">
      <c r="B42" s="98">
        <v>1984</v>
      </c>
      <c r="C42" s="132">
        <v>4.8500000000000001E-2</v>
      </c>
      <c r="D42" s="90"/>
      <c r="E42" s="90"/>
      <c r="F42" s="92"/>
    </row>
    <row r="43" spans="2:6">
      <c r="B43" s="97">
        <v>1985</v>
      </c>
      <c r="C43" s="133">
        <v>3.7699999999999997E-2</v>
      </c>
      <c r="D43" s="91"/>
      <c r="E43" s="91"/>
      <c r="F43" s="93"/>
    </row>
    <row r="44" spans="2:6">
      <c r="B44" s="98">
        <v>1986</v>
      </c>
      <c r="C44" s="132">
        <v>0.02</v>
      </c>
      <c r="D44" s="90"/>
      <c r="E44" s="90"/>
      <c r="F44" s="92"/>
    </row>
    <row r="45" spans="2:6">
      <c r="B45" s="97">
        <v>1987</v>
      </c>
      <c r="C45" s="133">
        <v>3.1300000000000001E-2</v>
      </c>
      <c r="D45" s="91"/>
      <c r="E45" s="91"/>
      <c r="F45" s="93"/>
    </row>
    <row r="46" spans="2:6">
      <c r="B46" s="98">
        <v>1988</v>
      </c>
      <c r="C46" s="132">
        <v>3.6799999999999999E-2</v>
      </c>
      <c r="D46" s="90"/>
      <c r="E46" s="90"/>
      <c r="F46" s="92"/>
    </row>
    <row r="47" spans="2:6">
      <c r="B47" s="97">
        <v>1989</v>
      </c>
      <c r="C47" s="133">
        <v>4.8300000000000003E-2</v>
      </c>
      <c r="D47" s="91"/>
      <c r="E47" s="91"/>
      <c r="F47" s="93"/>
    </row>
    <row r="48" spans="2:6">
      <c r="B48" s="98">
        <v>1990</v>
      </c>
      <c r="C48" s="132">
        <v>5.0999999999999997E-2</v>
      </c>
      <c r="D48" s="90"/>
      <c r="E48" s="90"/>
      <c r="F48" s="92"/>
    </row>
    <row r="49" spans="2:6">
      <c r="B49" s="97">
        <v>1991</v>
      </c>
      <c r="C49" s="133">
        <v>4.53E-2</v>
      </c>
      <c r="D49" s="91"/>
      <c r="E49" s="91"/>
      <c r="F49" s="93"/>
    </row>
    <row r="50" spans="2:6">
      <c r="B50" s="98">
        <v>1992</v>
      </c>
      <c r="C50" s="132">
        <v>4.2599999999999999E-2</v>
      </c>
      <c r="D50" s="90"/>
      <c r="E50" s="90"/>
      <c r="F50" s="92"/>
    </row>
    <row r="51" spans="2:6">
      <c r="B51" s="97">
        <v>1993</v>
      </c>
      <c r="C51" s="133">
        <v>3.7400000000000003E-2</v>
      </c>
      <c r="D51" s="91"/>
      <c r="E51" s="91"/>
      <c r="F51" s="93"/>
    </row>
    <row r="52" spans="2:6">
      <c r="B52" s="98">
        <v>1994</v>
      </c>
      <c r="C52" s="132">
        <v>3.1899999999999998E-2</v>
      </c>
      <c r="D52" s="90"/>
      <c r="E52" s="90"/>
      <c r="F52" s="92"/>
    </row>
    <row r="53" spans="2:6">
      <c r="B53" s="97">
        <v>1995</v>
      </c>
      <c r="C53" s="133">
        <v>3.04E-2</v>
      </c>
      <c r="D53" s="91"/>
      <c r="E53" s="91"/>
      <c r="F53" s="93"/>
    </row>
    <row r="54" spans="2:6">
      <c r="B54" s="98">
        <v>1996</v>
      </c>
      <c r="C54" s="132">
        <v>2.8299999999999999E-2</v>
      </c>
      <c r="D54" s="90"/>
      <c r="E54" s="90"/>
      <c r="F54" s="92"/>
    </row>
    <row r="55" spans="2:6">
      <c r="B55" s="97">
        <v>1997</v>
      </c>
      <c r="C55" s="133">
        <v>2.47E-2</v>
      </c>
      <c r="D55" s="91"/>
      <c r="E55" s="91"/>
      <c r="F55" s="93"/>
    </row>
    <row r="56" spans="2:6">
      <c r="B56" s="98">
        <v>1998</v>
      </c>
      <c r="C56" s="132">
        <v>1.66E-2</v>
      </c>
      <c r="D56" s="90"/>
      <c r="E56" s="90"/>
      <c r="F56" s="92"/>
    </row>
    <row r="57" spans="2:6">
      <c r="B57" s="97">
        <v>1999</v>
      </c>
      <c r="C57" s="133">
        <v>1.89E-2</v>
      </c>
      <c r="D57" s="91"/>
      <c r="E57" s="91"/>
      <c r="F57" s="93"/>
    </row>
    <row r="58" spans="2:6">
      <c r="B58" s="98">
        <v>2000</v>
      </c>
      <c r="C58" s="132">
        <v>2.9600000000000001E-2</v>
      </c>
      <c r="D58" s="90"/>
      <c r="E58" s="90"/>
      <c r="F58" s="92"/>
    </row>
    <row r="59" spans="2:6">
      <c r="B59" s="97">
        <v>2001</v>
      </c>
      <c r="C59" s="133">
        <v>2.8199999999999999E-2</v>
      </c>
      <c r="D59" s="91"/>
      <c r="E59" s="91"/>
      <c r="F59" s="93"/>
    </row>
    <row r="60" spans="2:6">
      <c r="B60" s="98">
        <v>2002</v>
      </c>
      <c r="C60" s="132">
        <v>1.78E-2</v>
      </c>
      <c r="D60" s="90"/>
      <c r="E60" s="90"/>
      <c r="F60" s="92"/>
    </row>
    <row r="61" spans="2:6">
      <c r="B61" s="97">
        <v>2003</v>
      </c>
      <c r="C61" s="133">
        <v>2.0899999999999998E-2</v>
      </c>
      <c r="D61" s="91"/>
      <c r="E61" s="91"/>
      <c r="F61" s="93"/>
    </row>
    <row r="62" spans="2:6">
      <c r="B62" s="98">
        <v>2004</v>
      </c>
      <c r="C62" s="132">
        <v>2.3900000000000001E-2</v>
      </c>
      <c r="D62" s="90"/>
      <c r="E62" s="90"/>
      <c r="F62" s="92"/>
    </row>
    <row r="63" spans="2:6">
      <c r="B63" s="97">
        <v>2005</v>
      </c>
      <c r="C63" s="133">
        <v>2.81E-2</v>
      </c>
      <c r="D63" s="91"/>
      <c r="E63" s="91"/>
      <c r="F63" s="93"/>
    </row>
    <row r="64" spans="2:6">
      <c r="B64" s="98">
        <v>2006</v>
      </c>
      <c r="C64" s="132">
        <v>2.7799999999999998E-2</v>
      </c>
      <c r="D64" s="90"/>
      <c r="E64" s="90"/>
      <c r="F64" s="92"/>
    </row>
    <row r="65" spans="2:6">
      <c r="B65" s="97">
        <v>2007</v>
      </c>
      <c r="C65" s="133">
        <v>2.6599999999999999E-2</v>
      </c>
      <c r="D65" s="91"/>
      <c r="E65" s="91"/>
      <c r="F65" s="93"/>
    </row>
    <row r="66" spans="2:6">
      <c r="B66" s="98">
        <v>2008</v>
      </c>
      <c r="C66" s="132">
        <v>3.6999999999999998E-2</v>
      </c>
      <c r="D66" s="90"/>
      <c r="E66" s="90"/>
      <c r="F66" s="92"/>
    </row>
    <row r="67" spans="2:6">
      <c r="B67" s="97">
        <v>2009</v>
      </c>
      <c r="C67" s="133">
        <v>8.0000000000000004E-4</v>
      </c>
      <c r="D67" s="91"/>
      <c r="E67" s="91"/>
      <c r="F67" s="93"/>
    </row>
    <row r="68" spans="2:6">
      <c r="B68" s="98">
        <v>2010</v>
      </c>
      <c r="C68" s="132">
        <v>1.5100000000000001E-2</v>
      </c>
      <c r="D68" s="90"/>
      <c r="E68" s="90"/>
      <c r="F68" s="92"/>
    </row>
    <row r="69" spans="2:6">
      <c r="B69" s="97">
        <v>2011</v>
      </c>
      <c r="C69" s="133">
        <v>0.03</v>
      </c>
      <c r="D69" s="91"/>
      <c r="E69" s="91"/>
      <c r="F69" s="93"/>
    </row>
    <row r="70" spans="2:6">
      <c r="B70" s="98">
        <v>2012</v>
      </c>
      <c r="C70" s="132">
        <v>2.2200000000000001E-2</v>
      </c>
      <c r="D70" s="90"/>
      <c r="E70" s="90"/>
      <c r="F70" s="92"/>
    </row>
    <row r="71" spans="2:6">
      <c r="B71" s="97">
        <v>2013</v>
      </c>
      <c r="C71" s="133">
        <v>1.4E-2</v>
      </c>
      <c r="D71" s="91"/>
      <c r="E71" s="91"/>
      <c r="F71" s="93"/>
    </row>
    <row r="72" spans="2:6">
      <c r="B72" s="98">
        <v>2014</v>
      </c>
      <c r="C72" s="132">
        <v>1.11E-2</v>
      </c>
      <c r="D72" s="90"/>
      <c r="E72" s="90"/>
      <c r="F72" s="92"/>
    </row>
    <row r="73" spans="2:6">
      <c r="B73" s="97">
        <v>2015</v>
      </c>
      <c r="C73" s="133">
        <v>1.4E-3</v>
      </c>
      <c r="D73" s="91"/>
      <c r="E73" s="91"/>
      <c r="F73" s="93"/>
    </row>
    <row r="74" spans="2:6">
      <c r="B74" s="98">
        <v>2016</v>
      </c>
      <c r="C74" s="132">
        <v>8.3000000000000001E-3</v>
      </c>
      <c r="D74" s="90"/>
      <c r="E74" s="90"/>
      <c r="F74" s="92"/>
    </row>
    <row r="75" spans="2:6">
      <c r="B75" s="97">
        <v>2017</v>
      </c>
      <c r="C75" s="133">
        <v>1.83E-2</v>
      </c>
      <c r="D75" s="91"/>
      <c r="E75" s="91"/>
      <c r="F75" s="93"/>
    </row>
    <row r="76" spans="2:6">
      <c r="B76" s="98">
        <v>2018</v>
      </c>
      <c r="C76" s="132">
        <v>2.12E-2</v>
      </c>
      <c r="D76" s="90"/>
      <c r="E76" s="90"/>
      <c r="F76" s="92"/>
    </row>
    <row r="77" spans="2:6">
      <c r="B77" s="97">
        <v>2019</v>
      </c>
      <c r="C77" s="133">
        <v>1.7000000000000001E-2</v>
      </c>
      <c r="D77" s="91"/>
      <c r="E77" s="91"/>
      <c r="F77" s="93"/>
    </row>
    <row r="78" spans="2:6">
      <c r="B78" s="98">
        <v>2020</v>
      </c>
      <c r="C78" s="132">
        <v>8.9999999999999993E-3</v>
      </c>
      <c r="D78" s="90"/>
      <c r="E78" s="90"/>
      <c r="F78" s="92"/>
    </row>
    <row r="79" spans="2:6">
      <c r="B79" s="97">
        <v>2021</v>
      </c>
      <c r="C79" s="133">
        <v>3.8399999999999997E-2</v>
      </c>
      <c r="D79" s="133">
        <v>3.8399999999999997E-2</v>
      </c>
      <c r="E79" s="133">
        <v>3.8399999999999997E-2</v>
      </c>
      <c r="F79" s="134">
        <v>3.8399999999999997E-2</v>
      </c>
    </row>
    <row r="80" spans="2:6">
      <c r="B80" s="98">
        <v>2022</v>
      </c>
      <c r="C80" s="90"/>
      <c r="D80" s="132">
        <v>3.0700000000000002E-2</v>
      </c>
      <c r="E80" s="132">
        <v>3.0999999999999999E-3</v>
      </c>
      <c r="F80" s="135">
        <v>5.8400000000000001E-2</v>
      </c>
    </row>
    <row r="81" spans="2:6">
      <c r="B81" s="97">
        <v>2023</v>
      </c>
      <c r="C81" s="91"/>
      <c r="D81" s="133">
        <v>0.03</v>
      </c>
      <c r="E81" s="133">
        <v>-4.4999999999999997E-3</v>
      </c>
      <c r="F81" s="134">
        <v>6.4600000000000005E-2</v>
      </c>
    </row>
    <row r="82" spans="2:6">
      <c r="B82" s="98">
        <v>2024</v>
      </c>
      <c r="C82" s="90"/>
      <c r="D82" s="132">
        <v>2.9399999999999999E-2</v>
      </c>
      <c r="E82" s="132">
        <v>-1.0999999999999999E-2</v>
      </c>
      <c r="F82" s="135">
        <v>6.9699999999999998E-2</v>
      </c>
    </row>
    <row r="83" spans="2:6">
      <c r="B83" s="97">
        <v>2025</v>
      </c>
      <c r="C83" s="91"/>
      <c r="D83" s="133">
        <v>2.87E-2</v>
      </c>
      <c r="E83" s="133">
        <v>-1.67E-2</v>
      </c>
      <c r="F83" s="134">
        <v>7.4099999999999999E-2</v>
      </c>
    </row>
    <row r="84" spans="2:6">
      <c r="B84" s="98">
        <v>2026</v>
      </c>
      <c r="C84" s="90"/>
      <c r="D84" s="132">
        <v>2.81E-2</v>
      </c>
      <c r="E84" s="132">
        <v>-2.1899999999999999E-2</v>
      </c>
      <c r="F84" s="135">
        <v>7.8E-2</v>
      </c>
    </row>
    <row r="85" spans="2:6">
      <c r="B85" s="97">
        <v>2027</v>
      </c>
      <c r="C85" s="91"/>
      <c r="D85" s="133">
        <v>2.7400000000000001E-2</v>
      </c>
      <c r="E85" s="133">
        <v>-2.6700000000000002E-2</v>
      </c>
      <c r="F85" s="134">
        <v>8.1500000000000003E-2</v>
      </c>
    </row>
    <row r="86" spans="2:6">
      <c r="B86" s="98">
        <v>2028</v>
      </c>
      <c r="C86" s="90"/>
      <c r="D86" s="132">
        <v>2.6700000000000002E-2</v>
      </c>
      <c r="E86" s="132">
        <v>-3.1300000000000001E-2</v>
      </c>
      <c r="F86" s="135">
        <v>8.48E-2</v>
      </c>
    </row>
    <row r="87" spans="2:6">
      <c r="B87" s="97">
        <v>2029</v>
      </c>
      <c r="C87" s="91"/>
      <c r="D87" s="133">
        <v>2.6100000000000002E-2</v>
      </c>
      <c r="E87" s="133">
        <v>-3.56E-2</v>
      </c>
      <c r="F87" s="134">
        <v>8.7800000000000003E-2</v>
      </c>
    </row>
    <row r="88" spans="2:6" ht="15.75" thickBot="1">
      <c r="B88" s="140">
        <v>2030</v>
      </c>
      <c r="C88" s="136"/>
      <c r="D88" s="137">
        <v>2.5399999999999999E-2</v>
      </c>
      <c r="E88" s="137">
        <v>-3.9699999999999999E-2</v>
      </c>
      <c r="F88" s="138">
        <v>9.06E-2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Shaun Cheng</cp:lastModifiedBy>
  <cp:revision/>
  <dcterms:created xsi:type="dcterms:W3CDTF">2023-03-11T12:23:20Z</dcterms:created>
  <dcterms:modified xsi:type="dcterms:W3CDTF">2023-03-24T15:20:17Z</dcterms:modified>
  <cp:category/>
  <cp:contentStatus/>
</cp:coreProperties>
</file>